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1320" windowWidth="18435" windowHeight="7275"/>
  </bookViews>
  <sheets>
    <sheet name="N° FA1" sheetId="5" r:id="rId1"/>
    <sheet name="N° FA2" sheetId="3" r:id="rId2"/>
    <sheet name="N° F finale" sheetId="4" r:id="rId3"/>
    <sheet name="N° Avoirs" sheetId="6" r:id="rId4"/>
    <sheet name="consultation compte client" sheetId="7" r:id="rId5"/>
    <sheet name="remises de cheques" sheetId="10" r:id="rId6"/>
  </sheets>
  <definedNames>
    <definedName name="commercial">#REF!</definedName>
    <definedName name="dernier_jour">#REF!</definedName>
    <definedName name="dernier_jour_commission">#REF!</definedName>
    <definedName name="dernier_jour_trimestre">#REF!</definedName>
    <definedName name="liste_commerciaux">'consultation compte client'!#REF!</definedName>
    <definedName name="matrice_remises">'remises de cheques'!$A$4:$L$256</definedName>
    <definedName name="mois_comm_fa1">'N° FA1'!#REF!</definedName>
    <definedName name="mois_comm_fa2">'N° FA2'!#REF!</definedName>
    <definedName name="mois_comm_ffinale">'N° F finale'!#REF!</definedName>
    <definedName name="mois_commission">#REF!</definedName>
    <definedName name="mois_fa1">'N° FA1'!#REF!</definedName>
    <definedName name="nom_client">'consultation compte client'!$A$2</definedName>
    <definedName name="num_remise">'remises de cheques'!$P$2</definedName>
    <definedName name="premier_jour">#REF!</definedName>
    <definedName name="premier_jour_commission">#REF!</definedName>
    <definedName name="premier_jour_trimestre">#REF!</definedName>
    <definedName name="taux_commission">#REF!</definedName>
    <definedName name="tolerance">'remises de cheques'!$U$2</definedName>
    <definedName name="total_factures_ttc">'consultation compte client'!$B$9</definedName>
    <definedName name="total_reglements">'consultation compte client'!$C$9</definedName>
    <definedName name="trim1_comm_fa1">'N° FA1'!#REF!</definedName>
    <definedName name="trim1_comm_fa2">'N° FA2'!#REF!</definedName>
    <definedName name="trim1_comm_ffinale">'N° F finale'!#REF!</definedName>
    <definedName name="trim2_comm_fa1">'N° FA1'!#REF!</definedName>
    <definedName name="trim2_comm_fa2">'N° FA2'!#REF!</definedName>
    <definedName name="trim2_comm_ffinale">'N° F finale'!#REF!</definedName>
    <definedName name="trim3_comm_fa1">'N° FA1'!#REF!</definedName>
    <definedName name="trim3_comm_fa2">'N° FA2'!#REF!</definedName>
    <definedName name="trim3_comm_ffinale">'N° F finale'!#REF!</definedName>
    <definedName name="trimestre_mois_1">#REF!</definedName>
    <definedName name="trimestre_mois_2">#REF!</definedName>
    <definedName name="trimestre_mois_3">#REF!</definedName>
    <definedName name="_xlnm.Print_Area" localSheetId="4">'consultation compte client'!$A$2:$D$12</definedName>
    <definedName name="zone_impression_comm_mois_fa1">'N° FA1'!$D$2:$T$44</definedName>
    <definedName name="zone_impression_comm_mois_fa2">'N° FA2'!$D$2:$T$48</definedName>
    <definedName name="zone_impression_comm_mois_ffinale">'N° F finale'!$D$2:$U$45</definedName>
    <definedName name="zone_impression_comm_trim_fa1">'N° FA1'!$D$2:$T$44</definedName>
    <definedName name="zone_impression_comm_trim_fa2">'N° FA2'!$D$2:$T$48</definedName>
    <definedName name="zone_impression_comm_trim_ffinale">'N° F finale'!$D$2:$K$45</definedName>
  </definedNames>
  <calcPr calcId="145621"/>
</workbook>
</file>

<file path=xl/calcChain.xml><?xml version="1.0" encoding="utf-8"?>
<calcChain xmlns="http://schemas.openxmlformats.org/spreadsheetml/2006/main">
  <c r="C18" i="4" l="1"/>
  <c r="C17" i="4"/>
  <c r="C16" i="4"/>
  <c r="C15" i="4"/>
  <c r="C14" i="4"/>
  <c r="C7" i="4"/>
  <c r="C6" i="4"/>
  <c r="J19" i="7"/>
  <c r="I19" i="7"/>
  <c r="C15" i="5" l="1"/>
  <c r="C4" i="5"/>
  <c r="K250" i="10" l="1"/>
  <c r="J250" i="10"/>
  <c r="I250" i="10"/>
  <c r="H250" i="10"/>
  <c r="G250" i="10"/>
  <c r="F250" i="10"/>
  <c r="E250" i="10"/>
  <c r="D250" i="10"/>
  <c r="C250" i="10"/>
  <c r="L250" i="10" l="1"/>
  <c r="K246" i="10" l="1"/>
  <c r="J246" i="10"/>
  <c r="I246" i="10"/>
  <c r="H246" i="10"/>
  <c r="G246" i="10"/>
  <c r="E246" i="10"/>
  <c r="D246" i="10"/>
  <c r="C246" i="10"/>
  <c r="X11" i="3"/>
  <c r="F246" i="10" s="1"/>
  <c r="K245" i="10"/>
  <c r="J245" i="10"/>
  <c r="I245" i="10"/>
  <c r="H245" i="10"/>
  <c r="G245" i="10"/>
  <c r="F245" i="10"/>
  <c r="E245" i="10"/>
  <c r="D245" i="10"/>
  <c r="C245" i="10"/>
  <c r="L246" i="10" l="1"/>
  <c r="L245" i="10"/>
  <c r="S3" i="3" l="1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B9" i="3" l="1"/>
  <c r="X14" i="5" l="1"/>
  <c r="K234" i="10" l="1"/>
  <c r="J234" i="10"/>
  <c r="I234" i="10"/>
  <c r="H234" i="10"/>
  <c r="G234" i="10"/>
  <c r="F234" i="10"/>
  <c r="E234" i="10"/>
  <c r="D234" i="10"/>
  <c r="C234" i="10"/>
  <c r="L234" i="10" l="1"/>
  <c r="K233" i="10"/>
  <c r="J233" i="10"/>
  <c r="I233" i="10"/>
  <c r="H233" i="10"/>
  <c r="G233" i="10"/>
  <c r="F233" i="10"/>
  <c r="E233" i="10"/>
  <c r="D233" i="10"/>
  <c r="C233" i="10"/>
  <c r="L233" i="10" l="1"/>
  <c r="K232" i="10"/>
  <c r="J232" i="10"/>
  <c r="I232" i="10"/>
  <c r="H232" i="10"/>
  <c r="G232" i="10"/>
  <c r="F232" i="10"/>
  <c r="E232" i="10"/>
  <c r="D232" i="10"/>
  <c r="C232" i="10"/>
  <c r="K230" i="10"/>
  <c r="J230" i="10"/>
  <c r="I230" i="10"/>
  <c r="H230" i="10"/>
  <c r="G230" i="10"/>
  <c r="F230" i="10"/>
  <c r="E230" i="10"/>
  <c r="D230" i="10"/>
  <c r="C230" i="10"/>
  <c r="K231" i="10"/>
  <c r="J231" i="10"/>
  <c r="I231" i="10"/>
  <c r="H231" i="10"/>
  <c r="G231" i="10"/>
  <c r="F231" i="10"/>
  <c r="E231" i="10"/>
  <c r="D231" i="10"/>
  <c r="C231" i="10"/>
  <c r="L232" i="10" l="1"/>
  <c r="L230" i="10"/>
  <c r="L231" i="10"/>
  <c r="K227" i="10" l="1"/>
  <c r="J227" i="10"/>
  <c r="I227" i="10"/>
  <c r="H227" i="10"/>
  <c r="G227" i="10"/>
  <c r="F227" i="10"/>
  <c r="E227" i="10"/>
  <c r="D227" i="10"/>
  <c r="C227" i="10"/>
  <c r="L227" i="10" l="1"/>
  <c r="K226" i="10" l="1"/>
  <c r="J226" i="10"/>
  <c r="I226" i="10"/>
  <c r="H226" i="10"/>
  <c r="G226" i="10"/>
  <c r="F226" i="10"/>
  <c r="E226" i="10"/>
  <c r="D226" i="10"/>
  <c r="C226" i="10"/>
  <c r="L226" i="10" l="1"/>
  <c r="K225" i="10"/>
  <c r="J225" i="10"/>
  <c r="I225" i="10"/>
  <c r="H225" i="10"/>
  <c r="G225" i="10"/>
  <c r="F225" i="10"/>
  <c r="E225" i="10"/>
  <c r="D225" i="10"/>
  <c r="C225" i="10"/>
  <c r="L225" i="10" l="1"/>
  <c r="AK43" i="5"/>
  <c r="AF43" i="5"/>
  <c r="AA43" i="5"/>
  <c r="V43" i="5"/>
  <c r="U43" i="5"/>
  <c r="T43" i="5"/>
  <c r="S43" i="5"/>
  <c r="P43" i="5"/>
  <c r="M43" i="5"/>
  <c r="C43" i="5"/>
  <c r="F43" i="5" s="1"/>
  <c r="B43" i="5"/>
  <c r="AK42" i="5"/>
  <c r="AF42" i="5"/>
  <c r="AA42" i="5"/>
  <c r="V42" i="5"/>
  <c r="U42" i="5"/>
  <c r="T42" i="5"/>
  <c r="S42" i="5"/>
  <c r="P42" i="5"/>
  <c r="M42" i="5"/>
  <c r="C42" i="5"/>
  <c r="F42" i="5" s="1"/>
  <c r="B42" i="5"/>
  <c r="AK41" i="5"/>
  <c r="AF41" i="5"/>
  <c r="AA41" i="5"/>
  <c r="V41" i="5"/>
  <c r="U41" i="5"/>
  <c r="T41" i="5"/>
  <c r="S41" i="5"/>
  <c r="P41" i="5"/>
  <c r="M41" i="5"/>
  <c r="C41" i="5"/>
  <c r="F41" i="5" s="1"/>
  <c r="B41" i="5"/>
  <c r="AK40" i="5"/>
  <c r="AF40" i="5"/>
  <c r="AA40" i="5"/>
  <c r="V40" i="5"/>
  <c r="U40" i="5"/>
  <c r="T40" i="5"/>
  <c r="S40" i="5"/>
  <c r="P40" i="5"/>
  <c r="M40" i="5"/>
  <c r="C40" i="5"/>
  <c r="F40" i="5" s="1"/>
  <c r="B40" i="5"/>
  <c r="AK39" i="5"/>
  <c r="AF39" i="5"/>
  <c r="AA39" i="5"/>
  <c r="V39" i="5"/>
  <c r="U39" i="5"/>
  <c r="T39" i="5"/>
  <c r="S39" i="5"/>
  <c r="P39" i="5"/>
  <c r="M39" i="5"/>
  <c r="C39" i="5"/>
  <c r="F39" i="5" s="1"/>
  <c r="B39" i="5"/>
  <c r="AK38" i="5"/>
  <c r="AF38" i="5"/>
  <c r="AA38" i="5"/>
  <c r="V38" i="5"/>
  <c r="U38" i="5"/>
  <c r="T38" i="5"/>
  <c r="S38" i="5"/>
  <c r="P38" i="5"/>
  <c r="M38" i="5"/>
  <c r="C38" i="5"/>
  <c r="F38" i="5" s="1"/>
  <c r="B38" i="5"/>
  <c r="AK37" i="5"/>
  <c r="AF37" i="5"/>
  <c r="AA37" i="5"/>
  <c r="V37" i="5"/>
  <c r="U37" i="5"/>
  <c r="T37" i="5"/>
  <c r="S37" i="5"/>
  <c r="P37" i="5"/>
  <c r="M37" i="5"/>
  <c r="C37" i="5"/>
  <c r="F37" i="5" s="1"/>
  <c r="B37" i="5"/>
  <c r="AK36" i="5"/>
  <c r="AF36" i="5"/>
  <c r="AA36" i="5"/>
  <c r="V36" i="5"/>
  <c r="U36" i="5"/>
  <c r="T36" i="5"/>
  <c r="S36" i="5"/>
  <c r="P36" i="5"/>
  <c r="M36" i="5"/>
  <c r="C36" i="5"/>
  <c r="F36" i="5" s="1"/>
  <c r="B36" i="5"/>
  <c r="AK35" i="5"/>
  <c r="AF35" i="5"/>
  <c r="AA35" i="5"/>
  <c r="V35" i="5"/>
  <c r="U35" i="5"/>
  <c r="T35" i="5"/>
  <c r="S35" i="5"/>
  <c r="P35" i="5"/>
  <c r="M35" i="5"/>
  <c r="C35" i="5"/>
  <c r="F35" i="5" s="1"/>
  <c r="B35" i="5"/>
  <c r="AK34" i="5"/>
  <c r="AF34" i="5"/>
  <c r="AA34" i="5"/>
  <c r="V34" i="5"/>
  <c r="U34" i="5"/>
  <c r="T34" i="5"/>
  <c r="S34" i="5"/>
  <c r="P34" i="5"/>
  <c r="M34" i="5"/>
  <c r="C34" i="5"/>
  <c r="F34" i="5" s="1"/>
  <c r="B34" i="5"/>
  <c r="AK33" i="5"/>
  <c r="AF33" i="5"/>
  <c r="AA33" i="5"/>
  <c r="V33" i="5"/>
  <c r="U33" i="5"/>
  <c r="T33" i="5"/>
  <c r="S33" i="5"/>
  <c r="P33" i="5"/>
  <c r="M33" i="5"/>
  <c r="C33" i="5"/>
  <c r="F33" i="5" s="1"/>
  <c r="B33" i="5"/>
  <c r="AK32" i="5"/>
  <c r="AF32" i="5"/>
  <c r="AA32" i="5"/>
  <c r="V32" i="5"/>
  <c r="U32" i="5"/>
  <c r="T32" i="5"/>
  <c r="S32" i="5"/>
  <c r="P32" i="5"/>
  <c r="M32" i="5"/>
  <c r="C32" i="5"/>
  <c r="F32" i="5" s="1"/>
  <c r="B32" i="5"/>
  <c r="AK31" i="5"/>
  <c r="AF31" i="5"/>
  <c r="AA31" i="5"/>
  <c r="V31" i="5"/>
  <c r="U31" i="5"/>
  <c r="T31" i="5"/>
  <c r="S31" i="5"/>
  <c r="P31" i="5"/>
  <c r="M31" i="5"/>
  <c r="C31" i="5"/>
  <c r="F31" i="5" s="1"/>
  <c r="B31" i="5"/>
  <c r="AK30" i="5"/>
  <c r="AF30" i="5"/>
  <c r="AA30" i="5"/>
  <c r="V30" i="5"/>
  <c r="U30" i="5"/>
  <c r="T30" i="5"/>
  <c r="S30" i="5"/>
  <c r="P30" i="5"/>
  <c r="M30" i="5"/>
  <c r="C30" i="5"/>
  <c r="F30" i="5" s="1"/>
  <c r="B30" i="5"/>
  <c r="AK29" i="5"/>
  <c r="AF29" i="5"/>
  <c r="AA29" i="5"/>
  <c r="V29" i="5"/>
  <c r="U29" i="5"/>
  <c r="T29" i="5"/>
  <c r="S29" i="5"/>
  <c r="P29" i="5"/>
  <c r="M29" i="5"/>
  <c r="C29" i="5"/>
  <c r="F29" i="5" s="1"/>
  <c r="B29" i="5"/>
  <c r="AK28" i="5"/>
  <c r="AF28" i="5"/>
  <c r="AA28" i="5"/>
  <c r="V28" i="5"/>
  <c r="U28" i="5"/>
  <c r="T28" i="5"/>
  <c r="S28" i="5"/>
  <c r="P28" i="5"/>
  <c r="M28" i="5"/>
  <c r="C28" i="5"/>
  <c r="F28" i="5" s="1"/>
  <c r="B28" i="5"/>
  <c r="AK27" i="5"/>
  <c r="AF27" i="5"/>
  <c r="AA27" i="5"/>
  <c r="V27" i="5"/>
  <c r="U27" i="5"/>
  <c r="T27" i="5"/>
  <c r="S27" i="5"/>
  <c r="P27" i="5"/>
  <c r="M27" i="5"/>
  <c r="C27" i="5"/>
  <c r="F27" i="5" s="1"/>
  <c r="B27" i="5"/>
  <c r="AK26" i="5"/>
  <c r="AF26" i="5"/>
  <c r="AA26" i="5"/>
  <c r="V26" i="5"/>
  <c r="U26" i="5"/>
  <c r="T26" i="5"/>
  <c r="S26" i="5"/>
  <c r="P26" i="5"/>
  <c r="M26" i="5"/>
  <c r="C26" i="5"/>
  <c r="F26" i="5" s="1"/>
  <c r="B26" i="5"/>
  <c r="AK25" i="5"/>
  <c r="AF25" i="5"/>
  <c r="AA25" i="5"/>
  <c r="V25" i="5"/>
  <c r="U25" i="5"/>
  <c r="T25" i="5"/>
  <c r="S25" i="5"/>
  <c r="P25" i="5"/>
  <c r="M25" i="5"/>
  <c r="C25" i="5"/>
  <c r="F25" i="5" s="1"/>
  <c r="B25" i="5"/>
  <c r="AK24" i="5"/>
  <c r="AF24" i="5"/>
  <c r="AA24" i="5"/>
  <c r="V24" i="5"/>
  <c r="U24" i="5"/>
  <c r="T24" i="5"/>
  <c r="S24" i="5"/>
  <c r="P24" i="5"/>
  <c r="M24" i="5"/>
  <c r="C24" i="5"/>
  <c r="F24" i="5" s="1"/>
  <c r="B24" i="5"/>
  <c r="AK23" i="5"/>
  <c r="AF23" i="5"/>
  <c r="AA23" i="5"/>
  <c r="V23" i="5"/>
  <c r="U23" i="5"/>
  <c r="T23" i="5"/>
  <c r="S23" i="5"/>
  <c r="P23" i="5"/>
  <c r="M23" i="5"/>
  <c r="C23" i="5"/>
  <c r="F23" i="5" s="1"/>
  <c r="B23" i="5"/>
  <c r="AK22" i="5"/>
  <c r="AF22" i="5"/>
  <c r="AA22" i="5"/>
  <c r="V22" i="5"/>
  <c r="U22" i="5"/>
  <c r="T22" i="5"/>
  <c r="S22" i="5"/>
  <c r="P22" i="5"/>
  <c r="M22" i="5"/>
  <c r="C22" i="5"/>
  <c r="F22" i="5" s="1"/>
  <c r="B22" i="5"/>
  <c r="AK21" i="5"/>
  <c r="AF21" i="5"/>
  <c r="AA21" i="5"/>
  <c r="V21" i="5"/>
  <c r="U21" i="5"/>
  <c r="T21" i="5"/>
  <c r="S21" i="5"/>
  <c r="P21" i="5"/>
  <c r="M21" i="5"/>
  <c r="C21" i="5"/>
  <c r="F21" i="5" s="1"/>
  <c r="B21" i="5"/>
  <c r="AK20" i="5"/>
  <c r="AF20" i="5"/>
  <c r="AA20" i="5"/>
  <c r="V20" i="5"/>
  <c r="U20" i="5"/>
  <c r="T20" i="5"/>
  <c r="S20" i="5"/>
  <c r="P20" i="5"/>
  <c r="M20" i="5"/>
  <c r="C20" i="5"/>
  <c r="F20" i="5" s="1"/>
  <c r="B20" i="5"/>
  <c r="AR41" i="4"/>
  <c r="AN41" i="4"/>
  <c r="AI41" i="4"/>
  <c r="AD41" i="4"/>
  <c r="Y41" i="4"/>
  <c r="X41" i="4"/>
  <c r="W41" i="4"/>
  <c r="U41" i="4"/>
  <c r="T41" i="4"/>
  <c r="Q41" i="4"/>
  <c r="N41" i="4"/>
  <c r="J41" i="4"/>
  <c r="F41" i="4"/>
  <c r="C41" i="4"/>
  <c r="B41" i="4"/>
  <c r="AR40" i="4"/>
  <c r="AN40" i="4"/>
  <c r="AI40" i="4"/>
  <c r="AD40" i="4"/>
  <c r="Y40" i="4"/>
  <c r="X40" i="4"/>
  <c r="W40" i="4"/>
  <c r="U40" i="4"/>
  <c r="T40" i="4"/>
  <c r="Q40" i="4"/>
  <c r="N40" i="4"/>
  <c r="J40" i="4"/>
  <c r="F40" i="4"/>
  <c r="C40" i="4"/>
  <c r="B40" i="4"/>
  <c r="AR39" i="4"/>
  <c r="AN39" i="4"/>
  <c r="AI39" i="4"/>
  <c r="AD39" i="4"/>
  <c r="Y39" i="4"/>
  <c r="X39" i="4"/>
  <c r="W39" i="4"/>
  <c r="U39" i="4"/>
  <c r="T39" i="4"/>
  <c r="Q39" i="4"/>
  <c r="N39" i="4"/>
  <c r="J39" i="4"/>
  <c r="F39" i="4"/>
  <c r="C39" i="4"/>
  <c r="B39" i="4"/>
  <c r="AR38" i="4"/>
  <c r="AN38" i="4"/>
  <c r="AI38" i="4"/>
  <c r="AD38" i="4"/>
  <c r="Y38" i="4"/>
  <c r="X38" i="4"/>
  <c r="W38" i="4"/>
  <c r="U38" i="4"/>
  <c r="T38" i="4"/>
  <c r="Q38" i="4"/>
  <c r="N38" i="4"/>
  <c r="J38" i="4"/>
  <c r="F38" i="4"/>
  <c r="C38" i="4"/>
  <c r="B38" i="4"/>
  <c r="AR37" i="4"/>
  <c r="AN37" i="4"/>
  <c r="AI37" i="4"/>
  <c r="AD37" i="4"/>
  <c r="Y37" i="4"/>
  <c r="X37" i="4"/>
  <c r="W37" i="4"/>
  <c r="U37" i="4"/>
  <c r="T37" i="4"/>
  <c r="Q37" i="4"/>
  <c r="N37" i="4"/>
  <c r="J37" i="4"/>
  <c r="F37" i="4"/>
  <c r="C37" i="4"/>
  <c r="B37" i="4"/>
  <c r="AR36" i="4"/>
  <c r="AN36" i="4"/>
  <c r="AI36" i="4"/>
  <c r="AD36" i="4"/>
  <c r="Y36" i="4"/>
  <c r="X36" i="4"/>
  <c r="W36" i="4"/>
  <c r="U36" i="4"/>
  <c r="T36" i="4"/>
  <c r="Q36" i="4"/>
  <c r="N36" i="4"/>
  <c r="J36" i="4"/>
  <c r="F36" i="4"/>
  <c r="C36" i="4"/>
  <c r="B36" i="4"/>
  <c r="AR35" i="4"/>
  <c r="AN35" i="4"/>
  <c r="AI35" i="4"/>
  <c r="AD35" i="4"/>
  <c r="Y35" i="4"/>
  <c r="X35" i="4"/>
  <c r="W35" i="4"/>
  <c r="U35" i="4"/>
  <c r="T35" i="4"/>
  <c r="Q35" i="4"/>
  <c r="N35" i="4"/>
  <c r="J35" i="4"/>
  <c r="F35" i="4"/>
  <c r="C35" i="4"/>
  <c r="B35" i="4"/>
  <c r="AR34" i="4"/>
  <c r="AN34" i="4"/>
  <c r="AI34" i="4"/>
  <c r="AD34" i="4"/>
  <c r="Y34" i="4"/>
  <c r="X34" i="4"/>
  <c r="W34" i="4"/>
  <c r="U34" i="4"/>
  <c r="T34" i="4"/>
  <c r="Q34" i="4"/>
  <c r="N34" i="4"/>
  <c r="J34" i="4"/>
  <c r="F34" i="4"/>
  <c r="C34" i="4"/>
  <c r="B34" i="4"/>
  <c r="AR33" i="4"/>
  <c r="AN33" i="4"/>
  <c r="AI33" i="4"/>
  <c r="AD33" i="4"/>
  <c r="Y33" i="4"/>
  <c r="X33" i="4"/>
  <c r="W33" i="4"/>
  <c r="U33" i="4"/>
  <c r="T33" i="4"/>
  <c r="Q33" i="4"/>
  <c r="N33" i="4"/>
  <c r="J33" i="4"/>
  <c r="F33" i="4"/>
  <c r="C33" i="4"/>
  <c r="B33" i="4"/>
  <c r="AR32" i="4"/>
  <c r="AN32" i="4"/>
  <c r="AI32" i="4"/>
  <c r="AD32" i="4"/>
  <c r="Y32" i="4"/>
  <c r="X32" i="4"/>
  <c r="W32" i="4"/>
  <c r="U32" i="4"/>
  <c r="T32" i="4"/>
  <c r="Q32" i="4"/>
  <c r="N32" i="4"/>
  <c r="J32" i="4"/>
  <c r="F32" i="4"/>
  <c r="C32" i="4"/>
  <c r="B32" i="4"/>
  <c r="AR31" i="4"/>
  <c r="AN31" i="4"/>
  <c r="AI31" i="4"/>
  <c r="AD31" i="4"/>
  <c r="Y31" i="4"/>
  <c r="X31" i="4"/>
  <c r="W31" i="4"/>
  <c r="U31" i="4"/>
  <c r="T31" i="4"/>
  <c r="Q31" i="4"/>
  <c r="N31" i="4"/>
  <c r="J31" i="4"/>
  <c r="F31" i="4"/>
  <c r="C31" i="4"/>
  <c r="B31" i="4"/>
  <c r="AR30" i="4"/>
  <c r="AN30" i="4"/>
  <c r="AI30" i="4"/>
  <c r="AD30" i="4"/>
  <c r="Y30" i="4"/>
  <c r="X30" i="4"/>
  <c r="W30" i="4"/>
  <c r="U30" i="4"/>
  <c r="T30" i="4"/>
  <c r="Q30" i="4"/>
  <c r="N30" i="4"/>
  <c r="J30" i="4"/>
  <c r="F30" i="4"/>
  <c r="C30" i="4"/>
  <c r="B30" i="4"/>
  <c r="AR29" i="4"/>
  <c r="AN29" i="4"/>
  <c r="AI29" i="4"/>
  <c r="AD29" i="4"/>
  <c r="Y29" i="4"/>
  <c r="X29" i="4"/>
  <c r="W29" i="4"/>
  <c r="U29" i="4"/>
  <c r="T29" i="4"/>
  <c r="Q29" i="4"/>
  <c r="N29" i="4"/>
  <c r="J29" i="4"/>
  <c r="F29" i="4"/>
  <c r="C29" i="4"/>
  <c r="B29" i="4"/>
  <c r="AR28" i="4"/>
  <c r="AN28" i="4"/>
  <c r="AI28" i="4"/>
  <c r="AD28" i="4"/>
  <c r="Y28" i="4"/>
  <c r="X28" i="4"/>
  <c r="W28" i="4"/>
  <c r="U28" i="4"/>
  <c r="T28" i="4"/>
  <c r="Q28" i="4"/>
  <c r="N28" i="4"/>
  <c r="J28" i="4"/>
  <c r="F28" i="4"/>
  <c r="C28" i="4"/>
  <c r="B28" i="4"/>
  <c r="AR27" i="4"/>
  <c r="AN27" i="4"/>
  <c r="AI27" i="4"/>
  <c r="AD27" i="4"/>
  <c r="Y27" i="4"/>
  <c r="X27" i="4"/>
  <c r="W27" i="4"/>
  <c r="U27" i="4"/>
  <c r="T27" i="4"/>
  <c r="Q27" i="4"/>
  <c r="N27" i="4"/>
  <c r="J27" i="4"/>
  <c r="F27" i="4"/>
  <c r="C27" i="4"/>
  <c r="B27" i="4"/>
  <c r="AR26" i="4"/>
  <c r="AN26" i="4"/>
  <c r="AI26" i="4"/>
  <c r="AD26" i="4"/>
  <c r="Y26" i="4"/>
  <c r="X26" i="4"/>
  <c r="W26" i="4"/>
  <c r="U26" i="4"/>
  <c r="T26" i="4"/>
  <c r="Q26" i="4"/>
  <c r="N26" i="4"/>
  <c r="J26" i="4"/>
  <c r="F26" i="4"/>
  <c r="C26" i="4"/>
  <c r="B26" i="4"/>
  <c r="AR25" i="4"/>
  <c r="AN25" i="4"/>
  <c r="AI25" i="4"/>
  <c r="AD25" i="4"/>
  <c r="Y25" i="4"/>
  <c r="X25" i="4"/>
  <c r="W25" i="4"/>
  <c r="U25" i="4"/>
  <c r="T25" i="4"/>
  <c r="Q25" i="4"/>
  <c r="N25" i="4"/>
  <c r="J25" i="4"/>
  <c r="F25" i="4"/>
  <c r="C25" i="4"/>
  <c r="B25" i="4"/>
  <c r="AR24" i="4"/>
  <c r="AN24" i="4"/>
  <c r="AI24" i="4"/>
  <c r="AD24" i="4"/>
  <c r="Y24" i="4"/>
  <c r="X24" i="4"/>
  <c r="W24" i="4"/>
  <c r="U24" i="4"/>
  <c r="T24" i="4"/>
  <c r="Q24" i="4"/>
  <c r="N24" i="4"/>
  <c r="J24" i="4"/>
  <c r="F24" i="4"/>
  <c r="C24" i="4"/>
  <c r="B24" i="4"/>
  <c r="AR23" i="4"/>
  <c r="AN23" i="4"/>
  <c r="AI23" i="4"/>
  <c r="AD23" i="4"/>
  <c r="Y23" i="4"/>
  <c r="X23" i="4"/>
  <c r="W23" i="4"/>
  <c r="U23" i="4"/>
  <c r="T23" i="4"/>
  <c r="Q23" i="4"/>
  <c r="N23" i="4"/>
  <c r="J23" i="4"/>
  <c r="F23" i="4"/>
  <c r="C23" i="4"/>
  <c r="B23" i="4"/>
  <c r="AR22" i="4"/>
  <c r="AN22" i="4"/>
  <c r="AI22" i="4"/>
  <c r="AD22" i="4"/>
  <c r="Y22" i="4"/>
  <c r="X22" i="4"/>
  <c r="W22" i="4"/>
  <c r="U22" i="4"/>
  <c r="T22" i="4"/>
  <c r="Q22" i="4"/>
  <c r="N22" i="4"/>
  <c r="J22" i="4"/>
  <c r="F22" i="4"/>
  <c r="C22" i="4"/>
  <c r="B22" i="4"/>
  <c r="AR21" i="4"/>
  <c r="AN21" i="4"/>
  <c r="AI21" i="4"/>
  <c r="AD21" i="4"/>
  <c r="Y21" i="4"/>
  <c r="X21" i="4"/>
  <c r="W21" i="4"/>
  <c r="U21" i="4"/>
  <c r="T21" i="4"/>
  <c r="Q21" i="4"/>
  <c r="N21" i="4"/>
  <c r="J21" i="4"/>
  <c r="F21" i="4"/>
  <c r="C21" i="4"/>
  <c r="B21" i="4"/>
  <c r="AR20" i="4"/>
  <c r="AN20" i="4"/>
  <c r="AI20" i="4"/>
  <c r="AD20" i="4"/>
  <c r="Y20" i="4"/>
  <c r="X20" i="4"/>
  <c r="W20" i="4"/>
  <c r="U20" i="4"/>
  <c r="T20" i="4"/>
  <c r="Q20" i="4"/>
  <c r="N20" i="4"/>
  <c r="J20" i="4"/>
  <c r="F20" i="4"/>
  <c r="C20" i="4"/>
  <c r="B20" i="4"/>
  <c r="AR19" i="4"/>
  <c r="AN19" i="4"/>
  <c r="AI19" i="4"/>
  <c r="AD19" i="4"/>
  <c r="Y19" i="4"/>
  <c r="X19" i="4"/>
  <c r="W19" i="4"/>
  <c r="U19" i="4"/>
  <c r="T19" i="4"/>
  <c r="Q19" i="4"/>
  <c r="N19" i="4"/>
  <c r="J19" i="4"/>
  <c r="F19" i="4"/>
  <c r="C19" i="4"/>
  <c r="B19" i="4"/>
  <c r="AR18" i="4"/>
  <c r="AN18" i="4"/>
  <c r="AI18" i="4"/>
  <c r="AD18" i="4"/>
  <c r="Y18" i="4"/>
  <c r="X18" i="4"/>
  <c r="W18" i="4"/>
  <c r="U18" i="4"/>
  <c r="T18" i="4"/>
  <c r="Q18" i="4"/>
  <c r="N18" i="4"/>
  <c r="J18" i="4"/>
  <c r="F18" i="4"/>
  <c r="B18" i="4"/>
  <c r="AR17" i="4"/>
  <c r="AN17" i="4"/>
  <c r="AI17" i="4"/>
  <c r="AD17" i="4"/>
  <c r="T17" i="4"/>
  <c r="Q17" i="4"/>
  <c r="N17" i="4"/>
  <c r="B17" i="4"/>
  <c r="AR16" i="4"/>
  <c r="AN16" i="4"/>
  <c r="AI16" i="4"/>
  <c r="AD16" i="4"/>
  <c r="T16" i="4"/>
  <c r="Q16" i="4"/>
  <c r="N16" i="4"/>
  <c r="B16" i="4"/>
  <c r="AR15" i="4"/>
  <c r="AN15" i="4"/>
  <c r="AI15" i="4"/>
  <c r="AD15" i="4"/>
  <c r="Y15" i="4"/>
  <c r="X15" i="4"/>
  <c r="J15" i="4" s="1"/>
  <c r="T15" i="4"/>
  <c r="Q15" i="4"/>
  <c r="N15" i="4"/>
  <c r="B15" i="4"/>
  <c r="AR14" i="4"/>
  <c r="AN14" i="4"/>
  <c r="AI14" i="4"/>
  <c r="AD14" i="4"/>
  <c r="T14" i="4"/>
  <c r="Q14" i="4"/>
  <c r="N14" i="4"/>
  <c r="B14" i="4"/>
  <c r="U17" i="4" l="1"/>
  <c r="W17" i="4" s="1"/>
  <c r="X17" i="4" s="1"/>
  <c r="J17" i="4" s="1"/>
  <c r="F17" i="4"/>
  <c r="F16" i="4"/>
  <c r="U16" i="4"/>
  <c r="W16" i="4" s="1"/>
  <c r="X16" i="4" s="1"/>
  <c r="J16" i="4" s="1"/>
  <c r="U15" i="4"/>
  <c r="W15" i="4" s="1"/>
  <c r="F15" i="4"/>
  <c r="U14" i="4"/>
  <c r="W14" i="4" s="1"/>
  <c r="X14" i="4" s="1"/>
  <c r="J14" i="4" s="1"/>
  <c r="F14" i="4"/>
  <c r="I24" i="4"/>
  <c r="I24" i="5"/>
  <c r="I29" i="5"/>
  <c r="I38" i="4"/>
  <c r="I18" i="4"/>
  <c r="I41" i="5"/>
  <c r="I21" i="4"/>
  <c r="I29" i="4"/>
  <c r="I37" i="4"/>
  <c r="I34" i="5"/>
  <c r="I30" i="5"/>
  <c r="I23" i="4"/>
  <c r="I38" i="5"/>
  <c r="I39" i="5"/>
  <c r="I36" i="5"/>
  <c r="I20" i="4"/>
  <c r="I28" i="4"/>
  <c r="I36" i="4"/>
  <c r="I20" i="5"/>
  <c r="I42" i="5"/>
  <c r="I35" i="5"/>
  <c r="I23" i="5"/>
  <c r="I22" i="4"/>
  <c r="I30" i="4"/>
  <c r="I39" i="4"/>
  <c r="I22" i="5"/>
  <c r="I26" i="5"/>
  <c r="I33" i="5"/>
  <c r="I40" i="5"/>
  <c r="I19" i="4"/>
  <c r="I27" i="4"/>
  <c r="I35" i="4"/>
  <c r="I25" i="5"/>
  <c r="I27" i="5"/>
  <c r="I32" i="5"/>
  <c r="I37" i="5"/>
  <c r="I43" i="5"/>
  <c r="I34" i="4"/>
  <c r="I31" i="5"/>
  <c r="I25" i="4"/>
  <c r="I21" i="5"/>
  <c r="I28" i="5"/>
  <c r="I33" i="4"/>
  <c r="I32" i="4"/>
  <c r="I26" i="4"/>
  <c r="I41" i="4"/>
  <c r="I31" i="4"/>
  <c r="I40" i="4"/>
  <c r="I15" i="4"/>
  <c r="K224" i="10"/>
  <c r="J224" i="10"/>
  <c r="I224" i="10"/>
  <c r="H224" i="10"/>
  <c r="G224" i="10"/>
  <c r="F224" i="10"/>
  <c r="E224" i="10"/>
  <c r="D224" i="10"/>
  <c r="C224" i="10"/>
  <c r="Y17" i="4" l="1"/>
  <c r="I17" i="4" s="1"/>
  <c r="Y16" i="4"/>
  <c r="I16" i="4" s="1"/>
  <c r="Y14" i="4"/>
  <c r="I14" i="4" s="1"/>
  <c r="L224" i="10"/>
  <c r="C220" i="10" l="1"/>
  <c r="K220" i="10"/>
  <c r="J220" i="10"/>
  <c r="I220" i="10"/>
  <c r="H220" i="10"/>
  <c r="G220" i="10"/>
  <c r="F220" i="10"/>
  <c r="E220" i="10"/>
  <c r="D220" i="10"/>
  <c r="L220" i="10" l="1"/>
  <c r="K219" i="10" l="1"/>
  <c r="J219" i="10"/>
  <c r="I219" i="10"/>
  <c r="H219" i="10"/>
  <c r="G219" i="10"/>
  <c r="F219" i="10"/>
  <c r="E219" i="10"/>
  <c r="D219" i="10"/>
  <c r="C219" i="10"/>
  <c r="L219" i="10" l="1"/>
  <c r="K218" i="10"/>
  <c r="J218" i="10"/>
  <c r="I218" i="10"/>
  <c r="H218" i="10"/>
  <c r="G218" i="10"/>
  <c r="F218" i="10"/>
  <c r="E218" i="10"/>
  <c r="D218" i="10"/>
  <c r="C218" i="10"/>
  <c r="K217" i="10"/>
  <c r="J217" i="10"/>
  <c r="I217" i="10"/>
  <c r="H217" i="10"/>
  <c r="G217" i="10"/>
  <c r="F217" i="10"/>
  <c r="E217" i="10"/>
  <c r="D217" i="10"/>
  <c r="C217" i="10"/>
  <c r="K256" i="10"/>
  <c r="J256" i="10"/>
  <c r="I256" i="10"/>
  <c r="H256" i="10"/>
  <c r="G256" i="10"/>
  <c r="F256" i="10"/>
  <c r="E256" i="10"/>
  <c r="D256" i="10"/>
  <c r="C256" i="10"/>
  <c r="K255" i="10"/>
  <c r="J255" i="10"/>
  <c r="I255" i="10"/>
  <c r="H255" i="10"/>
  <c r="G255" i="10"/>
  <c r="F255" i="10"/>
  <c r="E255" i="10"/>
  <c r="D255" i="10"/>
  <c r="C255" i="10"/>
  <c r="K254" i="10"/>
  <c r="J254" i="10"/>
  <c r="I254" i="10"/>
  <c r="H254" i="10"/>
  <c r="G254" i="10"/>
  <c r="F254" i="10"/>
  <c r="E254" i="10"/>
  <c r="D254" i="10"/>
  <c r="C254" i="10"/>
  <c r="K253" i="10"/>
  <c r="J253" i="10"/>
  <c r="I253" i="10"/>
  <c r="H253" i="10"/>
  <c r="G253" i="10"/>
  <c r="F253" i="10"/>
  <c r="E253" i="10"/>
  <c r="D253" i="10"/>
  <c r="C253" i="10"/>
  <c r="K252" i="10"/>
  <c r="J252" i="10"/>
  <c r="I252" i="10"/>
  <c r="H252" i="10"/>
  <c r="G252" i="10"/>
  <c r="F252" i="10"/>
  <c r="E252" i="10"/>
  <c r="D252" i="10"/>
  <c r="C252" i="10"/>
  <c r="K251" i="10"/>
  <c r="J251" i="10"/>
  <c r="I251" i="10"/>
  <c r="H251" i="10"/>
  <c r="G251" i="10"/>
  <c r="F251" i="10"/>
  <c r="E251" i="10"/>
  <c r="D251" i="10"/>
  <c r="C251" i="10"/>
  <c r="K249" i="10"/>
  <c r="J249" i="10"/>
  <c r="I249" i="10"/>
  <c r="H249" i="10"/>
  <c r="G249" i="10"/>
  <c r="F249" i="10"/>
  <c r="E249" i="10"/>
  <c r="D249" i="10"/>
  <c r="C249" i="10"/>
  <c r="K248" i="10"/>
  <c r="J248" i="10"/>
  <c r="I248" i="10"/>
  <c r="H248" i="10"/>
  <c r="G248" i="10"/>
  <c r="F248" i="10"/>
  <c r="E248" i="10"/>
  <c r="D248" i="10"/>
  <c r="C248" i="10"/>
  <c r="K247" i="10"/>
  <c r="J247" i="10"/>
  <c r="I247" i="10"/>
  <c r="H247" i="10"/>
  <c r="G247" i="10"/>
  <c r="F247" i="10"/>
  <c r="E247" i="10"/>
  <c r="D247" i="10"/>
  <c r="C247" i="10"/>
  <c r="K244" i="10"/>
  <c r="J244" i="10"/>
  <c r="I244" i="10"/>
  <c r="H244" i="10"/>
  <c r="G244" i="10"/>
  <c r="F244" i="10"/>
  <c r="E244" i="10"/>
  <c r="D244" i="10"/>
  <c r="C244" i="10"/>
  <c r="K243" i="10"/>
  <c r="J243" i="10"/>
  <c r="I243" i="10"/>
  <c r="H243" i="10"/>
  <c r="G243" i="10"/>
  <c r="F243" i="10"/>
  <c r="E243" i="10"/>
  <c r="D243" i="10"/>
  <c r="C243" i="10"/>
  <c r="K242" i="10"/>
  <c r="J242" i="10"/>
  <c r="I242" i="10"/>
  <c r="H242" i="10"/>
  <c r="G242" i="10"/>
  <c r="F242" i="10"/>
  <c r="E242" i="10"/>
  <c r="D242" i="10"/>
  <c r="C242" i="10"/>
  <c r="K241" i="10"/>
  <c r="J241" i="10"/>
  <c r="I241" i="10"/>
  <c r="H241" i="10"/>
  <c r="G241" i="10"/>
  <c r="F241" i="10"/>
  <c r="E241" i="10"/>
  <c r="D241" i="10"/>
  <c r="C241" i="10"/>
  <c r="K240" i="10"/>
  <c r="J240" i="10"/>
  <c r="I240" i="10"/>
  <c r="H240" i="10"/>
  <c r="G240" i="10"/>
  <c r="F240" i="10"/>
  <c r="E240" i="10"/>
  <c r="D240" i="10"/>
  <c r="C240" i="10"/>
  <c r="K239" i="10"/>
  <c r="J239" i="10"/>
  <c r="I239" i="10"/>
  <c r="H239" i="10"/>
  <c r="G239" i="10"/>
  <c r="F239" i="10"/>
  <c r="E239" i="10"/>
  <c r="D239" i="10"/>
  <c r="C239" i="10"/>
  <c r="K238" i="10"/>
  <c r="J238" i="10"/>
  <c r="I238" i="10"/>
  <c r="H238" i="10"/>
  <c r="G238" i="10"/>
  <c r="F238" i="10"/>
  <c r="E238" i="10"/>
  <c r="D238" i="10"/>
  <c r="C238" i="10"/>
  <c r="K237" i="10"/>
  <c r="J237" i="10"/>
  <c r="I237" i="10"/>
  <c r="H237" i="10"/>
  <c r="G237" i="10"/>
  <c r="F237" i="10"/>
  <c r="E237" i="10"/>
  <c r="D237" i="10"/>
  <c r="C237" i="10"/>
  <c r="K236" i="10"/>
  <c r="J236" i="10"/>
  <c r="I236" i="10"/>
  <c r="H236" i="10"/>
  <c r="G236" i="10"/>
  <c r="F236" i="10"/>
  <c r="E236" i="10"/>
  <c r="D236" i="10"/>
  <c r="C236" i="10"/>
  <c r="K235" i="10"/>
  <c r="J235" i="10"/>
  <c r="I235" i="10"/>
  <c r="H235" i="10"/>
  <c r="G235" i="10"/>
  <c r="F235" i="10"/>
  <c r="E235" i="10"/>
  <c r="D235" i="10"/>
  <c r="C235" i="10"/>
  <c r="K229" i="10"/>
  <c r="J229" i="10"/>
  <c r="I229" i="10"/>
  <c r="H229" i="10"/>
  <c r="G229" i="10"/>
  <c r="F229" i="10"/>
  <c r="E229" i="10"/>
  <c r="D229" i="10"/>
  <c r="C229" i="10"/>
  <c r="K228" i="10"/>
  <c r="J228" i="10"/>
  <c r="I228" i="10"/>
  <c r="H228" i="10"/>
  <c r="G228" i="10"/>
  <c r="F228" i="10"/>
  <c r="E228" i="10"/>
  <c r="D228" i="10"/>
  <c r="C228" i="10"/>
  <c r="K223" i="10"/>
  <c r="J223" i="10"/>
  <c r="I223" i="10"/>
  <c r="H223" i="10"/>
  <c r="G223" i="10"/>
  <c r="F223" i="10"/>
  <c r="E223" i="10"/>
  <c r="D223" i="10"/>
  <c r="C223" i="10"/>
  <c r="K222" i="10"/>
  <c r="J222" i="10"/>
  <c r="I222" i="10"/>
  <c r="H222" i="10"/>
  <c r="G222" i="10"/>
  <c r="F222" i="10"/>
  <c r="E222" i="10"/>
  <c r="D222" i="10"/>
  <c r="C222" i="10"/>
  <c r="K221" i="10"/>
  <c r="J221" i="10"/>
  <c r="I221" i="10"/>
  <c r="H221" i="10"/>
  <c r="G221" i="10"/>
  <c r="F221" i="10"/>
  <c r="E221" i="10"/>
  <c r="D221" i="10"/>
  <c r="C221" i="10"/>
  <c r="L228" i="10" l="1"/>
  <c r="L229" i="10"/>
  <c r="L218" i="10"/>
  <c r="L217" i="10"/>
  <c r="L241" i="10"/>
  <c r="L252" i="10"/>
  <c r="L253" i="10"/>
  <c r="L254" i="10"/>
  <c r="L255" i="10"/>
  <c r="L256" i="10"/>
  <c r="L242" i="10"/>
  <c r="L235" i="10"/>
  <c r="L243" i="10"/>
  <c r="L244" i="10"/>
  <c r="L237" i="10"/>
  <c r="L247" i="10"/>
  <c r="L238" i="10"/>
  <c r="L239" i="10"/>
  <c r="L249" i="10"/>
  <c r="L236" i="10"/>
  <c r="L248" i="10"/>
  <c r="L223" i="10"/>
  <c r="L240" i="10"/>
  <c r="L251" i="10"/>
  <c r="L222" i="10"/>
  <c r="L221" i="10"/>
  <c r="K202" i="10" l="1"/>
  <c r="J202" i="10"/>
  <c r="I202" i="10"/>
  <c r="H202" i="10"/>
  <c r="G202" i="10"/>
  <c r="F202" i="10"/>
  <c r="E202" i="10"/>
  <c r="D202" i="10"/>
  <c r="C202" i="10"/>
  <c r="L202" i="10" l="1"/>
  <c r="X9" i="5"/>
  <c r="AA6" i="4" l="1"/>
  <c r="K198" i="10" l="1"/>
  <c r="J198" i="10"/>
  <c r="I198" i="10"/>
  <c r="H198" i="10"/>
  <c r="G198" i="10"/>
  <c r="F198" i="10"/>
  <c r="E198" i="10"/>
  <c r="D198" i="10"/>
  <c r="C198" i="10"/>
  <c r="L198" i="10" l="1"/>
  <c r="K203" i="10" l="1"/>
  <c r="J203" i="10"/>
  <c r="I203" i="10"/>
  <c r="H203" i="10"/>
  <c r="G203" i="10"/>
  <c r="F203" i="10"/>
  <c r="E203" i="10"/>
  <c r="D203" i="10"/>
  <c r="C203" i="10"/>
  <c r="L203" i="10" l="1"/>
  <c r="K201" i="10" l="1"/>
  <c r="J201" i="10"/>
  <c r="I201" i="10"/>
  <c r="H201" i="10"/>
  <c r="G201" i="10"/>
  <c r="F201" i="10"/>
  <c r="E201" i="10"/>
  <c r="D201" i="10"/>
  <c r="C201" i="10"/>
  <c r="K200" i="10"/>
  <c r="J200" i="10"/>
  <c r="I200" i="10"/>
  <c r="H200" i="10"/>
  <c r="G200" i="10"/>
  <c r="F200" i="10"/>
  <c r="E200" i="10"/>
  <c r="D200" i="10"/>
  <c r="C200" i="10"/>
  <c r="L201" i="10" l="1"/>
  <c r="L200" i="10"/>
  <c r="AR13" i="4" l="1"/>
  <c r="AN13" i="4"/>
  <c r="AI13" i="4"/>
  <c r="AD13" i="4"/>
  <c r="T13" i="4"/>
  <c r="Q13" i="4"/>
  <c r="N13" i="4"/>
  <c r="B13" i="4"/>
  <c r="AR12" i="4"/>
  <c r="AN12" i="4"/>
  <c r="AI12" i="4"/>
  <c r="AD12" i="4"/>
  <c r="T12" i="4"/>
  <c r="Q12" i="4"/>
  <c r="N12" i="4"/>
  <c r="B12" i="4"/>
  <c r="AR11" i="4"/>
  <c r="AN11" i="4"/>
  <c r="AI11" i="4"/>
  <c r="AD11" i="4"/>
  <c r="T11" i="4"/>
  <c r="Q11" i="4"/>
  <c r="N11" i="4"/>
  <c r="B11" i="4"/>
  <c r="AR10" i="4"/>
  <c r="AN10" i="4"/>
  <c r="AI10" i="4"/>
  <c r="AD10" i="4"/>
  <c r="Y10" i="4"/>
  <c r="X10" i="4"/>
  <c r="J10" i="4" s="1"/>
  <c r="T10" i="4"/>
  <c r="Q10" i="4"/>
  <c r="N10" i="4"/>
  <c r="B10" i="4"/>
  <c r="AR9" i="4"/>
  <c r="AN9" i="4"/>
  <c r="AI9" i="4"/>
  <c r="AD9" i="4"/>
  <c r="T9" i="4"/>
  <c r="Q9" i="4"/>
  <c r="N9" i="4"/>
  <c r="B9" i="4"/>
  <c r="AR8" i="4"/>
  <c r="AN8" i="4"/>
  <c r="AI8" i="4"/>
  <c r="AD8" i="4"/>
  <c r="T8" i="4"/>
  <c r="Q8" i="4"/>
  <c r="N8" i="4"/>
  <c r="B8" i="4"/>
  <c r="AR7" i="4"/>
  <c r="AN7" i="4"/>
  <c r="AI7" i="4"/>
  <c r="AD7" i="4"/>
  <c r="T7" i="4"/>
  <c r="Q7" i="4"/>
  <c r="N7" i="4"/>
  <c r="B7" i="4"/>
  <c r="C8" i="4"/>
  <c r="C9" i="4" s="1"/>
  <c r="C10" i="4" s="1"/>
  <c r="C11" i="4" l="1"/>
  <c r="C12" i="4" s="1"/>
  <c r="U13" i="4"/>
  <c r="W13" i="4" s="1"/>
  <c r="X13" i="4" s="1"/>
  <c r="J13" i="4" s="1"/>
  <c r="U11" i="4"/>
  <c r="W11" i="4" s="1"/>
  <c r="X11" i="4" s="1"/>
  <c r="J11" i="4" s="1"/>
  <c r="U12" i="4"/>
  <c r="W12" i="4" s="1"/>
  <c r="X12" i="4" s="1"/>
  <c r="J12" i="4" s="1"/>
  <c r="F11" i="4"/>
  <c r="U9" i="4"/>
  <c r="W9" i="4" s="1"/>
  <c r="X9" i="4" s="1"/>
  <c r="J9" i="4" s="1"/>
  <c r="U8" i="4"/>
  <c r="W8" i="4" s="1"/>
  <c r="X8" i="4" s="1"/>
  <c r="J8" i="4" s="1"/>
  <c r="F9" i="4"/>
  <c r="F10" i="4"/>
  <c r="U10" i="4"/>
  <c r="W10" i="4" s="1"/>
  <c r="U7" i="4"/>
  <c r="W7" i="4" s="1"/>
  <c r="X7" i="4" s="1"/>
  <c r="J7" i="4" s="1"/>
  <c r="F8" i="4"/>
  <c r="F7" i="4"/>
  <c r="I10" i="4"/>
  <c r="C13" i="4" l="1"/>
  <c r="F13" i="4" s="1"/>
  <c r="F12" i="4"/>
  <c r="Y13" i="4"/>
  <c r="I13" i="4" s="1"/>
  <c r="Y9" i="4"/>
  <c r="I9" i="4" s="1"/>
  <c r="Y11" i="4"/>
  <c r="I11" i="4" s="1"/>
  <c r="Y12" i="4"/>
  <c r="I12" i="4" s="1"/>
  <c r="Y8" i="4"/>
  <c r="I8" i="4" s="1"/>
  <c r="Y7" i="4"/>
  <c r="I7" i="4" s="1"/>
  <c r="K197" i="10" l="1"/>
  <c r="J197" i="10"/>
  <c r="I197" i="10"/>
  <c r="H197" i="10"/>
  <c r="G197" i="10"/>
  <c r="F197" i="10"/>
  <c r="E197" i="10"/>
  <c r="D197" i="10"/>
  <c r="C197" i="10"/>
  <c r="L197" i="10" l="1"/>
  <c r="AA5" i="5"/>
  <c r="AA6" i="5"/>
  <c r="K159" i="10" l="1"/>
  <c r="J159" i="10"/>
  <c r="I159" i="10"/>
  <c r="H159" i="10"/>
  <c r="G159" i="10"/>
  <c r="F159" i="10"/>
  <c r="E159" i="10"/>
  <c r="D159" i="10"/>
  <c r="C159" i="10"/>
  <c r="L159" i="10" l="1"/>
  <c r="K186" i="10" l="1"/>
  <c r="J186" i="10"/>
  <c r="I186" i="10"/>
  <c r="H186" i="10"/>
  <c r="G186" i="10"/>
  <c r="F186" i="10"/>
  <c r="E186" i="10"/>
  <c r="D186" i="10"/>
  <c r="C186" i="10"/>
  <c r="I179" i="10"/>
  <c r="K179" i="10"/>
  <c r="J179" i="10"/>
  <c r="H179" i="10"/>
  <c r="G179" i="10"/>
  <c r="F179" i="10"/>
  <c r="E179" i="10"/>
  <c r="D179" i="10"/>
  <c r="C179" i="10"/>
  <c r="L186" i="10" l="1"/>
  <c r="L179" i="10"/>
  <c r="K216" i="10" l="1"/>
  <c r="J216" i="10"/>
  <c r="I216" i="10"/>
  <c r="H216" i="10"/>
  <c r="G216" i="10"/>
  <c r="F216" i="10"/>
  <c r="E216" i="10"/>
  <c r="D216" i="10"/>
  <c r="C216" i="10"/>
  <c r="K215" i="10"/>
  <c r="J215" i="10"/>
  <c r="I215" i="10"/>
  <c r="H215" i="10"/>
  <c r="G215" i="10"/>
  <c r="F215" i="10"/>
  <c r="E215" i="10"/>
  <c r="D215" i="10"/>
  <c r="C215" i="10"/>
  <c r="K214" i="10"/>
  <c r="J214" i="10"/>
  <c r="I214" i="10"/>
  <c r="H214" i="10"/>
  <c r="G214" i="10"/>
  <c r="F214" i="10"/>
  <c r="E214" i="10"/>
  <c r="D214" i="10"/>
  <c r="C214" i="10"/>
  <c r="K213" i="10"/>
  <c r="J213" i="10"/>
  <c r="I213" i="10"/>
  <c r="H213" i="10"/>
  <c r="G213" i="10"/>
  <c r="F213" i="10"/>
  <c r="E213" i="10"/>
  <c r="D213" i="10"/>
  <c r="C213" i="10"/>
  <c r="K212" i="10"/>
  <c r="J212" i="10"/>
  <c r="I212" i="10"/>
  <c r="H212" i="10"/>
  <c r="G212" i="10"/>
  <c r="F212" i="10"/>
  <c r="E212" i="10"/>
  <c r="D212" i="10"/>
  <c r="C212" i="10"/>
  <c r="K211" i="10"/>
  <c r="J211" i="10"/>
  <c r="I211" i="10"/>
  <c r="H211" i="10"/>
  <c r="G211" i="10"/>
  <c r="F211" i="10"/>
  <c r="E211" i="10"/>
  <c r="D211" i="10"/>
  <c r="C211" i="10"/>
  <c r="K210" i="10"/>
  <c r="J210" i="10"/>
  <c r="I210" i="10"/>
  <c r="H210" i="10"/>
  <c r="G210" i="10"/>
  <c r="F210" i="10"/>
  <c r="E210" i="10"/>
  <c r="D210" i="10"/>
  <c r="C210" i="10"/>
  <c r="K209" i="10"/>
  <c r="J209" i="10"/>
  <c r="I209" i="10"/>
  <c r="H209" i="10"/>
  <c r="G209" i="10"/>
  <c r="F209" i="10"/>
  <c r="E209" i="10"/>
  <c r="D209" i="10"/>
  <c r="C209" i="10"/>
  <c r="K208" i="10"/>
  <c r="J208" i="10"/>
  <c r="I208" i="10"/>
  <c r="H208" i="10"/>
  <c r="G208" i="10"/>
  <c r="F208" i="10"/>
  <c r="E208" i="10"/>
  <c r="D208" i="10"/>
  <c r="C208" i="10"/>
  <c r="K207" i="10"/>
  <c r="J207" i="10"/>
  <c r="I207" i="10"/>
  <c r="H207" i="10"/>
  <c r="G207" i="10"/>
  <c r="F207" i="10"/>
  <c r="E207" i="10"/>
  <c r="D207" i="10"/>
  <c r="C207" i="10"/>
  <c r="K206" i="10"/>
  <c r="J206" i="10"/>
  <c r="I206" i="10"/>
  <c r="H206" i="10"/>
  <c r="G206" i="10"/>
  <c r="F206" i="10"/>
  <c r="E206" i="10"/>
  <c r="D206" i="10"/>
  <c r="C206" i="10"/>
  <c r="K205" i="10"/>
  <c r="J205" i="10"/>
  <c r="I205" i="10"/>
  <c r="H205" i="10"/>
  <c r="G205" i="10"/>
  <c r="F205" i="10"/>
  <c r="E205" i="10"/>
  <c r="D205" i="10"/>
  <c r="C205" i="10"/>
  <c r="K204" i="10"/>
  <c r="J204" i="10"/>
  <c r="I204" i="10"/>
  <c r="H204" i="10"/>
  <c r="G204" i="10"/>
  <c r="F204" i="10"/>
  <c r="E204" i="10"/>
  <c r="D204" i="10"/>
  <c r="C204" i="10"/>
  <c r="K199" i="10"/>
  <c r="J199" i="10"/>
  <c r="I199" i="10"/>
  <c r="H199" i="10"/>
  <c r="G199" i="10"/>
  <c r="F199" i="10"/>
  <c r="E199" i="10"/>
  <c r="D199" i="10"/>
  <c r="C199" i="10"/>
  <c r="K196" i="10"/>
  <c r="J196" i="10"/>
  <c r="I196" i="10"/>
  <c r="H196" i="10"/>
  <c r="G196" i="10"/>
  <c r="F196" i="10"/>
  <c r="E196" i="10"/>
  <c r="D196" i="10"/>
  <c r="C196" i="10"/>
  <c r="K195" i="10"/>
  <c r="J195" i="10"/>
  <c r="I195" i="10"/>
  <c r="H195" i="10"/>
  <c r="G195" i="10"/>
  <c r="F195" i="10"/>
  <c r="E195" i="10"/>
  <c r="D195" i="10"/>
  <c r="C195" i="10"/>
  <c r="K194" i="10"/>
  <c r="J194" i="10"/>
  <c r="I194" i="10"/>
  <c r="H194" i="10"/>
  <c r="G194" i="10"/>
  <c r="F194" i="10"/>
  <c r="E194" i="10"/>
  <c r="D194" i="10"/>
  <c r="C194" i="10"/>
  <c r="K193" i="10"/>
  <c r="J193" i="10"/>
  <c r="I193" i="10"/>
  <c r="H193" i="10"/>
  <c r="G193" i="10"/>
  <c r="F193" i="10"/>
  <c r="E193" i="10"/>
  <c r="D193" i="10"/>
  <c r="C193" i="10"/>
  <c r="K192" i="10"/>
  <c r="J192" i="10"/>
  <c r="I192" i="10"/>
  <c r="H192" i="10"/>
  <c r="G192" i="10"/>
  <c r="F192" i="10"/>
  <c r="E192" i="10"/>
  <c r="D192" i="10"/>
  <c r="C192" i="10"/>
  <c r="K191" i="10"/>
  <c r="J191" i="10"/>
  <c r="I191" i="10"/>
  <c r="H191" i="10"/>
  <c r="G191" i="10"/>
  <c r="F191" i="10"/>
  <c r="E191" i="10"/>
  <c r="D191" i="10"/>
  <c r="C191" i="10"/>
  <c r="K190" i="10"/>
  <c r="J190" i="10"/>
  <c r="I190" i="10"/>
  <c r="H190" i="10"/>
  <c r="G190" i="10"/>
  <c r="F190" i="10"/>
  <c r="E190" i="10"/>
  <c r="D190" i="10"/>
  <c r="C190" i="10"/>
  <c r="K189" i="10"/>
  <c r="J189" i="10"/>
  <c r="I189" i="10"/>
  <c r="H189" i="10"/>
  <c r="G189" i="10"/>
  <c r="F189" i="10"/>
  <c r="E189" i="10"/>
  <c r="D189" i="10"/>
  <c r="C189" i="10"/>
  <c r="K188" i="10"/>
  <c r="J188" i="10"/>
  <c r="I188" i="10"/>
  <c r="H188" i="10"/>
  <c r="G188" i="10"/>
  <c r="F188" i="10"/>
  <c r="E188" i="10"/>
  <c r="D188" i="10"/>
  <c r="C188" i="10"/>
  <c r="K187" i="10"/>
  <c r="J187" i="10"/>
  <c r="I187" i="10"/>
  <c r="H187" i="10"/>
  <c r="G187" i="10"/>
  <c r="F187" i="10"/>
  <c r="E187" i="10"/>
  <c r="D187" i="10"/>
  <c r="C187" i="10"/>
  <c r="L206" i="10" l="1"/>
  <c r="L214" i="10"/>
  <c r="L192" i="10"/>
  <c r="L199" i="10"/>
  <c r="L211" i="10"/>
  <c r="L212" i="10"/>
  <c r="L213" i="10"/>
  <c r="L187" i="10"/>
  <c r="L195" i="10"/>
  <c r="L209" i="10"/>
  <c r="L188" i="10"/>
  <c r="L196" i="10"/>
  <c r="L210" i="10"/>
  <c r="L190" i="10"/>
  <c r="L189" i="10"/>
  <c r="L204" i="10"/>
  <c r="L191" i="10"/>
  <c r="L205" i="10"/>
  <c r="L193" i="10"/>
  <c r="L207" i="10"/>
  <c r="L215" i="10"/>
  <c r="L194" i="10"/>
  <c r="L208" i="10"/>
  <c r="L216" i="10"/>
  <c r="K178" i="10" l="1"/>
  <c r="J178" i="10"/>
  <c r="I178" i="10"/>
  <c r="H178" i="10"/>
  <c r="G178" i="10"/>
  <c r="F178" i="10"/>
  <c r="E178" i="10"/>
  <c r="D178" i="10"/>
  <c r="C178" i="10"/>
  <c r="L178" i="10" l="1"/>
  <c r="K174" i="10"/>
  <c r="J174" i="10"/>
  <c r="I174" i="10"/>
  <c r="H174" i="10"/>
  <c r="G174" i="10"/>
  <c r="F174" i="10"/>
  <c r="E174" i="10"/>
  <c r="D174" i="10"/>
  <c r="C174" i="10"/>
  <c r="L174" i="10" l="1"/>
  <c r="K166" i="10" l="1"/>
  <c r="J166" i="10"/>
  <c r="I166" i="10"/>
  <c r="H166" i="10"/>
  <c r="G166" i="10"/>
  <c r="F166" i="10"/>
  <c r="E166" i="10"/>
  <c r="D166" i="10"/>
  <c r="C166" i="10"/>
  <c r="L166" i="10" l="1"/>
  <c r="K165" i="10" l="1"/>
  <c r="J165" i="10"/>
  <c r="I165" i="10"/>
  <c r="H165" i="10"/>
  <c r="G165" i="10"/>
  <c r="F165" i="10"/>
  <c r="E165" i="10"/>
  <c r="D165" i="10"/>
  <c r="C165" i="10"/>
  <c r="C164" i="10"/>
  <c r="K164" i="10"/>
  <c r="J164" i="10"/>
  <c r="I164" i="10"/>
  <c r="H164" i="10"/>
  <c r="G164" i="10"/>
  <c r="F164" i="10"/>
  <c r="E164" i="10"/>
  <c r="D164" i="10"/>
  <c r="L165" i="10" l="1"/>
  <c r="L164" i="10"/>
  <c r="K158" i="10" l="1"/>
  <c r="J158" i="10"/>
  <c r="I158" i="10"/>
  <c r="H158" i="10"/>
  <c r="G158" i="10"/>
  <c r="F158" i="10"/>
  <c r="E158" i="10"/>
  <c r="D158" i="10"/>
  <c r="C158" i="10"/>
  <c r="K157" i="10"/>
  <c r="J157" i="10"/>
  <c r="I157" i="10"/>
  <c r="H157" i="10"/>
  <c r="G157" i="10"/>
  <c r="F157" i="10"/>
  <c r="E157" i="10"/>
  <c r="D157" i="10"/>
  <c r="C157" i="10"/>
  <c r="L158" i="10" l="1"/>
  <c r="L157" i="10"/>
  <c r="AR6" i="4" l="1"/>
  <c r="AN6" i="4"/>
  <c r="AI6" i="4"/>
  <c r="AD6" i="4"/>
  <c r="T6" i="4"/>
  <c r="Q6" i="4"/>
  <c r="N6" i="4"/>
  <c r="B6" i="4"/>
  <c r="AR5" i="4"/>
  <c r="AN5" i="4"/>
  <c r="AI5" i="4"/>
  <c r="AD5" i="4"/>
  <c r="T5" i="4"/>
  <c r="Q5" i="4"/>
  <c r="N5" i="4"/>
  <c r="B5" i="4"/>
  <c r="AR4" i="4"/>
  <c r="AN4" i="4"/>
  <c r="AI4" i="4"/>
  <c r="AD4" i="4"/>
  <c r="T4" i="4"/>
  <c r="Q4" i="4"/>
  <c r="N4" i="4"/>
  <c r="B4" i="4"/>
  <c r="C5" i="4"/>
  <c r="AK19" i="5"/>
  <c r="AF19" i="5"/>
  <c r="AA19" i="5"/>
  <c r="V19" i="5"/>
  <c r="U19" i="5"/>
  <c r="T19" i="5"/>
  <c r="S19" i="5"/>
  <c r="P19" i="5"/>
  <c r="M19" i="5"/>
  <c r="C19" i="5"/>
  <c r="F19" i="5" s="1"/>
  <c r="B19" i="5"/>
  <c r="AK18" i="5"/>
  <c r="AF18" i="5"/>
  <c r="AA18" i="5"/>
  <c r="V18" i="5"/>
  <c r="U18" i="5"/>
  <c r="T18" i="5"/>
  <c r="S18" i="5"/>
  <c r="P18" i="5"/>
  <c r="M18" i="5"/>
  <c r="C18" i="5"/>
  <c r="F18" i="5" s="1"/>
  <c r="B18" i="5"/>
  <c r="AK17" i="5"/>
  <c r="AF17" i="5"/>
  <c r="AA17" i="5"/>
  <c r="V17" i="5"/>
  <c r="U17" i="5"/>
  <c r="T17" i="5"/>
  <c r="S17" i="5"/>
  <c r="P17" i="5"/>
  <c r="M17" i="5"/>
  <c r="C17" i="5"/>
  <c r="F17" i="5" s="1"/>
  <c r="B17" i="5"/>
  <c r="AK16" i="5"/>
  <c r="AF16" i="5"/>
  <c r="AA16" i="5"/>
  <c r="V16" i="5"/>
  <c r="U16" i="5"/>
  <c r="T16" i="5"/>
  <c r="S16" i="5"/>
  <c r="P16" i="5"/>
  <c r="M16" i="5"/>
  <c r="C16" i="5"/>
  <c r="F16" i="5" s="1"/>
  <c r="B16" i="5"/>
  <c r="AK15" i="5"/>
  <c r="AF15" i="5"/>
  <c r="AA15" i="5"/>
  <c r="V15" i="5"/>
  <c r="U15" i="5"/>
  <c r="T15" i="5"/>
  <c r="S15" i="5"/>
  <c r="P15" i="5"/>
  <c r="M15" i="5"/>
  <c r="F15" i="5"/>
  <c r="B15" i="5"/>
  <c r="AK14" i="5"/>
  <c r="AF14" i="5"/>
  <c r="AA14" i="5"/>
  <c r="S14" i="5"/>
  <c r="P14" i="5"/>
  <c r="M14" i="5"/>
  <c r="B14" i="5"/>
  <c r="AK13" i="5"/>
  <c r="AF13" i="5"/>
  <c r="AA13" i="5"/>
  <c r="S13" i="5"/>
  <c r="P13" i="5"/>
  <c r="M13" i="5"/>
  <c r="B13" i="5"/>
  <c r="AK12" i="5"/>
  <c r="AF12" i="5"/>
  <c r="AA12" i="5"/>
  <c r="S12" i="5"/>
  <c r="P12" i="5"/>
  <c r="M12" i="5"/>
  <c r="C12" i="5"/>
  <c r="B12" i="5"/>
  <c r="AK11" i="5"/>
  <c r="AF11" i="5"/>
  <c r="AA11" i="5"/>
  <c r="S11" i="5"/>
  <c r="P11" i="5"/>
  <c r="M11" i="5"/>
  <c r="B11" i="5"/>
  <c r="AK10" i="5"/>
  <c r="AF10" i="5"/>
  <c r="AA10" i="5"/>
  <c r="S10" i="5"/>
  <c r="P10" i="5"/>
  <c r="M10" i="5"/>
  <c r="B10" i="5"/>
  <c r="AK9" i="5"/>
  <c r="AF9" i="5"/>
  <c r="AA9" i="5"/>
  <c r="S9" i="5"/>
  <c r="P9" i="5"/>
  <c r="M9" i="5"/>
  <c r="B9" i="5"/>
  <c r="AK8" i="5"/>
  <c r="AF8" i="5"/>
  <c r="AA8" i="5"/>
  <c r="S8" i="5"/>
  <c r="P8" i="5"/>
  <c r="M8" i="5"/>
  <c r="B8" i="5"/>
  <c r="AK7" i="5"/>
  <c r="AF7" i="5"/>
  <c r="AA7" i="5"/>
  <c r="S7" i="5"/>
  <c r="P7" i="5"/>
  <c r="M7" i="5"/>
  <c r="B7" i="5"/>
  <c r="AK6" i="5"/>
  <c r="AF6" i="5"/>
  <c r="S6" i="5"/>
  <c r="P6" i="5"/>
  <c r="M6" i="5"/>
  <c r="B6" i="5"/>
  <c r="AK5" i="5"/>
  <c r="AF5" i="5"/>
  <c r="S5" i="5"/>
  <c r="P5" i="5"/>
  <c r="M5" i="5"/>
  <c r="B5" i="5"/>
  <c r="F6" i="4" l="1"/>
  <c r="U6" i="4"/>
  <c r="W6" i="4" s="1"/>
  <c r="X6" i="4" s="1"/>
  <c r="J6" i="4" s="1"/>
  <c r="T14" i="5"/>
  <c r="U14" i="5" s="1"/>
  <c r="T12" i="5"/>
  <c r="U12" i="5" s="1"/>
  <c r="U4" i="4"/>
  <c r="W4" i="4" s="1"/>
  <c r="X4" i="4" s="1"/>
  <c r="J4" i="4" s="1"/>
  <c r="F12" i="5"/>
  <c r="F4" i="4"/>
  <c r="U5" i="4"/>
  <c r="W5" i="4" s="1"/>
  <c r="X5" i="4" s="1"/>
  <c r="J5" i="4" s="1"/>
  <c r="F5" i="4"/>
  <c r="T13" i="5"/>
  <c r="U13" i="5" s="1"/>
  <c r="C13" i="5"/>
  <c r="T11" i="5"/>
  <c r="U11" i="5" s="1"/>
  <c r="T10" i="5"/>
  <c r="U10" i="5" s="1"/>
  <c r="T6" i="5"/>
  <c r="V6" i="5" s="1"/>
  <c r="I6" i="5" s="1"/>
  <c r="T7" i="5"/>
  <c r="U7" i="5" s="1"/>
  <c r="T9" i="5"/>
  <c r="U9" i="5" s="1"/>
  <c r="T8" i="5"/>
  <c r="U8" i="5" s="1"/>
  <c r="T5" i="5"/>
  <c r="U5" i="5" s="1"/>
  <c r="I19" i="5"/>
  <c r="I15" i="5"/>
  <c r="I16" i="5"/>
  <c r="I17" i="5"/>
  <c r="I18" i="5"/>
  <c r="V12" i="5" l="1"/>
  <c r="I12" i="5" s="1"/>
  <c r="V13" i="5"/>
  <c r="I13" i="5" s="1"/>
  <c r="V14" i="5"/>
  <c r="I14" i="5" s="1"/>
  <c r="Y4" i="4"/>
  <c r="I4" i="4" s="1"/>
  <c r="Y5" i="4"/>
  <c r="I5" i="4" s="1"/>
  <c r="Y6" i="4"/>
  <c r="I6" i="4" s="1"/>
  <c r="V8" i="5"/>
  <c r="I8" i="5" s="1"/>
  <c r="V9" i="5"/>
  <c r="I9" i="5" s="1"/>
  <c r="V7" i="5"/>
  <c r="I7" i="5" s="1"/>
  <c r="U6" i="5"/>
  <c r="V11" i="5"/>
  <c r="I11" i="5" s="1"/>
  <c r="V10" i="5"/>
  <c r="I10" i="5" s="1"/>
  <c r="F13" i="5"/>
  <c r="C14" i="5"/>
  <c r="V5" i="5"/>
  <c r="I5" i="5" s="1"/>
  <c r="F14" i="5" l="1"/>
  <c r="K160" i="10" l="1"/>
  <c r="J160" i="10"/>
  <c r="I160" i="10"/>
  <c r="H160" i="10"/>
  <c r="G160" i="10"/>
  <c r="F160" i="10"/>
  <c r="E160" i="10"/>
  <c r="D160" i="10"/>
  <c r="C160" i="10"/>
  <c r="L160" i="10" l="1"/>
  <c r="K161" i="10" l="1"/>
  <c r="J161" i="10"/>
  <c r="I161" i="10"/>
  <c r="H161" i="10"/>
  <c r="G161" i="10"/>
  <c r="F161" i="10"/>
  <c r="E161" i="10"/>
  <c r="D161" i="10"/>
  <c r="C161" i="10"/>
  <c r="L161" i="10" l="1"/>
  <c r="K185" i="10" l="1"/>
  <c r="J185" i="10"/>
  <c r="I185" i="10"/>
  <c r="H185" i="10"/>
  <c r="G185" i="10"/>
  <c r="F185" i="10"/>
  <c r="E185" i="10"/>
  <c r="D185" i="10"/>
  <c r="C185" i="10"/>
  <c r="K184" i="10"/>
  <c r="J184" i="10"/>
  <c r="I184" i="10"/>
  <c r="H184" i="10"/>
  <c r="G184" i="10"/>
  <c r="F184" i="10"/>
  <c r="E184" i="10"/>
  <c r="D184" i="10"/>
  <c r="C184" i="10"/>
  <c r="K183" i="10"/>
  <c r="J183" i="10"/>
  <c r="I183" i="10"/>
  <c r="H183" i="10"/>
  <c r="G183" i="10"/>
  <c r="F183" i="10"/>
  <c r="E183" i="10"/>
  <c r="D183" i="10"/>
  <c r="C183" i="10"/>
  <c r="K182" i="10"/>
  <c r="J182" i="10"/>
  <c r="I182" i="10"/>
  <c r="H182" i="10"/>
  <c r="G182" i="10"/>
  <c r="F182" i="10"/>
  <c r="E182" i="10"/>
  <c r="D182" i="10"/>
  <c r="C182" i="10"/>
  <c r="K181" i="10"/>
  <c r="J181" i="10"/>
  <c r="I181" i="10"/>
  <c r="H181" i="10"/>
  <c r="G181" i="10"/>
  <c r="F181" i="10"/>
  <c r="E181" i="10"/>
  <c r="D181" i="10"/>
  <c r="C181" i="10"/>
  <c r="K180" i="10"/>
  <c r="J180" i="10"/>
  <c r="I180" i="10"/>
  <c r="H180" i="10"/>
  <c r="G180" i="10"/>
  <c r="F180" i="10"/>
  <c r="E180" i="10"/>
  <c r="D180" i="10"/>
  <c r="C180" i="10"/>
  <c r="K177" i="10"/>
  <c r="J177" i="10"/>
  <c r="I177" i="10"/>
  <c r="H177" i="10"/>
  <c r="G177" i="10"/>
  <c r="F177" i="10"/>
  <c r="E177" i="10"/>
  <c r="D177" i="10"/>
  <c r="C177" i="10"/>
  <c r="K176" i="10"/>
  <c r="J176" i="10"/>
  <c r="I176" i="10"/>
  <c r="H176" i="10"/>
  <c r="G176" i="10"/>
  <c r="F176" i="10"/>
  <c r="E176" i="10"/>
  <c r="D176" i="10"/>
  <c r="C176" i="10"/>
  <c r="K175" i="10"/>
  <c r="J175" i="10"/>
  <c r="I175" i="10"/>
  <c r="H175" i="10"/>
  <c r="G175" i="10"/>
  <c r="F175" i="10"/>
  <c r="E175" i="10"/>
  <c r="D175" i="10"/>
  <c r="C175" i="10"/>
  <c r="K173" i="10"/>
  <c r="J173" i="10"/>
  <c r="I173" i="10"/>
  <c r="H173" i="10"/>
  <c r="G173" i="10"/>
  <c r="F173" i="10"/>
  <c r="E173" i="10"/>
  <c r="D173" i="10"/>
  <c r="C173" i="10"/>
  <c r="K172" i="10"/>
  <c r="J172" i="10"/>
  <c r="I172" i="10"/>
  <c r="H172" i="10"/>
  <c r="G172" i="10"/>
  <c r="F172" i="10"/>
  <c r="E172" i="10"/>
  <c r="D172" i="10"/>
  <c r="C172" i="10"/>
  <c r="K171" i="10"/>
  <c r="J171" i="10"/>
  <c r="I171" i="10"/>
  <c r="H171" i="10"/>
  <c r="G171" i="10"/>
  <c r="F171" i="10"/>
  <c r="E171" i="10"/>
  <c r="D171" i="10"/>
  <c r="C171" i="10"/>
  <c r="K170" i="10"/>
  <c r="J170" i="10"/>
  <c r="I170" i="10"/>
  <c r="H170" i="10"/>
  <c r="G170" i="10"/>
  <c r="F170" i="10"/>
  <c r="E170" i="10"/>
  <c r="D170" i="10"/>
  <c r="C170" i="10"/>
  <c r="K169" i="10"/>
  <c r="J169" i="10"/>
  <c r="I169" i="10"/>
  <c r="H169" i="10"/>
  <c r="G169" i="10"/>
  <c r="F169" i="10"/>
  <c r="E169" i="10"/>
  <c r="D169" i="10"/>
  <c r="C169" i="10"/>
  <c r="K168" i="10"/>
  <c r="J168" i="10"/>
  <c r="I168" i="10"/>
  <c r="H168" i="10"/>
  <c r="G168" i="10"/>
  <c r="F168" i="10"/>
  <c r="E168" i="10"/>
  <c r="D168" i="10"/>
  <c r="C168" i="10"/>
  <c r="K167" i="10"/>
  <c r="J167" i="10"/>
  <c r="I167" i="10"/>
  <c r="H167" i="10"/>
  <c r="G167" i="10"/>
  <c r="F167" i="10"/>
  <c r="E167" i="10"/>
  <c r="D167" i="10"/>
  <c r="C167" i="10"/>
  <c r="K163" i="10"/>
  <c r="J163" i="10"/>
  <c r="I163" i="10"/>
  <c r="H163" i="10"/>
  <c r="G163" i="10"/>
  <c r="F163" i="10"/>
  <c r="E163" i="10"/>
  <c r="D163" i="10"/>
  <c r="C163" i="10"/>
  <c r="K162" i="10"/>
  <c r="J162" i="10"/>
  <c r="I162" i="10"/>
  <c r="H162" i="10"/>
  <c r="G162" i="10"/>
  <c r="F162" i="10"/>
  <c r="E162" i="10"/>
  <c r="D162" i="10"/>
  <c r="C162" i="10"/>
  <c r="K156" i="10"/>
  <c r="J156" i="10"/>
  <c r="I156" i="10"/>
  <c r="H156" i="10"/>
  <c r="G156" i="10"/>
  <c r="F156" i="10"/>
  <c r="E156" i="10"/>
  <c r="D156" i="10"/>
  <c r="C156" i="10"/>
  <c r="K155" i="10"/>
  <c r="J155" i="10"/>
  <c r="I155" i="10"/>
  <c r="H155" i="10"/>
  <c r="G155" i="10"/>
  <c r="F155" i="10"/>
  <c r="E155" i="10"/>
  <c r="D155" i="10"/>
  <c r="C155" i="10"/>
  <c r="K154" i="10"/>
  <c r="J154" i="10"/>
  <c r="I154" i="10"/>
  <c r="H154" i="10"/>
  <c r="G154" i="10"/>
  <c r="F154" i="10"/>
  <c r="E154" i="10"/>
  <c r="D154" i="10"/>
  <c r="C154" i="10"/>
  <c r="K153" i="10"/>
  <c r="J153" i="10"/>
  <c r="I153" i="10"/>
  <c r="H153" i="10"/>
  <c r="G153" i="10"/>
  <c r="F153" i="10"/>
  <c r="E153" i="10"/>
  <c r="D153" i="10"/>
  <c r="C153" i="10"/>
  <c r="K152" i="10"/>
  <c r="J152" i="10"/>
  <c r="I152" i="10"/>
  <c r="H152" i="10"/>
  <c r="G152" i="10"/>
  <c r="F152" i="10"/>
  <c r="E152" i="10"/>
  <c r="D152" i="10"/>
  <c r="C152" i="10"/>
  <c r="K151" i="10"/>
  <c r="J151" i="10"/>
  <c r="I151" i="10"/>
  <c r="H151" i="10"/>
  <c r="G151" i="10"/>
  <c r="F151" i="10"/>
  <c r="E151" i="10"/>
  <c r="D151" i="10"/>
  <c r="C151" i="10"/>
  <c r="L163" i="10" l="1"/>
  <c r="L154" i="10"/>
  <c r="L156" i="10"/>
  <c r="L162" i="10"/>
  <c r="L173" i="10"/>
  <c r="L175" i="10"/>
  <c r="L185" i="10"/>
  <c r="L151" i="10"/>
  <c r="L167" i="10"/>
  <c r="L176" i="10"/>
  <c r="L152" i="10"/>
  <c r="L168" i="10"/>
  <c r="L177" i="10"/>
  <c r="L153" i="10"/>
  <c r="L169" i="10"/>
  <c r="L180" i="10"/>
  <c r="L170" i="10"/>
  <c r="L181" i="10"/>
  <c r="L155" i="10"/>
  <c r="L171" i="10"/>
  <c r="L182" i="10"/>
  <c r="L172" i="10"/>
  <c r="L183" i="10"/>
  <c r="L184" i="10"/>
  <c r="I52" i="10"/>
  <c r="K52" i="10"/>
  <c r="J52" i="10"/>
  <c r="H52" i="10"/>
  <c r="G52" i="10"/>
  <c r="F52" i="10"/>
  <c r="E52" i="10"/>
  <c r="D52" i="10"/>
  <c r="C52" i="10"/>
  <c r="L52" i="10" l="1"/>
  <c r="AK4" i="5" l="1"/>
  <c r="AF4" i="5"/>
  <c r="AA4" i="5"/>
  <c r="S4" i="5"/>
  <c r="P4" i="5"/>
  <c r="M4" i="5"/>
  <c r="C5" i="5"/>
  <c r="B4" i="5"/>
  <c r="F5" i="5" l="1"/>
  <c r="C6" i="5"/>
  <c r="T4" i="5"/>
  <c r="U4" i="5" s="1"/>
  <c r="F4" i="5"/>
  <c r="K135" i="10"/>
  <c r="J135" i="10"/>
  <c r="I135" i="10"/>
  <c r="H135" i="10"/>
  <c r="G135" i="10"/>
  <c r="F135" i="10"/>
  <c r="E135" i="10"/>
  <c r="D135" i="10"/>
  <c r="C135" i="10"/>
  <c r="F6" i="5" l="1"/>
  <c r="C7" i="5"/>
  <c r="V4" i="5"/>
  <c r="I4" i="5" s="1"/>
  <c r="L135" i="10"/>
  <c r="K136" i="10"/>
  <c r="J136" i="10"/>
  <c r="I136" i="10"/>
  <c r="H136" i="10"/>
  <c r="G136" i="10"/>
  <c r="F136" i="10"/>
  <c r="E136" i="10"/>
  <c r="D136" i="10"/>
  <c r="C136" i="10"/>
  <c r="F7" i="5" l="1"/>
  <c r="C8" i="5"/>
  <c r="L136" i="10"/>
  <c r="K134" i="10"/>
  <c r="J134" i="10"/>
  <c r="I134" i="10"/>
  <c r="H134" i="10"/>
  <c r="G134" i="10"/>
  <c r="F134" i="10"/>
  <c r="E134" i="10"/>
  <c r="D134" i="10"/>
  <c r="C134" i="10"/>
  <c r="F8" i="5" l="1"/>
  <c r="C9" i="5"/>
  <c r="L134" i="10"/>
  <c r="K119" i="10"/>
  <c r="J119" i="10"/>
  <c r="I119" i="10"/>
  <c r="H119" i="10"/>
  <c r="G119" i="10"/>
  <c r="F119" i="10"/>
  <c r="E119" i="10"/>
  <c r="D119" i="10"/>
  <c r="C119" i="10"/>
  <c r="K118" i="10"/>
  <c r="J118" i="10"/>
  <c r="I118" i="10"/>
  <c r="H118" i="10"/>
  <c r="G118" i="10"/>
  <c r="F118" i="10"/>
  <c r="E118" i="10"/>
  <c r="D118" i="10"/>
  <c r="C118" i="10"/>
  <c r="K150" i="10"/>
  <c r="J150" i="10"/>
  <c r="I150" i="10"/>
  <c r="H150" i="10"/>
  <c r="G150" i="10"/>
  <c r="F150" i="10"/>
  <c r="E150" i="10"/>
  <c r="D150" i="10"/>
  <c r="C150" i="10"/>
  <c r="K149" i="10"/>
  <c r="J149" i="10"/>
  <c r="I149" i="10"/>
  <c r="H149" i="10"/>
  <c r="G149" i="10"/>
  <c r="F149" i="10"/>
  <c r="E149" i="10"/>
  <c r="D149" i="10"/>
  <c r="C149" i="10"/>
  <c r="K148" i="10"/>
  <c r="J148" i="10"/>
  <c r="I148" i="10"/>
  <c r="H148" i="10"/>
  <c r="G148" i="10"/>
  <c r="F148" i="10"/>
  <c r="E148" i="10"/>
  <c r="D148" i="10"/>
  <c r="C148" i="10"/>
  <c r="K147" i="10"/>
  <c r="J147" i="10"/>
  <c r="I147" i="10"/>
  <c r="H147" i="10"/>
  <c r="G147" i="10"/>
  <c r="F147" i="10"/>
  <c r="E147" i="10"/>
  <c r="D147" i="10"/>
  <c r="C147" i="10"/>
  <c r="K146" i="10"/>
  <c r="J146" i="10"/>
  <c r="I146" i="10"/>
  <c r="H146" i="10"/>
  <c r="G146" i="10"/>
  <c r="F146" i="10"/>
  <c r="E146" i="10"/>
  <c r="D146" i="10"/>
  <c r="C146" i="10"/>
  <c r="K145" i="10"/>
  <c r="J145" i="10"/>
  <c r="I145" i="10"/>
  <c r="H145" i="10"/>
  <c r="G145" i="10"/>
  <c r="F145" i="10"/>
  <c r="E145" i="10"/>
  <c r="D145" i="10"/>
  <c r="C145" i="10"/>
  <c r="K144" i="10"/>
  <c r="J144" i="10"/>
  <c r="I144" i="10"/>
  <c r="H144" i="10"/>
  <c r="G144" i="10"/>
  <c r="F144" i="10"/>
  <c r="E144" i="10"/>
  <c r="D144" i="10"/>
  <c r="C144" i="10"/>
  <c r="K143" i="10"/>
  <c r="J143" i="10"/>
  <c r="I143" i="10"/>
  <c r="H143" i="10"/>
  <c r="G143" i="10"/>
  <c r="F143" i="10"/>
  <c r="E143" i="10"/>
  <c r="D143" i="10"/>
  <c r="C143" i="10"/>
  <c r="K142" i="10"/>
  <c r="J142" i="10"/>
  <c r="I142" i="10"/>
  <c r="H142" i="10"/>
  <c r="G142" i="10"/>
  <c r="F142" i="10"/>
  <c r="E142" i="10"/>
  <c r="D142" i="10"/>
  <c r="C142" i="10"/>
  <c r="K141" i="10"/>
  <c r="J141" i="10"/>
  <c r="I141" i="10"/>
  <c r="H141" i="10"/>
  <c r="G141" i="10"/>
  <c r="F141" i="10"/>
  <c r="E141" i="10"/>
  <c r="D141" i="10"/>
  <c r="C141" i="10"/>
  <c r="K140" i="10"/>
  <c r="J140" i="10"/>
  <c r="I140" i="10"/>
  <c r="H140" i="10"/>
  <c r="G140" i="10"/>
  <c r="F140" i="10"/>
  <c r="E140" i="10"/>
  <c r="D140" i="10"/>
  <c r="C140" i="10"/>
  <c r="K139" i="10"/>
  <c r="J139" i="10"/>
  <c r="I139" i="10"/>
  <c r="H139" i="10"/>
  <c r="G139" i="10"/>
  <c r="F139" i="10"/>
  <c r="E139" i="10"/>
  <c r="D139" i="10"/>
  <c r="C139" i="10"/>
  <c r="K138" i="10"/>
  <c r="J138" i="10"/>
  <c r="I138" i="10"/>
  <c r="H138" i="10"/>
  <c r="G138" i="10"/>
  <c r="F138" i="10"/>
  <c r="E138" i="10"/>
  <c r="D138" i="10"/>
  <c r="C138" i="10"/>
  <c r="K137" i="10"/>
  <c r="J137" i="10"/>
  <c r="I137" i="10"/>
  <c r="H137" i="10"/>
  <c r="G137" i="10"/>
  <c r="F137" i="10"/>
  <c r="E137" i="10"/>
  <c r="D137" i="10"/>
  <c r="C137" i="10"/>
  <c r="K133" i="10"/>
  <c r="J133" i="10"/>
  <c r="I133" i="10"/>
  <c r="H133" i="10"/>
  <c r="G133" i="10"/>
  <c r="F133" i="10"/>
  <c r="E133" i="10"/>
  <c r="D133" i="10"/>
  <c r="C133" i="10"/>
  <c r="K132" i="10"/>
  <c r="J132" i="10"/>
  <c r="I132" i="10"/>
  <c r="H132" i="10"/>
  <c r="G132" i="10"/>
  <c r="F132" i="10"/>
  <c r="E132" i="10"/>
  <c r="D132" i="10"/>
  <c r="C132" i="10"/>
  <c r="K131" i="10"/>
  <c r="J131" i="10"/>
  <c r="I131" i="10"/>
  <c r="H131" i="10"/>
  <c r="G131" i="10"/>
  <c r="F131" i="10"/>
  <c r="E131" i="10"/>
  <c r="D131" i="10"/>
  <c r="C131" i="10"/>
  <c r="K130" i="10"/>
  <c r="J130" i="10"/>
  <c r="I130" i="10"/>
  <c r="H130" i="10"/>
  <c r="G130" i="10"/>
  <c r="F130" i="10"/>
  <c r="E130" i="10"/>
  <c r="D130" i="10"/>
  <c r="C130" i="10"/>
  <c r="K129" i="10"/>
  <c r="J129" i="10"/>
  <c r="I129" i="10"/>
  <c r="H129" i="10"/>
  <c r="G129" i="10"/>
  <c r="F129" i="10"/>
  <c r="E129" i="10"/>
  <c r="D129" i="10"/>
  <c r="C129" i="10"/>
  <c r="K128" i="10"/>
  <c r="J128" i="10"/>
  <c r="I128" i="10"/>
  <c r="H128" i="10"/>
  <c r="G128" i="10"/>
  <c r="F128" i="10"/>
  <c r="E128" i="10"/>
  <c r="D128" i="10"/>
  <c r="C128" i="10"/>
  <c r="K127" i="10"/>
  <c r="J127" i="10"/>
  <c r="I127" i="10"/>
  <c r="H127" i="10"/>
  <c r="G127" i="10"/>
  <c r="F127" i="10"/>
  <c r="E127" i="10"/>
  <c r="D127" i="10"/>
  <c r="C127" i="10"/>
  <c r="K126" i="10"/>
  <c r="J126" i="10"/>
  <c r="I126" i="10"/>
  <c r="H126" i="10"/>
  <c r="G126" i="10"/>
  <c r="F126" i="10"/>
  <c r="E126" i="10"/>
  <c r="D126" i="10"/>
  <c r="C126" i="10"/>
  <c r="K125" i="10"/>
  <c r="J125" i="10"/>
  <c r="I125" i="10"/>
  <c r="H125" i="10"/>
  <c r="G125" i="10"/>
  <c r="F125" i="10"/>
  <c r="E125" i="10"/>
  <c r="D125" i="10"/>
  <c r="C125" i="10"/>
  <c r="K124" i="10"/>
  <c r="J124" i="10"/>
  <c r="I124" i="10"/>
  <c r="H124" i="10"/>
  <c r="G124" i="10"/>
  <c r="F124" i="10"/>
  <c r="E124" i="10"/>
  <c r="D124" i="10"/>
  <c r="C124" i="10"/>
  <c r="K123" i="10"/>
  <c r="J123" i="10"/>
  <c r="I123" i="10"/>
  <c r="H123" i="10"/>
  <c r="G123" i="10"/>
  <c r="F123" i="10"/>
  <c r="E123" i="10"/>
  <c r="D123" i="10"/>
  <c r="C123" i="10"/>
  <c r="K122" i="10"/>
  <c r="J122" i="10"/>
  <c r="I122" i="10"/>
  <c r="H122" i="10"/>
  <c r="G122" i="10"/>
  <c r="F122" i="10"/>
  <c r="E122" i="10"/>
  <c r="D122" i="10"/>
  <c r="C122" i="10"/>
  <c r="K121" i="10"/>
  <c r="J121" i="10"/>
  <c r="I121" i="10"/>
  <c r="H121" i="10"/>
  <c r="G121" i="10"/>
  <c r="F121" i="10"/>
  <c r="E121" i="10"/>
  <c r="D121" i="10"/>
  <c r="C121" i="10"/>
  <c r="K120" i="10"/>
  <c r="J120" i="10"/>
  <c r="I120" i="10"/>
  <c r="H120" i="10"/>
  <c r="G120" i="10"/>
  <c r="F120" i="10"/>
  <c r="E120" i="10"/>
  <c r="D120" i="10"/>
  <c r="F9" i="5" l="1"/>
  <c r="C10" i="5"/>
  <c r="L118" i="10"/>
  <c r="L119" i="10"/>
  <c r="L132" i="10"/>
  <c r="F10" i="5" l="1"/>
  <c r="C11" i="5"/>
  <c r="F11" i="5" s="1"/>
  <c r="C120" i="10" l="1"/>
  <c r="L150" i="10"/>
  <c r="L149" i="10"/>
  <c r="L148" i="10"/>
  <c r="L147" i="10"/>
  <c r="L146" i="10"/>
  <c r="L145" i="10"/>
  <c r="L144" i="10"/>
  <c r="L143" i="10"/>
  <c r="L142" i="10"/>
  <c r="L141" i="10"/>
  <c r="L140" i="10"/>
  <c r="L139" i="10"/>
  <c r="L138" i="10"/>
  <c r="L137" i="10"/>
  <c r="L131" i="10"/>
  <c r="L130" i="10"/>
  <c r="L129" i="10"/>
  <c r="L128" i="10"/>
  <c r="L127" i="10"/>
  <c r="L126" i="10"/>
  <c r="L125" i="10"/>
  <c r="L124" i="10"/>
  <c r="L123" i="10"/>
  <c r="L122" i="10"/>
  <c r="K117" i="10" l="1"/>
  <c r="J117" i="10"/>
  <c r="I117" i="10"/>
  <c r="H117" i="10"/>
  <c r="G117" i="10"/>
  <c r="F117" i="10"/>
  <c r="E117" i="10"/>
  <c r="D117" i="10"/>
  <c r="C117" i="10"/>
  <c r="K116" i="10"/>
  <c r="J116" i="10"/>
  <c r="I116" i="10"/>
  <c r="H116" i="10"/>
  <c r="G116" i="10"/>
  <c r="F116" i="10"/>
  <c r="E116" i="10"/>
  <c r="D116" i="10"/>
  <c r="C116" i="10"/>
  <c r="K115" i="10"/>
  <c r="J115" i="10"/>
  <c r="I115" i="10"/>
  <c r="H115" i="10"/>
  <c r="G115" i="10"/>
  <c r="F115" i="10"/>
  <c r="E115" i="10"/>
  <c r="D115" i="10"/>
  <c r="C115" i="10"/>
  <c r="K114" i="10"/>
  <c r="J114" i="10"/>
  <c r="I114" i="10"/>
  <c r="H114" i="10"/>
  <c r="G114" i="10"/>
  <c r="F114" i="10"/>
  <c r="D114" i="10"/>
  <c r="C114" i="10"/>
  <c r="K113" i="10"/>
  <c r="J113" i="10"/>
  <c r="I113" i="10"/>
  <c r="H113" i="10"/>
  <c r="G113" i="10"/>
  <c r="F113" i="10"/>
  <c r="E113" i="10"/>
  <c r="D113" i="10"/>
  <c r="C113" i="10"/>
  <c r="K112" i="10"/>
  <c r="J112" i="10"/>
  <c r="I112" i="10"/>
  <c r="H112" i="10"/>
  <c r="G112" i="10"/>
  <c r="F112" i="10"/>
  <c r="E112" i="10"/>
  <c r="D112" i="10"/>
  <c r="C112" i="10"/>
  <c r="K111" i="10"/>
  <c r="J111" i="10"/>
  <c r="I111" i="10"/>
  <c r="H111" i="10"/>
  <c r="G111" i="10"/>
  <c r="F111" i="10"/>
  <c r="E111" i="10"/>
  <c r="D111" i="10"/>
  <c r="C111" i="10"/>
  <c r="K110" i="10"/>
  <c r="J110" i="10"/>
  <c r="I110" i="10"/>
  <c r="H110" i="10"/>
  <c r="G110" i="10"/>
  <c r="F110" i="10"/>
  <c r="E110" i="10"/>
  <c r="D110" i="10"/>
  <c r="C110" i="10"/>
  <c r="K109" i="10"/>
  <c r="J109" i="10"/>
  <c r="I109" i="10"/>
  <c r="H109" i="10"/>
  <c r="G109" i="10"/>
  <c r="F109" i="10"/>
  <c r="E109" i="10"/>
  <c r="D109" i="10"/>
  <c r="C109" i="10"/>
  <c r="K108" i="10"/>
  <c r="J108" i="10"/>
  <c r="I108" i="10"/>
  <c r="H108" i="10"/>
  <c r="G108" i="10"/>
  <c r="F108" i="10"/>
  <c r="E108" i="10"/>
  <c r="D108" i="10"/>
  <c r="C108" i="10"/>
  <c r="K107" i="10"/>
  <c r="J107" i="10"/>
  <c r="I107" i="10"/>
  <c r="H107" i="10"/>
  <c r="G107" i="10"/>
  <c r="F107" i="10"/>
  <c r="E107" i="10"/>
  <c r="D107" i="10"/>
  <c r="C107" i="10"/>
  <c r="K106" i="10"/>
  <c r="J106" i="10"/>
  <c r="I106" i="10"/>
  <c r="H106" i="10"/>
  <c r="G106" i="10"/>
  <c r="F106" i="10"/>
  <c r="E106" i="10"/>
  <c r="D106" i="10"/>
  <c r="C106" i="10"/>
  <c r="K105" i="10"/>
  <c r="J105" i="10"/>
  <c r="I105" i="10"/>
  <c r="H105" i="10"/>
  <c r="G105" i="10"/>
  <c r="F105" i="10"/>
  <c r="E105" i="10"/>
  <c r="D105" i="10"/>
  <c r="C105" i="10"/>
  <c r="K104" i="10"/>
  <c r="J104" i="10"/>
  <c r="I104" i="10"/>
  <c r="H104" i="10"/>
  <c r="G104" i="10"/>
  <c r="F104" i="10"/>
  <c r="E104" i="10"/>
  <c r="D104" i="10"/>
  <c r="C104" i="10"/>
  <c r="K103" i="10"/>
  <c r="J103" i="10"/>
  <c r="I103" i="10"/>
  <c r="H103" i="10"/>
  <c r="G103" i="10"/>
  <c r="F103" i="10"/>
  <c r="E103" i="10"/>
  <c r="D103" i="10"/>
  <c r="C103" i="10"/>
  <c r="K102" i="10"/>
  <c r="J102" i="10"/>
  <c r="I102" i="10"/>
  <c r="H102" i="10"/>
  <c r="G102" i="10"/>
  <c r="F102" i="10"/>
  <c r="E102" i="10"/>
  <c r="D102" i="10"/>
  <c r="C102" i="10"/>
  <c r="K101" i="10"/>
  <c r="J101" i="10"/>
  <c r="I101" i="10"/>
  <c r="H101" i="10"/>
  <c r="G101" i="10"/>
  <c r="F101" i="10"/>
  <c r="E101" i="10"/>
  <c r="D101" i="10"/>
  <c r="C101" i="10"/>
  <c r="K100" i="10"/>
  <c r="J100" i="10"/>
  <c r="I100" i="10"/>
  <c r="H100" i="10"/>
  <c r="G100" i="10"/>
  <c r="F100" i="10"/>
  <c r="E100" i="10"/>
  <c r="D100" i="10"/>
  <c r="C100" i="10"/>
  <c r="K99" i="10"/>
  <c r="J99" i="10"/>
  <c r="I99" i="10"/>
  <c r="H99" i="10"/>
  <c r="G99" i="10"/>
  <c r="F99" i="10"/>
  <c r="E99" i="10"/>
  <c r="D99" i="10"/>
  <c r="C99" i="10"/>
  <c r="K98" i="10"/>
  <c r="J98" i="10"/>
  <c r="I98" i="10"/>
  <c r="H98" i="10"/>
  <c r="G98" i="10"/>
  <c r="F98" i="10"/>
  <c r="E98" i="10"/>
  <c r="D98" i="10"/>
  <c r="C98" i="10"/>
  <c r="K97" i="10"/>
  <c r="J97" i="10"/>
  <c r="I97" i="10"/>
  <c r="H97" i="10"/>
  <c r="G97" i="10"/>
  <c r="F97" i="10"/>
  <c r="E97" i="10"/>
  <c r="D97" i="10"/>
  <c r="C97" i="10"/>
  <c r="K96" i="10"/>
  <c r="J96" i="10"/>
  <c r="I96" i="10"/>
  <c r="H96" i="10"/>
  <c r="G96" i="10"/>
  <c r="F96" i="10"/>
  <c r="E96" i="10"/>
  <c r="D96" i="10"/>
  <c r="C96" i="10"/>
  <c r="K95" i="10"/>
  <c r="J95" i="10"/>
  <c r="I95" i="10"/>
  <c r="H95" i="10"/>
  <c r="G95" i="10"/>
  <c r="F95" i="10"/>
  <c r="E95" i="10"/>
  <c r="D95" i="10"/>
  <c r="C95" i="10"/>
  <c r="K94" i="10"/>
  <c r="J94" i="10"/>
  <c r="I94" i="10"/>
  <c r="H94" i="10"/>
  <c r="G94" i="10"/>
  <c r="F94" i="10"/>
  <c r="E94" i="10"/>
  <c r="D94" i="10"/>
  <c r="C94" i="10"/>
  <c r="K86" i="10"/>
  <c r="J86" i="10"/>
  <c r="I86" i="10"/>
  <c r="H86" i="10"/>
  <c r="G86" i="10"/>
  <c r="F86" i="10"/>
  <c r="E86" i="10"/>
  <c r="D86" i="10"/>
  <c r="C86" i="10"/>
  <c r="K85" i="10"/>
  <c r="J85" i="10"/>
  <c r="I85" i="10"/>
  <c r="H85" i="10"/>
  <c r="G85" i="10"/>
  <c r="F85" i="10"/>
  <c r="E85" i="10"/>
  <c r="D85" i="10"/>
  <c r="C85" i="10"/>
  <c r="K84" i="10"/>
  <c r="J84" i="10"/>
  <c r="I84" i="10"/>
  <c r="H84" i="10"/>
  <c r="G84" i="10"/>
  <c r="F84" i="10"/>
  <c r="E84" i="10"/>
  <c r="D84" i="10"/>
  <c r="C84" i="10"/>
  <c r="K83" i="10"/>
  <c r="J83" i="10"/>
  <c r="I83" i="10"/>
  <c r="H83" i="10"/>
  <c r="G83" i="10"/>
  <c r="F83" i="10"/>
  <c r="E83" i="10"/>
  <c r="D83" i="10"/>
  <c r="K82" i="10"/>
  <c r="J82" i="10"/>
  <c r="H82" i="10"/>
  <c r="G82" i="10"/>
  <c r="F82" i="10"/>
  <c r="E82" i="10"/>
  <c r="D82" i="10"/>
  <c r="C82" i="10"/>
  <c r="K81" i="10"/>
  <c r="J81" i="10"/>
  <c r="H81" i="10"/>
  <c r="G81" i="10"/>
  <c r="F81" i="10"/>
  <c r="E81" i="10"/>
  <c r="D81" i="10"/>
  <c r="C81" i="10"/>
  <c r="K80" i="10"/>
  <c r="J80" i="10"/>
  <c r="I80" i="10"/>
  <c r="H80" i="10"/>
  <c r="G80" i="10"/>
  <c r="F80" i="10"/>
  <c r="E80" i="10"/>
  <c r="D80" i="10"/>
  <c r="C80" i="10"/>
  <c r="K79" i="10"/>
  <c r="J79" i="10"/>
  <c r="I79" i="10"/>
  <c r="H79" i="10"/>
  <c r="G79" i="10"/>
  <c r="F79" i="10"/>
  <c r="E79" i="10"/>
  <c r="D79" i="10"/>
  <c r="C79" i="10"/>
  <c r="K77" i="10"/>
  <c r="J77" i="10"/>
  <c r="I77" i="10"/>
  <c r="H77" i="10"/>
  <c r="G77" i="10"/>
  <c r="F77" i="10"/>
  <c r="E77" i="10"/>
  <c r="D77" i="10"/>
  <c r="C77" i="10"/>
  <c r="K76" i="10"/>
  <c r="J76" i="10"/>
  <c r="H76" i="10"/>
  <c r="G76" i="10"/>
  <c r="F76" i="10"/>
  <c r="E76" i="10"/>
  <c r="D76" i="10"/>
  <c r="C76" i="10"/>
  <c r="K75" i="10"/>
  <c r="J75" i="10"/>
  <c r="I75" i="10"/>
  <c r="H75" i="10"/>
  <c r="G75" i="10"/>
  <c r="F75" i="10"/>
  <c r="E75" i="10"/>
  <c r="D75" i="10"/>
  <c r="K74" i="10"/>
  <c r="J74" i="10"/>
  <c r="I74" i="10"/>
  <c r="H74" i="10"/>
  <c r="G74" i="10"/>
  <c r="F74" i="10"/>
  <c r="E74" i="10"/>
  <c r="D74" i="10"/>
  <c r="C74" i="10"/>
  <c r="K73" i="10"/>
  <c r="J73" i="10"/>
  <c r="I73" i="10"/>
  <c r="H73" i="10"/>
  <c r="G73" i="10"/>
  <c r="F73" i="10"/>
  <c r="E73" i="10"/>
  <c r="D73" i="10"/>
  <c r="C73" i="10"/>
  <c r="K72" i="10"/>
  <c r="J72" i="10"/>
  <c r="I72" i="10"/>
  <c r="H72" i="10"/>
  <c r="G72" i="10"/>
  <c r="F72" i="10"/>
  <c r="E72" i="10"/>
  <c r="D72" i="10"/>
  <c r="C72" i="10"/>
  <c r="K71" i="10"/>
  <c r="J71" i="10"/>
  <c r="I71" i="10"/>
  <c r="H71" i="10"/>
  <c r="G71" i="10"/>
  <c r="F71" i="10"/>
  <c r="E71" i="10"/>
  <c r="C71" i="10"/>
  <c r="K70" i="10"/>
  <c r="J70" i="10"/>
  <c r="I70" i="10"/>
  <c r="H70" i="10"/>
  <c r="G70" i="10"/>
  <c r="F70" i="10"/>
  <c r="E70" i="10"/>
  <c r="D70" i="10"/>
  <c r="C70" i="10"/>
  <c r="K69" i="10"/>
  <c r="J69" i="10"/>
  <c r="I69" i="10"/>
  <c r="H69" i="10"/>
  <c r="G69" i="10"/>
  <c r="F69" i="10"/>
  <c r="E69" i="10"/>
  <c r="D69" i="10"/>
  <c r="C69" i="10"/>
  <c r="K68" i="10"/>
  <c r="J68" i="10"/>
  <c r="I68" i="10"/>
  <c r="H68" i="10"/>
  <c r="G68" i="10"/>
  <c r="F68" i="10"/>
  <c r="E68" i="10"/>
  <c r="D68" i="10"/>
  <c r="C68" i="10"/>
  <c r="K67" i="10"/>
  <c r="J67" i="10"/>
  <c r="I67" i="10"/>
  <c r="H67" i="10"/>
  <c r="G67" i="10"/>
  <c r="F67" i="10"/>
  <c r="E67" i="10"/>
  <c r="D67" i="10"/>
  <c r="C67" i="10"/>
  <c r="K66" i="10"/>
  <c r="J66" i="10"/>
  <c r="I66" i="10"/>
  <c r="H66" i="10"/>
  <c r="G66" i="10"/>
  <c r="F66" i="10"/>
  <c r="E66" i="10"/>
  <c r="D66" i="10"/>
  <c r="C66" i="10"/>
  <c r="K65" i="10"/>
  <c r="J65" i="10"/>
  <c r="I65" i="10"/>
  <c r="H65" i="10"/>
  <c r="G65" i="10"/>
  <c r="F65" i="10"/>
  <c r="E65" i="10"/>
  <c r="D65" i="10"/>
  <c r="C65" i="10"/>
  <c r="K64" i="10"/>
  <c r="J64" i="10"/>
  <c r="I64" i="10"/>
  <c r="H64" i="10"/>
  <c r="G64" i="10"/>
  <c r="E64" i="10"/>
  <c r="D64" i="10"/>
  <c r="C64" i="10"/>
  <c r="K63" i="10"/>
  <c r="J63" i="10"/>
  <c r="I63" i="10"/>
  <c r="H63" i="10"/>
  <c r="G63" i="10"/>
  <c r="F63" i="10"/>
  <c r="E63" i="10"/>
  <c r="D63" i="10"/>
  <c r="K62" i="10"/>
  <c r="J62" i="10"/>
  <c r="I62" i="10"/>
  <c r="H62" i="10"/>
  <c r="G62" i="10"/>
  <c r="F62" i="10"/>
  <c r="E62" i="10"/>
  <c r="D62" i="10"/>
  <c r="C62" i="10"/>
  <c r="K61" i="10"/>
  <c r="J61" i="10"/>
  <c r="I61" i="10"/>
  <c r="H61" i="10"/>
  <c r="G61" i="10"/>
  <c r="F61" i="10"/>
  <c r="E61" i="10"/>
  <c r="D61" i="10"/>
  <c r="C61" i="10"/>
  <c r="K60" i="10"/>
  <c r="J60" i="10"/>
  <c r="I60" i="10"/>
  <c r="H60" i="10"/>
  <c r="G60" i="10"/>
  <c r="F60" i="10"/>
  <c r="E60" i="10"/>
  <c r="D60" i="10"/>
  <c r="K59" i="10"/>
  <c r="J59" i="10"/>
  <c r="I59" i="10"/>
  <c r="H59" i="10"/>
  <c r="G59" i="10"/>
  <c r="F59" i="10"/>
  <c r="E59" i="10"/>
  <c r="D59" i="10"/>
  <c r="C59" i="10"/>
  <c r="K58" i="10"/>
  <c r="J58" i="10"/>
  <c r="I58" i="10"/>
  <c r="H58" i="10"/>
  <c r="G58" i="10"/>
  <c r="F58" i="10"/>
  <c r="E58" i="10"/>
  <c r="D58" i="10"/>
  <c r="C58" i="10"/>
  <c r="K57" i="10"/>
  <c r="J57" i="10"/>
  <c r="I57" i="10"/>
  <c r="H57" i="10"/>
  <c r="G57" i="10"/>
  <c r="F57" i="10"/>
  <c r="E57" i="10"/>
  <c r="D57" i="10"/>
  <c r="C57" i="10"/>
  <c r="K56" i="10"/>
  <c r="J56" i="10"/>
  <c r="H56" i="10"/>
  <c r="G56" i="10"/>
  <c r="F56" i="10"/>
  <c r="E56" i="10"/>
  <c r="D56" i="10"/>
  <c r="C56" i="10"/>
  <c r="K55" i="10"/>
  <c r="J55" i="10"/>
  <c r="I55" i="10"/>
  <c r="H55" i="10"/>
  <c r="G55" i="10"/>
  <c r="F55" i="10"/>
  <c r="E55" i="10"/>
  <c r="D55" i="10"/>
  <c r="C55" i="10"/>
  <c r="K54" i="10"/>
  <c r="J54" i="10"/>
  <c r="I54" i="10"/>
  <c r="H54" i="10"/>
  <c r="G54" i="10"/>
  <c r="F54" i="10"/>
  <c r="E54" i="10"/>
  <c r="D54" i="10"/>
  <c r="C54" i="10"/>
  <c r="K53" i="10"/>
  <c r="J53" i="10"/>
  <c r="I53" i="10"/>
  <c r="H53" i="10"/>
  <c r="G53" i="10"/>
  <c r="F53" i="10"/>
  <c r="E53" i="10"/>
  <c r="D53" i="10"/>
  <c r="C53" i="10"/>
  <c r="K51" i="10"/>
  <c r="J51" i="10"/>
  <c r="I51" i="10"/>
  <c r="H51" i="10"/>
  <c r="G51" i="10"/>
  <c r="F51" i="10"/>
  <c r="E51" i="10"/>
  <c r="D51" i="10"/>
  <c r="C51" i="10"/>
  <c r="K50" i="10"/>
  <c r="J50" i="10"/>
  <c r="I50" i="10"/>
  <c r="H50" i="10"/>
  <c r="G50" i="10"/>
  <c r="F50" i="10"/>
  <c r="E50" i="10"/>
  <c r="D50" i="10"/>
  <c r="C50" i="10"/>
  <c r="K49" i="10"/>
  <c r="J49" i="10"/>
  <c r="I49" i="10"/>
  <c r="H49" i="10"/>
  <c r="G49" i="10"/>
  <c r="F49" i="10"/>
  <c r="E49" i="10"/>
  <c r="D49" i="10"/>
  <c r="C49" i="10"/>
  <c r="K48" i="10"/>
  <c r="J48" i="10"/>
  <c r="I48" i="10"/>
  <c r="H48" i="10"/>
  <c r="G48" i="10"/>
  <c r="F48" i="10"/>
  <c r="E48" i="10"/>
  <c r="D48" i="10"/>
  <c r="C48" i="10"/>
  <c r="K47" i="10"/>
  <c r="J47" i="10"/>
  <c r="I47" i="10"/>
  <c r="H47" i="10"/>
  <c r="G47" i="10"/>
  <c r="F47" i="10"/>
  <c r="E47" i="10"/>
  <c r="D47" i="10"/>
  <c r="C47" i="10"/>
  <c r="K46" i="10"/>
  <c r="J46" i="10"/>
  <c r="I46" i="10"/>
  <c r="H46" i="10"/>
  <c r="G46" i="10"/>
  <c r="F46" i="10"/>
  <c r="E46" i="10"/>
  <c r="D46" i="10"/>
  <c r="C46" i="10"/>
  <c r="K45" i="10"/>
  <c r="J45" i="10"/>
  <c r="I45" i="10"/>
  <c r="H45" i="10"/>
  <c r="G45" i="10"/>
  <c r="F45" i="10"/>
  <c r="E45" i="10"/>
  <c r="D45" i="10"/>
  <c r="C45" i="10"/>
  <c r="K44" i="10"/>
  <c r="J44" i="10"/>
  <c r="I44" i="10"/>
  <c r="H44" i="10"/>
  <c r="G44" i="10"/>
  <c r="F44" i="10"/>
  <c r="E44" i="10"/>
  <c r="D44" i="10"/>
  <c r="C44" i="10"/>
  <c r="K43" i="10"/>
  <c r="J43" i="10"/>
  <c r="I43" i="10"/>
  <c r="H43" i="10"/>
  <c r="G43" i="10"/>
  <c r="F43" i="10"/>
  <c r="E43" i="10"/>
  <c r="D43" i="10"/>
  <c r="C43" i="10"/>
  <c r="K42" i="10"/>
  <c r="J42" i="10"/>
  <c r="I42" i="10"/>
  <c r="H42" i="10"/>
  <c r="G42" i="10"/>
  <c r="F42" i="10"/>
  <c r="E42" i="10"/>
  <c r="D42" i="10"/>
  <c r="C42" i="10"/>
  <c r="K41" i="10"/>
  <c r="J41" i="10"/>
  <c r="I41" i="10"/>
  <c r="H41" i="10"/>
  <c r="G41" i="10"/>
  <c r="F41" i="10"/>
  <c r="E41" i="10"/>
  <c r="D41" i="10"/>
  <c r="K40" i="10"/>
  <c r="J40" i="10"/>
  <c r="I40" i="10"/>
  <c r="H40" i="10"/>
  <c r="G40" i="10"/>
  <c r="F40" i="10"/>
  <c r="E40" i="10"/>
  <c r="D40" i="10"/>
  <c r="C40" i="10"/>
  <c r="K39" i="10"/>
  <c r="J39" i="10"/>
  <c r="I39" i="10"/>
  <c r="H39" i="10"/>
  <c r="G39" i="10"/>
  <c r="F39" i="10"/>
  <c r="E39" i="10"/>
  <c r="D39" i="10"/>
  <c r="C39" i="10"/>
  <c r="K38" i="10"/>
  <c r="J38" i="10"/>
  <c r="I38" i="10"/>
  <c r="H38" i="10"/>
  <c r="G38" i="10"/>
  <c r="F38" i="10"/>
  <c r="E38" i="10"/>
  <c r="D38" i="10"/>
  <c r="C38" i="10"/>
  <c r="K37" i="10"/>
  <c r="J37" i="10"/>
  <c r="I37" i="10"/>
  <c r="H37" i="10"/>
  <c r="G37" i="10"/>
  <c r="F37" i="10"/>
  <c r="E37" i="10"/>
  <c r="D37" i="10"/>
  <c r="C37" i="10"/>
  <c r="K36" i="10"/>
  <c r="J36" i="10"/>
  <c r="I36" i="10"/>
  <c r="H36" i="10"/>
  <c r="G36" i="10"/>
  <c r="F36" i="10"/>
  <c r="E36" i="10"/>
  <c r="D36" i="10"/>
  <c r="C36" i="10"/>
  <c r="K35" i="10"/>
  <c r="J35" i="10"/>
  <c r="H35" i="10"/>
  <c r="G35" i="10"/>
  <c r="F35" i="10"/>
  <c r="E35" i="10"/>
  <c r="D35" i="10"/>
  <c r="C35" i="10"/>
  <c r="K34" i="10"/>
  <c r="J34" i="10"/>
  <c r="I34" i="10"/>
  <c r="H34" i="10"/>
  <c r="G34" i="10"/>
  <c r="F34" i="10"/>
  <c r="E34" i="10"/>
  <c r="D34" i="10"/>
  <c r="C34" i="10"/>
  <c r="K33" i="10"/>
  <c r="J33" i="10"/>
  <c r="I33" i="10"/>
  <c r="H33" i="10"/>
  <c r="G33" i="10"/>
  <c r="F33" i="10"/>
  <c r="E33" i="10"/>
  <c r="D33" i="10"/>
  <c r="C33" i="10"/>
  <c r="K32" i="10"/>
  <c r="J32" i="10"/>
  <c r="H32" i="10"/>
  <c r="G32" i="10"/>
  <c r="F32" i="10"/>
  <c r="E32" i="10"/>
  <c r="D32" i="10"/>
  <c r="C32" i="10"/>
  <c r="K31" i="10"/>
  <c r="J31" i="10"/>
  <c r="I31" i="10"/>
  <c r="H31" i="10"/>
  <c r="G31" i="10"/>
  <c r="F31" i="10"/>
  <c r="E31" i="10"/>
  <c r="D31" i="10"/>
  <c r="C31" i="10"/>
  <c r="K30" i="10"/>
  <c r="J30" i="10"/>
  <c r="I30" i="10"/>
  <c r="H30" i="10"/>
  <c r="G30" i="10"/>
  <c r="F30" i="10"/>
  <c r="E30" i="10"/>
  <c r="D30" i="10"/>
  <c r="C30" i="10"/>
  <c r="K29" i="10"/>
  <c r="J29" i="10"/>
  <c r="I29" i="10"/>
  <c r="H29" i="10"/>
  <c r="G29" i="10"/>
  <c r="F29" i="10"/>
  <c r="E29" i="10"/>
  <c r="D29" i="10"/>
  <c r="K28" i="10"/>
  <c r="J28" i="10"/>
  <c r="I28" i="10"/>
  <c r="H28" i="10"/>
  <c r="G28" i="10"/>
  <c r="F28" i="10"/>
  <c r="E28" i="10"/>
  <c r="D28" i="10"/>
  <c r="C28" i="10"/>
  <c r="K27" i="10"/>
  <c r="J27" i="10"/>
  <c r="I27" i="10"/>
  <c r="H27" i="10"/>
  <c r="G27" i="10"/>
  <c r="F27" i="10"/>
  <c r="E27" i="10"/>
  <c r="D27" i="10"/>
  <c r="C27" i="10"/>
  <c r="K26" i="10"/>
  <c r="J26" i="10"/>
  <c r="I26" i="10"/>
  <c r="H26" i="10"/>
  <c r="G26" i="10"/>
  <c r="F26" i="10"/>
  <c r="E26" i="10"/>
  <c r="D26" i="10"/>
  <c r="C26" i="10"/>
  <c r="K25" i="10"/>
  <c r="J25" i="10"/>
  <c r="I25" i="10"/>
  <c r="H25" i="10"/>
  <c r="G25" i="10"/>
  <c r="F25" i="10"/>
  <c r="E25" i="10"/>
  <c r="D25" i="10"/>
  <c r="C25" i="10"/>
  <c r="K24" i="10"/>
  <c r="J24" i="10"/>
  <c r="I24" i="10"/>
  <c r="H24" i="10"/>
  <c r="G24" i="10"/>
  <c r="F24" i="10"/>
  <c r="E24" i="10"/>
  <c r="D24" i="10"/>
  <c r="C24" i="10"/>
  <c r="K23" i="10"/>
  <c r="J23" i="10"/>
  <c r="I23" i="10"/>
  <c r="H23" i="10"/>
  <c r="G23" i="10"/>
  <c r="F23" i="10"/>
  <c r="E23" i="10"/>
  <c r="D23" i="10"/>
  <c r="C23" i="10"/>
  <c r="K22" i="10"/>
  <c r="J22" i="10"/>
  <c r="I22" i="10"/>
  <c r="H22" i="10"/>
  <c r="G22" i="10"/>
  <c r="E22" i="10"/>
  <c r="D22" i="10"/>
  <c r="C22" i="10"/>
  <c r="K21" i="10"/>
  <c r="J21" i="10"/>
  <c r="I21" i="10"/>
  <c r="H21" i="10"/>
  <c r="G21" i="10"/>
  <c r="F21" i="10"/>
  <c r="E21" i="10"/>
  <c r="D21" i="10"/>
  <c r="C21" i="10"/>
  <c r="K20" i="10"/>
  <c r="J20" i="10"/>
  <c r="I20" i="10"/>
  <c r="H20" i="10"/>
  <c r="G20" i="10"/>
  <c r="F20" i="10"/>
  <c r="E20" i="10"/>
  <c r="D20" i="10"/>
  <c r="K19" i="10"/>
  <c r="J19" i="10"/>
  <c r="I19" i="10"/>
  <c r="H19" i="10"/>
  <c r="G19" i="10"/>
  <c r="F19" i="10"/>
  <c r="E19" i="10"/>
  <c r="D19" i="10"/>
  <c r="C19" i="10"/>
  <c r="K18" i="10"/>
  <c r="J18" i="10"/>
  <c r="I18" i="10"/>
  <c r="H18" i="10"/>
  <c r="G18" i="10"/>
  <c r="F18" i="10"/>
  <c r="E18" i="10"/>
  <c r="D18" i="10"/>
  <c r="C18" i="10"/>
  <c r="K17" i="10"/>
  <c r="J17" i="10"/>
  <c r="I17" i="10"/>
  <c r="H17" i="10"/>
  <c r="G17" i="10"/>
  <c r="F17" i="10"/>
  <c r="E17" i="10"/>
  <c r="D17" i="10"/>
  <c r="C17" i="10"/>
  <c r="K16" i="10"/>
  <c r="J16" i="10"/>
  <c r="I16" i="10"/>
  <c r="H16" i="10"/>
  <c r="G16" i="10"/>
  <c r="F16" i="10"/>
  <c r="E16" i="10"/>
  <c r="D16" i="10"/>
  <c r="C16" i="10"/>
  <c r="K15" i="10"/>
  <c r="J15" i="10"/>
  <c r="H15" i="10"/>
  <c r="G15" i="10"/>
  <c r="F15" i="10"/>
  <c r="E15" i="10"/>
  <c r="D15" i="10"/>
  <c r="C15" i="10"/>
  <c r="K14" i="10"/>
  <c r="J14" i="10"/>
  <c r="I14" i="10"/>
  <c r="H14" i="10"/>
  <c r="G14" i="10"/>
  <c r="F14" i="10"/>
  <c r="E14" i="10"/>
  <c r="D14" i="10"/>
  <c r="K13" i="10"/>
  <c r="J13" i="10"/>
  <c r="I13" i="10"/>
  <c r="H13" i="10"/>
  <c r="G13" i="10"/>
  <c r="F13" i="10"/>
  <c r="E13" i="10"/>
  <c r="D13" i="10"/>
  <c r="K12" i="10"/>
  <c r="J12" i="10"/>
  <c r="I12" i="10"/>
  <c r="H12" i="10"/>
  <c r="G12" i="10"/>
  <c r="F12" i="10"/>
  <c r="E12" i="10"/>
  <c r="D12" i="10"/>
  <c r="C12" i="10"/>
  <c r="K11" i="10"/>
  <c r="J11" i="10"/>
  <c r="H11" i="10"/>
  <c r="G11" i="10"/>
  <c r="F11" i="10"/>
  <c r="E11" i="10"/>
  <c r="D11" i="10"/>
  <c r="C11" i="10"/>
  <c r="K10" i="10"/>
  <c r="J10" i="10"/>
  <c r="I10" i="10"/>
  <c r="H10" i="10"/>
  <c r="G10" i="10"/>
  <c r="F10" i="10"/>
  <c r="E10" i="10"/>
  <c r="D10" i="10"/>
  <c r="C10" i="10"/>
  <c r="K9" i="10"/>
  <c r="J9" i="10"/>
  <c r="I9" i="10"/>
  <c r="H9" i="10"/>
  <c r="G9" i="10"/>
  <c r="F9" i="10"/>
  <c r="E9" i="10"/>
  <c r="D9" i="10"/>
  <c r="C9" i="10"/>
  <c r="K8" i="10"/>
  <c r="J8" i="10"/>
  <c r="I8" i="10"/>
  <c r="H8" i="10"/>
  <c r="G8" i="10"/>
  <c r="F8" i="10"/>
  <c r="E8" i="10"/>
  <c r="D8" i="10"/>
  <c r="C8" i="10"/>
  <c r="K7" i="10"/>
  <c r="J7" i="10"/>
  <c r="I7" i="10"/>
  <c r="H7" i="10"/>
  <c r="G7" i="10"/>
  <c r="F7" i="10"/>
  <c r="E7" i="10"/>
  <c r="D7" i="10"/>
  <c r="C7" i="10"/>
  <c r="K6" i="10"/>
  <c r="J6" i="10"/>
  <c r="I6" i="10"/>
  <c r="H6" i="10"/>
  <c r="G6" i="10"/>
  <c r="F6" i="10"/>
  <c r="E6" i="10"/>
  <c r="D6" i="10"/>
  <c r="C6" i="10"/>
  <c r="K5" i="10"/>
  <c r="J5" i="10"/>
  <c r="I5" i="10"/>
  <c r="H5" i="10"/>
  <c r="G5" i="10"/>
  <c r="F5" i="10"/>
  <c r="E5" i="10"/>
  <c r="D5" i="10"/>
  <c r="C5" i="10"/>
  <c r="K78" i="10"/>
  <c r="J78" i="10"/>
  <c r="I78" i="10"/>
  <c r="H78" i="10"/>
  <c r="G78" i="10"/>
  <c r="F78" i="10"/>
  <c r="E78" i="10"/>
  <c r="D78" i="10"/>
  <c r="L116" i="10" l="1"/>
  <c r="L30" i="10"/>
  <c r="L38" i="10"/>
  <c r="L46" i="10"/>
  <c r="L55" i="10"/>
  <c r="L80" i="10"/>
  <c r="L95" i="10"/>
  <c r="L103" i="10"/>
  <c r="L111" i="10"/>
  <c r="L6" i="10"/>
  <c r="L5" i="10"/>
  <c r="L21" i="10"/>
  <c r="L37" i="10"/>
  <c r="L45" i="10"/>
  <c r="L54" i="10"/>
  <c r="L62" i="10"/>
  <c r="L70" i="10"/>
  <c r="L79" i="10"/>
  <c r="L94" i="10"/>
  <c r="L102" i="10"/>
  <c r="L110" i="10"/>
  <c r="L7" i="10"/>
  <c r="L23" i="10"/>
  <c r="L31" i="10"/>
  <c r="L39" i="10"/>
  <c r="L47" i="10"/>
  <c r="L72" i="10"/>
  <c r="L96" i="10"/>
  <c r="L104" i="10"/>
  <c r="L112" i="10"/>
  <c r="L8" i="10"/>
  <c r="L16" i="10"/>
  <c r="L24" i="10"/>
  <c r="L40" i="10"/>
  <c r="L48" i="10"/>
  <c r="L57" i="10"/>
  <c r="L65" i="10"/>
  <c r="L73" i="10"/>
  <c r="L97" i="10"/>
  <c r="L105" i="10"/>
  <c r="L113" i="10"/>
  <c r="L9" i="10"/>
  <c r="L17" i="10"/>
  <c r="L25" i="10"/>
  <c r="L33" i="10"/>
  <c r="L49" i="10"/>
  <c r="L58" i="10"/>
  <c r="L66" i="10"/>
  <c r="L74" i="10"/>
  <c r="L98" i="10"/>
  <c r="L106" i="10"/>
  <c r="L10" i="10"/>
  <c r="L18" i="10"/>
  <c r="L26" i="10"/>
  <c r="L34" i="10"/>
  <c r="L42" i="10"/>
  <c r="L50" i="10"/>
  <c r="L59" i="10"/>
  <c r="L67" i="10"/>
  <c r="L84" i="10"/>
  <c r="L99" i="10"/>
  <c r="L107" i="10"/>
  <c r="L115" i="10"/>
  <c r="L19" i="10"/>
  <c r="L27" i="10"/>
  <c r="L43" i="10"/>
  <c r="L51" i="10"/>
  <c r="L68" i="10"/>
  <c r="L85" i="10"/>
  <c r="L100" i="10"/>
  <c r="L108" i="10"/>
  <c r="L12" i="10"/>
  <c r="L28" i="10"/>
  <c r="L36" i="10"/>
  <c r="L44" i="10"/>
  <c r="L53" i="10"/>
  <c r="L61" i="10"/>
  <c r="L69" i="10"/>
  <c r="L77" i="10"/>
  <c r="L86" i="10"/>
  <c r="L101" i="10"/>
  <c r="L109" i="10"/>
  <c r="L117" i="10"/>
  <c r="C6" i="7"/>
  <c r="P3" i="10" l="1"/>
  <c r="I81" i="10"/>
  <c r="L81" i="10" s="1"/>
  <c r="AK3" i="3"/>
  <c r="AK4" i="3"/>
  <c r="AK5" i="3"/>
  <c r="AK6" i="3"/>
  <c r="AK7" i="3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24" i="3"/>
  <c r="AK25" i="3"/>
  <c r="AK26" i="3"/>
  <c r="AK27" i="3"/>
  <c r="AK28" i="3"/>
  <c r="AK29" i="3"/>
  <c r="AK30" i="3"/>
  <c r="AK31" i="3"/>
  <c r="AK32" i="3"/>
  <c r="AK33" i="3"/>
  <c r="AK34" i="3"/>
  <c r="AK35" i="3"/>
  <c r="AK36" i="3"/>
  <c r="AK37" i="3"/>
  <c r="AK38" i="3"/>
  <c r="AK39" i="3"/>
  <c r="AK40" i="3"/>
  <c r="AK41" i="3"/>
  <c r="AK42" i="3"/>
  <c r="AK43" i="3"/>
  <c r="AK44" i="3"/>
  <c r="AK45" i="3"/>
  <c r="AK46" i="3"/>
  <c r="AF3" i="3"/>
  <c r="AF4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X55" i="4" l="1"/>
  <c r="V7" i="3" l="1"/>
  <c r="V8" i="3"/>
  <c r="V9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U7" i="3"/>
  <c r="U8" i="3"/>
  <c r="U9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AN3" i="4" l="1"/>
  <c r="AI3" i="4"/>
  <c r="AA3" i="3"/>
  <c r="AA4" i="3"/>
  <c r="AA5" i="3"/>
  <c r="AA6" i="3"/>
  <c r="AA7" i="3"/>
  <c r="I7" i="3" s="1"/>
  <c r="AA8" i="3"/>
  <c r="I8" i="3" s="1"/>
  <c r="AA9" i="3"/>
  <c r="I9" i="3" s="1"/>
  <c r="AA10" i="3"/>
  <c r="AA11" i="3"/>
  <c r="AA12" i="3"/>
  <c r="I12" i="3" s="1"/>
  <c r="AA13" i="3"/>
  <c r="I13" i="3" s="1"/>
  <c r="AA14" i="3"/>
  <c r="I14" i="3" s="1"/>
  <c r="AA15" i="3"/>
  <c r="I15" i="3" s="1"/>
  <c r="AA16" i="3"/>
  <c r="I16" i="3" s="1"/>
  <c r="AA17" i="3"/>
  <c r="I17" i="3" s="1"/>
  <c r="AA18" i="3"/>
  <c r="I18" i="3" s="1"/>
  <c r="AA19" i="3"/>
  <c r="I19" i="3" s="1"/>
  <c r="AA20" i="3"/>
  <c r="I20" i="3" s="1"/>
  <c r="AA21" i="3"/>
  <c r="I21" i="3" s="1"/>
  <c r="AA22" i="3"/>
  <c r="I22" i="3" s="1"/>
  <c r="AA23" i="3"/>
  <c r="I23" i="3" s="1"/>
  <c r="AA24" i="3"/>
  <c r="I24" i="3" s="1"/>
  <c r="AA25" i="3"/>
  <c r="I25" i="3" s="1"/>
  <c r="AA26" i="3"/>
  <c r="I26" i="3" s="1"/>
  <c r="AA27" i="3"/>
  <c r="I27" i="3" s="1"/>
  <c r="AA28" i="3"/>
  <c r="I28" i="3" s="1"/>
  <c r="AA29" i="3"/>
  <c r="I29" i="3" s="1"/>
  <c r="AA30" i="3"/>
  <c r="I30" i="3" s="1"/>
  <c r="AA31" i="3"/>
  <c r="I31" i="3" s="1"/>
  <c r="AA32" i="3"/>
  <c r="I32" i="3" s="1"/>
  <c r="AA33" i="3"/>
  <c r="I33" i="3" s="1"/>
  <c r="AA34" i="3"/>
  <c r="I34" i="3" s="1"/>
  <c r="AA35" i="3"/>
  <c r="I35" i="3" s="1"/>
  <c r="AA36" i="3"/>
  <c r="I36" i="3" s="1"/>
  <c r="AA37" i="3"/>
  <c r="I37" i="3" s="1"/>
  <c r="AA38" i="3"/>
  <c r="I38" i="3" s="1"/>
  <c r="AA39" i="3"/>
  <c r="I39" i="3" s="1"/>
  <c r="AA40" i="3"/>
  <c r="I40" i="3" s="1"/>
  <c r="AA41" i="3"/>
  <c r="I41" i="3" s="1"/>
  <c r="AA42" i="3"/>
  <c r="I42" i="3" s="1"/>
  <c r="AA43" i="3"/>
  <c r="I43" i="3" s="1"/>
  <c r="AA44" i="3"/>
  <c r="I44" i="3" s="1"/>
  <c r="AA45" i="3"/>
  <c r="I45" i="3" s="1"/>
  <c r="AA46" i="3"/>
  <c r="I46" i="3" s="1"/>
  <c r="AK3" i="5"/>
  <c r="AF3" i="5"/>
  <c r="AA3" i="5"/>
  <c r="AD3" i="4"/>
  <c r="C41" i="10"/>
  <c r="L41" i="10" s="1"/>
  <c r="D71" i="10"/>
  <c r="L71" i="10" s="1"/>
  <c r="E114" i="10"/>
  <c r="L114" i="10" s="1"/>
  <c r="C83" i="10" l="1"/>
  <c r="L83" i="10" s="1"/>
  <c r="S3" i="5" l="1"/>
  <c r="P3" i="5"/>
  <c r="M3" i="5"/>
  <c r="I82" i="10" l="1"/>
  <c r="L82" i="10" s="1"/>
  <c r="C78" i="10" l="1"/>
  <c r="L78" i="10" s="1"/>
  <c r="I76" i="10" l="1"/>
  <c r="L76" i="10" s="1"/>
  <c r="C75" i="10" l="1"/>
  <c r="L75" i="10" s="1"/>
  <c r="I15" i="10" l="1"/>
  <c r="L15" i="10" s="1"/>
  <c r="F64" i="10" l="1"/>
  <c r="L64" i="10" s="1"/>
  <c r="C63" i="10" l="1"/>
  <c r="L63" i="10" s="1"/>
  <c r="I56" i="10" l="1"/>
  <c r="L56" i="10" s="1"/>
  <c r="AR3" i="4" l="1"/>
  <c r="I35" i="10" l="1"/>
  <c r="L35" i="10" s="1"/>
  <c r="C14" i="10"/>
  <c r="L14" i="10" s="1"/>
  <c r="C60" i="10" l="1"/>
  <c r="L60" i="10" s="1"/>
  <c r="T3" i="4" l="1"/>
  <c r="I32" i="10" l="1"/>
  <c r="L32" i="10" s="1"/>
  <c r="C29" i="10"/>
  <c r="L29" i="10" s="1"/>
  <c r="B4" i="6" l="1"/>
  <c r="F4" i="6" s="1"/>
  <c r="K4" i="6"/>
  <c r="N4" i="6"/>
  <c r="Q4" i="6"/>
  <c r="S4" i="6"/>
  <c r="B5" i="6"/>
  <c r="C5" i="6"/>
  <c r="K5" i="6"/>
  <c r="N5" i="6"/>
  <c r="Q5" i="6"/>
  <c r="S5" i="6"/>
  <c r="B6" i="6"/>
  <c r="C6" i="6"/>
  <c r="K6" i="6"/>
  <c r="N6" i="6"/>
  <c r="Q6" i="6"/>
  <c r="S6" i="6"/>
  <c r="B7" i="6"/>
  <c r="C7" i="6"/>
  <c r="K7" i="6"/>
  <c r="N7" i="6"/>
  <c r="Q7" i="6"/>
  <c r="S7" i="6"/>
  <c r="F6" i="6" l="1"/>
  <c r="F5" i="6"/>
  <c r="F7" i="6"/>
  <c r="R4" i="6"/>
  <c r="R6" i="6"/>
  <c r="R5" i="6"/>
  <c r="R7" i="6"/>
  <c r="C13" i="10"/>
  <c r="L13" i="10" s="1"/>
  <c r="F22" i="10" l="1"/>
  <c r="L22" i="10" s="1"/>
  <c r="C5" i="7" l="1"/>
  <c r="C20" i="10" l="1"/>
  <c r="L20" i="10" s="1"/>
  <c r="I11" i="10" l="1"/>
  <c r="L11" i="10" s="1"/>
  <c r="C7" i="7"/>
  <c r="C9" i="7" s="1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N3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Q3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35" i="6"/>
  <c r="Q3" i="4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T3" i="5" l="1"/>
  <c r="B3" i="5"/>
  <c r="F3" i="5" s="1"/>
  <c r="V3" i="4"/>
  <c r="U3" i="5" l="1"/>
  <c r="V3" i="5"/>
  <c r="I3" i="5" s="1"/>
  <c r="S3" i="6" l="1"/>
  <c r="S8" i="6"/>
  <c r="S9" i="6"/>
  <c r="S10" i="6"/>
  <c r="S11" i="6"/>
  <c r="S12" i="6"/>
  <c r="S13" i="6"/>
  <c r="S14" i="6"/>
  <c r="S15" i="6"/>
  <c r="S16" i="6"/>
  <c r="S17" i="6"/>
  <c r="S18" i="6"/>
  <c r="S19" i="6"/>
  <c r="S20" i="6"/>
  <c r="S21" i="6"/>
  <c r="S22" i="6"/>
  <c r="S23" i="6"/>
  <c r="S24" i="6"/>
  <c r="S25" i="6"/>
  <c r="S26" i="6"/>
  <c r="S27" i="6"/>
  <c r="S28" i="6"/>
  <c r="S29" i="6"/>
  <c r="S30" i="6"/>
  <c r="S31" i="6"/>
  <c r="S32" i="6"/>
  <c r="S33" i="6"/>
  <c r="S34" i="6"/>
  <c r="S35" i="6"/>
  <c r="K3" i="6"/>
  <c r="R3" i="6" s="1"/>
  <c r="K8" i="6"/>
  <c r="R8" i="6" s="1"/>
  <c r="K9" i="6"/>
  <c r="R9" i="6" s="1"/>
  <c r="K10" i="6"/>
  <c r="R10" i="6" s="1"/>
  <c r="K11" i="6"/>
  <c r="R11" i="6" s="1"/>
  <c r="K12" i="6"/>
  <c r="R12" i="6" s="1"/>
  <c r="K13" i="6"/>
  <c r="R13" i="6" s="1"/>
  <c r="K14" i="6"/>
  <c r="R14" i="6" s="1"/>
  <c r="K15" i="6"/>
  <c r="R15" i="6" s="1"/>
  <c r="K16" i="6"/>
  <c r="R16" i="6" s="1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N3" i="4"/>
  <c r="U3" i="4" s="1"/>
  <c r="W3" i="4" s="1"/>
  <c r="M3" i="3"/>
  <c r="T3" i="3" s="1"/>
  <c r="M4" i="3"/>
  <c r="T4" i="3" s="1"/>
  <c r="M5" i="3"/>
  <c r="T5" i="3" s="1"/>
  <c r="M6" i="3"/>
  <c r="T6" i="3" s="1"/>
  <c r="M7" i="3"/>
  <c r="T7" i="3" s="1"/>
  <c r="M8" i="3"/>
  <c r="T8" i="3" s="1"/>
  <c r="M9" i="3"/>
  <c r="T9" i="3" s="1"/>
  <c r="M10" i="3"/>
  <c r="T10" i="3" s="1"/>
  <c r="M11" i="3"/>
  <c r="T11" i="3" s="1"/>
  <c r="M12" i="3"/>
  <c r="T12" i="3" s="1"/>
  <c r="M13" i="3"/>
  <c r="T13" i="3" s="1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U11" i="3" l="1"/>
  <c r="V11" i="3"/>
  <c r="I11" i="3" s="1"/>
  <c r="U10" i="3"/>
  <c r="V10" i="3"/>
  <c r="I10" i="3" s="1"/>
  <c r="U4" i="3"/>
  <c r="V4" i="3"/>
  <c r="I4" i="3" s="1"/>
  <c r="U3" i="3"/>
  <c r="V3" i="3"/>
  <c r="I3" i="3" s="1"/>
  <c r="U5" i="3"/>
  <c r="V5" i="3"/>
  <c r="I5" i="3" s="1"/>
  <c r="U6" i="3"/>
  <c r="V6" i="3"/>
  <c r="I6" i="3" s="1"/>
  <c r="B8" i="7"/>
  <c r="X3" i="4"/>
  <c r="J3" i="4" s="1"/>
  <c r="Y3" i="4"/>
  <c r="I3" i="4" s="1"/>
  <c r="B5" i="7"/>
  <c r="D5" i="7" s="1"/>
  <c r="B6" i="7" l="1"/>
  <c r="D6" i="7" s="1"/>
  <c r="B7" i="7"/>
  <c r="D7" i="7" s="1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5" i="6"/>
  <c r="C16" i="6" s="1"/>
  <c r="C14" i="6"/>
  <c r="C13" i="6"/>
  <c r="C12" i="6"/>
  <c r="C11" i="6"/>
  <c r="C10" i="6"/>
  <c r="C9" i="6"/>
  <c r="C8" i="6"/>
  <c r="B9" i="7" l="1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2" i="3"/>
  <c r="C13" i="3" s="1"/>
  <c r="C7" i="3"/>
  <c r="C8" i="3" s="1"/>
  <c r="C9" i="3" s="1"/>
  <c r="C10" i="3" s="1"/>
  <c r="C11" i="3" s="1"/>
  <c r="C6" i="3"/>
  <c r="C4" i="3"/>
  <c r="C5" i="3" s="1"/>
  <c r="B12" i="7" l="1"/>
  <c r="B11" i="7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F16" i="6" s="1"/>
  <c r="B15" i="6"/>
  <c r="F15" i="6" s="1"/>
  <c r="B14" i="6"/>
  <c r="F14" i="6" s="1"/>
  <c r="B13" i="6"/>
  <c r="F13" i="6" s="1"/>
  <c r="B12" i="6"/>
  <c r="F12" i="6" s="1"/>
  <c r="B11" i="6"/>
  <c r="F11" i="6" s="1"/>
  <c r="B10" i="6"/>
  <c r="F10" i="6" s="1"/>
  <c r="B9" i="6"/>
  <c r="F9" i="6" s="1"/>
  <c r="B8" i="6"/>
  <c r="F8" i="6" s="1"/>
  <c r="B3" i="6"/>
  <c r="F3" i="6" s="1"/>
  <c r="B3" i="4" l="1"/>
  <c r="F3" i="4" s="1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F13" i="3" s="1"/>
  <c r="B12" i="3"/>
  <c r="F12" i="3" s="1"/>
  <c r="B11" i="3"/>
  <c r="F11" i="3" s="1"/>
  <c r="B10" i="3"/>
  <c r="F10" i="3" s="1"/>
  <c r="F9" i="3"/>
  <c r="B8" i="3"/>
  <c r="F8" i="3" s="1"/>
  <c r="B7" i="3"/>
  <c r="F7" i="3" s="1"/>
  <c r="B6" i="3"/>
  <c r="F6" i="3" s="1"/>
  <c r="B5" i="3"/>
  <c r="F5" i="3" s="1"/>
  <c r="B4" i="3"/>
  <c r="F4" i="3" s="1"/>
  <c r="B3" i="3"/>
  <c r="F3" i="3" s="1"/>
</calcChain>
</file>

<file path=xl/comments1.xml><?xml version="1.0" encoding="utf-8"?>
<comments xmlns="http://schemas.openxmlformats.org/spreadsheetml/2006/main">
  <authors>
    <author>Florence Rouch</author>
  </authors>
  <commentList>
    <comment ref="Q7" author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</t>
        </r>
      </text>
    </comment>
  </commentList>
</comments>
</file>

<file path=xl/comments2.xml><?xml version="1.0" encoding="utf-8"?>
<comments xmlns="http://schemas.openxmlformats.org/spreadsheetml/2006/main">
  <authors>
    <author>Florence Rouch</author>
  </authors>
  <commentList>
    <comment ref="O3" author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 NETTE DE TAXE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</t>
        </r>
      </text>
    </comment>
  </commentList>
</comments>
</file>

<file path=xl/comments3.xml><?xml version="1.0" encoding="utf-8"?>
<comments xmlns="http://schemas.openxmlformats.org/spreadsheetml/2006/main">
  <authors>
    <author>Florence Rouch</author>
  </authors>
  <commentList>
    <comment ref="P4" author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 NETTE DE TAXE</t>
        </r>
      </text>
    </comment>
  </commentList>
</comments>
</file>

<file path=xl/sharedStrings.xml><?xml version="1.0" encoding="utf-8"?>
<sst xmlns="http://schemas.openxmlformats.org/spreadsheetml/2006/main" count="859" uniqueCount="394">
  <si>
    <t>FR</t>
  </si>
  <si>
    <t>N°</t>
  </si>
  <si>
    <t>Client</t>
  </si>
  <si>
    <t>Date</t>
  </si>
  <si>
    <t>N° complet</t>
  </si>
  <si>
    <t>FA1</t>
  </si>
  <si>
    <t>FA2</t>
  </si>
  <si>
    <t>Saisir la date : c'est çà qui déclenche la création du n° de FA1</t>
  </si>
  <si>
    <t>Saisir la date : c'est çà qui déclenche la création du n° de FA2</t>
  </si>
  <si>
    <t>Saisir la date : c'est çà qui déclenche la création du n° de F finale</t>
  </si>
  <si>
    <t>F</t>
  </si>
  <si>
    <t>PAC</t>
  </si>
  <si>
    <t>Réglé le</t>
  </si>
  <si>
    <t>Par</t>
  </si>
  <si>
    <t>VR</t>
  </si>
  <si>
    <t>CESI</t>
  </si>
  <si>
    <t>Objet</t>
  </si>
  <si>
    <t>Total HT</t>
  </si>
  <si>
    <t>CETD</t>
  </si>
  <si>
    <t>CLIM</t>
  </si>
  <si>
    <t>Saisir la date : c'est çà qui déclenche la création du n° d'avoir</t>
  </si>
  <si>
    <t>A</t>
  </si>
  <si>
    <t>Mois encaiss.</t>
  </si>
  <si>
    <t>Dont soumis au taux réduit</t>
  </si>
  <si>
    <t>Montant TVA taux réduit</t>
  </si>
  <si>
    <t>Dont soumis au taux normal</t>
  </si>
  <si>
    <t>Montant TVA taux normal</t>
  </si>
  <si>
    <t>TOTAL TTC</t>
  </si>
  <si>
    <t>Taux réduit</t>
  </si>
  <si>
    <t>Cial</t>
  </si>
  <si>
    <t>ARAYE</t>
  </si>
  <si>
    <t>Ecart de règlement</t>
  </si>
  <si>
    <t>SOLDE A REGLER</t>
  </si>
  <si>
    <t>Ecart de règlement FA1</t>
  </si>
  <si>
    <t>Ecart de règlement FA2</t>
  </si>
  <si>
    <t>GEROUIT</t>
  </si>
  <si>
    <t>CRISTINI</t>
  </si>
  <si>
    <t>DE FUSTER</t>
  </si>
  <si>
    <t>Chantier soldé ?</t>
  </si>
  <si>
    <t>JOLY</t>
  </si>
  <si>
    <t>SAULET</t>
  </si>
  <si>
    <t>Ecochèque envoyé à la Région le</t>
  </si>
  <si>
    <t>Virement reçu le</t>
  </si>
  <si>
    <t>Taux normal</t>
  </si>
  <si>
    <t>Dont soumis au taux intermédiaire</t>
  </si>
  <si>
    <t>Taux intermédiaire</t>
  </si>
  <si>
    <t>RADIATEUR PAC</t>
  </si>
  <si>
    <t>FA2 PAC 2013 -&gt; 2014</t>
  </si>
  <si>
    <t>FA2 CESI 2013 -&gt; 2014</t>
  </si>
  <si>
    <t>affecté à facture travaux électriques</t>
  </si>
  <si>
    <t>DEPOSE CHAUDIRE</t>
  </si>
  <si>
    <t>a deduire facture finale PAC ou d'un futur entretien</t>
  </si>
  <si>
    <t>PV9K</t>
  </si>
  <si>
    <t>Délai Eco-chèque</t>
  </si>
  <si>
    <t>COMMENGE</t>
  </si>
  <si>
    <t>KALIFA</t>
  </si>
  <si>
    <t>Parrainages</t>
  </si>
  <si>
    <t>%</t>
  </si>
  <si>
    <r>
      <t xml:space="preserve">NOM </t>
    </r>
    <r>
      <rPr>
        <b/>
        <sz val="11"/>
        <color theme="1"/>
        <rFont val="Segoe UI"/>
        <family val="2"/>
      </rPr>
      <t>EXACT</t>
    </r>
    <r>
      <rPr>
        <sz val="11"/>
        <color theme="1"/>
        <rFont val="Segoe UI"/>
        <family val="2"/>
      </rPr>
      <t xml:space="preserve"> CLIENT</t>
    </r>
  </si>
  <si>
    <t>TOTAL</t>
  </si>
  <si>
    <t>Règlements</t>
  </si>
  <si>
    <t>Reste à régler</t>
  </si>
  <si>
    <t>Trop-perçu</t>
  </si>
  <si>
    <t>Montant TVA taux intermédiaire</t>
  </si>
  <si>
    <t>JP</t>
  </si>
  <si>
    <t>GIBIELLE</t>
  </si>
  <si>
    <r>
      <rPr>
        <b/>
        <sz val="11"/>
        <rFont val="Segoe UI"/>
        <family val="2"/>
      </rPr>
      <t>Ecarts réglements :</t>
    </r>
    <r>
      <rPr>
        <b/>
        <sz val="11"/>
        <color rgb="FFFF0000"/>
        <rFont val="Segoe UI"/>
        <family val="2"/>
      </rPr>
      <t xml:space="preserve"> NEGATIF = dette client</t>
    </r>
    <r>
      <rPr>
        <b/>
        <sz val="11"/>
        <rFont val="Segoe UI"/>
        <family val="2"/>
      </rPr>
      <t xml:space="preserve"> /</t>
    </r>
    <r>
      <rPr>
        <b/>
        <sz val="11"/>
        <color rgb="FFFF0000"/>
        <rFont val="Segoe UI"/>
        <family val="2"/>
      </rPr>
      <t xml:space="preserve"> </t>
    </r>
    <r>
      <rPr>
        <b/>
        <sz val="11"/>
        <color rgb="FF00B050"/>
        <rFont val="Segoe UI"/>
        <family val="2"/>
      </rPr>
      <t>POSITIF = trop payé</t>
    </r>
  </si>
  <si>
    <t>VIGNEAU</t>
  </si>
  <si>
    <t>MARRE</t>
  </si>
  <si>
    <t>GAILLARD</t>
  </si>
  <si>
    <t>Trop-perçu sur F-14060002</t>
  </si>
  <si>
    <t>N° remise</t>
  </si>
  <si>
    <t>Date valeur</t>
  </si>
  <si>
    <t>Comm versée en</t>
  </si>
  <si>
    <t>Date chèque 1</t>
  </si>
  <si>
    <t>Montant chèque 1</t>
  </si>
  <si>
    <t>Référence chèque 1</t>
  </si>
  <si>
    <t>N° remise chèque 1</t>
  </si>
  <si>
    <t>Date valeur chèque 1</t>
  </si>
  <si>
    <t>Date valeur chèque 2</t>
  </si>
  <si>
    <t>Date valeur chèque 3</t>
  </si>
  <si>
    <t>Date chèque 2</t>
  </si>
  <si>
    <t>Montant chèque 2</t>
  </si>
  <si>
    <t>Référence chèque 2</t>
  </si>
  <si>
    <t>N° remise chèque 2</t>
  </si>
  <si>
    <t>Date chèque 3</t>
  </si>
  <si>
    <t>Montant chèque 3</t>
  </si>
  <si>
    <t>Référence chèque 3</t>
  </si>
  <si>
    <t>N° remise chèque 3</t>
  </si>
  <si>
    <t>Ecart règlement ENCAISSE FA1</t>
  </si>
  <si>
    <r>
      <t xml:space="preserve">Date acquittement </t>
    </r>
    <r>
      <rPr>
        <sz val="10"/>
        <color theme="1"/>
        <rFont val="Segoe UI"/>
        <family val="2"/>
      </rPr>
      <t>(date encaissement)</t>
    </r>
  </si>
  <si>
    <t>Ecart de règlement ENCAISSEMENT FA2</t>
  </si>
  <si>
    <t>Ecart de règlement ENCAISSEMENT</t>
  </si>
  <si>
    <t>isolation</t>
  </si>
  <si>
    <t>Facture TTC</t>
  </si>
  <si>
    <t>Montant total d'une remise de chèques :</t>
  </si>
  <si>
    <t>(pour pointage relevé de compte bancaire)</t>
  </si>
  <si>
    <t>N° de remise :</t>
  </si>
  <si>
    <t>Total de cette remise :</t>
  </si>
  <si>
    <t>FA1, chq 1</t>
  </si>
  <si>
    <t>FA1, chq 2</t>
  </si>
  <si>
    <t>FA1, chq 3</t>
  </si>
  <si>
    <t>FA2, chq 1</t>
  </si>
  <si>
    <t>FA2, chq 2</t>
  </si>
  <si>
    <t>FA2, chq 3</t>
  </si>
  <si>
    <t>Ffinale, chq 1</t>
  </si>
  <si>
    <t>Ffinale, chq 2</t>
  </si>
  <si>
    <t>Ffinale, chq 3</t>
  </si>
  <si>
    <t>Total</t>
  </si>
  <si>
    <t>radiateurs</t>
  </si>
  <si>
    <t>isolation rampants</t>
  </si>
  <si>
    <t>Non réalisé (conduits)</t>
  </si>
  <si>
    <t>Ne pas oublier de remplir TABLEUR TVA</t>
  </si>
  <si>
    <t>LORENZATO Patrice</t>
  </si>
  <si>
    <t>DOMO DELPON</t>
  </si>
  <si>
    <t>DOMO BERTRAND</t>
  </si>
  <si>
    <t>BUAILLON FA1</t>
  </si>
  <si>
    <t>Non réalisé (tranchée)</t>
  </si>
  <si>
    <t>VAILLANT LAMBERT</t>
  </si>
  <si>
    <t>chaudière gra + CESI</t>
  </si>
  <si>
    <t>DOMO BESOZZI</t>
  </si>
  <si>
    <t>12-Oct</t>
  </si>
  <si>
    <t xml:space="preserve">0542275                            
Remise De Cheque                   </t>
  </si>
  <si>
    <t xml:space="preserve">8612244                            
Remise De Cheque                   </t>
  </si>
  <si>
    <t xml:space="preserve">8612241                            
Remise De Cheque                   </t>
  </si>
  <si>
    <t xml:space="preserve">3476168                            
Remise De Cheque                   </t>
  </si>
  <si>
    <t xml:space="preserve">8612243                            
Remise De Cheque                   </t>
  </si>
  <si>
    <t xml:space="preserve">3476176                            
Remise De Cheque                   </t>
  </si>
  <si>
    <t xml:space="preserve">3476170                            
Remise De Cheque                   </t>
  </si>
  <si>
    <t xml:space="preserve">3476165                            
Remise De Cheque                   </t>
  </si>
  <si>
    <t xml:space="preserve">3476169                            
Remise De Cheque                   </t>
  </si>
  <si>
    <t xml:space="preserve">8612242                            
Remise De Cheque                   </t>
  </si>
  <si>
    <t xml:space="preserve">8612240                            
Remise De Cheque                   </t>
  </si>
  <si>
    <t xml:space="preserve">8612239                            
Remise De Cheque                   </t>
  </si>
  <si>
    <t xml:space="preserve">3476175                            
Remise De Cheque                   </t>
  </si>
  <si>
    <t>Currencyfair Ltd 366677 17848320   
Virement En Votre Faveur           
Allan Donaldsoninstallation At Vari
Lhes
366677 17848320</t>
  </si>
  <si>
    <t>HABITAT TRADE 20151001-01</t>
  </si>
  <si>
    <t>HABITAT TRADE 20151001-02</t>
  </si>
  <si>
    <t>01-Oct</t>
  </si>
  <si>
    <t>Habitat Trade Sas Habitat Trade    
Virement En Votre Faveur           
63485:</t>
  </si>
  <si>
    <t>DOMO BENEITO</t>
  </si>
  <si>
    <t>DOMO BESOMBES</t>
  </si>
  <si>
    <t>28-Oct</t>
  </si>
  <si>
    <t>Bnp Paribas Personal Finance Sas   
Virement En Votre Faveur           
1850855288art
Sasct20151026000000000000002670</t>
  </si>
  <si>
    <t>23-Oct</t>
  </si>
  <si>
    <t xml:space="preserve">8612247                            
Remise De Cheque                   </t>
  </si>
  <si>
    <t xml:space="preserve">8612249                            
Remise De Cheque                   </t>
  </si>
  <si>
    <t xml:space="preserve">8612248                            
Remise De Cheque                   </t>
  </si>
  <si>
    <t xml:space="preserve">8612246                            
Remise De Cheque                   </t>
  </si>
  <si>
    <t xml:space="preserve">8612245                            
Remise De Cheque                   </t>
  </si>
  <si>
    <t>erreur, donc remise de chèque détruite</t>
  </si>
  <si>
    <t>Non réalisé (acompte non réglé)</t>
  </si>
  <si>
    <t>GEA</t>
  </si>
  <si>
    <t>DOMO SCHOENKNECHT</t>
  </si>
  <si>
    <t>19-Nov</t>
  </si>
  <si>
    <t>Bnp Paribas Personal Finance Sas   
Virement En Votre Faveur           
1850855288art
Sasct20151117000000000000000725</t>
  </si>
  <si>
    <t>16-Nov</t>
  </si>
  <si>
    <t xml:space="preserve">8612257                            
Remise De Cheque                   </t>
  </si>
  <si>
    <t xml:space="preserve">8612259                            
Remise De Cheque                   </t>
  </si>
  <si>
    <t xml:space="preserve">8612254                            
Remise De Cheque                   </t>
  </si>
  <si>
    <t xml:space="preserve">8612255                            
Remise De Cheque                   </t>
  </si>
  <si>
    <t xml:space="preserve">8612256                            
Remise De Cheque                   </t>
  </si>
  <si>
    <t xml:space="preserve">8612258                            
Remise De Cheque                   </t>
  </si>
  <si>
    <t>04-Nov</t>
  </si>
  <si>
    <t xml:space="preserve">8612252                            
Remise De Cheque                   </t>
  </si>
  <si>
    <t xml:space="preserve">8612250                            
Remise De Cheque                   </t>
  </si>
  <si>
    <t xml:space="preserve">8612251                            
Remise De Cheque                   </t>
  </si>
  <si>
    <t>02-Nov</t>
  </si>
  <si>
    <t>Bnp Paribas Personal Finance Sas   
Virement En Votre Faveur           
1850855288art
Sasct20151029000000000000002269</t>
  </si>
  <si>
    <t>DARANDOVAS</t>
  </si>
  <si>
    <t>DOMO AMIEL JL</t>
  </si>
  <si>
    <t>annulée et remplacée</t>
  </si>
  <si>
    <t>VOPEL</t>
  </si>
  <si>
    <t>multisplit RAM90</t>
  </si>
  <si>
    <t>multisplit RAM110</t>
  </si>
  <si>
    <t>ROUZOUL</t>
  </si>
  <si>
    <t>[TableauFA1]</t>
  </si>
  <si>
    <t>[TableauFA2]</t>
  </si>
  <si>
    <t>[TableauFfinale]</t>
  </si>
  <si>
    <t>[TableauAvoirs]</t>
  </si>
  <si>
    <t>14-Déc</t>
  </si>
  <si>
    <t xml:space="preserve">5340260                            
Remise De Cheque                   </t>
  </si>
  <si>
    <t xml:space="preserve">5340261                            
Remise De Cheque                   </t>
  </si>
  <si>
    <t>10-Déc</t>
  </si>
  <si>
    <t>Bnp Paribas Personal Finance Sas   
Virement En Votre Faveur           
1850855288art
Sasct20151208000000000000000829</t>
  </si>
  <si>
    <t>Paierie Regionale Languedoc Rous   
Virement En Votre Faveur           
Eco Cheque Mp 28/07/15-02/12/15regi
On Midi-Pyrenees -
160310800040002015-12-0851713
Region Midi-Pyrenees -</t>
  </si>
  <si>
    <t>ça ne peut être que Roscouet ou Marty, et comme Roscouet a été déposé le 10, ça ne peut donc être que Marty</t>
  </si>
  <si>
    <t>03-Déc</t>
  </si>
  <si>
    <t xml:space="preserve">5340256                            
Remise De Cheque                   </t>
  </si>
  <si>
    <t xml:space="preserve">5340254                            
Remise De Cheque                   </t>
  </si>
  <si>
    <t xml:space="preserve">8612260                            
Remise De Cheque                   </t>
  </si>
  <si>
    <t xml:space="preserve">5340258                            
Remise De Cheque                   </t>
  </si>
  <si>
    <t xml:space="preserve">8612262                            
Remise De Cheque                   </t>
  </si>
  <si>
    <t xml:space="preserve">8612261                            
Remise De Cheque                   </t>
  </si>
  <si>
    <t>HABITAT TRADE F-15100017</t>
  </si>
  <si>
    <t>HABITAT TRADE F-15110006</t>
  </si>
  <si>
    <t>HABITAT TRADE F-15120012</t>
  </si>
  <si>
    <t>01-Déc</t>
  </si>
  <si>
    <t>29-Sep</t>
  </si>
  <si>
    <t>Mme Ou Mr Buaillon Kevin Viremen   
Virement En Votre Faveur           
Acompte Pour Les Travaux.
Virement Acompte Buaillon</t>
  </si>
  <si>
    <t>25-Sep</t>
  </si>
  <si>
    <t>Paierie Regionale 16031080004000   
Virement En Votre Faveur           
Eco Cheque Mp 02/07/15-23/07/15regi
On Midi-Pyrenees -
160310800040002015-09-2335127
Region Midi-Pyrenees -</t>
  </si>
  <si>
    <t>23-Sep</t>
  </si>
  <si>
    <t xml:space="preserve">3476172                            
Remise De Cheque                   </t>
  </si>
  <si>
    <t xml:space="preserve">3476171                            
Remise De Cheque                   </t>
  </si>
  <si>
    <t xml:space="preserve">3476174                            
Remise De Cheque                   </t>
  </si>
  <si>
    <t xml:space="preserve">3476173                            
Remise De Cheque                   </t>
  </si>
  <si>
    <t>Paierie Regionale 16031080004000   
Virement En Votre Faveur           
Eco Cheque Mp 01/07/15-30/07/15regi
On Midi-Pyrenees -
160310800040002015-09-2134913
Region Midi-Pyrenees -</t>
  </si>
  <si>
    <t>17-Sep</t>
  </si>
  <si>
    <t>Virement En Votre Faveur           
F 15080008 Joubert Pascal          
F 15080008</t>
  </si>
  <si>
    <t>16-Sep</t>
  </si>
  <si>
    <t>Paierie Regionale 16031080004000   
Virement En Votre Faveur           
Remboursement Ecocheque Logementreg
Ion Midi-Pyrenees -
160310800040002015-09-1433486
Region Midi-Pyrenees -</t>
  </si>
  <si>
    <t>10-Sep</t>
  </si>
  <si>
    <t xml:space="preserve">3476167                            
Remise De Cheque                   </t>
  </si>
  <si>
    <t>07-Sep</t>
  </si>
  <si>
    <t xml:space="preserve">3476166                            
Remise De Cheque                   </t>
  </si>
  <si>
    <t xml:space="preserve">3476161                            
Remise De Cheque                   </t>
  </si>
  <si>
    <t xml:space="preserve">3476164                            
Remise De Cheque                   </t>
  </si>
  <si>
    <t>formule dans le chéquier = vide, remise de chèque manquante (erreur ? Remise de chèque détruite ??)</t>
  </si>
  <si>
    <t>ECOCHEQUE ESCAFFRE</t>
  </si>
  <si>
    <t>ECOCHEQUE MARTY</t>
  </si>
  <si>
    <t>VIREMENT JOUBERT</t>
  </si>
  <si>
    <t>VIREMENT DONALDSON</t>
  </si>
  <si>
    <t>ECOCHEQUE ROSCOUET</t>
  </si>
  <si>
    <t>ECOCHEQUE DELPON</t>
  </si>
  <si>
    <t>ECOCHEQUE SANS</t>
  </si>
  <si>
    <t>ECOCHEQUE MARRE</t>
  </si>
  <si>
    <t>DOMO SWINNEN</t>
  </si>
  <si>
    <t>Ecarts réglements FA1+FA2-AVOIR (report)</t>
  </si>
  <si>
    <t>VIREMENT QUINOT</t>
  </si>
  <si>
    <t>Virement 
Mme Quinot Marie Ange Restant Du
Paiement Du Restant Du (facture Soc 
Iete Rouch Energies Numero F-151200 
05 
Restant Du Rouch / Quinot</t>
  </si>
  <si>
    <t>Libellé</t>
  </si>
  <si>
    <t>Débit Euros</t>
  </si>
  <si>
    <t>Crédit Euros</t>
  </si>
  <si>
    <t>21-Déc</t>
  </si>
  <si>
    <t xml:space="preserve">5340264                            
Remise De Cheque                   </t>
  </si>
  <si>
    <t xml:space="preserve">5340263                            
Remise De Cheque                   </t>
  </si>
  <si>
    <t xml:space="preserve">5340267                            
Remise De Cheque                   </t>
  </si>
  <si>
    <t xml:space="preserve">5340266                            
Remise De Cheque                   </t>
  </si>
  <si>
    <t>QUOTATIS F-15120001</t>
  </si>
  <si>
    <t>29-Déc</t>
  </si>
  <si>
    <t xml:space="preserve">5340269                            
Remise De Cheque                   </t>
  </si>
  <si>
    <t xml:space="preserve">5340255                            
Remise De Cheque                   </t>
  </si>
  <si>
    <t xml:space="preserve">5340268                            
Remise De Cheque                   </t>
  </si>
  <si>
    <t xml:space="preserve">5340270                            
Remise De Cheque                   </t>
  </si>
  <si>
    <t xml:space="preserve">5340271                            
Remise De Cheque                   </t>
  </si>
  <si>
    <r>
      <t xml:space="preserve">Chèque Mme Péré pour facture de </t>
    </r>
    <r>
      <rPr>
        <b/>
        <sz val="18"/>
        <color rgb="FFFF0000"/>
        <rFont val="Segoe UI"/>
        <family val="2"/>
        <scheme val="minor"/>
      </rPr>
      <t>2012</t>
    </r>
  </si>
  <si>
    <t xml:space="preserve">5340265                            
Remise De Cheque                   </t>
  </si>
  <si>
    <t>ECOCHEQUE BUAILLON</t>
  </si>
  <si>
    <t>BAYSSIERE</t>
  </si>
  <si>
    <t>Retard travaux</t>
  </si>
  <si>
    <t>VIREMENT 2 BUAILLON</t>
  </si>
  <si>
    <t>QUOTATIS F-16010001</t>
  </si>
  <si>
    <t>HABITAT TRADE F-15050001</t>
  </si>
  <si>
    <t>LE LORINQUER</t>
  </si>
  <si>
    <t>BRUNEL</t>
  </si>
  <si>
    <t>RANNOU FERRE</t>
  </si>
  <si>
    <t>Chaudière GRA</t>
  </si>
  <si>
    <t>CAILLABA</t>
  </si>
  <si>
    <t>QUOTATIS F-16020001</t>
  </si>
  <si>
    <t>geste commercial annulation facture SAV</t>
  </si>
  <si>
    <t>BOURGOGNE</t>
  </si>
  <si>
    <t>annulation FA1-15100011 (avant refacturation)</t>
  </si>
  <si>
    <t>chaudière GRA + CESI</t>
  </si>
  <si>
    <t>20-Jan</t>
  </si>
  <si>
    <t>Quotatis France Sas 11             
Virement En Votre Faveur           
Rouch Energies -1215- Leads Partena
11</t>
  </si>
  <si>
    <t>11-Jan</t>
  </si>
  <si>
    <t>Mme Ou Mr Buaillon Kevin Viremen   
Virement En Votre Faveur           
Paiement Travaux
Virement Sepa Par Internet</t>
  </si>
  <si>
    <t>04-Jan</t>
  </si>
  <si>
    <t>Quotatis France Sas 1080           
Virement En Votre Faveur           
Rouch Energies -1115- Leads Part
1080</t>
  </si>
  <si>
    <t>01-Fév</t>
  </si>
  <si>
    <t xml:space="preserve">5340273                            
Remise De Cheque                   </t>
  </si>
  <si>
    <t>Encaissement mis au 31/01 pour calcul comm JP (sinon ZERO encaissement en Janvier !!)</t>
  </si>
  <si>
    <t xml:space="preserve">5340276                            
Remise De Cheque                   </t>
  </si>
  <si>
    <t>Laissé au 01/02 car Client = Vigneau &lt;&gt; JP</t>
  </si>
  <si>
    <t xml:space="preserve">1490716                            
Remise De Cheque                   </t>
  </si>
  <si>
    <t xml:space="preserve">1490723                            
Remise De Cheque                   </t>
  </si>
  <si>
    <t xml:space="preserve">5340275                            
Remise De Cheque                   </t>
  </si>
  <si>
    <t xml:space="preserve">1490720                            
Remise De Cheque                   </t>
  </si>
  <si>
    <t xml:space="preserve">1490719                            
Remise De Cheque                   </t>
  </si>
  <si>
    <t xml:space="preserve">1490717                            
Remise De Cheque                   </t>
  </si>
  <si>
    <t>Laissé au 01/02 car Client = Martinez &lt;&gt; JP</t>
  </si>
  <si>
    <t xml:space="preserve">5340257                            
Remise De Cheque                   </t>
  </si>
  <si>
    <t>Laissé au 01/02 car feu vert client (Miquel laurent) très, très tardif…</t>
  </si>
  <si>
    <t xml:space="preserve">1490722                            
Remise De Cheque                   </t>
  </si>
  <si>
    <t>encaissable seulement à partir du 29/01 (délai 14 j)</t>
  </si>
  <si>
    <t xml:space="preserve">5340277                            
Remise De Cheque                   </t>
  </si>
  <si>
    <t xml:space="preserve">1490715                            
Remise De Cheque                   </t>
  </si>
  <si>
    <t xml:space="preserve">5340272                            
Remise De Cheque                   </t>
  </si>
  <si>
    <t>Laissé au 01/02 car Client = Esteban &lt;&gt; JP</t>
  </si>
  <si>
    <t xml:space="preserve">1490721                            
Remise De Cheque                   </t>
  </si>
  <si>
    <t>encaissable seulement à partir du 31/01 (délai 14 j)</t>
  </si>
  <si>
    <t xml:space="preserve">5340262                            
Remise De Cheque                   </t>
  </si>
  <si>
    <t>Chèque était encaissable début janvier + Encaissement mis au 31/01 pour calcul comm JP (sinon ZERO encaissement en Janvier !!)</t>
  </si>
  <si>
    <t xml:space="preserve">1490714                            
Remise De Cheque                   </t>
  </si>
  <si>
    <t>HABITAT TRADE F-16020007</t>
  </si>
  <si>
    <t>HABITAT TRADE F-16020008</t>
  </si>
  <si>
    <t>QUOTATIS F-16030001</t>
  </si>
  <si>
    <t>29-Fév</t>
  </si>
  <si>
    <t xml:space="preserve">1490729                            
Remise De Cheque                   </t>
  </si>
  <si>
    <t xml:space="preserve">1490731                            
Remise De Cheque                   </t>
  </si>
  <si>
    <t xml:space="preserve">1490728                            
Remise De Cheque                   </t>
  </si>
  <si>
    <t xml:space="preserve">1490726                            
Remise De Cheque                   </t>
  </si>
  <si>
    <t xml:space="preserve">1490724                            
Remise De Cheque                   </t>
  </si>
  <si>
    <t xml:space="preserve">1490725                            
Remise De Cheque                   </t>
  </si>
  <si>
    <t xml:space="preserve">1490718                            
Remise De Cheque                   </t>
  </si>
  <si>
    <t>Paierie Regionale Languedoc Rous   
Virement En Votre Faveur           
Eco Cheque Mp 16/06/2015-14/12/regi
On Lrmp
160310800080002016-02-258253
Region Lrmp</t>
  </si>
  <si>
    <t>18-Fév</t>
  </si>
  <si>
    <t>Quotatis France Sas 98             
Virement En Votre Faveur           
Rouch Energies -0116- Leads Partena
98</t>
  </si>
  <si>
    <t>VIREMENT RUIU FA1-16020009</t>
  </si>
  <si>
    <t>11-Fév</t>
  </si>
  <si>
    <t>Virement En Votre Faveur           
Rouch.Acpt.Rtech Sarl Beibi Beib   
Rouch.Acpt.Rtech
Rouch.Acpt.Rtech</t>
  </si>
  <si>
    <t>VIREMENT VOPEL FA1</t>
  </si>
  <si>
    <t>MERCANDIER</t>
  </si>
  <si>
    <t>HABITAT TRADE F-16030003</t>
  </si>
  <si>
    <t>10-Mar</t>
  </si>
  <si>
    <t xml:space="preserve">1490735                            
Remise De Cheque                   </t>
  </si>
  <si>
    <t xml:space="preserve">1490734                            
Remise De Cheque                   </t>
  </si>
  <si>
    <t xml:space="preserve">1490732                            
Remise De Cheque                   </t>
  </si>
  <si>
    <t xml:space="preserve">1490727                            
Remise De Cheque                   </t>
  </si>
  <si>
    <t>VIREMENT LEFEBVRE FA1-15120006</t>
  </si>
  <si>
    <t>VIREMENT LEFEBVRE FA1-15120007</t>
  </si>
  <si>
    <t>04-Mar</t>
  </si>
  <si>
    <t>Mme Ou M Marie-Ange Lefebvre Cu3   
Virement En Votre Faveur           
Fa1-15120006 Lefebvre Frederic Et
Marie Ange
Cu3d16063n02975</t>
  </si>
  <si>
    <t>Mme Ou M Marie-Ange Lefebvre Cu3   
Virement En Votre Faveur           
Fa1-15120007 Lefebvre Frederic
Cu3d16063n02943</t>
  </si>
  <si>
    <t>02-Mar</t>
  </si>
  <si>
    <t>Paierie Regionale Languedoc Rous   
Virement En Votre Faveur           
Eco Cheque Mp 17/11/2015-08/01/regi
On Lrmp
160310800080002016-02-298905
Region Lrmp</t>
  </si>
  <si>
    <t>01-Mar</t>
  </si>
  <si>
    <t>VIREMENT 3 BUAILLON</t>
  </si>
  <si>
    <t>Mme Ou M Marie-Ange Lefebvre Cu3   
Virement En Votre Faveur           
Fa1-15120007 Lefebvre Frederic
Cu3d16063n02943Virement 
Mme Ou Mr Buaillon Kevin Viremen
Virement Sepa Par Mobile 
Virement Sepa Par Mobile</t>
  </si>
  <si>
    <t>ECOCHEQUE PEYRE</t>
  </si>
  <si>
    <t>QUOTATIS F-16040001</t>
  </si>
  <si>
    <t>01-Avr</t>
  </si>
  <si>
    <t xml:space="preserve">8911505                            
Remise De Cheque                   </t>
  </si>
  <si>
    <t>encaissement mis au 31/03 pour calcul comm' JP (retard remise de chèques)</t>
  </si>
  <si>
    <t xml:space="preserve">1490733                            
Remise De Cheque                   </t>
  </si>
  <si>
    <t xml:space="preserve">1490736                            
Remise De Cheque                   </t>
  </si>
  <si>
    <t xml:space="preserve">1490730                            
Remise De Cheque                   </t>
  </si>
  <si>
    <t>Virement Paierie Regionale Languedoc RousEco Cheque Mp 06/01/2016-22/03/regi On Lrmp 160310800080002016-03-3112380 Region Lrmp</t>
  </si>
  <si>
    <t>ECOCHEQUE BALFOUR</t>
  </si>
  <si>
    <t>ECOCHEQUE MARCELLI</t>
  </si>
  <si>
    <t>VIREMENT VAILLANT 20160406</t>
  </si>
  <si>
    <t>06-Avr</t>
  </si>
  <si>
    <t>Mle Julia Lambert Ck3d16096n0024   
Virement En Votre Faveur           
Vaillant Hugo Lambert Julia Fact
16020006 160020002 16020005
Ck3d16096n00248</t>
  </si>
  <si>
    <t>04-Avr</t>
  </si>
  <si>
    <t>Quotatis France Sas 189            
Virement En Votre Faveur           
Rouch Energies -0216 - Leads Parten
189</t>
  </si>
  <si>
    <t>VIREMENT LEFEBVRE F-16040008</t>
  </si>
  <si>
    <t>VIREMENT LEFEBVRE F-16040009</t>
  </si>
  <si>
    <t>CHQ CA 4082494</t>
  </si>
  <si>
    <t>TOUQUET</t>
  </si>
  <si>
    <t>entretien cesi</t>
  </si>
  <si>
    <t>HABITAT TRADE F-16040007</t>
  </si>
  <si>
    <t>29-Avr</t>
  </si>
  <si>
    <t>26-Avr</t>
  </si>
  <si>
    <t>Mme Ou M Marie-Ange Lefebvre Cu3   
Virement En Votre Faveur           
F 16040009
Cu3d16116n00463</t>
  </si>
  <si>
    <t>Mme Ou M Marie-Ange Lefebvre Cu3   
Virement En Votre Faveur           
F 16040008
Cu3d16116n00465</t>
  </si>
  <si>
    <t>18-Avr</t>
  </si>
  <si>
    <t>Quotatis France Sas 272            
Virement En Votre Faveur           
Rouch Energies -0316- Leads Partena
272</t>
  </si>
  <si>
    <t>11-Avr</t>
  </si>
  <si>
    <t xml:space="preserve">1490737                            
Remise De Cheque                   </t>
  </si>
  <si>
    <t xml:space="preserve">8911504                            
Remise De Cheque                   </t>
  </si>
  <si>
    <t xml:space="preserve">5340274                            
Remise De Cheque                   </t>
  </si>
  <si>
    <t>poêle granulés</t>
  </si>
  <si>
    <t>ECOCHEQUE DARANDOVAS</t>
  </si>
  <si>
    <t>iso</t>
  </si>
  <si>
    <t>02-Jun</t>
  </si>
  <si>
    <t xml:space="preserve">8911515                            
Remise De Cheque                   </t>
  </si>
  <si>
    <t>Mis au 31/05 pour calcul commissions JP</t>
  </si>
  <si>
    <t xml:space="preserve">8911513                            
Remise De Cheque                   </t>
  </si>
  <si>
    <t xml:space="preserve">8911514                            
Remise De Cheque                   </t>
  </si>
  <si>
    <t xml:space="preserve">8911518                            
Remise De Cheque                   </t>
  </si>
  <si>
    <t>HABITAT TRADE F-16050003</t>
  </si>
  <si>
    <t>31-Mai</t>
  </si>
  <si>
    <t>20-Mai</t>
  </si>
  <si>
    <t>Paierie Regionale Languedoc Rous   
Virement En Votre Faveur           
Eco Cheque Mp 03/07/2015-10/05/regi
On Lrmp
160310800080002016-05-1817709
Region Lrmp</t>
  </si>
  <si>
    <t>VIREMENT VOPEL FA2</t>
  </si>
  <si>
    <t>Mme Carina Vopel                   
Virement En Votre Faveur           
Virement Vopel Peyriac Minervois
Factures 2 - 16050004 Et 05</t>
  </si>
  <si>
    <t>18-Mai</t>
  </si>
  <si>
    <t xml:space="preserve">8911509                            
Remise De Cheque                   </t>
  </si>
  <si>
    <t>CHEQUE DE LA FBTP09 &lt;&gt; CLIENT</t>
  </si>
  <si>
    <t xml:space="preserve">8911508                            
Remise De Cheque                   </t>
  </si>
  <si>
    <t>DONT 143,71 SCI BOOMERANG ET 224,00 FAFCEA &lt;&gt; CLIENT</t>
  </si>
  <si>
    <t xml:space="preserve">8911506                            
Remise De Cheque                   </t>
  </si>
  <si>
    <t>06-Mai</t>
  </si>
  <si>
    <t xml:space="preserve">4082494                            
Cheque Emis                        </t>
  </si>
  <si>
    <t xml:space="preserve">8911512                            
Remise De Cheque                   </t>
  </si>
  <si>
    <t xml:space="preserve">8911511                            
Remise De Cheque                   </t>
  </si>
  <si>
    <t xml:space="preserve">8911510                            
Remise De Cheque                   </t>
  </si>
  <si>
    <t>CHQ CA 4082501</t>
  </si>
  <si>
    <t>almeida</t>
  </si>
  <si>
    <t>remise de chèque utilisée pour la remise du chèque Groupama de 377,60 € d'indemnisation pour les moduels PV cassés pendant chargement</t>
  </si>
  <si>
    <t>tolérance</t>
  </si>
  <si>
    <t>Montant TTC</t>
  </si>
  <si>
    <t>Reste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</si>
</sst>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"/>
    <numFmt numFmtId="165" formatCode="[$-40C]d\-mmm\-yy;@"/>
    <numFmt numFmtId="166" formatCode="#,##0.00\ &quot;€&quot;"/>
    <numFmt numFmtId="167" formatCode="0.0%"/>
    <numFmt numFmtId="168" formatCode="_-* #,##0.00\ [$€-40C]_-;\-* #,##0.00\ [$€-40C]_-;_-* &quot;-&quot;??\ [$€-40C]_-;_-@_-"/>
    <numFmt numFmtId="169" formatCode="General&quot; jours&quot;"/>
  </numFmts>
  <fonts count="89" x14ac:knownFonts="1">
    <font>
      <sz val="11"/>
      <color theme="1"/>
      <name val="Segoe UI"/>
      <family val="2"/>
      <scheme val="minor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  <scheme val="minor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b/>
      <sz val="11"/>
      <color rgb="FFFF0000"/>
      <name val="Segoe UI"/>
      <family val="2"/>
    </font>
    <font>
      <sz val="11"/>
      <name val="Segoe UI"/>
      <family val="2"/>
    </font>
    <font>
      <b/>
      <sz val="10"/>
      <color theme="0"/>
      <name val="Segoe UI"/>
      <family val="2"/>
    </font>
    <font>
      <i/>
      <sz val="11"/>
      <color theme="1" tint="0.499984740745262"/>
      <name val="Segoe UI"/>
      <family val="2"/>
    </font>
    <font>
      <sz val="11"/>
      <color rgb="FFFF0000"/>
      <name val="Segoe UI"/>
      <family val="2"/>
    </font>
    <font>
      <b/>
      <sz val="11"/>
      <name val="Segoe UI"/>
      <family val="2"/>
    </font>
    <font>
      <b/>
      <sz val="10"/>
      <color theme="1"/>
      <name val="Segoe UI"/>
      <family val="2"/>
    </font>
    <font>
      <sz val="10"/>
      <color theme="1"/>
      <name val="Segoe UI"/>
      <family val="2"/>
    </font>
    <font>
      <b/>
      <sz val="9"/>
      <color theme="1"/>
      <name val="Segoe UI"/>
      <family val="2"/>
    </font>
    <font>
      <b/>
      <sz val="11"/>
      <color rgb="FF00B050"/>
      <name val="Segoe UI"/>
      <family val="2"/>
    </font>
    <font>
      <sz val="11"/>
      <color theme="0"/>
      <name val="Segoe UI"/>
      <family val="2"/>
    </font>
    <font>
      <b/>
      <sz val="11"/>
      <color theme="1"/>
      <name val="Segoe UI"/>
      <family val="2"/>
      <scheme val="minor"/>
    </font>
    <font>
      <i/>
      <sz val="11"/>
      <color theme="1"/>
      <name val="Segoe UI"/>
      <family val="2"/>
      <scheme val="minor"/>
    </font>
    <font>
      <b/>
      <sz val="10"/>
      <color rgb="FF0070C0"/>
      <name val="Segoe UI"/>
      <family val="2"/>
    </font>
    <font>
      <b/>
      <sz val="10"/>
      <color theme="7" tint="-0.249977111117893"/>
      <name val="Segoe UI"/>
      <family val="2"/>
    </font>
    <font>
      <b/>
      <sz val="10"/>
      <color theme="0" tint="-0.499984740745262"/>
      <name val="Segoe UI"/>
      <family val="2"/>
    </font>
    <font>
      <i/>
      <sz val="11"/>
      <color rgb="FFFF0000"/>
      <name val="Segoe UI"/>
      <family val="2"/>
    </font>
    <font>
      <u/>
      <sz val="11"/>
      <color theme="10"/>
      <name val="Segoe UI"/>
      <family val="2"/>
      <scheme val="minor"/>
    </font>
    <font>
      <b/>
      <u/>
      <sz val="11"/>
      <color theme="10"/>
      <name val="Segoe UI"/>
      <family val="2"/>
      <scheme val="minor"/>
    </font>
    <font>
      <b/>
      <i/>
      <sz val="11"/>
      <color rgb="FFFF0000"/>
      <name val="Segoe UI"/>
      <family val="2"/>
      <scheme val="minor"/>
    </font>
    <font>
      <b/>
      <sz val="11"/>
      <color rgb="FFFF0000"/>
      <name val="Segoe UI"/>
      <family val="2"/>
      <scheme val="minor"/>
    </font>
    <font>
      <sz val="11"/>
      <color rgb="FFFF0000"/>
      <name val="Segoe UI"/>
      <family val="2"/>
      <scheme val="minor"/>
    </font>
    <font>
      <b/>
      <sz val="10"/>
      <color theme="1"/>
      <name val="Segoe UI"/>
      <family val="2"/>
      <scheme val="minor"/>
    </font>
    <font>
      <sz val="8"/>
      <name val="Arial"/>
      <family val="2"/>
    </font>
    <font>
      <b/>
      <sz val="18"/>
      <color theme="3"/>
      <name val="Oswald"/>
      <family val="2"/>
      <scheme val="major"/>
    </font>
    <font>
      <b/>
      <sz val="15"/>
      <color theme="3"/>
      <name val="Segoe UI"/>
      <family val="2"/>
    </font>
    <font>
      <b/>
      <sz val="13"/>
      <color theme="3"/>
      <name val="Segoe UI"/>
      <family val="2"/>
    </font>
    <font>
      <b/>
      <sz val="11"/>
      <color theme="3"/>
      <name val="Segoe UI"/>
      <family val="2"/>
    </font>
    <font>
      <sz val="11"/>
      <color rgb="FF006100"/>
      <name val="Segoe UI"/>
      <family val="2"/>
    </font>
    <font>
      <sz val="11"/>
      <color rgb="FF9C0006"/>
      <name val="Segoe UI"/>
      <family val="2"/>
    </font>
    <font>
      <sz val="11"/>
      <color rgb="FF9C6500"/>
      <name val="Segoe UI"/>
      <family val="2"/>
    </font>
    <font>
      <sz val="11"/>
      <color rgb="FF3F3F76"/>
      <name val="Segoe UI"/>
      <family val="2"/>
    </font>
    <font>
      <b/>
      <sz val="11"/>
      <color rgb="FF3F3F3F"/>
      <name val="Segoe UI"/>
      <family val="2"/>
    </font>
    <font>
      <b/>
      <sz val="11"/>
      <color rgb="FFFA7D00"/>
      <name val="Segoe UI"/>
      <family val="2"/>
    </font>
    <font>
      <sz val="11"/>
      <color rgb="FFFA7D00"/>
      <name val="Segoe UI"/>
      <family val="2"/>
    </font>
    <font>
      <i/>
      <sz val="11"/>
      <color rgb="FF7F7F7F"/>
      <name val="Segoe UI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"/>
      <name val="Arial"/>
      <family val="2"/>
    </font>
    <font>
      <b/>
      <sz val="18"/>
      <color rgb="FFFF0000"/>
      <name val="Segoe UI"/>
      <family val="2"/>
      <scheme val="minor"/>
    </font>
  </fonts>
  <fills count="5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44B23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46">
    <xf numFmtId="0" fontId="0" fillId="0" borderId="0"/>
    <xf numFmtId="9" fontId="45" fillId="0" borderId="0" applyFont="0" applyFill="0" applyBorder="0" applyAlignment="0" applyProtection="0"/>
    <xf numFmtId="44" fontId="45" fillId="0" borderId="0" applyFont="0" applyFill="0" applyBorder="0" applyAlignment="0" applyProtection="0"/>
    <xf numFmtId="0" fontId="65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3" fillId="0" borderId="9" applyNumberFormat="0" applyFill="0" applyAlignment="0" applyProtection="0"/>
    <xf numFmtId="0" fontId="74" fillId="0" borderId="10" applyNumberFormat="0" applyFill="0" applyAlignment="0" applyProtection="0"/>
    <xf numFmtId="0" fontId="75" fillId="0" borderId="11" applyNumberFormat="0" applyFill="0" applyAlignment="0" applyProtection="0"/>
    <xf numFmtId="0" fontId="75" fillId="0" borderId="0" applyNumberFormat="0" applyFill="0" applyBorder="0" applyAlignment="0" applyProtection="0"/>
    <xf numFmtId="0" fontId="76" fillId="18" borderId="0" applyNumberFormat="0" applyBorder="0" applyAlignment="0" applyProtection="0"/>
    <xf numFmtId="0" fontId="77" fillId="19" borderId="0" applyNumberFormat="0" applyBorder="0" applyAlignment="0" applyProtection="0"/>
    <xf numFmtId="0" fontId="78" fillId="20" borderId="0" applyNumberFormat="0" applyBorder="0" applyAlignment="0" applyProtection="0"/>
    <xf numFmtId="0" fontId="79" fillId="21" borderId="12" applyNumberFormat="0" applyAlignment="0" applyProtection="0"/>
    <xf numFmtId="0" fontId="80" fillId="22" borderId="13" applyNumberFormat="0" applyAlignment="0" applyProtection="0"/>
    <xf numFmtId="0" fontId="81" fillId="22" borderId="12" applyNumberFormat="0" applyAlignment="0" applyProtection="0"/>
    <xf numFmtId="0" fontId="82" fillId="0" borderId="14" applyNumberFormat="0" applyFill="0" applyAlignment="0" applyProtection="0"/>
    <xf numFmtId="0" fontId="46" fillId="23" borderId="15" applyNumberFormat="0" applyAlignment="0" applyProtection="0"/>
    <xf numFmtId="0" fontId="5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47" fillId="0" borderId="17" applyNumberFormat="0" applyFill="0" applyAlignment="0" applyProtection="0"/>
    <xf numFmtId="0" fontId="58" fillId="25" borderId="0" applyNumberFormat="0" applyBorder="0" applyAlignment="0" applyProtection="0"/>
    <xf numFmtId="0" fontId="38" fillId="26" borderId="0" applyNumberFormat="0" applyBorder="0" applyAlignment="0" applyProtection="0"/>
    <xf numFmtId="0" fontId="38" fillId="27" borderId="0" applyNumberFormat="0" applyBorder="0" applyAlignment="0" applyProtection="0"/>
    <xf numFmtId="0" fontId="58" fillId="28" borderId="0" applyNumberFormat="0" applyBorder="0" applyAlignment="0" applyProtection="0"/>
    <xf numFmtId="0" fontId="58" fillId="29" borderId="0" applyNumberFormat="0" applyBorder="0" applyAlignment="0" applyProtection="0"/>
    <xf numFmtId="0" fontId="38" fillId="30" borderId="0" applyNumberFormat="0" applyBorder="0" applyAlignment="0" applyProtection="0"/>
    <xf numFmtId="0" fontId="38" fillId="31" borderId="0" applyNumberFormat="0" applyBorder="0" applyAlignment="0" applyProtection="0"/>
    <xf numFmtId="0" fontId="58" fillId="32" borderId="0" applyNumberFormat="0" applyBorder="0" applyAlignment="0" applyProtection="0"/>
    <xf numFmtId="0" fontId="58" fillId="33" borderId="0" applyNumberFormat="0" applyBorder="0" applyAlignment="0" applyProtection="0"/>
    <xf numFmtId="0" fontId="38" fillId="34" borderId="0" applyNumberFormat="0" applyBorder="0" applyAlignment="0" applyProtection="0"/>
    <xf numFmtId="0" fontId="38" fillId="35" borderId="0" applyNumberFormat="0" applyBorder="0" applyAlignment="0" applyProtection="0"/>
    <xf numFmtId="0" fontId="58" fillId="36" borderId="0" applyNumberFormat="0" applyBorder="0" applyAlignment="0" applyProtection="0"/>
    <xf numFmtId="0" fontId="58" fillId="37" borderId="0" applyNumberFormat="0" applyBorder="0" applyAlignment="0" applyProtection="0"/>
    <xf numFmtId="0" fontId="38" fillId="38" borderId="0" applyNumberFormat="0" applyBorder="0" applyAlignment="0" applyProtection="0"/>
    <xf numFmtId="0" fontId="38" fillId="39" borderId="0" applyNumberFormat="0" applyBorder="0" applyAlignment="0" applyProtection="0"/>
    <xf numFmtId="0" fontId="58" fillId="40" borderId="0" applyNumberFormat="0" applyBorder="0" applyAlignment="0" applyProtection="0"/>
    <xf numFmtId="0" fontId="58" fillId="41" borderId="0" applyNumberFormat="0" applyBorder="0" applyAlignment="0" applyProtection="0"/>
    <xf numFmtId="0" fontId="38" fillId="42" borderId="0" applyNumberFormat="0" applyBorder="0" applyAlignment="0" applyProtection="0"/>
    <xf numFmtId="0" fontId="38" fillId="43" borderId="0" applyNumberFormat="0" applyBorder="0" applyAlignment="0" applyProtection="0"/>
    <xf numFmtId="0" fontId="58" fillId="44" borderId="0" applyNumberFormat="0" applyBorder="0" applyAlignment="0" applyProtection="0"/>
    <xf numFmtId="0" fontId="58" fillId="45" borderId="0" applyNumberFormat="0" applyBorder="0" applyAlignment="0" applyProtection="0"/>
    <xf numFmtId="0" fontId="38" fillId="46" borderId="0" applyNumberFormat="0" applyBorder="0" applyAlignment="0" applyProtection="0"/>
    <xf numFmtId="0" fontId="38" fillId="47" borderId="0" applyNumberFormat="0" applyBorder="0" applyAlignment="0" applyProtection="0"/>
    <xf numFmtId="0" fontId="58" fillId="48" borderId="0" applyNumberFormat="0" applyBorder="0" applyAlignment="0" applyProtection="0"/>
    <xf numFmtId="0" fontId="84" fillId="0" borderId="0"/>
    <xf numFmtId="0" fontId="38" fillId="24" borderId="16" applyNumberFormat="0" applyFont="0" applyAlignment="0" applyProtection="0"/>
  </cellStyleXfs>
  <cellXfs count="241">
    <xf numFmtId="0" fontId="0" fillId="0" borderId="0" xfId="0"/>
    <xf numFmtId="0" fontId="47" fillId="0" borderId="0" xfId="0" applyFont="1" applyAlignment="1">
      <alignment horizontal="center"/>
    </xf>
    <xf numFmtId="0" fontId="48" fillId="0" borderId="0" xfId="0" applyFont="1" applyAlignment="1">
      <alignment horizontal="center"/>
    </xf>
    <xf numFmtId="0" fontId="49" fillId="3" borderId="0" xfId="0" applyFont="1" applyFill="1"/>
    <xf numFmtId="166" fontId="47" fillId="0" borderId="0" xfId="0" applyNumberFormat="1" applyFont="1"/>
    <xf numFmtId="0" fontId="44" fillId="0" borderId="0" xfId="0" applyFont="1"/>
    <xf numFmtId="166" fontId="44" fillId="0" borderId="0" xfId="0" applyNumberFormat="1" applyFont="1"/>
    <xf numFmtId="166" fontId="44" fillId="11" borderId="0" xfId="0" applyNumberFormat="1" applyFont="1" applyFill="1"/>
    <xf numFmtId="0" fontId="44" fillId="0" borderId="0" xfId="0" applyFont="1" applyAlignment="1">
      <alignment horizontal="right"/>
    </xf>
    <xf numFmtId="0" fontId="47" fillId="0" borderId="0" xfId="0" applyFont="1" applyAlignment="1">
      <alignment horizontal="right"/>
    </xf>
    <xf numFmtId="167" fontId="51" fillId="0" borderId="0" xfId="1" applyNumberFormat="1" applyFont="1"/>
    <xf numFmtId="164" fontId="47" fillId="7" borderId="0" xfId="0" applyNumberFormat="1" applyFont="1" applyFill="1" applyAlignment="1">
      <alignment horizontal="center" vertical="top"/>
    </xf>
    <xf numFmtId="0" fontId="47" fillId="7" borderId="0" xfId="0" applyFont="1" applyFill="1" applyAlignment="1">
      <alignment horizontal="center" vertical="top"/>
    </xf>
    <xf numFmtId="0" fontId="48" fillId="7" borderId="0" xfId="0" applyFont="1" applyFill="1" applyAlignment="1">
      <alignment horizontal="center" vertical="top"/>
    </xf>
    <xf numFmtId="0" fontId="53" fillId="4" borderId="0" xfId="0" applyFont="1" applyFill="1" applyAlignment="1">
      <alignment horizontal="center" vertical="top" wrapText="1"/>
    </xf>
    <xf numFmtId="0" fontId="47" fillId="7" borderId="0" xfId="0" applyFont="1" applyFill="1" applyAlignment="1">
      <alignment horizontal="center" vertical="top" wrapText="1"/>
    </xf>
    <xf numFmtId="0" fontId="47" fillId="0" borderId="0" xfId="0" applyFont="1" applyAlignment="1">
      <alignment horizontal="center" vertical="top" wrapText="1"/>
    </xf>
    <xf numFmtId="0" fontId="48" fillId="0" borderId="0" xfId="0" applyFont="1" applyAlignment="1">
      <alignment horizontal="center" vertical="top" wrapText="1"/>
    </xf>
    <xf numFmtId="168" fontId="54" fillId="0" borderId="0" xfId="0" applyNumberFormat="1" applyFont="1" applyAlignment="1">
      <alignment horizontal="center" vertical="top" wrapText="1"/>
    </xf>
    <xf numFmtId="0" fontId="56" fillId="5" borderId="0" xfId="0" applyFont="1" applyFill="1" applyAlignment="1">
      <alignment horizontal="center" vertical="top" wrapText="1"/>
    </xf>
    <xf numFmtId="0" fontId="56" fillId="10" borderId="0" xfId="0" applyFont="1" applyFill="1" applyAlignment="1">
      <alignment horizontal="center" vertical="top" wrapText="1"/>
    </xf>
    <xf numFmtId="0" fontId="56" fillId="6" borderId="0" xfId="0" applyFont="1" applyFill="1" applyAlignment="1">
      <alignment horizontal="center" vertical="top" wrapText="1"/>
    </xf>
    <xf numFmtId="0" fontId="47" fillId="8" borderId="0" xfId="0" applyFont="1" applyFill="1" applyAlignment="1">
      <alignment horizontal="center" vertical="top"/>
    </xf>
    <xf numFmtId="0" fontId="48" fillId="8" borderId="0" xfId="0" applyFont="1" applyFill="1" applyAlignment="1">
      <alignment horizontal="center" vertical="top"/>
    </xf>
    <xf numFmtId="0" fontId="47" fillId="8" borderId="0" xfId="0" applyFont="1" applyFill="1" applyAlignment="1">
      <alignment horizontal="center" vertical="top" wrapText="1"/>
    </xf>
    <xf numFmtId="0" fontId="54" fillId="8" borderId="0" xfId="0" applyFont="1" applyFill="1" applyAlignment="1">
      <alignment horizontal="center" vertical="top" wrapText="1"/>
    </xf>
    <xf numFmtId="0" fontId="43" fillId="4" borderId="0" xfId="0" applyFont="1" applyFill="1"/>
    <xf numFmtId="0" fontId="52" fillId="0" borderId="0" xfId="0" applyFont="1"/>
    <xf numFmtId="0" fontId="48" fillId="0" borderId="0" xfId="0" applyFont="1"/>
    <xf numFmtId="166" fontId="43" fillId="0" borderId="0" xfId="0" applyNumberFormat="1" applyFont="1"/>
    <xf numFmtId="165" fontId="43" fillId="0" borderId="0" xfId="0" applyNumberFormat="1" applyFont="1"/>
    <xf numFmtId="0" fontId="43" fillId="0" borderId="0" xfId="0" applyFont="1"/>
    <xf numFmtId="0" fontId="47" fillId="0" borderId="0" xfId="0" applyFont="1" applyAlignment="1">
      <alignment horizontal="center" vertical="top"/>
    </xf>
    <xf numFmtId="165" fontId="43" fillId="2" borderId="0" xfId="0" applyNumberFormat="1" applyFont="1" applyFill="1"/>
    <xf numFmtId="0" fontId="43" fillId="3" borderId="0" xfId="0" applyFont="1" applyFill="1"/>
    <xf numFmtId="0" fontId="43" fillId="0" borderId="0" xfId="0" applyNumberFormat="1" applyFont="1"/>
    <xf numFmtId="9" fontId="43" fillId="0" borderId="0" xfId="1" applyFont="1" applyAlignment="1">
      <alignment horizontal="center"/>
    </xf>
    <xf numFmtId="167" fontId="43" fillId="0" borderId="0" xfId="1" applyNumberFormat="1" applyFont="1"/>
    <xf numFmtId="168" fontId="43" fillId="0" borderId="0" xfId="0" applyNumberFormat="1" applyFont="1"/>
    <xf numFmtId="44" fontId="43" fillId="0" borderId="0" xfId="2" applyFont="1"/>
    <xf numFmtId="0" fontId="43" fillId="0" borderId="0" xfId="0" applyFont="1" applyAlignment="1">
      <alignment horizontal="center"/>
    </xf>
    <xf numFmtId="0" fontId="47" fillId="0" borderId="0" xfId="0" applyFont="1"/>
    <xf numFmtId="9" fontId="43" fillId="0" borderId="0" xfId="1" applyFont="1"/>
    <xf numFmtId="14" fontId="43" fillId="0" borderId="0" xfId="0" applyNumberFormat="1" applyFont="1"/>
    <xf numFmtId="0" fontId="54" fillId="7" borderId="0" xfId="0" applyFont="1" applyFill="1" applyAlignment="1">
      <alignment horizontal="center" vertical="top" wrapText="1"/>
    </xf>
    <xf numFmtId="165" fontId="43" fillId="9" borderId="0" xfId="0" applyNumberFormat="1" applyFont="1" applyFill="1"/>
    <xf numFmtId="169" fontId="43" fillId="9" borderId="0" xfId="0" applyNumberFormat="1" applyFont="1" applyFill="1"/>
    <xf numFmtId="167" fontId="43" fillId="0" borderId="0" xfId="0" applyNumberFormat="1" applyFont="1"/>
    <xf numFmtId="0" fontId="43" fillId="0" borderId="0" xfId="0" applyFont="1" applyFill="1" applyBorder="1"/>
    <xf numFmtId="0" fontId="56" fillId="7" borderId="0" xfId="0" applyFont="1" applyFill="1" applyAlignment="1">
      <alignment horizontal="center" vertical="top" wrapText="1"/>
    </xf>
    <xf numFmtId="169" fontId="47" fillId="0" borderId="0" xfId="0" applyNumberFormat="1" applyFont="1" applyAlignment="1">
      <alignment horizontal="center" vertical="top" wrapText="1"/>
    </xf>
    <xf numFmtId="0" fontId="42" fillId="0" borderId="0" xfId="0" applyFont="1"/>
    <xf numFmtId="0" fontId="41" fillId="0" borderId="0" xfId="0" applyFont="1"/>
    <xf numFmtId="165" fontId="41" fillId="0" borderId="0" xfId="0" applyNumberFormat="1" applyFont="1"/>
    <xf numFmtId="168" fontId="61" fillId="12" borderId="0" xfId="0" applyNumberFormat="1" applyFont="1" applyFill="1" applyAlignment="1">
      <alignment horizontal="center" vertical="top" wrapText="1"/>
    </xf>
    <xf numFmtId="44" fontId="41" fillId="0" borderId="0" xfId="2" applyFont="1"/>
    <xf numFmtId="168" fontId="50" fillId="14" borderId="0" xfId="0" applyNumberFormat="1" applyFont="1" applyFill="1" applyAlignment="1">
      <alignment horizontal="center" vertical="top" wrapText="1"/>
    </xf>
    <xf numFmtId="0" fontId="54" fillId="0" borderId="0" xfId="0" applyFont="1" applyAlignment="1">
      <alignment horizontal="center" vertical="top" wrapText="1"/>
    </xf>
    <xf numFmtId="0" fontId="61" fillId="12" borderId="0" xfId="0" applyFont="1" applyFill="1" applyAlignment="1">
      <alignment horizontal="center" vertical="top" wrapText="1"/>
    </xf>
    <xf numFmtId="0" fontId="50" fillId="14" borderId="0" xfId="0" applyFont="1" applyFill="1" applyAlignment="1">
      <alignment horizontal="center" vertical="top" wrapText="1"/>
    </xf>
    <xf numFmtId="0" fontId="54" fillId="15" borderId="0" xfId="0" applyFont="1" applyFill="1" applyAlignment="1">
      <alignment horizontal="center" vertical="top" wrapText="1"/>
    </xf>
    <xf numFmtId="0" fontId="62" fillId="15" borderId="0" xfId="0" applyFont="1" applyFill="1" applyAlignment="1">
      <alignment horizontal="center" vertical="top" wrapText="1"/>
    </xf>
    <xf numFmtId="0" fontId="54" fillId="17" borderId="0" xfId="0" applyFont="1" applyFill="1" applyAlignment="1">
      <alignment horizontal="center" vertical="top" wrapText="1"/>
    </xf>
    <xf numFmtId="0" fontId="63" fillId="16" borderId="0" xfId="0" applyFont="1" applyFill="1" applyAlignment="1">
      <alignment horizontal="center" vertical="top" wrapText="1"/>
    </xf>
    <xf numFmtId="0" fontId="43" fillId="0" borderId="0" xfId="0" applyFont="1" applyFill="1"/>
    <xf numFmtId="0" fontId="48" fillId="0" borderId="0" xfId="0" applyFont="1" applyFill="1" applyAlignment="1">
      <alignment horizontal="center"/>
    </xf>
    <xf numFmtId="0" fontId="43" fillId="0" borderId="0" xfId="0" applyFont="1" applyFill="1" applyAlignment="1">
      <alignment horizontal="center"/>
    </xf>
    <xf numFmtId="0" fontId="64" fillId="0" borderId="0" xfId="0" applyFont="1" applyFill="1"/>
    <xf numFmtId="0" fontId="39" fillId="0" borderId="0" xfId="0" applyFont="1"/>
    <xf numFmtId="0" fontId="66" fillId="4" borderId="0" xfId="3" applyFont="1" applyFill="1"/>
    <xf numFmtId="0" fontId="0" fillId="0" borderId="8" xfId="0" applyBorder="1"/>
    <xf numFmtId="0" fontId="67" fillId="4" borderId="0" xfId="0" applyFont="1" applyFill="1"/>
    <xf numFmtId="0" fontId="0" fillId="4" borderId="0" xfId="0" applyFont="1" applyFill="1"/>
    <xf numFmtId="0" fontId="68" fillId="4" borderId="0" xfId="0" applyFont="1" applyFill="1" applyAlignment="1">
      <alignment horizontal="center"/>
    </xf>
    <xf numFmtId="0" fontId="68" fillId="0" borderId="0" xfId="0" applyFont="1"/>
    <xf numFmtId="0" fontId="69" fillId="0" borderId="0" xfId="0" applyFont="1"/>
    <xf numFmtId="165" fontId="0" fillId="0" borderId="0" xfId="0" applyNumberFormat="1" applyFont="1"/>
    <xf numFmtId="0" fontId="0" fillId="0" borderId="0" xfId="0" applyFont="1"/>
    <xf numFmtId="0" fontId="59" fillId="0" borderId="0" xfId="0" applyFont="1" applyAlignment="1">
      <alignment horizontal="center" vertical="top"/>
    </xf>
    <xf numFmtId="0" fontId="59" fillId="7" borderId="0" xfId="0" applyFont="1" applyFill="1" applyAlignment="1">
      <alignment horizontal="center" vertical="top" wrapText="1"/>
    </xf>
    <xf numFmtId="0" fontId="70" fillId="5" borderId="0" xfId="0" applyFont="1" applyFill="1" applyAlignment="1">
      <alignment horizontal="center" vertical="top" wrapText="1"/>
    </xf>
    <xf numFmtId="0" fontId="70" fillId="10" borderId="0" xfId="0" applyFont="1" applyFill="1" applyAlignment="1">
      <alignment horizontal="center" vertical="top" wrapText="1"/>
    </xf>
    <xf numFmtId="0" fontId="70" fillId="6" borderId="0" xfId="0" applyFont="1" applyFill="1" applyAlignment="1">
      <alignment horizontal="center" vertical="top" wrapText="1"/>
    </xf>
    <xf numFmtId="0" fontId="70" fillId="0" borderId="0" xfId="0" applyFont="1" applyAlignment="1">
      <alignment horizontal="center" vertical="top" wrapText="1"/>
    </xf>
    <xf numFmtId="0" fontId="0" fillId="0" borderId="0" xfId="0" applyFont="1" applyAlignment="1">
      <alignment vertical="top"/>
    </xf>
    <xf numFmtId="0" fontId="59" fillId="0" borderId="0" xfId="0" applyFont="1" applyAlignment="1">
      <alignment vertical="top"/>
    </xf>
    <xf numFmtId="165" fontId="0" fillId="2" borderId="0" xfId="0" applyNumberFormat="1" applyFont="1" applyFill="1"/>
    <xf numFmtId="0" fontId="68" fillId="0" borderId="0" xfId="0" applyFont="1" applyAlignment="1">
      <alignment horizontal="center"/>
    </xf>
    <xf numFmtId="0" fontId="0" fillId="3" borderId="0" xfId="0" applyFont="1" applyFill="1"/>
    <xf numFmtId="0" fontId="0" fillId="0" borderId="0" xfId="0" applyNumberFormat="1" applyFont="1"/>
    <xf numFmtId="166" fontId="0" fillId="0" borderId="0" xfId="0" applyNumberFormat="1" applyFont="1"/>
    <xf numFmtId="10" fontId="0" fillId="0" borderId="0" xfId="1" applyNumberFormat="1" applyFont="1"/>
    <xf numFmtId="167" fontId="0" fillId="0" borderId="0" xfId="1" applyNumberFormat="1" applyFont="1"/>
    <xf numFmtId="164" fontId="0" fillId="0" borderId="0" xfId="0" applyNumberFormat="1" applyFont="1"/>
    <xf numFmtId="0" fontId="0" fillId="2" borderId="0" xfId="0" applyFont="1" applyFill="1"/>
    <xf numFmtId="0" fontId="0" fillId="0" borderId="0" xfId="0" applyFont="1" applyFill="1" applyBorder="1"/>
    <xf numFmtId="165" fontId="0" fillId="0" borderId="0" xfId="0" applyNumberFormat="1" applyFont="1" applyFill="1" applyBorder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0" fontId="59" fillId="0" borderId="0" xfId="0" applyFont="1" applyAlignment="1">
      <alignment horizontal="right" vertical="center"/>
    </xf>
    <xf numFmtId="0" fontId="59" fillId="12" borderId="0" xfId="0" applyFont="1" applyFill="1" applyAlignment="1">
      <alignment vertical="center"/>
    </xf>
    <xf numFmtId="44" fontId="59" fillId="0" borderId="0" xfId="2" applyFont="1" applyAlignment="1">
      <alignment vertical="center"/>
    </xf>
    <xf numFmtId="0" fontId="59" fillId="0" borderId="1" xfId="0" applyFont="1" applyBorder="1" applyAlignment="1">
      <alignment vertical="center"/>
    </xf>
    <xf numFmtId="165" fontId="59" fillId="0" borderId="2" xfId="0" applyNumberFormat="1" applyFont="1" applyBorder="1" applyAlignment="1">
      <alignment vertical="center"/>
    </xf>
    <xf numFmtId="0" fontId="0" fillId="0" borderId="2" xfId="0" applyBorder="1" applyAlignment="1">
      <alignment vertical="center"/>
    </xf>
    <xf numFmtId="165" fontId="40" fillId="0" borderId="0" xfId="0" applyNumberFormat="1" applyFont="1" applyBorder="1" applyAlignment="1">
      <alignment vertical="center"/>
    </xf>
    <xf numFmtId="168" fontId="0" fillId="0" borderId="0" xfId="0" applyNumberFormat="1" applyBorder="1" applyAlignment="1">
      <alignment vertical="center"/>
    </xf>
    <xf numFmtId="168" fontId="59" fillId="0" borderId="5" xfId="0" applyNumberFormat="1" applyFont="1" applyBorder="1" applyAlignment="1">
      <alignment vertical="center"/>
    </xf>
    <xf numFmtId="165" fontId="0" fillId="0" borderId="0" xfId="0" applyNumberFormat="1" applyBorder="1" applyAlignment="1">
      <alignment vertical="center"/>
    </xf>
    <xf numFmtId="16" fontId="0" fillId="0" borderId="8" xfId="0" applyNumberFormat="1" applyBorder="1" applyAlignment="1">
      <alignment vertical="center"/>
    </xf>
    <xf numFmtId="0" fontId="71" fillId="0" borderId="8" xfId="0" applyFont="1" applyBorder="1" applyAlignment="1">
      <alignment vertical="center" wrapText="1"/>
    </xf>
    <xf numFmtId="0" fontId="60" fillId="0" borderId="0" xfId="0" applyFont="1" applyAlignment="1">
      <alignment vertical="center"/>
    </xf>
    <xf numFmtId="16" fontId="0" fillId="0" borderId="8" xfId="0" applyNumberFormat="1" applyFill="1" applyBorder="1" applyAlignment="1">
      <alignment vertical="center"/>
    </xf>
    <xf numFmtId="0" fontId="71" fillId="0" borderId="8" xfId="0" applyFont="1" applyFill="1" applyBorder="1" applyAlignment="1">
      <alignment vertical="center" wrapText="1"/>
    </xf>
    <xf numFmtId="165" fontId="0" fillId="0" borderId="7" xfId="0" applyNumberFormat="1" applyBorder="1" applyAlignment="1">
      <alignment vertical="center"/>
    </xf>
    <xf numFmtId="16" fontId="84" fillId="0" borderId="8" xfId="44" applyNumberFormat="1" applyBorder="1"/>
    <xf numFmtId="0" fontId="71" fillId="0" borderId="8" xfId="44" applyFont="1" applyBorder="1" applyAlignment="1">
      <alignment wrapText="1"/>
    </xf>
    <xf numFmtId="16" fontId="84" fillId="0" borderId="8" xfId="44" applyNumberFormat="1" applyBorder="1"/>
    <xf numFmtId="0" fontId="71" fillId="0" borderId="8" xfId="44" applyFont="1" applyBorder="1" applyAlignment="1">
      <alignment wrapText="1"/>
    </xf>
    <xf numFmtId="16" fontId="84" fillId="0" borderId="8" xfId="44" applyNumberFormat="1" applyBorder="1"/>
    <xf numFmtId="0" fontId="71" fillId="0" borderId="8" xfId="44" applyFont="1" applyBorder="1" applyAlignment="1">
      <alignment wrapText="1"/>
    </xf>
    <xf numFmtId="16" fontId="84" fillId="0" borderId="8" xfId="44" applyNumberFormat="1" applyBorder="1"/>
    <xf numFmtId="0" fontId="71" fillId="0" borderId="8" xfId="44" applyFont="1" applyBorder="1" applyAlignment="1">
      <alignment wrapText="1"/>
    </xf>
    <xf numFmtId="16" fontId="84" fillId="0" borderId="8" xfId="44" applyNumberFormat="1" applyBorder="1"/>
    <xf numFmtId="0" fontId="71" fillId="0" borderId="8" xfId="44" applyFont="1" applyBorder="1" applyAlignment="1">
      <alignment wrapText="1"/>
    </xf>
    <xf numFmtId="16" fontId="84" fillId="0" borderId="8" xfId="44" applyNumberFormat="1" applyBorder="1"/>
    <xf numFmtId="0" fontId="71" fillId="0" borderId="8" xfId="44" applyFont="1" applyBorder="1" applyAlignment="1">
      <alignment wrapText="1"/>
    </xf>
    <xf numFmtId="165" fontId="0" fillId="49" borderId="0" xfId="0" applyNumberFormat="1" applyFill="1" applyBorder="1" applyAlignment="1">
      <alignment vertical="center"/>
    </xf>
    <xf numFmtId="168" fontId="0" fillId="49" borderId="0" xfId="0" applyNumberFormat="1" applyFill="1" applyBorder="1" applyAlignment="1">
      <alignment vertical="center"/>
    </xf>
    <xf numFmtId="168" fontId="59" fillId="49" borderId="5" xfId="0" applyNumberFormat="1" applyFont="1" applyFill="1" applyBorder="1" applyAlignment="1">
      <alignment vertical="center"/>
    </xf>
    <xf numFmtId="168" fontId="0" fillId="0" borderId="7" xfId="0" applyNumberFormat="1" applyBorder="1" applyAlignment="1">
      <alignment vertical="center"/>
    </xf>
    <xf numFmtId="168" fontId="59" fillId="0" borderId="18" xfId="0" applyNumberFormat="1" applyFont="1" applyBorder="1" applyAlignment="1">
      <alignment vertical="center"/>
    </xf>
    <xf numFmtId="16" fontId="0" fillId="0" borderId="8" xfId="0" applyNumberFormat="1" applyBorder="1"/>
    <xf numFmtId="0" fontId="71" fillId="0" borderId="8" xfId="0" applyFont="1" applyBorder="1" applyAlignment="1">
      <alignment wrapText="1"/>
    </xf>
    <xf numFmtId="0" fontId="67" fillId="0" borderId="0" xfId="0" applyFont="1" applyAlignment="1">
      <alignment vertical="center"/>
    </xf>
    <xf numFmtId="0" fontId="44" fillId="0" borderId="0" xfId="0" applyFont="1" applyAlignment="1">
      <alignment horizontal="center"/>
    </xf>
    <xf numFmtId="166" fontId="0" fillId="0" borderId="0" xfId="0" applyNumberFormat="1"/>
    <xf numFmtId="8" fontId="43" fillId="0" borderId="0" xfId="0" applyNumberFormat="1" applyFont="1"/>
    <xf numFmtId="16" fontId="0" fillId="0" borderId="8" xfId="0" applyNumberFormat="1" applyFill="1" applyBorder="1"/>
    <xf numFmtId="0" fontId="71" fillId="0" borderId="8" xfId="0" applyFont="1" applyFill="1" applyBorder="1" applyAlignment="1">
      <alignment wrapText="1"/>
    </xf>
    <xf numFmtId="0" fontId="0" fillId="0" borderId="4" xfId="0" applyBorder="1" applyAlignment="1">
      <alignment vertical="center" wrapText="1"/>
    </xf>
    <xf numFmtId="0" fontId="0" fillId="0" borderId="4" xfId="0" applyFill="1" applyBorder="1" applyAlignment="1">
      <alignment vertical="center" wrapText="1"/>
    </xf>
    <xf numFmtId="0" fontId="0" fillId="49" borderId="4" xfId="0" applyFill="1" applyBorder="1" applyAlignment="1">
      <alignment vertical="center" wrapText="1"/>
    </xf>
    <xf numFmtId="16" fontId="0" fillId="0" borderId="0" xfId="0" applyNumberFormat="1" applyAlignment="1">
      <alignment vertical="center"/>
    </xf>
    <xf numFmtId="0" fontId="59" fillId="0" borderId="0" xfId="0" applyFont="1" applyAlignment="1">
      <alignment vertical="center"/>
    </xf>
    <xf numFmtId="16" fontId="59" fillId="0" borderId="8" xfId="0" applyNumberFormat="1" applyFont="1" applyBorder="1" applyAlignment="1">
      <alignment vertical="center"/>
    </xf>
    <xf numFmtId="16" fontId="59" fillId="0" borderId="8" xfId="0" applyNumberFormat="1" applyFont="1" applyFill="1" applyBorder="1"/>
    <xf numFmtId="16" fontId="59" fillId="0" borderId="8" xfId="0" applyNumberFormat="1" applyFont="1" applyBorder="1"/>
    <xf numFmtId="16" fontId="87" fillId="0" borderId="8" xfId="44" applyNumberFormat="1" applyFont="1" applyBorder="1"/>
    <xf numFmtId="16" fontId="59" fillId="0" borderId="8" xfId="0" applyNumberFormat="1" applyFont="1" applyFill="1" applyBorder="1" applyAlignment="1">
      <alignment vertical="center"/>
    </xf>
    <xf numFmtId="0" fontId="68" fillId="0" borderId="0" xfId="0" applyFont="1" applyAlignment="1">
      <alignment vertical="center"/>
    </xf>
    <xf numFmtId="0" fontId="0" fillId="11" borderId="4" xfId="0" applyFill="1" applyBorder="1" applyAlignment="1">
      <alignment vertical="center" wrapText="1"/>
    </xf>
    <xf numFmtId="165" fontId="0" fillId="11" borderId="0" xfId="0" applyNumberFormat="1" applyFill="1" applyBorder="1" applyAlignment="1">
      <alignment vertical="center"/>
    </xf>
    <xf numFmtId="168" fontId="0" fillId="11" borderId="0" xfId="0" applyNumberFormat="1" applyFill="1" applyBorder="1" applyAlignment="1">
      <alignment vertical="center"/>
    </xf>
    <xf numFmtId="168" fontId="59" fillId="11" borderId="5" xfId="0" applyNumberFormat="1" applyFont="1" applyFill="1" applyBorder="1" applyAlignment="1">
      <alignment vertical="center"/>
    </xf>
    <xf numFmtId="0" fontId="37" fillId="0" borderId="0" xfId="0" applyFont="1"/>
    <xf numFmtId="0" fontId="37" fillId="3" borderId="0" xfId="0" applyFont="1" applyFill="1"/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44" fontId="0" fillId="0" borderId="0" xfId="2" applyFont="1" applyAlignment="1">
      <alignment vertical="center"/>
    </xf>
    <xf numFmtId="44" fontId="0" fillId="0" borderId="8" xfId="2" applyFont="1" applyBorder="1" applyAlignment="1">
      <alignment vertical="center"/>
    </xf>
    <xf numFmtId="44" fontId="0" fillId="0" borderId="8" xfId="2" applyFont="1" applyFill="1" applyBorder="1"/>
    <xf numFmtId="44" fontId="0" fillId="0" borderId="8" xfId="2" applyFont="1" applyBorder="1"/>
    <xf numFmtId="44" fontId="84" fillId="0" borderId="8" xfId="2" applyFont="1" applyBorder="1"/>
    <xf numFmtId="44" fontId="0" fillId="0" borderId="8" xfId="2" applyFont="1" applyFill="1" applyBorder="1" applyAlignment="1">
      <alignment vertical="center"/>
    </xf>
    <xf numFmtId="0" fontId="36" fillId="0" borderId="0" xfId="0" applyFont="1"/>
    <xf numFmtId="0" fontId="36" fillId="3" borderId="0" xfId="0" applyFont="1" applyFill="1"/>
    <xf numFmtId="0" fontId="35" fillId="3" borderId="0" xfId="0" applyFont="1" applyFill="1"/>
    <xf numFmtId="0" fontId="35" fillId="0" borderId="0" xfId="0" applyFont="1"/>
    <xf numFmtId="0" fontId="34" fillId="3" borderId="0" xfId="0" applyFont="1" applyFill="1"/>
    <xf numFmtId="0" fontId="34" fillId="0" borderId="0" xfId="0" applyFont="1"/>
    <xf numFmtId="0" fontId="33" fillId="3" borderId="0" xfId="0" applyFont="1" applyFill="1"/>
    <xf numFmtId="0" fontId="33" fillId="0" borderId="0" xfId="0" applyFont="1"/>
    <xf numFmtId="0" fontId="32" fillId="3" borderId="0" xfId="0" applyFont="1" applyFill="1"/>
    <xf numFmtId="0" fontId="32" fillId="0" borderId="0" xfId="0" applyFont="1"/>
    <xf numFmtId="0" fontId="0" fillId="3" borderId="0" xfId="0" applyFill="1"/>
    <xf numFmtId="0" fontId="31" fillId="3" borderId="0" xfId="0" applyFont="1" applyFill="1"/>
    <xf numFmtId="0" fontId="30" fillId="3" borderId="0" xfId="0" applyFont="1" applyFill="1"/>
    <xf numFmtId="0" fontId="30" fillId="0" borderId="0" xfId="0" applyFont="1"/>
    <xf numFmtId="20" fontId="43" fillId="0" borderId="0" xfId="0" applyNumberFormat="1" applyFont="1"/>
    <xf numFmtId="0" fontId="29" fillId="3" borderId="0" xfId="0" applyFont="1" applyFill="1"/>
    <xf numFmtId="0" fontId="29" fillId="0" borderId="0" xfId="0" applyFont="1"/>
    <xf numFmtId="168" fontId="0" fillId="0" borderId="0" xfId="0" applyNumberFormat="1" applyAlignment="1">
      <alignment vertical="center"/>
    </xf>
    <xf numFmtId="168" fontId="0" fillId="0" borderId="0" xfId="2" applyNumberFormat="1" applyFont="1" applyAlignment="1">
      <alignment vertical="center"/>
    </xf>
    <xf numFmtId="168" fontId="0" fillId="0" borderId="8" xfId="2" applyNumberFormat="1" applyFont="1" applyBorder="1" applyAlignment="1">
      <alignment vertical="center"/>
    </xf>
    <xf numFmtId="168" fontId="0" fillId="0" borderId="8" xfId="2" applyNumberFormat="1" applyFont="1" applyFill="1" applyBorder="1"/>
    <xf numFmtId="168" fontId="0" fillId="0" borderId="8" xfId="2" applyNumberFormat="1" applyFont="1" applyBorder="1"/>
    <xf numFmtId="168" fontId="84" fillId="0" borderId="8" xfId="2" applyNumberFormat="1" applyFont="1" applyBorder="1"/>
    <xf numFmtId="168" fontId="0" fillId="0" borderId="8" xfId="2" applyNumberFormat="1" applyFont="1" applyFill="1" applyBorder="1" applyAlignment="1">
      <alignment vertical="center"/>
    </xf>
    <xf numFmtId="168" fontId="0" fillId="0" borderId="8" xfId="0" applyNumberFormat="1" applyBorder="1"/>
    <xf numFmtId="168" fontId="0" fillId="4" borderId="8" xfId="0" applyNumberFormat="1" applyFill="1" applyBorder="1"/>
    <xf numFmtId="4" fontId="0" fillId="0" borderId="8" xfId="0" applyNumberFormat="1" applyBorder="1"/>
    <xf numFmtId="165" fontId="0" fillId="50" borderId="0" xfId="0" applyNumberFormat="1" applyFill="1" applyBorder="1" applyAlignment="1">
      <alignment vertical="center"/>
    </xf>
    <xf numFmtId="0" fontId="28" fillId="0" borderId="0" xfId="0" applyFont="1"/>
    <xf numFmtId="0" fontId="27" fillId="3" borderId="0" xfId="0" applyFont="1" applyFill="1"/>
    <xf numFmtId="0" fontId="27" fillId="0" borderId="0" xfId="0" applyFont="1"/>
    <xf numFmtId="0" fontId="26" fillId="0" borderId="0" xfId="0" applyFont="1"/>
    <xf numFmtId="0" fontId="25" fillId="0" borderId="0" xfId="0" applyFont="1"/>
    <xf numFmtId="0" fontId="59" fillId="0" borderId="3" xfId="0" applyFont="1" applyBorder="1" applyAlignment="1">
      <alignment horizontal="center" vertical="center"/>
    </xf>
    <xf numFmtId="165" fontId="0" fillId="13" borderId="0" xfId="0" applyNumberFormat="1" applyFill="1" applyBorder="1" applyAlignment="1">
      <alignment vertical="center"/>
    </xf>
    <xf numFmtId="0" fontId="24" fillId="3" borderId="0" xfId="0" applyFont="1" applyFill="1"/>
    <xf numFmtId="0" fontId="24" fillId="0" borderId="0" xfId="0" applyFont="1"/>
    <xf numFmtId="0" fontId="23" fillId="3" borderId="0" xfId="0" applyFont="1" applyFill="1"/>
    <xf numFmtId="0" fontId="23" fillId="0" borderId="0" xfId="0" applyFont="1"/>
    <xf numFmtId="0" fontId="22" fillId="0" borderId="0" xfId="0" applyFont="1"/>
    <xf numFmtId="8" fontId="47" fillId="0" borderId="0" xfId="0" applyNumberFormat="1" applyFont="1"/>
    <xf numFmtId="0" fontId="21" fillId="3" borderId="0" xfId="0" applyFont="1" applyFill="1"/>
    <xf numFmtId="0" fontId="21" fillId="0" borderId="0" xfId="0" applyFont="1"/>
    <xf numFmtId="0" fontId="20" fillId="0" borderId="0" xfId="0" applyFont="1"/>
    <xf numFmtId="0" fontId="19" fillId="0" borderId="0" xfId="0" applyFont="1"/>
    <xf numFmtId="0" fontId="18" fillId="3" borderId="0" xfId="0" applyFont="1" applyFill="1"/>
    <xf numFmtId="0" fontId="18" fillId="0" borderId="0" xfId="0" applyFont="1"/>
    <xf numFmtId="0" fontId="17" fillId="3" borderId="0" xfId="0" applyFont="1" applyFill="1"/>
    <xf numFmtId="0" fontId="17" fillId="0" borderId="0" xfId="0" applyFont="1"/>
    <xf numFmtId="0" fontId="16" fillId="0" borderId="0" xfId="0" applyFont="1"/>
    <xf numFmtId="0" fontId="15" fillId="0" borderId="0" xfId="0" applyFont="1"/>
    <xf numFmtId="0" fontId="14" fillId="0" borderId="0" xfId="0" applyFont="1"/>
    <xf numFmtId="0" fontId="13" fillId="0" borderId="0" xfId="0" applyFont="1"/>
    <xf numFmtId="0" fontId="12" fillId="0" borderId="0" xfId="0" applyFont="1"/>
    <xf numFmtId="0" fontId="11" fillId="0" borderId="0" xfId="0" applyFont="1"/>
    <xf numFmtId="0" fontId="11" fillId="3" borderId="0" xfId="0" applyFont="1" applyFill="1"/>
    <xf numFmtId="0" fontId="10" fillId="3" borderId="0" xfId="0" applyFont="1" applyFill="1"/>
    <xf numFmtId="0" fontId="10" fillId="0" borderId="0" xfId="0" applyFont="1"/>
    <xf numFmtId="0" fontId="9" fillId="3" borderId="0" xfId="0" applyFont="1" applyFill="1"/>
    <xf numFmtId="0" fontId="9" fillId="0" borderId="0" xfId="0" applyFont="1"/>
    <xf numFmtId="0" fontId="8" fillId="3" borderId="0" xfId="0" applyFont="1" applyFill="1"/>
    <xf numFmtId="0" fontId="7" fillId="0" borderId="0" xfId="0" applyFont="1"/>
    <xf numFmtId="0" fontId="6" fillId="3" borderId="0" xfId="0" applyFont="1" applyFill="1"/>
    <xf numFmtId="0" fontId="6" fillId="0" borderId="0" xfId="0" applyFont="1"/>
    <xf numFmtId="0" fontId="5" fillId="0" borderId="0" xfId="0" applyFont="1"/>
    <xf numFmtId="16" fontId="0" fillId="4" borderId="8" xfId="0" applyNumberFormat="1" applyFill="1" applyBorder="1"/>
    <xf numFmtId="0" fontId="71" fillId="4" borderId="8" xfId="0" applyFont="1" applyFill="1" applyBorder="1" applyAlignment="1">
      <alignment wrapText="1"/>
    </xf>
    <xf numFmtId="4" fontId="0" fillId="4" borderId="8" xfId="0" applyNumberFormat="1" applyFill="1" applyBorder="1"/>
    <xf numFmtId="0" fontId="4" fillId="3" borderId="0" xfId="0" applyFont="1" applyFill="1"/>
    <xf numFmtId="0" fontId="4" fillId="0" borderId="0" xfId="0" applyFont="1"/>
    <xf numFmtId="0" fontId="3" fillId="0" borderId="0" xfId="0" applyFont="1"/>
    <xf numFmtId="0" fontId="2" fillId="12" borderId="0" xfId="0" applyFont="1" applyFill="1" applyAlignment="1">
      <alignment horizontal="center"/>
    </xf>
    <xf numFmtId="0" fontId="0" fillId="11" borderId="4" xfId="0" applyFill="1" applyBorder="1" applyAlignment="1">
      <alignment vertical="center"/>
    </xf>
    <xf numFmtId="6" fontId="0" fillId="0" borderId="0" xfId="0" applyNumberFormat="1" applyAlignment="1">
      <alignment vertical="center"/>
    </xf>
    <xf numFmtId="16" fontId="0" fillId="0" borderId="0" xfId="0" applyNumberFormat="1"/>
    <xf numFmtId="0" fontId="1" fillId="3" borderId="0" xfId="0" applyFont="1" applyFill="1"/>
  </cellXfs>
  <cellStyles count="46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 2" xfId="45"/>
    <cellStyle name="Entrée" xfId="12" builtinId="20" customBuiltin="1"/>
    <cellStyle name="Insatisfaisant" xfId="10" builtinId="27" customBuiltin="1"/>
    <cellStyle name="Lien hypertexte" xfId="3" builtinId="8"/>
    <cellStyle name="Monétaire" xfId="2" builtinId="4"/>
    <cellStyle name="Neutre" xfId="11" builtinId="28" customBuiltin="1"/>
    <cellStyle name="Normal" xfId="0" builtinId="0"/>
    <cellStyle name="Normal 2" xfId="44"/>
    <cellStyle name="Pourcentage" xfId="1" builtinId="5"/>
    <cellStyle name="Satisfaisant" xfId="9" builtinId="26" customBuiltin="1"/>
    <cellStyle name="Sortie" xfId="13" builtinId="21" customBuiltin="1"/>
    <cellStyle name="Texte explicatif" xfId="18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19" builtinId="25" customBuiltin="1"/>
    <cellStyle name="Vérification" xfId="16" builtinId="23" customBuiltin="1"/>
  </cellStyles>
  <dxfs count="261"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C3300"/>
      </font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numFmt numFmtId="166" formatCode="#,##0.00\ &quot;€&quot;"/>
    </dxf>
    <dxf>
      <numFmt numFmtId="166" formatCode="#,##0.00\ &quot;€&quot;"/>
    </dxf>
    <dxf>
      <numFmt numFmtId="21" formatCode="dd\-mmm"/>
    </dxf>
    <dxf>
      <numFmt numFmtId="166" formatCode="#,##0.00\ &quot;€&quot;"/>
    </dxf>
    <dxf>
      <numFmt numFmtId="166" formatCode="#,##0.00\ &quot;€&quot;"/>
    </dxf>
    <dxf>
      <numFmt numFmtId="21" formatCode="dd\-mmm"/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4" formatCode="00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4" formatCode="0.00%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minor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alignment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9" formatCode="General&quot; jours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b/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/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numFmt numFmtId="0" formatCode="General"/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/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top" textRotation="0" wrapText="1" indent="0" justifyLastLine="0" shrinkToFit="0" readingOrder="0"/>
    </dxf>
  </dxfs>
  <tableStyles count="0" defaultTableStyle="TableStyleMedium9" defaultPivotStyle="PivotStyleLight16"/>
  <colors>
    <mruColors>
      <color rgb="FFF44B23"/>
      <color rgb="FF00FF00"/>
      <color rgb="FF99CC00"/>
      <color rgb="FFFF66FF"/>
      <color rgb="FFFF6600"/>
      <color rgb="FF5D9CBD"/>
      <color rgb="FF919939"/>
      <color rgb="FFFFFF99"/>
      <color rgb="FFCC33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1030" name="Picture 6" descr="http://tps10230.doubleverify.com/event.gif?impid=37996367dad84511969650e3de761f91&amp;dvp_isFrmNested=1&amp;dvp_isFlshSupported=1&amp;dvp_frmSize=1600x805&amp;dvp_isValidFrmSize=0&amp;dvp_isHiddenSupprted=0dvp_hdnVer=5&amp;cbust=1435062218480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45</xdr:row>
      <xdr:rowOff>0</xdr:rowOff>
    </xdr:from>
    <xdr:to>
      <xdr:col>7</xdr:col>
      <xdr:colOff>28575</xdr:colOff>
      <xdr:row>45</xdr:row>
      <xdr:rowOff>9525</xdr:rowOff>
    </xdr:to>
    <xdr:pic>
      <xdr:nvPicPr>
        <xdr:cNvPr id="1031" name="Picture 7" descr="http://tps10230.doubleverify.com/event.gif?impid=37996367dad84511969650e3de761f91&amp;dvp_ltncy=1270&amp;cbust=14350622176458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9250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352425</xdr:colOff>
      <xdr:row>45</xdr:row>
      <xdr:rowOff>0</xdr:rowOff>
    </xdr:from>
    <xdr:to>
      <xdr:col>7</xdr:col>
      <xdr:colOff>361950</xdr:colOff>
      <xdr:row>45</xdr:row>
      <xdr:rowOff>9525</xdr:rowOff>
    </xdr:to>
    <xdr:pic>
      <xdr:nvPicPr>
        <xdr:cNvPr id="1033" name="Picture 9" descr="http://pixel.quantserve.com/pixel/p-1W0hRddEF2AeG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371475</xdr:colOff>
      <xdr:row>45</xdr:row>
      <xdr:rowOff>0</xdr:rowOff>
    </xdr:from>
    <xdr:to>
      <xdr:col>7</xdr:col>
      <xdr:colOff>676275</xdr:colOff>
      <xdr:row>46</xdr:row>
      <xdr:rowOff>95250</xdr:rowOff>
    </xdr:to>
    <xdr:sp macro="" textlink="">
      <xdr:nvSpPr>
        <xdr:cNvPr id="1034" name="AutoShape 10" descr="http://dmp.truoptik.com/tr.gif?ak=0810d65f&amp;dm=www.mrexcel.com&amp;fck=3C051EACBE4F8955133B3BA1020D5945"/>
        <xdr:cNvSpPr>
          <a:spLocks noChangeAspect="1" noChangeArrowheads="1"/>
        </xdr:cNvSpPr>
      </xdr:nvSpPr>
      <xdr:spPr bwMode="auto">
        <a:xfrm>
          <a:off x="5781675" y="412718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685800</xdr:colOff>
      <xdr:row>45</xdr:row>
      <xdr:rowOff>0</xdr:rowOff>
    </xdr:from>
    <xdr:to>
      <xdr:col>7</xdr:col>
      <xdr:colOff>695325</xdr:colOff>
      <xdr:row>45</xdr:row>
      <xdr:rowOff>9525</xdr:rowOff>
    </xdr:to>
    <xdr:pic>
      <xdr:nvPicPr>
        <xdr:cNvPr id="1035" name="Picture 11" descr="http://pixel.quantserve.com/pixel/p-1W0hRddEF2AeG.gif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4" name="TableauFA1" displayName="TableauFA1" ref="A2:AL43" totalsRowShown="0" headerRowDxfId="260" dataDxfId="259">
  <autoFilter ref="A2:AL43"/>
  <tableColumns count="38">
    <tableColumn id="1" name="Date" dataDxfId="258" totalsRowDxfId="257"/>
    <tableColumn id="2" name="FA1" dataDxfId="256" totalsRowDxfId="255">
      <calculatedColumnFormula>IF(A3="","",$B$2)</calculatedColumnFormula>
    </tableColumn>
    <tableColumn id="6" name="N°" dataDxfId="254" totalsRowDxfId="253">
      <calculatedColumnFormula>IF(A3="","",IF(#REF!=#REF!,C2+1,1))</calculatedColumnFormula>
    </tableColumn>
    <tableColumn id="7" name="Client" dataDxfId="252" totalsRowDxfId="251"/>
    <tableColumn id="24" name="Cial" dataDxfId="250" totalsRowDxfId="249"/>
    <tableColumn id="8" name="N° complet" dataDxfId="248" totalsRowDxfId="247">
      <calculatedColumnFormula>IF(C3="","",CONCATENATE(TableauFA1[[#This Row],[FA1]],"-",TEXT(YEAR(TableauFA1[[#This Row],[Date]])-2000,"00"),TEXT(MONTH(TableauFA1[[#This Row],[Date]]),"00"),TEXT(TableauFA1[[#This Row],[N°]],"0000")))</calculatedColumnFormula>
    </tableColumn>
    <tableColumn id="23" name="%" dataDxfId="246" totalsRowDxfId="245" dataCellStyle="Pourcentage"/>
    <tableColumn id="9" name="Objet" dataDxfId="244" totalsRowDxfId="243"/>
    <tableColumn id="28" name="Date acquittement (date encaissement)" dataDxfId="242" totalsRowDxfId="241">
      <calculatedColumnFormula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calculatedColumnFormula>
    </tableColumn>
    <tableColumn id="3" name="Total HT" dataDxfId="240" totalsRowDxfId="239"/>
    <tableColumn id="4" name="Dont soumis au taux réduit" dataDxfId="238" totalsRowDxfId="237"/>
    <tableColumn id="19" name="Taux réduit" dataDxfId="236" totalsRowDxfId="235"/>
    <tableColumn id="5" name="Montant TVA taux réduit" dataDxfId="234" totalsRowDxfId="233">
      <calculatedColumnFormula>IF(TableauFA1[[#This Row],[Dont soumis au taux réduit]]="","",ROUND(TableauFA1[[#This Row],[Dont soumis au taux réduit]]*TableauFA1[[#This Row],[Taux réduit]],2))</calculatedColumnFormula>
    </tableColumn>
    <tableColumn id="20" name="Dont soumis au taux intermédiaire" dataDxfId="232" totalsRowDxfId="231"/>
    <tableColumn id="21" name="Taux intermédiaire" dataDxfId="230" totalsRowDxfId="229"/>
    <tableColumn id="22" name="Montant TVA taux intermédiaire" dataDxfId="228" totalsRowDxfId="227">
      <calculatedColumnFormula>IF(TableauFA1[[#This Row],[Dont soumis au taux intermédiaire]]="","",ROUND(TableauFA1[[#This Row],[Dont soumis au taux intermédiaire]]*TableauFA1[[#This Row],[Taux intermédiaire]],2))</calculatedColumnFormula>
    </tableColumn>
    <tableColumn id="17" name="Dont soumis au taux normal" dataDxfId="226" totalsRowDxfId="225"/>
    <tableColumn id="15" name="Taux normal" dataDxfId="224" totalsRowDxfId="223"/>
    <tableColumn id="18" name="Montant TVA taux normal" dataDxfId="222">
      <calculatedColumnFormula>IF(TableauFA1[[#This Row],[Dont soumis au taux normal]]="","",ROUND(TableauFA1[[#This Row],[Dont soumis au taux normal]]*TableauFA1[[#This Row],[Taux normal]],2))</calculatedColumnFormula>
    </tableColumn>
    <tableColumn id="10" name="TOTAL TTC" dataDxfId="221" totalsRowDxfId="220"/>
    <tableColumn id="12" name="Ecart de règlement FA1" dataDxfId="219" totalsRowDxfId="218">
      <calculatedColumnFormula>IF(TableauFA1[[#This Row],[Montant chèque 1]]&gt;0,ROUND(SUM(TableauFA1[[#This Row],[Montant chèque 1]],TableauFA1[[#This Row],[Montant chèque 2]],TableauFA1[[#This Row],[Montant chèque 3]])-TableauFA1[[#This Row],[TOTAL TTC]],2),"")</calculatedColumnFormula>
    </tableColumn>
    <tableColumn id="45" name="Ecart règlement ENCAISSE FA1" dataDxfId="217" totalsRowDxfId="216" dataCellStyle="Monétaire">
      <calculatedColumnFormula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calculatedColumnFormula>
    </tableColumn>
    <tableColumn id="13" name="Date chèque 1" dataDxfId="215" totalsRowDxfId="214"/>
    <tableColumn id="11" name="Montant chèque 1" dataDxfId="213" totalsRowDxfId="212"/>
    <tableColumn id="14" name="Référence chèque 1" dataDxfId="211" totalsRowDxfId="210"/>
    <tableColumn id="25" name="N° remise chèque 1" dataDxfId="209" totalsRowDxfId="208"/>
    <tableColumn id="26" name="Date valeur chèque 1" dataDxfId="207">
      <calculatedColumnFormula>IF(TableauFA1[[#This Row],[N° remise chèque 1]]="","",IF(VLOOKUP(TableauFA1[[#This Row],[N° remise chèque 1]],matrice_remises,2,FALSE)&lt;&gt;"",VLOOKUP(TableauFA1[[#This Row],[N° remise chèque 1]],matrice_remises,2,FALSE),""))</calculatedColumnFormula>
    </tableColumn>
    <tableColumn id="35" name="Date chèque 2" dataDxfId="206"/>
    <tableColumn id="36" name="Montant chèque 2" dataDxfId="205" dataCellStyle="Monétaire"/>
    <tableColumn id="37" name="Référence chèque 2" dataDxfId="204"/>
    <tableColumn id="38" name="N° remise chèque 2" dataDxfId="203"/>
    <tableColumn id="39" name="Date valeur chèque 2" dataDxfId="202">
      <calculatedColumnFormula>IF(TableauFA1[[#This Row],[N° remise chèque 2]]="","",IF(VLOOKUP(TableauFA1[[#This Row],[N° remise chèque 2]],matrice_remises,2,FALSE)&lt;&gt;"",VLOOKUP(TableauFA1[[#This Row],[N° remise chèque 2]],matrice_remises,2,FALSE),""))</calculatedColumnFormula>
    </tableColumn>
    <tableColumn id="40" name="Date chèque 3" dataDxfId="201"/>
    <tableColumn id="41" name="Montant chèque 3" dataDxfId="200" dataCellStyle="Monétaire"/>
    <tableColumn id="42" name="Référence chèque 3" dataDxfId="199"/>
    <tableColumn id="43" name="N° remise chèque 3" dataDxfId="198"/>
    <tableColumn id="44" name="Date valeur chèque 3" dataDxfId="197">
      <calculatedColumnFormula>IF(TableauFA1[[#This Row],[N° remise chèque 3]]="","",IF(VLOOKUP(TableauFA1[[#This Row],[N° remise chèque 3]],matrice_remises,2,FALSE)&lt;&gt;"",VLOOKUP(TableauFA1[[#This Row],[N° remise chèque 3]],matrice_remises,2,FALSE),""))</calculatedColumnFormula>
    </tableColumn>
    <tableColumn id="27" name="Comm versée en" dataDxfId="19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TableauFA2" displayName="TableauFA2" ref="A2:AL46" totalsRowShown="0" headerRowDxfId="195" dataDxfId="194">
  <autoFilter ref="A2:AL46"/>
  <tableColumns count="38">
    <tableColumn id="1" name="Date" dataDxfId="193"/>
    <tableColumn id="2" name="FA2" dataDxfId="192">
      <calculatedColumnFormula>IF(A3="","",$B$2)</calculatedColumnFormula>
    </tableColumn>
    <tableColumn id="6" name="N°" dataDxfId="191">
      <calculatedColumnFormula>IF(A3="","",IF(#REF!=#REF!,C2+1,1))</calculatedColumnFormula>
    </tableColumn>
    <tableColumn id="7" name="Client" dataDxfId="190"/>
    <tableColumn id="24" name="Cial" dataDxfId="189"/>
    <tableColumn id="8" name="N° complet" dataDxfId="188">
      <calculatedColumnFormula>IF(TableauFA2[[#This Row],[Date]]="","",CONCATENATE(TableauFA2[[#This Row],[FA2]],"-",TEXT((YEAR(TableauFA2[[#This Row],[Date]])-2000),"00"),TEXT(MONTH(TableauFA2[[#This Row],[Date]]),"00"),TEXT(TableauFA2[[#This Row],[N°]],"0000")))</calculatedColumnFormula>
    </tableColumn>
    <tableColumn id="23" name="%" dataDxfId="187" dataCellStyle="Pourcentage"/>
    <tableColumn id="9" name="Objet" dataDxfId="186"/>
    <tableColumn id="28" name="Date acquittement (date encaissement)" dataDxfId="185">
      <calculatedColumnFormula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calculatedColumnFormula>
    </tableColumn>
    <tableColumn id="3" name="Total HT" dataDxfId="184"/>
    <tableColumn id="4" name="Dont soumis au taux réduit" dataDxfId="183"/>
    <tableColumn id="5" name="Taux réduit" dataDxfId="182"/>
    <tableColumn id="18" name="Montant TVA taux réduit" dataDxfId="181">
      <calculatedColumnFormula>IF(TableauFA2[[#This Row],[Dont soumis au taux réduit]]="","",TableauFA2[[#This Row],[Dont soumis au taux réduit]]*TableauFA2[[#This Row],[Taux réduit]])</calculatedColumnFormula>
    </tableColumn>
    <tableColumn id="12" name="Dont soumis au taux intermédiaire" dataDxfId="180"/>
    <tableColumn id="15" name="Taux intermédiaire" dataDxfId="179"/>
    <tableColumn id="16" name="Montant TVA taux intermédiaire" dataDxfId="178">
      <calculatedColumnFormula>IF(TableauFA2[[#This Row],[Dont soumis au taux intermédiaire]]="","",TableauFA2[[#This Row],[Dont soumis au taux intermédiaire]]*TableauFA2[[#This Row],[Taux intermédiaire]])</calculatedColumnFormula>
    </tableColumn>
    <tableColumn id="19" name="Dont soumis au taux normal" dataDxfId="177"/>
    <tableColumn id="22" name="Taux normal" dataDxfId="176"/>
    <tableColumn id="20" name="Montant TVA taux normal" dataDxfId="175">
      <calculatedColumnFormula>IF(TableauFA2[[#This Row],[Dont soumis au taux normal]]="","",TableauFA2[[#This Row],[Dont soumis au taux normal]]*TableauFA2[[#This Row],[Taux normal]])</calculatedColumnFormula>
    </tableColumn>
    <tableColumn id="21" name="TOTAL TTC" dataDxfId="174">
      <calculatedColumnFormula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calculatedColumnFormula>
    </tableColumn>
    <tableColumn id="11" name="Ecart de règlement FA2" dataDxfId="173">
      <calculatedColumnFormula>IF(TableauFA2[[#This Row],[Montant chèque 1]]&gt;0,ROUND(SUM(TableauFA2[[#This Row],[Montant chèque 1]],TableauFA2[[#This Row],[Montant chèque 2]],TableauFA2[[#This Row],[Montant chèque 3]])-TableauFA2[[#This Row],[TOTAL TTC]],2),"")</calculatedColumnFormula>
    </tableColumn>
    <tableColumn id="29" name="Ecart de règlement ENCAISSEMENT FA2" dataDxfId="172">
      <calculatedColumnFormula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calculatedColumnFormula>
    </tableColumn>
    <tableColumn id="13" name="Date chèque 1" dataDxfId="171"/>
    <tableColumn id="10" name="Montant chèque 1" dataDxfId="170"/>
    <tableColumn id="14" name="Référence chèque 1" dataDxfId="169"/>
    <tableColumn id="25" name="N° remise chèque 1" dataDxfId="168"/>
    <tableColumn id="26" name="Date valeur chèque 1" dataDxfId="167">
      <calculatedColumnFormula>IF(TableauFA2[[#This Row],[N° remise chèque 1]]="","",IF(VLOOKUP(TableauFA2[[#This Row],[N° remise chèque 1]],matrice_remises,2,FALSE)&lt;&gt;"",VLOOKUP(TableauFA2[[#This Row],[N° remise chèque 1]],matrice_remises,2,FALSE),""))</calculatedColumnFormula>
    </tableColumn>
    <tableColumn id="30" name="Date chèque 2" dataDxfId="166"/>
    <tableColumn id="31" name="Montant chèque 2" dataDxfId="165" dataCellStyle="Monétaire"/>
    <tableColumn id="32" name="Référence chèque 2" dataDxfId="164"/>
    <tableColumn id="33" name="N° remise chèque 2" dataDxfId="163"/>
    <tableColumn id="34" name="Date valeur chèque 2" dataDxfId="162">
      <calculatedColumnFormula>IF(TableauFA2[[#This Row],[N° remise chèque 2]]="","",IF(VLOOKUP(TableauFA2[[#This Row],[N° remise chèque 2]],matrice_remises,2,FALSE)&lt;&gt;"",VLOOKUP(TableauFA2[[#This Row],[N° remise chèque 2]],matrice_remises,2,FALSE),""))</calculatedColumnFormula>
    </tableColumn>
    <tableColumn id="35" name="Date chèque 3" dataDxfId="161"/>
    <tableColumn id="36" name="Montant chèque 3" dataDxfId="160" dataCellStyle="Monétaire"/>
    <tableColumn id="37" name="Référence chèque 3" dataDxfId="159"/>
    <tableColumn id="38" name="N° remise chèque 3" dataDxfId="158"/>
    <tableColumn id="39" name="Date valeur chèque 3" dataDxfId="157">
      <calculatedColumnFormula>IF(TableauFA2[[#This Row],[N° remise chèque 3]]="","",IF(VLOOKUP(TableauFA2[[#This Row],[N° remise chèque 3]],matrice_remises,2,FALSE)&lt;&gt;"",VLOOKUP(TableauFA2[[#This Row],[N° remise chèque 3]],matrice_remises,2,FALSE),""))</calculatedColumnFormula>
    </tableColumn>
    <tableColumn id="27" name="Comm versée en" dataDxfId="15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6" name="TableauFfinale" displayName="TableauFfinale" ref="A2:AR41" totalsRowShown="0" headerRowDxfId="155" dataDxfId="154">
  <autoFilter ref="A2:AR41"/>
  <tableColumns count="44">
    <tableColumn id="1" name="Date" dataDxfId="153"/>
    <tableColumn id="2" name="F" dataDxfId="152">
      <calculatedColumnFormula>IF(A3="","",$B$2)</calculatedColumnFormula>
    </tableColumn>
    <tableColumn id="6" name="N°" dataDxfId="151">
      <calculatedColumnFormula>IF(A3="","",IF(#REF!=#REF!,C2+1,1))</calculatedColumnFormula>
    </tableColumn>
    <tableColumn id="7" name="Client" dataDxfId="150"/>
    <tableColumn id="30" name="Cial" dataDxfId="149"/>
    <tableColumn id="8" name="N° complet" dataDxfId="148">
      <calculatedColumnFormula>IF(TableauFfinale[[#This Row],[Date]]="","",CONCATENATE(TableauFfinale[[#This Row],[F]],"-",TEXT((YEAR(TableauFfinale[[#This Row],[Date]])-2000),"00"),TEXT(MONTH(TableauFfinale[[#This Row],[Date]]),"00"),TEXT(TableauFfinale[[#This Row],[N°]],"0000")))</calculatedColumnFormula>
    </tableColumn>
    <tableColumn id="29" name="%" dataDxfId="147" dataCellStyle="Pourcentage"/>
    <tableColumn id="9" name="Objet" dataDxfId="146"/>
    <tableColumn id="34" name="Date acquittement (date encaissement)" dataDxfId="145">
      <calculatedColumnFormula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calculatedColumnFormula>
    </tableColumn>
    <tableColumn id="21" name="Chantier soldé ?" dataDxfId="144"/>
    <tableColumn id="3" name="Total HT" dataDxfId="143"/>
    <tableColumn id="20" name="Dont soumis au taux réduit" dataDxfId="142"/>
    <tableColumn id="4" name="Taux réduit" dataDxfId="141"/>
    <tableColumn id="5" name="Montant TVA taux réduit" dataDxfId="140">
      <calculatedColumnFormula>IF(TableauFfinale[[#This Row],[Dont soumis au taux réduit]]="","",TableauFfinale[[#This Row],[Dont soumis au taux réduit]]*TableauFfinale[[#This Row],[Taux réduit]])</calculatedColumnFormula>
    </tableColumn>
    <tableColumn id="25" name="Dont soumis au taux intermédiaire" dataDxfId="139"/>
    <tableColumn id="26" name="Taux intermédiaire" dataDxfId="138"/>
    <tableColumn id="27" name="Montant TVA taux intermédiaire" dataDxfId="137">
      <calculatedColumnFormula>IF(TableauFfinale[[#This Row],[Dont soumis au taux intermédiaire]]="","",TableauFfinale[[#This Row],[Dont soumis au taux intermédiaire]]*TableauFfinale[[#This Row],[Taux intermédiaire]])</calculatedColumnFormula>
    </tableColumn>
    <tableColumn id="17" name="Dont soumis au taux normal" dataDxfId="136"/>
    <tableColumn id="24" name="Taux normal" dataDxfId="135"/>
    <tableColumn id="18" name="Montant TVA taux normal" dataDxfId="134">
      <calculatedColumnFormula>IF(TableauFfinale[[#This Row],[Dont soumis au taux normal]]="","",TableauFfinale[[#This Row],[Dont soumis au taux normal]]*TableauFfinale[[#This Row],[Taux normal]])</calculatedColumnFormula>
    </tableColumn>
    <tableColumn id="19" name="TOTAL TTC" dataDxfId="133"/>
    <tableColumn id="12" name="Ecarts réglements FA1+FA2-AVOIR (report)" dataDxfId="132"/>
    <tableColumn id="15" name="SOLDE A REGLER" dataDxfId="131"/>
    <tableColumn id="11" name="Ecart de règlement" dataDxfId="130">
      <calculatedColumnFormula>IF(NOT(ISBLANK(TableauFfinale[[#This Row],[Montant chèque 1]])),ROUND(SUM(TableauFfinale[[#This Row],[Montant chèque 1]],TableauFfinale[[#This Row],[Montant chèque 2]],TableauFfinale[[#This Row],[Montant chèque 3]])-TableauFfinale[[#This Row],[SOLDE A REGLER]],2),"")</calculatedColumnFormula>
    </tableColumn>
    <tableColumn id="35" name="Ecart de règlement ENCAISSEMENT" dataDxfId="129">
      <calculatedColumnFormula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calculatedColumnFormula>
    </tableColumn>
    <tableColumn id="13" name="Date chèque 1" dataDxfId="128"/>
    <tableColumn id="10" name="Montant chèque 1" dataDxfId="127"/>
    <tableColumn id="14" name="Référence chèque 1" dataDxfId="126"/>
    <tableColumn id="31" name="N° remise chèque 1" dataDxfId="125"/>
    <tableColumn id="32" name="Date valeur chèque 1" dataDxfId="124">
      <calculatedColumnFormula>IF(TableauFfinale[[#This Row],[N° remise chèque 1]]="","",IF(VLOOKUP(TableauFfinale[[#This Row],[N° remise chèque 1]],matrice_remises,2,FALSE)&lt;&gt;"",VLOOKUP(TableauFfinale[[#This Row],[N° remise chèque 1]],matrice_remises,2,FALSE),""))</calculatedColumnFormula>
    </tableColumn>
    <tableColumn id="36" name="Date chèque 2" dataDxfId="123"/>
    <tableColumn id="37" name="Montant chèque 2" dataDxfId="122" dataCellStyle="Monétaire"/>
    <tableColumn id="38" name="Référence chèque 2" dataDxfId="121"/>
    <tableColumn id="39" name="N° remise chèque 2" dataDxfId="120"/>
    <tableColumn id="40" name="Date valeur chèque 2" dataDxfId="119">
      <calculatedColumnFormula>IF(TableauFfinale[[#This Row],[N° remise chèque 2]]="","",IF(VLOOKUP(TableauFfinale[[#This Row],[N° remise chèque 2]],matrice_remises,2,FALSE)&lt;&gt;"",VLOOKUP(TableauFfinale[[#This Row],[N° remise chèque 2]],matrice_remises,2,FALSE),""))</calculatedColumnFormula>
    </tableColumn>
    <tableColumn id="41" name="Date chèque 3" dataDxfId="118"/>
    <tableColumn id="42" name="Montant chèque 3" dataDxfId="117" dataCellStyle="Monétaire"/>
    <tableColumn id="43" name="Référence chèque 3" dataDxfId="116"/>
    <tableColumn id="44" name="N° remise chèque 3" dataDxfId="115"/>
    <tableColumn id="45" name="Date valeur chèque 3" dataDxfId="114">
      <calculatedColumnFormula>IF(TableauFfinale[[#This Row],[N° remise chèque 3]]="","",IF(VLOOKUP(TableauFfinale[[#This Row],[N° remise chèque 3]],matrice_remises,2,FALSE)&lt;&gt;"",VLOOKUP(TableauFfinale[[#This Row],[N° remise chèque 3]],matrice_remises,2,FALSE),""))</calculatedColumnFormula>
    </tableColumn>
    <tableColumn id="33" name="Comm versée en" dataDxfId="113"/>
    <tableColumn id="22" name="Ecochèque envoyé à la Région le" dataDxfId="112"/>
    <tableColumn id="23" name="Virement reçu le" dataDxfId="111"/>
    <tableColumn id="28" name="Délai Eco-chèque" dataDxfId="110">
      <calculatedColumnFormula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TableauAvoirs" displayName="TableauAvoirs" ref="A2:U35" totalsRowShown="0" headerRowDxfId="109" dataDxfId="108">
  <autoFilter ref="A2:U35"/>
  <tableColumns count="21">
    <tableColumn id="1" name="Date" dataDxfId="107"/>
    <tableColumn id="2" name="A" dataDxfId="106">
      <calculatedColumnFormula>IF(A3="","",$B$2)</calculatedColumnFormula>
    </tableColumn>
    <tableColumn id="6" name="N°" dataDxfId="105"/>
    <tableColumn id="7" name="Client" dataDxfId="104"/>
    <tableColumn id="21" name="Cial" dataDxfId="103"/>
    <tableColumn id="8" name="N° complet" dataDxfId="102">
      <calculatedColumnFormula>IF(TableauAvoirs[[#This Row],[Date]]="","",CONCATENATE(TableauAvoirs[[#This Row],[A]],"-",TEXT((YEAR(TableauAvoirs[[#This Row],[Date]])-2000),"00"),TEXT(MONTH(TableauAvoirs[[#This Row],[Date]]),"00"),TEXT(TableauAvoirs[[#This Row],[N°]],"0000")))</calculatedColumnFormula>
    </tableColumn>
    <tableColumn id="9" name="Objet" dataDxfId="101"/>
    <tableColumn id="3" name="Total HT" dataDxfId="100"/>
    <tableColumn id="18" name="Dont soumis au taux réduit" dataDxfId="99"/>
    <tableColumn id="19" name="Taux réduit" dataDxfId="98"/>
    <tableColumn id="4" name="Montant TVA taux réduit" dataDxfId="97">
      <calculatedColumnFormula>IF(TableauAvoirs[[#This Row],[Dont soumis au taux réduit]]="","",TableauAvoirs[[#This Row],[Dont soumis au taux réduit]]*TableauAvoirs[[#This Row],[Taux réduit]])</calculatedColumnFormula>
    </tableColumn>
    <tableColumn id="11" name="Dont soumis au taux intermédiaire" dataDxfId="96"/>
    <tableColumn id="12" name="Taux intermédiaire" dataDxfId="95"/>
    <tableColumn id="15" name="Montant TVA taux intermédiaire" dataDxfId="94">
      <calculatedColumnFormula>IF(TableauAvoirs[[#This Row],[Dont soumis au taux intermédiaire]]="","",TableauAvoirs[[#This Row],[Dont soumis au taux intermédiaire]]*TableauAvoirs[[#This Row],[Taux intermédiaire]])</calculatedColumnFormula>
    </tableColumn>
    <tableColumn id="5" name="Dont soumis au taux normal" dataDxfId="93"/>
    <tableColumn id="10" name="Taux normal" dataDxfId="92"/>
    <tableColumn id="16" name="Montant TVA taux normal" dataDxfId="91">
      <calculatedColumnFormula>IF(TableauAvoirs[[#This Row],[Dont soumis au taux normal]]="","",TableauAvoirs[[#This Row],[Dont soumis au taux normal]]*TableauAvoirs[[#This Row],[Taux normal]])</calculatedColumnFormula>
    </tableColumn>
    <tableColumn id="17" name="TOTAL TTC" dataDxfId="90">
      <calculatedColumnFormula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calculatedColumnFormula>
    </tableColumn>
    <tableColumn id="20" name="Mois encaiss." dataDxfId="89">
      <calculatedColumnFormula>IF(TableauAvoirs[[#This Row],[Réglé le]]="","",MONTH(TableauAvoirs[[#This Row],[Réglé le]]))</calculatedColumnFormula>
    </tableColumn>
    <tableColumn id="13" name="Réglé le" dataDxfId="88"/>
    <tableColumn id="14" name="Par" dataDxfId="87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2" name="Tableau1345" displayName="Tableau1345" ref="G1:J19" totalsRowCount="1">
  <autoFilter ref="G1:J18"/>
  <tableColumns count="4">
    <tableColumn id="1" name="Date" dataDxfId="78" totalsRowDxfId="75"/>
    <tableColumn id="2" name="N°"/>
    <tableColumn id="4" name="Montant TTC" totalsRowFunction="sum" dataDxfId="77" totalsRowDxfId="74"/>
    <tableColumn id="5" name="Reste dû" totalsRowFunction="sum" dataDxfId="76" totalsRowDxfId="7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rouchenergies.fr">
      <a:majorFont>
        <a:latin typeface="Oswald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declarations%20tva\tva-sur-encaissements.xlsx" TargetMode="External"/><Relationship Id="rId7" Type="http://schemas.openxmlformats.org/officeDocument/2006/relationships/comments" Target="../comments1.xml"/><Relationship Id="rId2" Type="http://schemas.openxmlformats.org/officeDocument/2006/relationships/hyperlink" Target="declarations%20tva\tva-sur-encaissements.xlsx" TargetMode="External"/><Relationship Id="rId1" Type="http://schemas.openxmlformats.org/officeDocument/2006/relationships/hyperlink" Target="declarations%20tva\tva-sur-encaissements.xlsx" TargetMode="Externa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declarations%20tva/tva-sur-encaissements.xlsx" TargetMode="External"/><Relationship Id="rId7" Type="http://schemas.openxmlformats.org/officeDocument/2006/relationships/comments" Target="../comments2.xml"/><Relationship Id="rId2" Type="http://schemas.openxmlformats.org/officeDocument/2006/relationships/hyperlink" Target="declarations%20tva/tva-sur-encaissements.xlsx" TargetMode="External"/><Relationship Id="rId1" Type="http://schemas.openxmlformats.org/officeDocument/2006/relationships/hyperlink" Target="declarations%20tva/tva-sur-encaissements.xlsx" TargetMode="Externa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declarations%20tva\tva-sur-encaissements.xlsx" TargetMode="External"/><Relationship Id="rId7" Type="http://schemas.openxmlformats.org/officeDocument/2006/relationships/vmlDrawing" Target="../drawings/vmlDrawing3.vml"/><Relationship Id="rId2" Type="http://schemas.openxmlformats.org/officeDocument/2006/relationships/hyperlink" Target="declarations%20tva\tva-sur-encaissements.xlsx" TargetMode="External"/><Relationship Id="rId1" Type="http://schemas.openxmlformats.org/officeDocument/2006/relationships/hyperlink" Target="declarations%20tva\tva-sur-encaissements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declarations%20tva\tva-sur-encaissements.xlsx" TargetMode="External"/><Relationship Id="rId9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AL44"/>
  <sheetViews>
    <sheetView tabSelected="1" zoomScaleNormal="100" workbookViewId="0">
      <pane xSplit="6" ySplit="2" topLeftCell="G4" activePane="bottomRight" state="frozen"/>
      <selection pane="topRight" activeCell="F1" sqref="F1"/>
      <selection pane="bottomLeft" activeCell="A3" sqref="A3"/>
      <selection pane="bottomRight" activeCell="D8" sqref="D8"/>
    </sheetView>
  </sheetViews>
  <sheetFormatPr baseColWidth="10" defaultColWidth="11.375" defaultRowHeight="16.5" x14ac:dyDescent="0.3"/>
  <cols>
    <col min="1" max="1" width="11.75" style="31" customWidth="1"/>
    <col min="2" max="2" width="6.625" style="31" customWidth="1"/>
    <col min="3" max="3" width="5.375" style="2" customWidth="1"/>
    <col min="4" max="4" width="20" style="31" customWidth="1"/>
    <col min="5" max="5" width="6.5" style="31" customWidth="1"/>
    <col min="6" max="6" width="15.75" style="31" customWidth="1"/>
    <col min="7" max="7" width="7.375" style="31" customWidth="1"/>
    <col min="8" max="8" width="20.625" style="31" customWidth="1"/>
    <col min="9" max="9" width="13.5" style="31" customWidth="1"/>
    <col min="10" max="10" width="13.625" style="31" customWidth="1"/>
    <col min="11" max="11" width="11.5" style="31" customWidth="1"/>
    <col min="12" max="12" width="7.875" style="31" customWidth="1"/>
    <col min="13" max="13" width="11.5" style="31" customWidth="1"/>
    <col min="14" max="14" width="13" style="31" customWidth="1"/>
    <col min="15" max="15" width="8.375" style="31" customWidth="1"/>
    <col min="16" max="16" width="12.875" style="31" customWidth="1"/>
    <col min="17" max="17" width="11.5" style="31" customWidth="1"/>
    <col min="18" max="18" width="6.875" style="31" customWidth="1"/>
    <col min="19" max="19" width="11.5" style="31" customWidth="1"/>
    <col min="20" max="20" width="15.75" style="29" customWidth="1"/>
    <col min="21" max="21" width="12.5" style="38" customWidth="1"/>
    <col min="22" max="22" width="13.75" style="31" customWidth="1"/>
    <col min="23" max="23" width="11.75" style="30" customWidth="1"/>
    <col min="24" max="24" width="13.25" style="38" customWidth="1"/>
    <col min="25" max="25" width="33.125" customWidth="1"/>
    <col min="26" max="26" width="10.875" style="31" customWidth="1"/>
    <col min="27" max="27" width="12.25" style="31" customWidth="1"/>
    <col min="28" max="28" width="12.375" style="31" customWidth="1"/>
    <col min="29" max="29" width="13.25" style="31" customWidth="1"/>
    <col min="30" max="30" width="29.375" style="31" customWidth="1"/>
    <col min="31" max="32" width="11.625" style="31" customWidth="1"/>
    <col min="33" max="33" width="11.375" style="31" customWidth="1"/>
    <col min="34" max="34" width="13.625" style="31" customWidth="1"/>
    <col min="35" max="35" width="21" style="31" customWidth="1"/>
    <col min="36" max="36" width="11.625" style="31" customWidth="1"/>
    <col min="37" max="37" width="12" style="31" customWidth="1"/>
    <col min="39" max="39" width="11.5" style="31" customWidth="1"/>
    <col min="40" max="43" width="11.375" style="31"/>
    <col min="44" max="44" width="11.5" style="31" customWidth="1"/>
    <col min="45" max="16384" width="11.375" style="31"/>
  </cols>
  <sheetData>
    <row r="1" spans="1:38" x14ac:dyDescent="0.3">
      <c r="A1" s="67" t="s">
        <v>7</v>
      </c>
      <c r="B1" s="64"/>
      <c r="C1" s="65"/>
      <c r="D1" s="64"/>
      <c r="E1" s="64"/>
      <c r="F1" s="64"/>
      <c r="G1" s="64"/>
      <c r="H1" s="27" t="s">
        <v>176</v>
      </c>
      <c r="I1" s="27"/>
      <c r="J1" s="28"/>
      <c r="K1" s="28"/>
      <c r="L1" s="28"/>
      <c r="M1" s="28"/>
      <c r="N1" s="28"/>
      <c r="O1" s="28"/>
      <c r="P1" s="28"/>
      <c r="Q1" s="28"/>
      <c r="R1" s="28"/>
      <c r="S1" s="28"/>
      <c r="T1" s="28" t="s">
        <v>66</v>
      </c>
      <c r="Y1" s="69" t="s">
        <v>112</v>
      </c>
      <c r="Z1" s="26"/>
      <c r="AD1" s="69" t="s">
        <v>112</v>
      </c>
      <c r="AE1" s="26"/>
      <c r="AF1" s="26"/>
      <c r="AH1" s="69" t="s">
        <v>112</v>
      </c>
      <c r="AI1" s="26"/>
      <c r="AJ1" s="26"/>
      <c r="AL1" s="31"/>
    </row>
    <row r="2" spans="1:38" s="41" customFormat="1" ht="56.25" customHeight="1" x14ac:dyDescent="0.3">
      <c r="A2" s="16" t="s">
        <v>3</v>
      </c>
      <c r="B2" s="16" t="s">
        <v>5</v>
      </c>
      <c r="C2" s="17" t="s">
        <v>1</v>
      </c>
      <c r="D2" s="16" t="s">
        <v>2</v>
      </c>
      <c r="E2" s="16" t="s">
        <v>29</v>
      </c>
      <c r="F2" s="16" t="s">
        <v>4</v>
      </c>
      <c r="G2" s="16" t="s">
        <v>57</v>
      </c>
      <c r="H2" s="16" t="s">
        <v>16</v>
      </c>
      <c r="I2" s="57" t="s">
        <v>90</v>
      </c>
      <c r="J2" s="16" t="s">
        <v>17</v>
      </c>
      <c r="K2" s="19" t="s">
        <v>23</v>
      </c>
      <c r="L2" s="19" t="s">
        <v>28</v>
      </c>
      <c r="M2" s="19" t="s">
        <v>24</v>
      </c>
      <c r="N2" s="20" t="s">
        <v>44</v>
      </c>
      <c r="O2" s="20" t="s">
        <v>45</v>
      </c>
      <c r="P2" s="20" t="s">
        <v>63</v>
      </c>
      <c r="Q2" s="21" t="s">
        <v>25</v>
      </c>
      <c r="R2" s="21" t="s">
        <v>43</v>
      </c>
      <c r="S2" s="21" t="s">
        <v>26</v>
      </c>
      <c r="T2" s="16" t="s">
        <v>27</v>
      </c>
      <c r="U2" s="18" t="s">
        <v>33</v>
      </c>
      <c r="V2" s="57" t="s">
        <v>89</v>
      </c>
      <c r="W2" s="57" t="s">
        <v>74</v>
      </c>
      <c r="X2" s="18" t="s">
        <v>75</v>
      </c>
      <c r="Y2" s="57" t="s">
        <v>76</v>
      </c>
      <c r="Z2" s="57" t="s">
        <v>77</v>
      </c>
      <c r="AA2" s="57" t="s">
        <v>78</v>
      </c>
      <c r="AB2" s="58" t="s">
        <v>81</v>
      </c>
      <c r="AC2" s="54" t="s">
        <v>82</v>
      </c>
      <c r="AD2" s="58" t="s">
        <v>83</v>
      </c>
      <c r="AE2" s="58" t="s">
        <v>84</v>
      </c>
      <c r="AF2" s="58" t="s">
        <v>79</v>
      </c>
      <c r="AG2" s="59" t="s">
        <v>85</v>
      </c>
      <c r="AH2" s="56" t="s">
        <v>86</v>
      </c>
      <c r="AI2" s="59" t="s">
        <v>87</v>
      </c>
      <c r="AJ2" s="59" t="s">
        <v>88</v>
      </c>
      <c r="AK2" s="59" t="s">
        <v>80</v>
      </c>
      <c r="AL2" s="57" t="s">
        <v>73</v>
      </c>
    </row>
    <row r="3" spans="1:38" x14ac:dyDescent="0.3">
      <c r="A3" s="33">
        <v>41618</v>
      </c>
      <c r="B3" s="31" t="str">
        <f t="shared" ref="B3" si="0">IF(A3="","",$B$2)</f>
        <v>FA1</v>
      </c>
      <c r="C3" s="2">
        <v>1</v>
      </c>
      <c r="D3" s="34" t="s">
        <v>36</v>
      </c>
      <c r="E3" s="34" t="s">
        <v>0</v>
      </c>
      <c r="F3" s="35" t="str">
        <f>IF(C3="","",CONCATENATE(TableauFA1[[#This Row],[FA1]],"-",TEXT(YEAR(TableauFA1[[#This Row],[Date]])-2000,"00"),TEXT(MONTH(TableauFA1[[#This Row],[Date]]),"00"),TEXT(TableauFA1[[#This Row],[N°]],"0000")))</f>
        <v>FA1-13120001</v>
      </c>
      <c r="G3" s="42"/>
      <c r="H3" s="31" t="s">
        <v>18</v>
      </c>
      <c r="I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" s="137">
        <v>959.6</v>
      </c>
      <c r="K3" s="137">
        <v>959.6</v>
      </c>
      <c r="L3" s="37">
        <v>7.0000000000000007E-2</v>
      </c>
      <c r="M3" s="137">
        <f>IF(TableauFA1[[#This Row],[Dont soumis au taux réduit]]="","",ROUND(TableauFA1[[#This Row],[Dont soumis au taux réduit]]*TableauFA1[[#This Row],[Taux réduit]],2))</f>
        <v>67.17</v>
      </c>
      <c r="N3" s="137"/>
      <c r="O3" s="37"/>
      <c r="P3" s="137" t="str">
        <f>IF(TableauFA1[[#This Row],[Dont soumis au taux intermédiaire]]="","",ROUND(TableauFA1[[#This Row],[Dont soumis au taux intermédiaire]]*TableauFA1[[#This Row],[Taux intermédiaire]],2))</f>
        <v/>
      </c>
      <c r="Q3" s="137"/>
      <c r="R3" s="37"/>
      <c r="S3" s="137" t="str">
        <f>IF(TableauFA1[[#This Row],[Dont soumis au taux normal]]="","",ROUND(TableauFA1[[#This Row],[Dont soumis au taux normal]]*TableauFA1[[#This Row],[Taux normal]],2))</f>
        <v/>
      </c>
      <c r="T3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1026.77</v>
      </c>
      <c r="U3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3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-1026.77</v>
      </c>
      <c r="W3" s="30">
        <v>41620</v>
      </c>
      <c r="X3" s="38">
        <v>1026.77</v>
      </c>
      <c r="Y3" s="31"/>
      <c r="Z3" s="51"/>
      <c r="AA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" s="53"/>
      <c r="AC3" s="55"/>
      <c r="AD3" s="52"/>
      <c r="AE3" s="52"/>
      <c r="AF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" s="53"/>
      <c r="AH3" s="55"/>
      <c r="AI3" s="52"/>
      <c r="AJ3" s="52"/>
      <c r="AK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" s="52"/>
    </row>
    <row r="4" spans="1:38" x14ac:dyDescent="0.3">
      <c r="A4" s="33">
        <v>42376</v>
      </c>
      <c r="B4" s="31" t="str">
        <f t="shared" ref="B4" si="1">IF(A4="","",$B$2)</f>
        <v>FA1</v>
      </c>
      <c r="C4" s="2">
        <f>IF(A4="","",IF(MONTH(TableauFA1[[#This Row],[Date]])=MONTH(A3),C3+1,1))</f>
        <v>1</v>
      </c>
      <c r="D4" s="156" t="s">
        <v>249</v>
      </c>
      <c r="E4" s="156" t="s">
        <v>64</v>
      </c>
      <c r="F4" s="35" t="str">
        <f>IF(C4="","",CONCATENATE(TableauFA1[[#This Row],[FA1]],"-",TEXT(YEAR(TableauFA1[[#This Row],[Date]])-2000,"00"),TEXT(MONTH(TableauFA1[[#This Row],[Date]]),"00"),TEXT(TableauFA1[[#This Row],[N°]],"0000")))</f>
        <v>FA1-16010001</v>
      </c>
      <c r="G4" s="42">
        <v>0.3</v>
      </c>
      <c r="H4" s="155" t="s">
        <v>19</v>
      </c>
      <c r="I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" s="137">
        <v>861.59</v>
      </c>
      <c r="K4" s="137"/>
      <c r="L4" s="37"/>
      <c r="M4" s="137" t="str">
        <f>IF(TableauFA1[[#This Row],[Dont soumis au taux réduit]]="","",ROUND(TableauFA1[[#This Row],[Dont soumis au taux réduit]]*TableauFA1[[#This Row],[Taux réduit]],2))</f>
        <v/>
      </c>
      <c r="N4" s="137">
        <v>136.78</v>
      </c>
      <c r="O4" s="37">
        <v>0.1</v>
      </c>
      <c r="P4" s="137">
        <f>IF(TableauFA1[[#This Row],[Dont soumis au taux intermédiaire]]="","",ROUND(TableauFA1[[#This Row],[Dont soumis au taux intermédiaire]]*TableauFA1[[#This Row],[Taux intermédiaire]],2))</f>
        <v>13.68</v>
      </c>
      <c r="Q4" s="137">
        <v>724.81</v>
      </c>
      <c r="R4" s="37">
        <v>0.2</v>
      </c>
      <c r="S4" s="137">
        <f>IF(TableauFA1[[#This Row],[Dont soumis au taux normal]]="","",ROUND(TableauFA1[[#This Row],[Dont soumis au taux normal]]*TableauFA1[[#This Row],[Taux normal]],2))</f>
        <v>144.96</v>
      </c>
      <c r="T4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1020.23</v>
      </c>
      <c r="U4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4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4" s="30">
        <v>42360</v>
      </c>
      <c r="X4" s="38">
        <v>500</v>
      </c>
      <c r="Y4" s="155"/>
      <c r="Z4" s="51">
        <v>5340275</v>
      </c>
      <c r="AA4" s="53">
        <f>IF(TableauFA1[[#This Row],[N° remise chèque 1]]="","",IF(VLOOKUP(TableauFA1[[#This Row],[N° remise chèque 1]],matrice_remises,2,FALSE)&lt;&gt;"",VLOOKUP(TableauFA1[[#This Row],[N° remise chèque 1]],matrice_remises,2,FALSE),""))</f>
        <v>42400</v>
      </c>
      <c r="AB4" s="30">
        <v>42388</v>
      </c>
      <c r="AC4" s="38">
        <v>520.23</v>
      </c>
      <c r="AD4" s="165"/>
      <c r="AE4" s="31">
        <v>1490720</v>
      </c>
      <c r="AF4" s="53">
        <f>IF(TableauFA1[[#This Row],[N° remise chèque 2]]="","",IF(VLOOKUP(TableauFA1[[#This Row],[N° remise chèque 2]],matrice_remises,2,FALSE)&lt;&gt;"",VLOOKUP(TableauFA1[[#This Row],[N° remise chèque 2]],matrice_remises,2,FALSE),""))</f>
        <v>42400</v>
      </c>
      <c r="AG4" s="53"/>
      <c r="AH4" s="55"/>
      <c r="AI4" s="52"/>
      <c r="AJ4" s="52"/>
      <c r="AK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" s="52"/>
    </row>
    <row r="5" spans="1:38" x14ac:dyDescent="0.3">
      <c r="A5" s="33">
        <v>42389</v>
      </c>
      <c r="B5" s="31" t="str">
        <f t="shared" ref="B5:B19" si="2">IF(A5="","",$B$2)</f>
        <v>FA1</v>
      </c>
      <c r="C5" s="2">
        <f>IF(A5="","",IF(MONTH(TableauFA1[[#This Row],[Date]])=MONTH(A4),C4+1,1))</f>
        <v>2</v>
      </c>
      <c r="D5" s="166" t="s">
        <v>254</v>
      </c>
      <c r="E5" s="166" t="s">
        <v>64</v>
      </c>
      <c r="F5" s="35" t="str">
        <f>IF(C5="","",CONCATENATE(TableauFA1[[#This Row],[FA1]],"-",TEXT(YEAR(TableauFA1[[#This Row],[Date]])-2000,"00"),TEXT(MONTH(TableauFA1[[#This Row],[Date]]),"00"),TEXT(TableauFA1[[#This Row],[N°]],"0000")))</f>
        <v>FA1-16010002</v>
      </c>
      <c r="G5" s="42">
        <v>0.3</v>
      </c>
      <c r="H5" s="165" t="s">
        <v>19</v>
      </c>
      <c r="I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5" s="137">
        <v>818.68</v>
      </c>
      <c r="K5" s="137"/>
      <c r="L5" s="37"/>
      <c r="M5" s="137" t="str">
        <f>IF(TableauFA1[[#This Row],[Dont soumis au taux réduit]]="","",ROUND(TableauFA1[[#This Row],[Dont soumis au taux réduit]]*TableauFA1[[#This Row],[Taux réduit]],2))</f>
        <v/>
      </c>
      <c r="N5" s="137">
        <v>136.78</v>
      </c>
      <c r="O5" s="37">
        <v>0.1</v>
      </c>
      <c r="P5" s="137">
        <f>IF(TableauFA1[[#This Row],[Dont soumis au taux intermédiaire]]="","",ROUND(TableauFA1[[#This Row],[Dont soumis au taux intermédiaire]]*TableauFA1[[#This Row],[Taux intermédiaire]],2))</f>
        <v>13.68</v>
      </c>
      <c r="Q5" s="137">
        <v>681.9</v>
      </c>
      <c r="R5" s="37">
        <v>0.2</v>
      </c>
      <c r="S5" s="137">
        <f>IF(TableauFA1[[#This Row],[Dont soumis au taux normal]]="","",ROUND(TableauFA1[[#This Row],[Dont soumis au taux normal]]*TableauFA1[[#This Row],[Taux normal]],2))</f>
        <v>136.38</v>
      </c>
      <c r="T5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968.7399999999999</v>
      </c>
      <c r="U5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5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1.1368683772161603E-13</v>
      </c>
      <c r="W5" s="30">
        <v>42387</v>
      </c>
      <c r="X5" s="38">
        <v>500</v>
      </c>
      <c r="Y5" s="165"/>
      <c r="Z5" s="51">
        <v>1490721</v>
      </c>
      <c r="AA5" s="53">
        <f>IF(TableauFA1[[#This Row],[N° remise chèque 1]]="","",IF(VLOOKUP(TableauFA1[[#This Row],[N° remise chèque 1]],matrice_remises,2,FALSE)&lt;&gt;"",VLOOKUP(TableauFA1[[#This Row],[N° remise chèque 1]],matrice_remises,2,FALSE),""))</f>
        <v>42401</v>
      </c>
      <c r="AB5" s="53">
        <v>42424</v>
      </c>
      <c r="AC5" s="55">
        <v>468.74</v>
      </c>
      <c r="AD5" s="193"/>
      <c r="AE5" s="52">
        <v>1490732</v>
      </c>
      <c r="AF5" s="53">
        <f>IF(TableauFA1[[#This Row],[N° remise chèque 2]]="","",IF(VLOOKUP(TableauFA1[[#This Row],[N° remise chèque 2]],matrice_remises,2,FALSE)&lt;&gt;"",VLOOKUP(TableauFA1[[#This Row],[N° remise chèque 2]],matrice_remises,2,FALSE),""))</f>
        <v>42439</v>
      </c>
      <c r="AG5" s="53"/>
      <c r="AH5" s="55"/>
      <c r="AI5" s="52"/>
      <c r="AJ5" s="52"/>
      <c r="AK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5" s="52"/>
    </row>
    <row r="6" spans="1:38" x14ac:dyDescent="0.3">
      <c r="A6" s="33">
        <v>42390</v>
      </c>
      <c r="B6" s="31" t="str">
        <f t="shared" si="2"/>
        <v>FA1</v>
      </c>
      <c r="C6" s="2">
        <f>IF(A6="","",IF(MONTH(TableauFA1[[#This Row],[Date]])=MONTH(A5),C5+1,1))</f>
        <v>3</v>
      </c>
      <c r="D6" s="167" t="s">
        <v>255</v>
      </c>
      <c r="E6" s="167" t="s">
        <v>64</v>
      </c>
      <c r="F6" s="35" t="str">
        <f>IF(C6="","",CONCATENATE(TableauFA1[[#This Row],[FA1]],"-",TEXT(YEAR(TableauFA1[[#This Row],[Date]])-2000,"00"),TEXT(MONTH(TableauFA1[[#This Row],[Date]]),"00"),TEXT(TableauFA1[[#This Row],[N°]],"0000")))</f>
        <v>FA1-16010003</v>
      </c>
      <c r="G6" s="42">
        <v>0.3</v>
      </c>
      <c r="H6" s="168" t="s">
        <v>15</v>
      </c>
      <c r="I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6" s="137">
        <v>1540.38</v>
      </c>
      <c r="K6" s="137">
        <v>1540.38</v>
      </c>
      <c r="L6" s="37">
        <v>5.5E-2</v>
      </c>
      <c r="M6" s="137">
        <f>IF(TableauFA1[[#This Row],[Dont soumis au taux réduit]]="","",ROUND(TableauFA1[[#This Row],[Dont soumis au taux réduit]]*TableauFA1[[#This Row],[Taux réduit]],2))</f>
        <v>84.72</v>
      </c>
      <c r="N6" s="137"/>
      <c r="O6" s="37"/>
      <c r="P6" s="137" t="str">
        <f>IF(TableauFA1[[#This Row],[Dont soumis au taux intermédiaire]]="","",ROUND(TableauFA1[[#This Row],[Dont soumis au taux intermédiaire]]*TableauFA1[[#This Row],[Taux intermédiaire]],2))</f>
        <v/>
      </c>
      <c r="Q6" s="137"/>
      <c r="R6" s="37"/>
      <c r="S6" s="137" t="str">
        <f>IF(TableauFA1[[#This Row],[Dont soumis au taux normal]]="","",ROUND(TableauFA1[[#This Row],[Dont soumis au taux normal]]*TableauFA1[[#This Row],[Taux normal]],2))</f>
        <v/>
      </c>
      <c r="T6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1625.1000000000001</v>
      </c>
      <c r="U6" s="38">
        <f>IF(TableauFA1[[#This Row],[Montant chèque 1]]&gt;0,ROUND(SUM(TableauFA1[[#This Row],[Montant chèque 1]],TableauFA1[[#This Row],[Montant chèque 2]],TableauFA1[[#This Row],[Montant chèque 3]])-TableauFA1[[#This Row],[TOTAL TTC]],2),"")</f>
        <v>-125.1</v>
      </c>
      <c r="V6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-125.10000000000014</v>
      </c>
      <c r="W6" s="30">
        <v>42353</v>
      </c>
      <c r="X6" s="38">
        <v>1500</v>
      </c>
      <c r="Y6" s="168"/>
      <c r="Z6" s="51">
        <v>1490722</v>
      </c>
      <c r="AA6" s="53">
        <f>IF(TableauFA1[[#This Row],[N° remise chèque 1]]="","",IF(VLOOKUP(TableauFA1[[#This Row],[N° remise chèque 1]],matrice_remises,2,FALSE)&lt;&gt;"",VLOOKUP(TableauFA1[[#This Row],[N° remise chèque 1]],matrice_remises,2,FALSE),""))</f>
        <v>42401</v>
      </c>
      <c r="AB6" s="53"/>
      <c r="AC6" s="55"/>
      <c r="AD6" s="52"/>
      <c r="AE6" s="52"/>
      <c r="AF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6" s="53"/>
      <c r="AH6" s="55"/>
      <c r="AI6" s="52"/>
      <c r="AJ6" s="52"/>
      <c r="AK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6" s="52"/>
    </row>
    <row r="7" spans="1:38" x14ac:dyDescent="0.3">
      <c r="A7" s="33">
        <v>42390</v>
      </c>
      <c r="B7" s="31" t="str">
        <f t="shared" si="2"/>
        <v>FA1</v>
      </c>
      <c r="C7" s="2">
        <f>IF(A7="","",IF(MONTH(TableauFA1[[#This Row],[Date]])=MONTH(A6),C6+1,1))</f>
        <v>4</v>
      </c>
      <c r="D7" s="240" t="s">
        <v>118</v>
      </c>
      <c r="E7" s="167" t="s">
        <v>64</v>
      </c>
      <c r="F7" s="35" t="str">
        <f>IF(C7="","",CONCATENATE(TableauFA1[[#This Row],[FA1]],"-",TEXT(YEAR(TableauFA1[[#This Row],[Date]])-2000,"00"),TEXT(MONTH(TableauFA1[[#This Row],[Date]]),"00"),TEXT(TableauFA1[[#This Row],[N°]],"0000")))</f>
        <v>FA1-16010004</v>
      </c>
      <c r="G7" s="42">
        <v>0.3</v>
      </c>
      <c r="H7" s="168" t="s">
        <v>257</v>
      </c>
      <c r="I7" s="30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>42439</v>
      </c>
      <c r="J7" s="137">
        <v>7368.84</v>
      </c>
      <c r="K7" s="137">
        <v>6714.64</v>
      </c>
      <c r="L7" s="37">
        <v>5.5E-2</v>
      </c>
      <c r="M7" s="137">
        <f>IF(TableauFA1[[#This Row],[Dont soumis au taux réduit]]="","",ROUND(TableauFA1[[#This Row],[Dont soumis au taux réduit]]*TableauFA1[[#This Row],[Taux réduit]],2))</f>
        <v>369.31</v>
      </c>
      <c r="N7" s="137">
        <v>826.7</v>
      </c>
      <c r="O7" s="37">
        <v>0.1</v>
      </c>
      <c r="P7" s="137">
        <f>IF(TableauFA1[[#This Row],[Dont soumis au taux intermédiaire]]="","",ROUND(TableauFA1[[#This Row],[Dont soumis au taux intermédiaire]]*TableauFA1[[#This Row],[Taux intermédiaire]],2))</f>
        <v>82.67</v>
      </c>
      <c r="Q7" s="137">
        <v>-172.5</v>
      </c>
      <c r="R7" s="37">
        <v>0</v>
      </c>
      <c r="S7" s="137">
        <f>IF(TableauFA1[[#This Row],[Dont soumis au taux normal]]="","",ROUND(TableauFA1[[#This Row],[Dont soumis au taux normal]]*TableauFA1[[#This Row],[Taux normal]],2))</f>
        <v>0</v>
      </c>
      <c r="T7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7820.8200000000006</v>
      </c>
      <c r="U7" s="38">
        <f>IF(TableauFA1[[#This Row],[Montant chèque 1]]&gt;0,ROUND(SUM(TableauFA1[[#This Row],[Montant chèque 1]],TableauFA1[[#This Row],[Montant chèque 2]],TableauFA1[[#This Row],[Montant chèque 3]])-TableauFA1[[#This Row],[TOTAL TTC]],2),"")</f>
        <v>44.87</v>
      </c>
      <c r="V7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44.869999999998981</v>
      </c>
      <c r="W7" s="30">
        <v>42432</v>
      </c>
      <c r="X7" s="38">
        <v>7865.69</v>
      </c>
      <c r="Y7" s="197"/>
      <c r="Z7" s="51">
        <v>1490735</v>
      </c>
      <c r="AA7" s="53">
        <f>IF(TableauFA1[[#This Row],[N° remise chèque 1]]="","",IF(VLOOKUP(TableauFA1[[#This Row],[N° remise chèque 1]],matrice_remises,2,FALSE)&lt;&gt;"",VLOOKUP(TableauFA1[[#This Row],[N° remise chèque 1]],matrice_remises,2,FALSE),""))</f>
        <v>42439</v>
      </c>
      <c r="AB7" s="53"/>
      <c r="AC7" s="55"/>
      <c r="AD7" s="52"/>
      <c r="AE7" s="52"/>
      <c r="AF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7" s="53"/>
      <c r="AH7" s="55"/>
      <c r="AI7" s="52"/>
      <c r="AJ7" s="52"/>
      <c r="AK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7" s="52"/>
    </row>
    <row r="8" spans="1:38" x14ac:dyDescent="0.3">
      <c r="A8" s="33">
        <v>42390</v>
      </c>
      <c r="B8" s="31" t="str">
        <f t="shared" si="2"/>
        <v>FA1</v>
      </c>
      <c r="C8" s="2">
        <f>IF(A8="","",IF(MONTH(TableauFA1[[#This Row],[Date]])=MONTH(A7),C7+1,1))</f>
        <v>5</v>
      </c>
      <c r="D8" s="167" t="s">
        <v>256</v>
      </c>
      <c r="E8" s="167" t="s">
        <v>64</v>
      </c>
      <c r="F8" s="35" t="str">
        <f>IF(C8="","",CONCATENATE(TableauFA1[[#This Row],[FA1]],"-",TEXT(YEAR(TableauFA1[[#This Row],[Date]])-2000,"00"),TEXT(MONTH(TableauFA1[[#This Row],[Date]]),"00"),TEXT(TableauFA1[[#This Row],[N°]],"0000")))</f>
        <v>FA1-16010005</v>
      </c>
      <c r="G8" s="42">
        <v>0.3</v>
      </c>
      <c r="H8" s="168" t="s">
        <v>18</v>
      </c>
      <c r="I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8" s="137">
        <v>848.52</v>
      </c>
      <c r="K8" s="137">
        <v>848.52</v>
      </c>
      <c r="L8" s="37">
        <v>5.5E-2</v>
      </c>
      <c r="M8" s="137">
        <f>IF(TableauFA1[[#This Row],[Dont soumis au taux réduit]]="","",ROUND(TableauFA1[[#This Row],[Dont soumis au taux réduit]]*TableauFA1[[#This Row],[Taux réduit]],2))</f>
        <v>46.67</v>
      </c>
      <c r="N8" s="137"/>
      <c r="O8" s="37"/>
      <c r="P8" s="137" t="str">
        <f>IF(TableauFA1[[#This Row],[Dont soumis au taux intermédiaire]]="","",ROUND(TableauFA1[[#This Row],[Dont soumis au taux intermédiaire]]*TableauFA1[[#This Row],[Taux intermédiaire]],2))</f>
        <v/>
      </c>
      <c r="Q8" s="137"/>
      <c r="R8" s="37"/>
      <c r="S8" s="137" t="str">
        <f>IF(TableauFA1[[#This Row],[Dont soumis au taux normal]]="","",ROUND(TableauFA1[[#This Row],[Dont soumis au taux normal]]*TableauFA1[[#This Row],[Taux normal]],2))</f>
        <v/>
      </c>
      <c r="T8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895.18999999999994</v>
      </c>
      <c r="U8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8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1.1368683772161603E-13</v>
      </c>
      <c r="W8" s="30">
        <v>42432</v>
      </c>
      <c r="X8" s="38">
        <v>895.19</v>
      </c>
      <c r="Y8" s="197"/>
      <c r="Z8" s="51">
        <v>1490735</v>
      </c>
      <c r="AA8" s="53">
        <f>IF(TableauFA1[[#This Row],[N° remise chèque 1]]="","",IF(VLOOKUP(TableauFA1[[#This Row],[N° remise chèque 1]],matrice_remises,2,FALSE)&lt;&gt;"",VLOOKUP(TableauFA1[[#This Row],[N° remise chèque 1]],matrice_remises,2,FALSE),""))</f>
        <v>42439</v>
      </c>
      <c r="AB8" s="53"/>
      <c r="AC8" s="55"/>
      <c r="AD8" s="52"/>
      <c r="AE8" s="52"/>
      <c r="AF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8" s="53"/>
      <c r="AH8" s="55"/>
      <c r="AI8" s="52"/>
      <c r="AJ8" s="52"/>
      <c r="AK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8" s="52"/>
    </row>
    <row r="9" spans="1:38" x14ac:dyDescent="0.3">
      <c r="A9" s="33">
        <v>42390</v>
      </c>
      <c r="B9" s="31" t="str">
        <f t="shared" si="2"/>
        <v>FA1</v>
      </c>
      <c r="C9" s="2">
        <f>IF(A9="","",IF(MONTH(TableauFA1[[#This Row],[Date]])=MONTH(A8),C8+1,1))</f>
        <v>6</v>
      </c>
      <c r="D9" s="167" t="s">
        <v>256</v>
      </c>
      <c r="E9" s="167" t="s">
        <v>64</v>
      </c>
      <c r="F9" s="35" t="str">
        <f>IF(C9="","",CONCATENATE(TableauFA1[[#This Row],[FA1]],"-",TEXT(YEAR(TableauFA1[[#This Row],[Date]])-2000,"00"),TEXT(MONTH(TableauFA1[[#This Row],[Date]]),"00"),TEXT(TableauFA1[[#This Row],[N°]],"0000")))</f>
        <v>FA1-16010006</v>
      </c>
      <c r="G9" s="42">
        <v>0.3</v>
      </c>
      <c r="H9" s="168" t="s">
        <v>110</v>
      </c>
      <c r="I9" s="30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>42439</v>
      </c>
      <c r="J9" s="137">
        <v>598.75</v>
      </c>
      <c r="K9" s="137">
        <v>598.75</v>
      </c>
      <c r="L9" s="37">
        <v>5.5E-2</v>
      </c>
      <c r="M9" s="137">
        <f>IF(TableauFA1[[#This Row],[Dont soumis au taux réduit]]="","",ROUND(TableauFA1[[#This Row],[Dont soumis au taux réduit]]*TableauFA1[[#This Row],[Taux réduit]],2))</f>
        <v>32.93</v>
      </c>
      <c r="N9" s="137"/>
      <c r="O9" s="37"/>
      <c r="P9" s="137" t="str">
        <f>IF(TableauFA1[[#This Row],[Dont soumis au taux intermédiaire]]="","",ROUND(TableauFA1[[#This Row],[Dont soumis au taux intermédiaire]]*TableauFA1[[#This Row],[Taux intermédiaire]],2))</f>
        <v/>
      </c>
      <c r="Q9" s="137"/>
      <c r="R9" s="37"/>
      <c r="S9" s="137" t="str">
        <f>IF(TableauFA1[[#This Row],[Dont soumis au taux normal]]="","",ROUND(TableauFA1[[#This Row],[Dont soumis au taux normal]]*TableauFA1[[#This Row],[Taux normal]],2))</f>
        <v/>
      </c>
      <c r="T9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631.67999999999995</v>
      </c>
      <c r="U9" s="38">
        <f>IF(TableauFA1[[#This Row],[Montant chèque 1]]&gt;0,ROUND(SUM(TableauFA1[[#This Row],[Montant chèque 1]],TableauFA1[[#This Row],[Montant chèque 2]],TableauFA1[[#This Row],[Montant chèque 3]])-TableauFA1[[#This Row],[TOTAL TTC]],2),"")</f>
        <v>90</v>
      </c>
      <c r="V9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89.999999999999886</v>
      </c>
      <c r="W9" s="30">
        <v>42432</v>
      </c>
      <c r="X9" s="38">
        <f>9482.56-7865.69-895.19</f>
        <v>721.67999999999984</v>
      </c>
      <c r="Y9" s="197"/>
      <c r="Z9" s="51">
        <v>1490735</v>
      </c>
      <c r="AA9" s="53">
        <f>IF(TableauFA1[[#This Row],[N° remise chèque 1]]="","",IF(VLOOKUP(TableauFA1[[#This Row],[N° remise chèque 1]],matrice_remises,2,FALSE)&lt;&gt;"",VLOOKUP(TableauFA1[[#This Row],[N° remise chèque 1]],matrice_remises,2,FALSE),""))</f>
        <v>42439</v>
      </c>
      <c r="AB9" s="53"/>
      <c r="AC9" s="55"/>
      <c r="AD9" s="52"/>
      <c r="AE9" s="52"/>
      <c r="AF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9" s="53"/>
      <c r="AH9" s="55"/>
      <c r="AI9" s="52"/>
      <c r="AJ9" s="52"/>
      <c r="AK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9" s="52"/>
    </row>
    <row r="10" spans="1:38" x14ac:dyDescent="0.3">
      <c r="A10" s="33">
        <v>42395</v>
      </c>
      <c r="B10" s="31" t="str">
        <f t="shared" si="2"/>
        <v>FA1</v>
      </c>
      <c r="C10" s="2">
        <f>IF(A10="","",IF(MONTH(TableauFA1[[#This Row],[Date]])=MONTH(A9),C9+1,1))</f>
        <v>7</v>
      </c>
      <c r="D10" s="169" t="s">
        <v>258</v>
      </c>
      <c r="E10" s="169" t="s">
        <v>64</v>
      </c>
      <c r="F10" s="35" t="str">
        <f>IF(C10="","",CONCATENATE(TableauFA1[[#This Row],[FA1]],"-",TEXT(YEAR(TableauFA1[[#This Row],[Date]])-2000,"00"),TEXT(MONTH(TableauFA1[[#This Row],[Date]]),"00"),TEXT(TableauFA1[[#This Row],[N°]],"0000")))</f>
        <v>FA1-16010007</v>
      </c>
      <c r="G10" s="42">
        <v>0.3</v>
      </c>
      <c r="H10" s="170" t="s">
        <v>19</v>
      </c>
      <c r="I1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0" s="137">
        <v>611.48</v>
      </c>
      <c r="K10" s="137"/>
      <c r="L10" s="37"/>
      <c r="M10" s="137" t="str">
        <f>IF(TableauFA1[[#This Row],[Dont soumis au taux réduit]]="","",ROUND(TableauFA1[[#This Row],[Dont soumis au taux réduit]]*TableauFA1[[#This Row],[Taux réduit]],2))</f>
        <v/>
      </c>
      <c r="N10" s="137">
        <v>136.78</v>
      </c>
      <c r="O10" s="37">
        <v>0.1</v>
      </c>
      <c r="P10" s="137">
        <f>IF(TableauFA1[[#This Row],[Dont soumis au taux intermédiaire]]="","",ROUND(TableauFA1[[#This Row],[Dont soumis au taux intermédiaire]]*TableauFA1[[#This Row],[Taux intermédiaire]],2))</f>
        <v>13.68</v>
      </c>
      <c r="Q10" s="137">
        <v>474.7</v>
      </c>
      <c r="R10" s="37">
        <v>0.2</v>
      </c>
      <c r="S10" s="137">
        <f>IF(TableauFA1[[#This Row],[Dont soumis au taux normal]]="","",ROUND(TableauFA1[[#This Row],[Dont soumis au taux normal]]*TableauFA1[[#This Row],[Taux normal]],2))</f>
        <v>94.94</v>
      </c>
      <c r="T10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720.09999999999991</v>
      </c>
      <c r="U10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0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1.1368683772161603E-13</v>
      </c>
      <c r="W10" s="30">
        <v>42397</v>
      </c>
      <c r="X10" s="38">
        <v>720.1</v>
      </c>
      <c r="Y10" s="174"/>
      <c r="Z10" s="51">
        <v>1490724</v>
      </c>
      <c r="AA10" s="53">
        <f>IF(TableauFA1[[#This Row],[N° remise chèque 1]]="","",IF(VLOOKUP(TableauFA1[[#This Row],[N° remise chèque 1]],matrice_remises,2,FALSE)&lt;&gt;"",VLOOKUP(TableauFA1[[#This Row],[N° remise chèque 1]],matrice_remises,2,FALSE),""))</f>
        <v>42429</v>
      </c>
      <c r="AB10" s="53"/>
      <c r="AC10" s="55"/>
      <c r="AD10" s="52"/>
      <c r="AE10" s="52"/>
      <c r="AF1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0" s="53"/>
      <c r="AH10" s="55"/>
      <c r="AI10" s="52"/>
      <c r="AJ10" s="52"/>
      <c r="AK1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0" s="52"/>
    </row>
    <row r="11" spans="1:38" x14ac:dyDescent="0.3">
      <c r="A11" s="33">
        <v>42395</v>
      </c>
      <c r="B11" s="31" t="str">
        <f t="shared" si="2"/>
        <v>FA1</v>
      </c>
      <c r="C11" s="2">
        <f>IF(A11="","",IF(MONTH(TableauFA1[[#This Row],[Date]])=MONTH(A10),C10+1,1))</f>
        <v>8</v>
      </c>
      <c r="D11" s="169" t="s">
        <v>258</v>
      </c>
      <c r="E11" s="171" t="s">
        <v>64</v>
      </c>
      <c r="F11" s="35" t="str">
        <f>IF(C11="","",CONCATENATE(TableauFA1[[#This Row],[FA1]],"-",TEXT(YEAR(TableauFA1[[#This Row],[Date]])-2000,"00"),TEXT(MONTH(TableauFA1[[#This Row],[Date]]),"00"),TEXT(TableauFA1[[#This Row],[N°]],"0000")))</f>
        <v>FA1-16010008</v>
      </c>
      <c r="G11" s="42">
        <v>0.3</v>
      </c>
      <c r="H11" s="172" t="s">
        <v>93</v>
      </c>
      <c r="I1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1" s="137">
        <v>431.78</v>
      </c>
      <c r="K11" s="137">
        <v>431.78</v>
      </c>
      <c r="L11" s="37">
        <v>5.5E-2</v>
      </c>
      <c r="M11" s="137">
        <f>IF(TableauFA1[[#This Row],[Dont soumis au taux réduit]]="","",ROUND(TableauFA1[[#This Row],[Dont soumis au taux réduit]]*TableauFA1[[#This Row],[Taux réduit]],2))</f>
        <v>23.75</v>
      </c>
      <c r="N11" s="137"/>
      <c r="O11" s="37"/>
      <c r="P11" s="137" t="str">
        <f>IF(TableauFA1[[#This Row],[Dont soumis au taux intermédiaire]]="","",ROUND(TableauFA1[[#This Row],[Dont soumis au taux intermédiaire]]*TableauFA1[[#This Row],[Taux intermédiaire]],2))</f>
        <v/>
      </c>
      <c r="Q11" s="137"/>
      <c r="R11" s="37"/>
      <c r="S11" s="137" t="str">
        <f>IF(TableauFA1[[#This Row],[Dont soumis au taux normal]]="","",ROUND(TableauFA1[[#This Row],[Dont soumis au taux normal]]*TableauFA1[[#This Row],[Taux normal]],2))</f>
        <v/>
      </c>
      <c r="T11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455.53</v>
      </c>
      <c r="U11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1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11" s="30">
        <v>42397</v>
      </c>
      <c r="X11" s="38">
        <v>455.53</v>
      </c>
      <c r="Y11" s="174"/>
      <c r="Z11" s="51">
        <v>1490724</v>
      </c>
      <c r="AA11" s="53">
        <f>IF(TableauFA1[[#This Row],[N° remise chèque 1]]="","",IF(VLOOKUP(TableauFA1[[#This Row],[N° remise chèque 1]],matrice_remises,2,FALSE)&lt;&gt;"",VLOOKUP(TableauFA1[[#This Row],[N° remise chèque 1]],matrice_remises,2,FALSE),""))</f>
        <v>42429</v>
      </c>
      <c r="AB11" s="53"/>
      <c r="AC11" s="55"/>
      <c r="AD11" s="52"/>
      <c r="AE11" s="52"/>
      <c r="AF1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1" s="53"/>
      <c r="AH11" s="55"/>
      <c r="AI11" s="52"/>
      <c r="AJ11" s="52"/>
      <c r="AK1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1" s="52"/>
    </row>
    <row r="12" spans="1:38" x14ac:dyDescent="0.3">
      <c r="A12" s="33">
        <v>42405</v>
      </c>
      <c r="B12" s="31" t="str">
        <f t="shared" si="2"/>
        <v>FA1</v>
      </c>
      <c r="C12" s="2">
        <f>IF(A12="","",IF(MONTH(TableauFA1[[#This Row],[Date]])=MONTH(A11),C11+1,1))</f>
        <v>1</v>
      </c>
      <c r="D12" s="173" t="s">
        <v>261</v>
      </c>
      <c r="E12" s="173" t="s">
        <v>64</v>
      </c>
      <c r="F12" s="35" t="str">
        <f>IF(C12="","",CONCATENATE(TableauFA1[[#This Row],[FA1]],"-",TEXT(YEAR(TableauFA1[[#This Row],[Date]])-2000,"00"),TEXT(MONTH(TableauFA1[[#This Row],[Date]]),"00"),TEXT(TableauFA1[[#This Row],[N°]],"0000")))</f>
        <v>FA1-16020001</v>
      </c>
      <c r="G12" s="42">
        <v>0.3</v>
      </c>
      <c r="H12" s="174" t="s">
        <v>11</v>
      </c>
      <c r="I1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2" s="137">
        <v>3358.07</v>
      </c>
      <c r="K12" s="137">
        <v>3358.07</v>
      </c>
      <c r="L12" s="37">
        <v>5.5E-2</v>
      </c>
      <c r="M12" s="137">
        <f>IF(TableauFA1[[#This Row],[Dont soumis au taux réduit]]="","",ROUND(TableauFA1[[#This Row],[Dont soumis au taux réduit]]*TableauFA1[[#This Row],[Taux réduit]],2))</f>
        <v>184.69</v>
      </c>
      <c r="N12" s="137"/>
      <c r="O12" s="37"/>
      <c r="P12" s="137" t="str">
        <f>IF(TableauFA1[[#This Row],[Dont soumis au taux intermédiaire]]="","",ROUND(TableauFA1[[#This Row],[Dont soumis au taux intermédiaire]]*TableauFA1[[#This Row],[Taux intermédiaire]],2))</f>
        <v/>
      </c>
      <c r="Q12" s="137"/>
      <c r="R12" s="37"/>
      <c r="S12" s="137" t="str">
        <f>IF(TableauFA1[[#This Row],[Dont soumis au taux normal]]="","",ROUND(TableauFA1[[#This Row],[Dont soumis au taux normal]]*TableauFA1[[#This Row],[Taux normal]],2))</f>
        <v/>
      </c>
      <c r="T12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3542.76</v>
      </c>
      <c r="U12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2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12" s="30">
        <v>42507</v>
      </c>
      <c r="X12" s="38">
        <v>3542.76</v>
      </c>
      <c r="Y12" s="219"/>
      <c r="Z12" s="51">
        <v>8911513</v>
      </c>
      <c r="AA12" s="53">
        <f>IF(TableauFA1[[#This Row],[N° remise chèque 1]]="","",IF(VLOOKUP(TableauFA1[[#This Row],[N° remise chèque 1]],matrice_remises,2,FALSE)&lt;&gt;"",VLOOKUP(TableauFA1[[#This Row],[N° remise chèque 1]],matrice_remises,2,FALSE),""))</f>
        <v>42521</v>
      </c>
      <c r="AB12" s="53"/>
      <c r="AC12" s="55"/>
      <c r="AD12" s="52"/>
      <c r="AE12" s="52"/>
      <c r="AF1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2" s="53"/>
      <c r="AH12" s="55"/>
      <c r="AI12" s="52"/>
      <c r="AJ12" s="52"/>
      <c r="AK1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2" s="52"/>
    </row>
    <row r="13" spans="1:38" x14ac:dyDescent="0.3">
      <c r="A13" s="33">
        <v>42405</v>
      </c>
      <c r="B13" s="31" t="str">
        <f t="shared" si="2"/>
        <v>FA1</v>
      </c>
      <c r="C13" s="2">
        <f>IF(A13="","",IF(MONTH(TableauFA1[[#This Row],[Date]])=MONTH(A12),C12+1,1))</f>
        <v>2</v>
      </c>
      <c r="D13" s="173" t="s">
        <v>261</v>
      </c>
      <c r="E13" s="173" t="s">
        <v>64</v>
      </c>
      <c r="F13" s="35" t="str">
        <f>IF(C13="","",CONCATENATE(TableauFA1[[#This Row],[FA1]],"-",TEXT(YEAR(TableauFA1[[#This Row],[Date]])-2000,"00"),TEXT(MONTH(TableauFA1[[#This Row],[Date]]),"00"),TEXT(TableauFA1[[#This Row],[N°]],"0000")))</f>
        <v>FA1-16020002</v>
      </c>
      <c r="G13" s="42">
        <v>0.3</v>
      </c>
      <c r="H13" s="174" t="s">
        <v>109</v>
      </c>
      <c r="I1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3" s="137">
        <v>407.53</v>
      </c>
      <c r="K13" s="137"/>
      <c r="L13" s="37"/>
      <c r="M13" s="137" t="str">
        <f>IF(TableauFA1[[#This Row],[Dont soumis au taux réduit]]="","",ROUND(TableauFA1[[#This Row],[Dont soumis au taux réduit]]*TableauFA1[[#This Row],[Taux réduit]],2))</f>
        <v/>
      </c>
      <c r="N13" s="137">
        <v>407.53</v>
      </c>
      <c r="O13" s="37">
        <v>0.1</v>
      </c>
      <c r="P13" s="137">
        <f>IF(TableauFA1[[#This Row],[Dont soumis au taux intermédiaire]]="","",ROUND(TableauFA1[[#This Row],[Dont soumis au taux intermédiaire]]*TableauFA1[[#This Row],[Taux intermédiaire]],2))</f>
        <v>40.75</v>
      </c>
      <c r="Q13" s="137"/>
      <c r="R13" s="37"/>
      <c r="S13" s="137" t="str">
        <f>IF(TableauFA1[[#This Row],[Dont soumis au taux normal]]="","",ROUND(TableauFA1[[#This Row],[Dont soumis au taux normal]]*TableauFA1[[#This Row],[Taux normal]],2))</f>
        <v/>
      </c>
      <c r="T13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448.28</v>
      </c>
      <c r="U13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3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13" s="30">
        <v>42507</v>
      </c>
      <c r="X13" s="38">
        <v>448.28</v>
      </c>
      <c r="Y13" s="219"/>
      <c r="Z13" s="51">
        <v>8911513</v>
      </c>
      <c r="AA13" s="53">
        <f>IF(TableauFA1[[#This Row],[N° remise chèque 1]]="","",IF(VLOOKUP(TableauFA1[[#This Row],[N° remise chèque 1]],matrice_remises,2,FALSE)&lt;&gt;"",VLOOKUP(TableauFA1[[#This Row],[N° remise chèque 1]],matrice_remises,2,FALSE),""))</f>
        <v>42521</v>
      </c>
      <c r="AB13" s="53"/>
      <c r="AC13" s="55"/>
      <c r="AD13" s="52"/>
      <c r="AE13" s="52"/>
      <c r="AF1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3" s="53"/>
      <c r="AH13" s="55"/>
      <c r="AI13" s="52"/>
      <c r="AJ13" s="52"/>
      <c r="AK1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3" s="52"/>
    </row>
    <row r="14" spans="1:38" x14ac:dyDescent="0.3">
      <c r="A14" s="33">
        <v>42405</v>
      </c>
      <c r="B14" s="31" t="str">
        <f t="shared" si="2"/>
        <v>FA1</v>
      </c>
      <c r="C14" s="2">
        <f>IF(A14="","",IF(MONTH(TableauFA1[[#This Row],[Date]])=MONTH(A13),C13+1,1))</f>
        <v>3</v>
      </c>
      <c r="D14" s="173" t="s">
        <v>261</v>
      </c>
      <c r="E14" s="173" t="s">
        <v>64</v>
      </c>
      <c r="F14" s="35" t="str">
        <f>IF(C14="","",CONCATENATE(TableauFA1[[#This Row],[FA1]],"-",TEXT(YEAR(TableauFA1[[#This Row],[Date]])-2000,"00"),TEXT(MONTH(TableauFA1[[#This Row],[Date]]),"00"),TEXT(TableauFA1[[#This Row],[N°]],"0000")))</f>
        <v>FA1-16020003</v>
      </c>
      <c r="G14" s="42">
        <v>0.3</v>
      </c>
      <c r="H14" s="174" t="s">
        <v>93</v>
      </c>
      <c r="I1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4" s="137">
        <v>448.2</v>
      </c>
      <c r="K14" s="137">
        <v>448.2</v>
      </c>
      <c r="L14" s="37">
        <v>5.5E-2</v>
      </c>
      <c r="M14" s="137">
        <f>IF(TableauFA1[[#This Row],[Dont soumis au taux réduit]]="","",ROUND(TableauFA1[[#This Row],[Dont soumis au taux réduit]]*TableauFA1[[#This Row],[Taux réduit]],2))</f>
        <v>24.65</v>
      </c>
      <c r="N14" s="137"/>
      <c r="O14" s="37"/>
      <c r="P14" s="137" t="str">
        <f>IF(TableauFA1[[#This Row],[Dont soumis au taux intermédiaire]]="","",ROUND(TableauFA1[[#This Row],[Dont soumis au taux intermédiaire]]*TableauFA1[[#This Row],[Taux intermédiaire]],2))</f>
        <v/>
      </c>
      <c r="Q14" s="137"/>
      <c r="R14" s="37"/>
      <c r="S14" s="137" t="str">
        <f>IF(TableauFA1[[#This Row],[Dont soumis au taux normal]]="","",ROUND(TableauFA1[[#This Row],[Dont soumis au taux normal]]*TableauFA1[[#This Row],[Taux normal]],2))</f>
        <v/>
      </c>
      <c r="T14" s="205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472.84999999999997</v>
      </c>
      <c r="U14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4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1.7053025658242404E-13</v>
      </c>
      <c r="W14" s="30">
        <v>42507</v>
      </c>
      <c r="X14" s="38">
        <f>4463.89-3542.76-448.28</f>
        <v>472.85000000000014</v>
      </c>
      <c r="Y14" s="219"/>
      <c r="Z14" s="51">
        <v>8911513</v>
      </c>
      <c r="AA14" s="53">
        <f>IF(TableauFA1[[#This Row],[N° remise chèque 1]]="","",IF(VLOOKUP(TableauFA1[[#This Row],[N° remise chèque 1]],matrice_remises,2,FALSE)&lt;&gt;"",VLOOKUP(TableauFA1[[#This Row],[N° remise chèque 1]],matrice_remises,2,FALSE),""))</f>
        <v>42521</v>
      </c>
      <c r="AB14" s="53"/>
      <c r="AC14" s="55"/>
      <c r="AD14" s="52"/>
      <c r="AE14" s="52"/>
      <c r="AF14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4" s="53"/>
      <c r="AH14" s="55"/>
      <c r="AI14" s="52"/>
      <c r="AJ14" s="52"/>
      <c r="AK1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4" s="52"/>
    </row>
    <row r="15" spans="1:38" x14ac:dyDescent="0.3">
      <c r="A15" s="33"/>
      <c r="B15" s="31" t="str">
        <f t="shared" si="2"/>
        <v/>
      </c>
      <c r="C15" s="2" t="str">
        <f>IF(A15="","",IF(MONTH(TableauFA1[[#This Row],[Date]])=MONTH(A14),C14+1,1))</f>
        <v/>
      </c>
      <c r="D15" s="34"/>
      <c r="E15" s="34"/>
      <c r="F15" s="35" t="str">
        <f>IF(C15="","",CONCATENATE(TableauFA1[[#This Row],[FA1]],"-",TEXT(YEAR(TableauFA1[[#This Row],[Date]])-2000,"00"),TEXT(MONTH(TableauFA1[[#This Row],[Date]]),"00"),TEXT(TableauFA1[[#This Row],[N°]],"0000")))</f>
        <v/>
      </c>
      <c r="G15" s="42"/>
      <c r="I1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5" s="137"/>
      <c r="K15" s="137"/>
      <c r="L15" s="37"/>
      <c r="M15" s="137" t="str">
        <f>IF(TableauFA1[[#This Row],[Dont soumis au taux réduit]]="","",ROUND(TableauFA1[[#This Row],[Dont soumis au taux réduit]]*TableauFA1[[#This Row],[Taux réduit]],2))</f>
        <v/>
      </c>
      <c r="N15" s="137"/>
      <c r="O15" s="37"/>
      <c r="P15" s="137" t="str">
        <f>IF(TableauFA1[[#This Row],[Dont soumis au taux intermédiaire]]="","",ROUND(TableauFA1[[#This Row],[Dont soumis au taux intermédiaire]]*TableauFA1[[#This Row],[Taux intermédiaire]],2))</f>
        <v/>
      </c>
      <c r="Q15" s="137"/>
      <c r="R15" s="37"/>
      <c r="S15" s="137" t="str">
        <f>IF(TableauFA1[[#This Row],[Dont soumis au taux normal]]="","",ROUND(TableauFA1[[#This Row],[Dont soumis au taux normal]]*TableauFA1[[#This Row],[Taux normal]],2))</f>
        <v/>
      </c>
      <c r="T15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5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5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5" s="31"/>
      <c r="Z15" s="51"/>
      <c r="AA15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5" s="53"/>
      <c r="AC15" s="55"/>
      <c r="AD15" s="52"/>
      <c r="AE15" s="52"/>
      <c r="AF15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5" s="53"/>
      <c r="AH15" s="55"/>
      <c r="AI15" s="52"/>
      <c r="AJ15" s="52"/>
      <c r="AK1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5" s="52"/>
    </row>
    <row r="16" spans="1:38" x14ac:dyDescent="0.3">
      <c r="A16" s="33"/>
      <c r="B16" s="31" t="str">
        <f t="shared" si="2"/>
        <v/>
      </c>
      <c r="C16" s="2" t="str">
        <f>IF(A16="","",IF(MONTH(TableauFA1[[#This Row],[Date]])=MONTH(A15),C15+1,1))</f>
        <v/>
      </c>
      <c r="D16" s="34"/>
      <c r="E16" s="34"/>
      <c r="F16" s="35" t="str">
        <f>IF(C16="","",CONCATENATE(TableauFA1[[#This Row],[FA1]],"-",TEXT(YEAR(TableauFA1[[#This Row],[Date]])-2000,"00"),TEXT(MONTH(TableauFA1[[#This Row],[Date]]),"00"),TEXT(TableauFA1[[#This Row],[N°]],"0000")))</f>
        <v/>
      </c>
      <c r="G16" s="42"/>
      <c r="I1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6" s="137"/>
      <c r="K16" s="137"/>
      <c r="L16" s="37"/>
      <c r="M16" s="137" t="str">
        <f>IF(TableauFA1[[#This Row],[Dont soumis au taux réduit]]="","",ROUND(TableauFA1[[#This Row],[Dont soumis au taux réduit]]*TableauFA1[[#This Row],[Taux réduit]],2))</f>
        <v/>
      </c>
      <c r="N16" s="137"/>
      <c r="O16" s="37"/>
      <c r="P16" s="137" t="str">
        <f>IF(TableauFA1[[#This Row],[Dont soumis au taux intermédiaire]]="","",ROUND(TableauFA1[[#This Row],[Dont soumis au taux intermédiaire]]*TableauFA1[[#This Row],[Taux intermédiaire]],2))</f>
        <v/>
      </c>
      <c r="Q16" s="137"/>
      <c r="R16" s="37"/>
      <c r="S16" s="137" t="str">
        <f>IF(TableauFA1[[#This Row],[Dont soumis au taux normal]]="","",ROUND(TableauFA1[[#This Row],[Dont soumis au taux normal]]*TableauFA1[[#This Row],[Taux normal]],2))</f>
        <v/>
      </c>
      <c r="T16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6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6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6" s="31"/>
      <c r="Z16" s="51"/>
      <c r="AA16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6" s="53"/>
      <c r="AC16" s="55"/>
      <c r="AD16" s="52"/>
      <c r="AE16" s="52"/>
      <c r="AF1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6" s="53"/>
      <c r="AH16" s="55"/>
      <c r="AI16" s="52"/>
      <c r="AJ16" s="52"/>
      <c r="AK1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6" s="52"/>
    </row>
    <row r="17" spans="1:38" x14ac:dyDescent="0.3">
      <c r="A17" s="33"/>
      <c r="B17" s="31" t="str">
        <f t="shared" si="2"/>
        <v/>
      </c>
      <c r="C17" s="2" t="str">
        <f>IF(A17="","",IF(MONTH(TableauFA1[[#This Row],[Date]])=MONTH(A16),C16+1,1))</f>
        <v/>
      </c>
      <c r="D17" s="34"/>
      <c r="E17" s="34"/>
      <c r="F17" s="35" t="str">
        <f>IF(C17="","",CONCATENATE(TableauFA1[[#This Row],[FA1]],"-",TEXT(YEAR(TableauFA1[[#This Row],[Date]])-2000,"00"),TEXT(MONTH(TableauFA1[[#This Row],[Date]]),"00"),TEXT(TableauFA1[[#This Row],[N°]],"0000")))</f>
        <v/>
      </c>
      <c r="G17" s="42"/>
      <c r="I17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7" s="137"/>
      <c r="K17" s="137"/>
      <c r="L17" s="37"/>
      <c r="M17" s="137" t="str">
        <f>IF(TableauFA1[[#This Row],[Dont soumis au taux réduit]]="","",ROUND(TableauFA1[[#This Row],[Dont soumis au taux réduit]]*TableauFA1[[#This Row],[Taux réduit]],2))</f>
        <v/>
      </c>
      <c r="N17" s="137"/>
      <c r="O17" s="37"/>
      <c r="P17" s="137" t="str">
        <f>IF(TableauFA1[[#This Row],[Dont soumis au taux intermédiaire]]="","",ROUND(TableauFA1[[#This Row],[Dont soumis au taux intermédiaire]]*TableauFA1[[#This Row],[Taux intermédiaire]],2))</f>
        <v/>
      </c>
      <c r="Q17" s="137"/>
      <c r="R17" s="37"/>
      <c r="S17" s="137" t="str">
        <f>IF(TableauFA1[[#This Row],[Dont soumis au taux normal]]="","",ROUND(TableauFA1[[#This Row],[Dont soumis au taux normal]]*TableauFA1[[#This Row],[Taux normal]],2))</f>
        <v/>
      </c>
      <c r="T17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7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7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7" s="31"/>
      <c r="Z17" s="51"/>
      <c r="AA17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7" s="53"/>
      <c r="AC17" s="55"/>
      <c r="AD17" s="52"/>
      <c r="AE17" s="52"/>
      <c r="AF1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7" s="53"/>
      <c r="AH17" s="55"/>
      <c r="AI17" s="52"/>
      <c r="AJ17" s="52"/>
      <c r="AK1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7" s="52"/>
    </row>
    <row r="18" spans="1:38" x14ac:dyDescent="0.3">
      <c r="A18" s="33"/>
      <c r="B18" s="31" t="str">
        <f t="shared" si="2"/>
        <v/>
      </c>
      <c r="C18" s="2" t="str">
        <f>IF(A18="","",IF(MONTH(TableauFA1[[#This Row],[Date]])=MONTH(A17),C17+1,1))</f>
        <v/>
      </c>
      <c r="D18" s="34"/>
      <c r="E18" s="34"/>
      <c r="F18" s="35" t="str">
        <f>IF(C18="","",CONCATENATE(TableauFA1[[#This Row],[FA1]],"-",TEXT(YEAR(TableauFA1[[#This Row],[Date]])-2000,"00"),TEXT(MONTH(TableauFA1[[#This Row],[Date]]),"00"),TEXT(TableauFA1[[#This Row],[N°]],"0000")))</f>
        <v/>
      </c>
      <c r="G18" s="42"/>
      <c r="I1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8" s="137"/>
      <c r="K18" s="137"/>
      <c r="L18" s="37"/>
      <c r="M18" s="137" t="str">
        <f>IF(TableauFA1[[#This Row],[Dont soumis au taux réduit]]="","",ROUND(TableauFA1[[#This Row],[Dont soumis au taux réduit]]*TableauFA1[[#This Row],[Taux réduit]],2))</f>
        <v/>
      </c>
      <c r="N18" s="137"/>
      <c r="O18" s="37"/>
      <c r="P18" s="137" t="str">
        <f>IF(TableauFA1[[#This Row],[Dont soumis au taux intermédiaire]]="","",ROUND(TableauFA1[[#This Row],[Dont soumis au taux intermédiaire]]*TableauFA1[[#This Row],[Taux intermédiaire]],2))</f>
        <v/>
      </c>
      <c r="Q18" s="137"/>
      <c r="R18" s="37"/>
      <c r="S18" s="137" t="str">
        <f>IF(TableauFA1[[#This Row],[Dont soumis au taux normal]]="","",ROUND(TableauFA1[[#This Row],[Dont soumis au taux normal]]*TableauFA1[[#This Row],[Taux normal]],2))</f>
        <v/>
      </c>
      <c r="T18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8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8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8" s="31"/>
      <c r="Z18" s="51"/>
      <c r="AA18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8" s="53"/>
      <c r="AC18" s="55"/>
      <c r="AD18" s="52"/>
      <c r="AE18" s="52"/>
      <c r="AF1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8" s="53"/>
      <c r="AH18" s="55"/>
      <c r="AI18" s="52"/>
      <c r="AJ18" s="52"/>
      <c r="AK1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8" s="52"/>
    </row>
    <row r="19" spans="1:38" x14ac:dyDescent="0.3">
      <c r="A19" s="33"/>
      <c r="B19" s="31" t="str">
        <f t="shared" si="2"/>
        <v/>
      </c>
      <c r="C19" s="2" t="str">
        <f>IF(A19="","",IF(MONTH(TableauFA1[[#This Row],[Date]])=MONTH(A18),C18+1,1))</f>
        <v/>
      </c>
      <c r="D19" s="34"/>
      <c r="E19" s="34"/>
      <c r="F19" s="35" t="str">
        <f>IF(C19="","",CONCATENATE(TableauFA1[[#This Row],[FA1]],"-",TEXT(YEAR(TableauFA1[[#This Row],[Date]])-2000,"00"),TEXT(MONTH(TableauFA1[[#This Row],[Date]]),"00"),TEXT(TableauFA1[[#This Row],[N°]],"0000")))</f>
        <v/>
      </c>
      <c r="G19" s="42"/>
      <c r="I19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9" s="137"/>
      <c r="K19" s="137"/>
      <c r="L19" s="37"/>
      <c r="M19" s="137" t="str">
        <f>IF(TableauFA1[[#This Row],[Dont soumis au taux réduit]]="","",ROUND(TableauFA1[[#This Row],[Dont soumis au taux réduit]]*TableauFA1[[#This Row],[Taux réduit]],2))</f>
        <v/>
      </c>
      <c r="N19" s="137"/>
      <c r="O19" s="37"/>
      <c r="P19" s="137" t="str">
        <f>IF(TableauFA1[[#This Row],[Dont soumis au taux intermédiaire]]="","",ROUND(TableauFA1[[#This Row],[Dont soumis au taux intermédiaire]]*TableauFA1[[#This Row],[Taux intermédiaire]],2))</f>
        <v/>
      </c>
      <c r="Q19" s="137"/>
      <c r="R19" s="37"/>
      <c r="S19" s="137" t="str">
        <f>IF(TableauFA1[[#This Row],[Dont soumis au taux normal]]="","",ROUND(TableauFA1[[#This Row],[Dont soumis au taux normal]]*TableauFA1[[#This Row],[Taux normal]],2))</f>
        <v/>
      </c>
      <c r="T19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9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9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9" s="31"/>
      <c r="Z19" s="51"/>
      <c r="AA19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9" s="53"/>
      <c r="AC19" s="55"/>
      <c r="AD19" s="52"/>
      <c r="AE19" s="52"/>
      <c r="AF1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9" s="53"/>
      <c r="AH19" s="55"/>
      <c r="AI19" s="52"/>
      <c r="AJ19" s="52"/>
      <c r="AK1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9" s="52"/>
    </row>
    <row r="20" spans="1:38" x14ac:dyDescent="0.3">
      <c r="A20" s="33"/>
      <c r="B20" s="31" t="str">
        <f t="shared" ref="B20:B43" si="3">IF(A20="","",$B$2)</f>
        <v/>
      </c>
      <c r="C20" s="2" t="str">
        <f>IF(A20="","",IF(MONTH(TableauFA1[[#This Row],[Date]])=MONTH(A19),C19+1,1))</f>
        <v/>
      </c>
      <c r="D20" s="34"/>
      <c r="E20" s="34"/>
      <c r="F20" s="35" t="str">
        <f>IF(C20="","",CONCATENATE(TableauFA1[[#This Row],[FA1]],"-",TEXT(YEAR(TableauFA1[[#This Row],[Date]])-2000,"00"),TEXT(MONTH(TableauFA1[[#This Row],[Date]]),"00"),TEXT(TableauFA1[[#This Row],[N°]],"0000")))</f>
        <v/>
      </c>
      <c r="G20" s="42"/>
      <c r="I2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0" s="137"/>
      <c r="K20" s="137"/>
      <c r="L20" s="37"/>
      <c r="M20" s="137" t="str">
        <f>IF(TableauFA1[[#This Row],[Dont soumis au taux réduit]]="","",ROUND(TableauFA1[[#This Row],[Dont soumis au taux réduit]]*TableauFA1[[#This Row],[Taux réduit]],2))</f>
        <v/>
      </c>
      <c r="N20" s="137"/>
      <c r="O20" s="37"/>
      <c r="P20" s="137" t="str">
        <f>IF(TableauFA1[[#This Row],[Dont soumis au taux intermédiaire]]="","",ROUND(TableauFA1[[#This Row],[Dont soumis au taux intermédiaire]]*TableauFA1[[#This Row],[Taux intermédiaire]],2))</f>
        <v/>
      </c>
      <c r="Q20" s="137"/>
      <c r="R20" s="37"/>
      <c r="S20" s="137" t="str">
        <f>IF(TableauFA1[[#This Row],[Dont soumis au taux normal]]="","",ROUND(TableauFA1[[#This Row],[Dont soumis au taux normal]]*TableauFA1[[#This Row],[Taux normal]],2))</f>
        <v/>
      </c>
      <c r="T20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0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0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0" s="31"/>
      <c r="Z20" s="51"/>
      <c r="AA20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0" s="53"/>
      <c r="AC20" s="55"/>
      <c r="AD20" s="52"/>
      <c r="AE20" s="52"/>
      <c r="AF2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0" s="53"/>
      <c r="AH20" s="55"/>
      <c r="AI20" s="52"/>
      <c r="AJ20" s="52"/>
      <c r="AK2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0" s="52"/>
    </row>
    <row r="21" spans="1:38" x14ac:dyDescent="0.3">
      <c r="A21" s="33"/>
      <c r="B21" s="31" t="str">
        <f t="shared" si="3"/>
        <v/>
      </c>
      <c r="C21" s="2" t="str">
        <f>IF(A21="","",IF(MONTH(TableauFA1[[#This Row],[Date]])=MONTH(A20),C20+1,1))</f>
        <v/>
      </c>
      <c r="D21" s="34"/>
      <c r="E21" s="34"/>
      <c r="F21" s="35" t="str">
        <f>IF(C21="","",CONCATENATE(TableauFA1[[#This Row],[FA1]],"-",TEXT(YEAR(TableauFA1[[#This Row],[Date]])-2000,"00"),TEXT(MONTH(TableauFA1[[#This Row],[Date]]),"00"),TEXT(TableauFA1[[#This Row],[N°]],"0000")))</f>
        <v/>
      </c>
      <c r="G21" s="42"/>
      <c r="I2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1" s="137"/>
      <c r="K21" s="137"/>
      <c r="L21" s="37"/>
      <c r="M21" s="137" t="str">
        <f>IF(TableauFA1[[#This Row],[Dont soumis au taux réduit]]="","",ROUND(TableauFA1[[#This Row],[Dont soumis au taux réduit]]*TableauFA1[[#This Row],[Taux réduit]],2))</f>
        <v/>
      </c>
      <c r="N21" s="137"/>
      <c r="O21" s="37"/>
      <c r="P21" s="137" t="str">
        <f>IF(TableauFA1[[#This Row],[Dont soumis au taux intermédiaire]]="","",ROUND(TableauFA1[[#This Row],[Dont soumis au taux intermédiaire]]*TableauFA1[[#This Row],[Taux intermédiaire]],2))</f>
        <v/>
      </c>
      <c r="Q21" s="137"/>
      <c r="R21" s="37"/>
      <c r="S21" s="137" t="str">
        <f>IF(TableauFA1[[#This Row],[Dont soumis au taux normal]]="","",ROUND(TableauFA1[[#This Row],[Dont soumis au taux normal]]*TableauFA1[[#This Row],[Taux normal]],2))</f>
        <v/>
      </c>
      <c r="T21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1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1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1" s="31"/>
      <c r="Z21" s="51"/>
      <c r="AA21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1" s="53"/>
      <c r="AC21" s="55"/>
      <c r="AD21" s="52"/>
      <c r="AE21" s="52"/>
      <c r="AF2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1" s="53"/>
      <c r="AH21" s="55"/>
      <c r="AI21" s="52"/>
      <c r="AJ21" s="52"/>
      <c r="AK2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1" s="52"/>
    </row>
    <row r="22" spans="1:38" x14ac:dyDescent="0.3">
      <c r="A22" s="33"/>
      <c r="B22" s="31" t="str">
        <f t="shared" si="3"/>
        <v/>
      </c>
      <c r="C22" s="2" t="str">
        <f>IF(A22="","",IF(MONTH(TableauFA1[[#This Row],[Date]])=MONTH(A21),C21+1,1))</f>
        <v/>
      </c>
      <c r="D22" s="34"/>
      <c r="E22" s="34"/>
      <c r="F22" s="35" t="str">
        <f>IF(C22="","",CONCATENATE(TableauFA1[[#This Row],[FA1]],"-",TEXT(YEAR(TableauFA1[[#This Row],[Date]])-2000,"00"),TEXT(MONTH(TableauFA1[[#This Row],[Date]]),"00"),TEXT(TableauFA1[[#This Row],[N°]],"0000")))</f>
        <v/>
      </c>
      <c r="G22" s="42"/>
      <c r="I2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2" s="137"/>
      <c r="K22" s="137"/>
      <c r="L22" s="37"/>
      <c r="M22" s="137" t="str">
        <f>IF(TableauFA1[[#This Row],[Dont soumis au taux réduit]]="","",ROUND(TableauFA1[[#This Row],[Dont soumis au taux réduit]]*TableauFA1[[#This Row],[Taux réduit]],2))</f>
        <v/>
      </c>
      <c r="N22" s="137"/>
      <c r="O22" s="37"/>
      <c r="P22" s="137" t="str">
        <f>IF(TableauFA1[[#This Row],[Dont soumis au taux intermédiaire]]="","",ROUND(TableauFA1[[#This Row],[Dont soumis au taux intermédiaire]]*TableauFA1[[#This Row],[Taux intermédiaire]],2))</f>
        <v/>
      </c>
      <c r="Q22" s="137"/>
      <c r="R22" s="37"/>
      <c r="S22" s="137" t="str">
        <f>IF(TableauFA1[[#This Row],[Dont soumis au taux normal]]="","",ROUND(TableauFA1[[#This Row],[Dont soumis au taux normal]]*TableauFA1[[#This Row],[Taux normal]],2))</f>
        <v/>
      </c>
      <c r="T22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2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2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2" s="31"/>
      <c r="Z22" s="51"/>
      <c r="AA22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2" s="53"/>
      <c r="AC22" s="55"/>
      <c r="AD22" s="52"/>
      <c r="AE22" s="52"/>
      <c r="AF2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2" s="53"/>
      <c r="AH22" s="55"/>
      <c r="AI22" s="52"/>
      <c r="AJ22" s="52"/>
      <c r="AK2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2" s="52"/>
    </row>
    <row r="23" spans="1:38" x14ac:dyDescent="0.3">
      <c r="A23" s="33"/>
      <c r="B23" s="31" t="str">
        <f t="shared" si="3"/>
        <v/>
      </c>
      <c r="C23" s="2" t="str">
        <f>IF(A23="","",IF(MONTH(TableauFA1[[#This Row],[Date]])=MONTH(A22),C22+1,1))</f>
        <v/>
      </c>
      <c r="D23" s="34"/>
      <c r="E23" s="34"/>
      <c r="F23" s="35" t="str">
        <f>IF(C23="","",CONCATENATE(TableauFA1[[#This Row],[FA1]],"-",TEXT(YEAR(TableauFA1[[#This Row],[Date]])-2000,"00"),TEXT(MONTH(TableauFA1[[#This Row],[Date]]),"00"),TEXT(TableauFA1[[#This Row],[N°]],"0000")))</f>
        <v/>
      </c>
      <c r="G23" s="42"/>
      <c r="I2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3" s="137"/>
      <c r="K23" s="137"/>
      <c r="L23" s="37"/>
      <c r="M23" s="137" t="str">
        <f>IF(TableauFA1[[#This Row],[Dont soumis au taux réduit]]="","",ROUND(TableauFA1[[#This Row],[Dont soumis au taux réduit]]*TableauFA1[[#This Row],[Taux réduit]],2))</f>
        <v/>
      </c>
      <c r="N23" s="137"/>
      <c r="O23" s="37"/>
      <c r="P23" s="137" t="str">
        <f>IF(TableauFA1[[#This Row],[Dont soumis au taux intermédiaire]]="","",ROUND(TableauFA1[[#This Row],[Dont soumis au taux intermédiaire]]*TableauFA1[[#This Row],[Taux intermédiaire]],2))</f>
        <v/>
      </c>
      <c r="Q23" s="137"/>
      <c r="R23" s="37"/>
      <c r="S23" s="137" t="str">
        <f>IF(TableauFA1[[#This Row],[Dont soumis au taux normal]]="","",ROUND(TableauFA1[[#This Row],[Dont soumis au taux normal]]*TableauFA1[[#This Row],[Taux normal]],2))</f>
        <v/>
      </c>
      <c r="T23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3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3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3" s="31"/>
      <c r="Z23" s="51"/>
      <c r="AA2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3" s="53"/>
      <c r="AC23" s="55"/>
      <c r="AD23" s="52"/>
      <c r="AE23" s="52"/>
      <c r="AF2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3" s="53"/>
      <c r="AH23" s="55"/>
      <c r="AI23" s="52"/>
      <c r="AJ23" s="52"/>
      <c r="AK2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3" s="52"/>
    </row>
    <row r="24" spans="1:38" x14ac:dyDescent="0.3">
      <c r="A24" s="33"/>
      <c r="B24" s="31" t="str">
        <f t="shared" si="3"/>
        <v/>
      </c>
      <c r="C24" s="2" t="str">
        <f>IF(A24="","",IF(MONTH(TableauFA1[[#This Row],[Date]])=MONTH(A23),C23+1,1))</f>
        <v/>
      </c>
      <c r="D24" s="34"/>
      <c r="E24" s="34"/>
      <c r="F24" s="35" t="str">
        <f>IF(C24="","",CONCATENATE(TableauFA1[[#This Row],[FA1]],"-",TEXT(YEAR(TableauFA1[[#This Row],[Date]])-2000,"00"),TEXT(MONTH(TableauFA1[[#This Row],[Date]]),"00"),TEXT(TableauFA1[[#This Row],[N°]],"0000")))</f>
        <v/>
      </c>
      <c r="G24" s="42"/>
      <c r="I2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4" s="137"/>
      <c r="K24" s="137"/>
      <c r="L24" s="37"/>
      <c r="M24" s="137" t="str">
        <f>IF(TableauFA1[[#This Row],[Dont soumis au taux réduit]]="","",ROUND(TableauFA1[[#This Row],[Dont soumis au taux réduit]]*TableauFA1[[#This Row],[Taux réduit]],2))</f>
        <v/>
      </c>
      <c r="N24" s="137"/>
      <c r="O24" s="37"/>
      <c r="P24" s="137" t="str">
        <f>IF(TableauFA1[[#This Row],[Dont soumis au taux intermédiaire]]="","",ROUND(TableauFA1[[#This Row],[Dont soumis au taux intermédiaire]]*TableauFA1[[#This Row],[Taux intermédiaire]],2))</f>
        <v/>
      </c>
      <c r="Q24" s="137"/>
      <c r="R24" s="37"/>
      <c r="S24" s="137" t="str">
        <f>IF(TableauFA1[[#This Row],[Dont soumis au taux normal]]="","",ROUND(TableauFA1[[#This Row],[Dont soumis au taux normal]]*TableauFA1[[#This Row],[Taux normal]],2))</f>
        <v/>
      </c>
      <c r="T24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4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4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4" s="31"/>
      <c r="Z24" s="51"/>
      <c r="AA24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4" s="53"/>
      <c r="AC24" s="55"/>
      <c r="AD24" s="52"/>
      <c r="AE24" s="52"/>
      <c r="AF24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4" s="53"/>
      <c r="AH24" s="55"/>
      <c r="AI24" s="52"/>
      <c r="AJ24" s="52"/>
      <c r="AK2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4" s="52"/>
    </row>
    <row r="25" spans="1:38" x14ac:dyDescent="0.3">
      <c r="A25" s="33"/>
      <c r="B25" s="31" t="str">
        <f t="shared" si="3"/>
        <v/>
      </c>
      <c r="C25" s="2" t="str">
        <f>IF(A25="","",IF(MONTH(TableauFA1[[#This Row],[Date]])=MONTH(A24),C24+1,1))</f>
        <v/>
      </c>
      <c r="D25" s="34"/>
      <c r="E25" s="34"/>
      <c r="F25" s="35" t="str">
        <f>IF(C25="","",CONCATENATE(TableauFA1[[#This Row],[FA1]],"-",TEXT(YEAR(TableauFA1[[#This Row],[Date]])-2000,"00"),TEXT(MONTH(TableauFA1[[#This Row],[Date]]),"00"),TEXT(TableauFA1[[#This Row],[N°]],"0000")))</f>
        <v/>
      </c>
      <c r="G25" s="42"/>
      <c r="I2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5" s="137"/>
      <c r="K25" s="137"/>
      <c r="L25" s="37"/>
      <c r="M25" s="137" t="str">
        <f>IF(TableauFA1[[#This Row],[Dont soumis au taux réduit]]="","",ROUND(TableauFA1[[#This Row],[Dont soumis au taux réduit]]*TableauFA1[[#This Row],[Taux réduit]],2))</f>
        <v/>
      </c>
      <c r="N25" s="137"/>
      <c r="O25" s="37"/>
      <c r="P25" s="137" t="str">
        <f>IF(TableauFA1[[#This Row],[Dont soumis au taux intermédiaire]]="","",ROUND(TableauFA1[[#This Row],[Dont soumis au taux intermédiaire]]*TableauFA1[[#This Row],[Taux intermédiaire]],2))</f>
        <v/>
      </c>
      <c r="Q25" s="137"/>
      <c r="R25" s="37"/>
      <c r="S25" s="137" t="str">
        <f>IF(TableauFA1[[#This Row],[Dont soumis au taux normal]]="","",ROUND(TableauFA1[[#This Row],[Dont soumis au taux normal]]*TableauFA1[[#This Row],[Taux normal]],2))</f>
        <v/>
      </c>
      <c r="T25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5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5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5" s="31"/>
      <c r="Z25" s="51"/>
      <c r="AA25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5" s="53"/>
      <c r="AC25" s="55"/>
      <c r="AD25" s="52"/>
      <c r="AE25" s="52"/>
      <c r="AF25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5" s="53"/>
      <c r="AH25" s="55"/>
      <c r="AI25" s="52"/>
      <c r="AJ25" s="52"/>
      <c r="AK2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5" s="52"/>
    </row>
    <row r="26" spans="1:38" x14ac:dyDescent="0.3">
      <c r="A26" s="33"/>
      <c r="B26" s="31" t="str">
        <f t="shared" si="3"/>
        <v/>
      </c>
      <c r="C26" s="2" t="str">
        <f>IF(A26="","",IF(MONTH(TableauFA1[[#This Row],[Date]])=MONTH(A25),C25+1,1))</f>
        <v/>
      </c>
      <c r="D26" s="34"/>
      <c r="E26" s="34"/>
      <c r="F26" s="35" t="str">
        <f>IF(C26="","",CONCATENATE(TableauFA1[[#This Row],[FA1]],"-",TEXT(YEAR(TableauFA1[[#This Row],[Date]])-2000,"00"),TEXT(MONTH(TableauFA1[[#This Row],[Date]]),"00"),TEXT(TableauFA1[[#This Row],[N°]],"0000")))</f>
        <v/>
      </c>
      <c r="G26" s="42"/>
      <c r="I2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6" s="137"/>
      <c r="K26" s="137"/>
      <c r="L26" s="37"/>
      <c r="M26" s="137" t="str">
        <f>IF(TableauFA1[[#This Row],[Dont soumis au taux réduit]]="","",ROUND(TableauFA1[[#This Row],[Dont soumis au taux réduit]]*TableauFA1[[#This Row],[Taux réduit]],2))</f>
        <v/>
      </c>
      <c r="N26" s="137"/>
      <c r="O26" s="37"/>
      <c r="P26" s="137" t="str">
        <f>IF(TableauFA1[[#This Row],[Dont soumis au taux intermédiaire]]="","",ROUND(TableauFA1[[#This Row],[Dont soumis au taux intermédiaire]]*TableauFA1[[#This Row],[Taux intermédiaire]],2))</f>
        <v/>
      </c>
      <c r="Q26" s="137"/>
      <c r="R26" s="37"/>
      <c r="S26" s="137" t="str">
        <f>IF(TableauFA1[[#This Row],[Dont soumis au taux normal]]="","",ROUND(TableauFA1[[#This Row],[Dont soumis au taux normal]]*TableauFA1[[#This Row],[Taux normal]],2))</f>
        <v/>
      </c>
      <c r="T26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6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6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6" s="31"/>
      <c r="Z26" s="51"/>
      <c r="AA26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6" s="53"/>
      <c r="AC26" s="55"/>
      <c r="AD26" s="52"/>
      <c r="AE26" s="52"/>
      <c r="AF2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6" s="53"/>
      <c r="AH26" s="55"/>
      <c r="AI26" s="52"/>
      <c r="AJ26" s="52"/>
      <c r="AK2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6" s="52"/>
    </row>
    <row r="27" spans="1:38" x14ac:dyDescent="0.3">
      <c r="A27" s="33"/>
      <c r="B27" s="31" t="str">
        <f t="shared" si="3"/>
        <v/>
      </c>
      <c r="C27" s="2" t="str">
        <f>IF(A27="","",IF(MONTH(TableauFA1[[#This Row],[Date]])=MONTH(A26),C26+1,1))</f>
        <v/>
      </c>
      <c r="D27" s="34"/>
      <c r="E27" s="34"/>
      <c r="F27" s="35" t="str">
        <f>IF(C27="","",CONCATENATE(TableauFA1[[#This Row],[FA1]],"-",TEXT(YEAR(TableauFA1[[#This Row],[Date]])-2000,"00"),TEXT(MONTH(TableauFA1[[#This Row],[Date]]),"00"),TEXT(TableauFA1[[#This Row],[N°]],"0000")))</f>
        <v/>
      </c>
      <c r="G27" s="42"/>
      <c r="I27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7" s="137"/>
      <c r="K27" s="137"/>
      <c r="L27" s="37"/>
      <c r="M27" s="137" t="str">
        <f>IF(TableauFA1[[#This Row],[Dont soumis au taux réduit]]="","",ROUND(TableauFA1[[#This Row],[Dont soumis au taux réduit]]*TableauFA1[[#This Row],[Taux réduit]],2))</f>
        <v/>
      </c>
      <c r="N27" s="137"/>
      <c r="O27" s="37"/>
      <c r="P27" s="137" t="str">
        <f>IF(TableauFA1[[#This Row],[Dont soumis au taux intermédiaire]]="","",ROUND(TableauFA1[[#This Row],[Dont soumis au taux intermédiaire]]*TableauFA1[[#This Row],[Taux intermédiaire]],2))</f>
        <v/>
      </c>
      <c r="Q27" s="137"/>
      <c r="R27" s="37"/>
      <c r="S27" s="137" t="str">
        <f>IF(TableauFA1[[#This Row],[Dont soumis au taux normal]]="","",ROUND(TableauFA1[[#This Row],[Dont soumis au taux normal]]*TableauFA1[[#This Row],[Taux normal]],2))</f>
        <v/>
      </c>
      <c r="T27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7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7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7" s="31"/>
      <c r="Z27" s="51"/>
      <c r="AA27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7" s="53"/>
      <c r="AC27" s="55"/>
      <c r="AD27" s="52"/>
      <c r="AE27" s="52"/>
      <c r="AF2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7" s="53"/>
      <c r="AH27" s="55"/>
      <c r="AI27" s="52"/>
      <c r="AJ27" s="52"/>
      <c r="AK2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7" s="52"/>
    </row>
    <row r="28" spans="1:38" x14ac:dyDescent="0.3">
      <c r="A28" s="33"/>
      <c r="B28" s="31" t="str">
        <f t="shared" si="3"/>
        <v/>
      </c>
      <c r="C28" s="2" t="str">
        <f>IF(A28="","",IF(MONTH(TableauFA1[[#This Row],[Date]])=MONTH(A27),C27+1,1))</f>
        <v/>
      </c>
      <c r="D28" s="34"/>
      <c r="E28" s="34"/>
      <c r="F28" s="35" t="str">
        <f>IF(C28="","",CONCATENATE(TableauFA1[[#This Row],[FA1]],"-",TEXT(YEAR(TableauFA1[[#This Row],[Date]])-2000,"00"),TEXT(MONTH(TableauFA1[[#This Row],[Date]]),"00"),TEXT(TableauFA1[[#This Row],[N°]],"0000")))</f>
        <v/>
      </c>
      <c r="G28" s="42"/>
      <c r="I2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8" s="137"/>
      <c r="K28" s="137"/>
      <c r="L28" s="37"/>
      <c r="M28" s="137" t="str">
        <f>IF(TableauFA1[[#This Row],[Dont soumis au taux réduit]]="","",ROUND(TableauFA1[[#This Row],[Dont soumis au taux réduit]]*TableauFA1[[#This Row],[Taux réduit]],2))</f>
        <v/>
      </c>
      <c r="N28" s="137"/>
      <c r="O28" s="37"/>
      <c r="P28" s="137" t="str">
        <f>IF(TableauFA1[[#This Row],[Dont soumis au taux intermédiaire]]="","",ROUND(TableauFA1[[#This Row],[Dont soumis au taux intermédiaire]]*TableauFA1[[#This Row],[Taux intermédiaire]],2))</f>
        <v/>
      </c>
      <c r="Q28" s="137"/>
      <c r="R28" s="37"/>
      <c r="S28" s="137" t="str">
        <f>IF(TableauFA1[[#This Row],[Dont soumis au taux normal]]="","",ROUND(TableauFA1[[#This Row],[Dont soumis au taux normal]]*TableauFA1[[#This Row],[Taux normal]],2))</f>
        <v/>
      </c>
      <c r="T28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8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8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8" s="31"/>
      <c r="Z28" s="51"/>
      <c r="AA28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8" s="53"/>
      <c r="AC28" s="55"/>
      <c r="AD28" s="52"/>
      <c r="AE28" s="52"/>
      <c r="AF2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8" s="53"/>
      <c r="AH28" s="55"/>
      <c r="AI28" s="52"/>
      <c r="AJ28" s="52"/>
      <c r="AK2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8" s="52"/>
    </row>
    <row r="29" spans="1:38" x14ac:dyDescent="0.3">
      <c r="A29" s="33"/>
      <c r="B29" s="31" t="str">
        <f t="shared" si="3"/>
        <v/>
      </c>
      <c r="C29" s="2" t="str">
        <f>IF(A29="","",IF(MONTH(TableauFA1[[#This Row],[Date]])=MONTH(A28),C28+1,1))</f>
        <v/>
      </c>
      <c r="D29" s="34"/>
      <c r="E29" s="34"/>
      <c r="F29" s="35" t="str">
        <f>IF(C29="","",CONCATENATE(TableauFA1[[#This Row],[FA1]],"-",TEXT(YEAR(TableauFA1[[#This Row],[Date]])-2000,"00"),TEXT(MONTH(TableauFA1[[#This Row],[Date]]),"00"),TEXT(TableauFA1[[#This Row],[N°]],"0000")))</f>
        <v/>
      </c>
      <c r="G29" s="42"/>
      <c r="I29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9" s="137"/>
      <c r="K29" s="137"/>
      <c r="L29" s="37"/>
      <c r="M29" s="137" t="str">
        <f>IF(TableauFA1[[#This Row],[Dont soumis au taux réduit]]="","",ROUND(TableauFA1[[#This Row],[Dont soumis au taux réduit]]*TableauFA1[[#This Row],[Taux réduit]],2))</f>
        <v/>
      </c>
      <c r="N29" s="137"/>
      <c r="O29" s="37"/>
      <c r="P29" s="137" t="str">
        <f>IF(TableauFA1[[#This Row],[Dont soumis au taux intermédiaire]]="","",ROUND(TableauFA1[[#This Row],[Dont soumis au taux intermédiaire]]*TableauFA1[[#This Row],[Taux intermédiaire]],2))</f>
        <v/>
      </c>
      <c r="Q29" s="137"/>
      <c r="R29" s="37"/>
      <c r="S29" s="137" t="str">
        <f>IF(TableauFA1[[#This Row],[Dont soumis au taux normal]]="","",ROUND(TableauFA1[[#This Row],[Dont soumis au taux normal]]*TableauFA1[[#This Row],[Taux normal]],2))</f>
        <v/>
      </c>
      <c r="T29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9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9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9" s="31"/>
      <c r="Z29" s="51"/>
      <c r="AA29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9" s="53"/>
      <c r="AC29" s="55"/>
      <c r="AD29" s="52"/>
      <c r="AE29" s="52"/>
      <c r="AF2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9" s="53"/>
      <c r="AH29" s="55"/>
      <c r="AI29" s="52"/>
      <c r="AJ29" s="52"/>
      <c r="AK2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9" s="52"/>
    </row>
    <row r="30" spans="1:38" x14ac:dyDescent="0.3">
      <c r="A30" s="33"/>
      <c r="B30" s="31" t="str">
        <f t="shared" si="3"/>
        <v/>
      </c>
      <c r="C30" s="2" t="str">
        <f>IF(A30="","",IF(MONTH(TableauFA1[[#This Row],[Date]])=MONTH(A29),C29+1,1))</f>
        <v/>
      </c>
      <c r="D30" s="34"/>
      <c r="E30" s="34"/>
      <c r="F30" s="35" t="str">
        <f>IF(C30="","",CONCATENATE(TableauFA1[[#This Row],[FA1]],"-",TEXT(YEAR(TableauFA1[[#This Row],[Date]])-2000,"00"),TEXT(MONTH(TableauFA1[[#This Row],[Date]]),"00"),TEXT(TableauFA1[[#This Row],[N°]],"0000")))</f>
        <v/>
      </c>
      <c r="G30" s="42"/>
      <c r="I3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0" s="137"/>
      <c r="K30" s="137"/>
      <c r="L30" s="37"/>
      <c r="M30" s="137" t="str">
        <f>IF(TableauFA1[[#This Row],[Dont soumis au taux réduit]]="","",ROUND(TableauFA1[[#This Row],[Dont soumis au taux réduit]]*TableauFA1[[#This Row],[Taux réduit]],2))</f>
        <v/>
      </c>
      <c r="N30" s="137"/>
      <c r="O30" s="37"/>
      <c r="P30" s="137" t="str">
        <f>IF(TableauFA1[[#This Row],[Dont soumis au taux intermédiaire]]="","",ROUND(TableauFA1[[#This Row],[Dont soumis au taux intermédiaire]]*TableauFA1[[#This Row],[Taux intermédiaire]],2))</f>
        <v/>
      </c>
      <c r="Q30" s="137"/>
      <c r="R30" s="37"/>
      <c r="S30" s="137" t="str">
        <f>IF(TableauFA1[[#This Row],[Dont soumis au taux normal]]="","",ROUND(TableauFA1[[#This Row],[Dont soumis au taux normal]]*TableauFA1[[#This Row],[Taux normal]],2))</f>
        <v/>
      </c>
      <c r="T30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0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0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0" s="31"/>
      <c r="Z30" s="51"/>
      <c r="AA30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0" s="53"/>
      <c r="AC30" s="55"/>
      <c r="AD30" s="52"/>
      <c r="AE30" s="52"/>
      <c r="AF3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0" s="53"/>
      <c r="AH30" s="55"/>
      <c r="AI30" s="52"/>
      <c r="AJ30" s="52"/>
      <c r="AK3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0" s="52"/>
    </row>
    <row r="31" spans="1:38" x14ac:dyDescent="0.3">
      <c r="A31" s="33"/>
      <c r="B31" s="31" t="str">
        <f t="shared" si="3"/>
        <v/>
      </c>
      <c r="C31" s="2" t="str">
        <f>IF(A31="","",IF(MONTH(TableauFA1[[#This Row],[Date]])=MONTH(A30),C30+1,1))</f>
        <v/>
      </c>
      <c r="D31" s="34"/>
      <c r="E31" s="34"/>
      <c r="F31" s="35" t="str">
        <f>IF(C31="","",CONCATENATE(TableauFA1[[#This Row],[FA1]],"-",TEXT(YEAR(TableauFA1[[#This Row],[Date]])-2000,"00"),TEXT(MONTH(TableauFA1[[#This Row],[Date]]),"00"),TEXT(TableauFA1[[#This Row],[N°]],"0000")))</f>
        <v/>
      </c>
      <c r="G31" s="42"/>
      <c r="I3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1" s="137"/>
      <c r="K31" s="137"/>
      <c r="L31" s="37"/>
      <c r="M31" s="137" t="str">
        <f>IF(TableauFA1[[#This Row],[Dont soumis au taux réduit]]="","",ROUND(TableauFA1[[#This Row],[Dont soumis au taux réduit]]*TableauFA1[[#This Row],[Taux réduit]],2))</f>
        <v/>
      </c>
      <c r="N31" s="137"/>
      <c r="O31" s="37"/>
      <c r="P31" s="137" t="str">
        <f>IF(TableauFA1[[#This Row],[Dont soumis au taux intermédiaire]]="","",ROUND(TableauFA1[[#This Row],[Dont soumis au taux intermédiaire]]*TableauFA1[[#This Row],[Taux intermédiaire]],2))</f>
        <v/>
      </c>
      <c r="Q31" s="137"/>
      <c r="R31" s="37"/>
      <c r="S31" s="137" t="str">
        <f>IF(TableauFA1[[#This Row],[Dont soumis au taux normal]]="","",ROUND(TableauFA1[[#This Row],[Dont soumis au taux normal]]*TableauFA1[[#This Row],[Taux normal]],2))</f>
        <v/>
      </c>
      <c r="T31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1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1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1" s="31"/>
      <c r="Z31" s="51"/>
      <c r="AA31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1" s="53"/>
      <c r="AC31" s="55"/>
      <c r="AD31" s="52"/>
      <c r="AE31" s="52"/>
      <c r="AF3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1" s="53"/>
      <c r="AH31" s="55"/>
      <c r="AI31" s="52"/>
      <c r="AJ31" s="52"/>
      <c r="AK3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1" s="52"/>
    </row>
    <row r="32" spans="1:38" x14ac:dyDescent="0.3">
      <c r="A32" s="33"/>
      <c r="B32" s="31" t="str">
        <f t="shared" si="3"/>
        <v/>
      </c>
      <c r="C32" s="2" t="str">
        <f>IF(A32="","",IF(MONTH(TableauFA1[[#This Row],[Date]])=MONTH(A31),C31+1,1))</f>
        <v/>
      </c>
      <c r="D32" s="34"/>
      <c r="E32" s="34"/>
      <c r="F32" s="35" t="str">
        <f>IF(C32="","",CONCATENATE(TableauFA1[[#This Row],[FA1]],"-",TEXT(YEAR(TableauFA1[[#This Row],[Date]])-2000,"00"),TEXT(MONTH(TableauFA1[[#This Row],[Date]]),"00"),TEXT(TableauFA1[[#This Row],[N°]],"0000")))</f>
        <v/>
      </c>
      <c r="G32" s="42"/>
      <c r="I3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2" s="137"/>
      <c r="K32" s="137"/>
      <c r="L32" s="37"/>
      <c r="M32" s="137" t="str">
        <f>IF(TableauFA1[[#This Row],[Dont soumis au taux réduit]]="","",ROUND(TableauFA1[[#This Row],[Dont soumis au taux réduit]]*TableauFA1[[#This Row],[Taux réduit]],2))</f>
        <v/>
      </c>
      <c r="N32" s="137"/>
      <c r="O32" s="37"/>
      <c r="P32" s="137" t="str">
        <f>IF(TableauFA1[[#This Row],[Dont soumis au taux intermédiaire]]="","",ROUND(TableauFA1[[#This Row],[Dont soumis au taux intermédiaire]]*TableauFA1[[#This Row],[Taux intermédiaire]],2))</f>
        <v/>
      </c>
      <c r="Q32" s="137"/>
      <c r="R32" s="37"/>
      <c r="S32" s="137" t="str">
        <f>IF(TableauFA1[[#This Row],[Dont soumis au taux normal]]="","",ROUND(TableauFA1[[#This Row],[Dont soumis au taux normal]]*TableauFA1[[#This Row],[Taux normal]],2))</f>
        <v/>
      </c>
      <c r="T32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2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2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2" s="31"/>
      <c r="Z32" s="51"/>
      <c r="AA32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2" s="53"/>
      <c r="AC32" s="55"/>
      <c r="AD32" s="52"/>
      <c r="AE32" s="52"/>
      <c r="AF3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2" s="53"/>
      <c r="AH32" s="55"/>
      <c r="AI32" s="52"/>
      <c r="AJ32" s="52"/>
      <c r="AK3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2" s="52"/>
    </row>
    <row r="33" spans="1:38" x14ac:dyDescent="0.3">
      <c r="A33" s="33"/>
      <c r="B33" s="31" t="str">
        <f t="shared" si="3"/>
        <v/>
      </c>
      <c r="C33" s="2" t="str">
        <f>IF(A33="","",IF(MONTH(TableauFA1[[#This Row],[Date]])=MONTH(A32),C32+1,1))</f>
        <v/>
      </c>
      <c r="D33" s="34"/>
      <c r="E33" s="34"/>
      <c r="F33" s="35" t="str">
        <f>IF(C33="","",CONCATENATE(TableauFA1[[#This Row],[FA1]],"-",TEXT(YEAR(TableauFA1[[#This Row],[Date]])-2000,"00"),TEXT(MONTH(TableauFA1[[#This Row],[Date]]),"00"),TEXT(TableauFA1[[#This Row],[N°]],"0000")))</f>
        <v/>
      </c>
      <c r="G33" s="42"/>
      <c r="I3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3" s="137"/>
      <c r="K33" s="137"/>
      <c r="L33" s="37"/>
      <c r="M33" s="137" t="str">
        <f>IF(TableauFA1[[#This Row],[Dont soumis au taux réduit]]="","",ROUND(TableauFA1[[#This Row],[Dont soumis au taux réduit]]*TableauFA1[[#This Row],[Taux réduit]],2))</f>
        <v/>
      </c>
      <c r="N33" s="137"/>
      <c r="O33" s="37"/>
      <c r="P33" s="137" t="str">
        <f>IF(TableauFA1[[#This Row],[Dont soumis au taux intermédiaire]]="","",ROUND(TableauFA1[[#This Row],[Dont soumis au taux intermédiaire]]*TableauFA1[[#This Row],[Taux intermédiaire]],2))</f>
        <v/>
      </c>
      <c r="Q33" s="137"/>
      <c r="R33" s="37"/>
      <c r="S33" s="137" t="str">
        <f>IF(TableauFA1[[#This Row],[Dont soumis au taux normal]]="","",ROUND(TableauFA1[[#This Row],[Dont soumis au taux normal]]*TableauFA1[[#This Row],[Taux normal]],2))</f>
        <v/>
      </c>
      <c r="T33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3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3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3" s="31"/>
      <c r="Z33" s="51"/>
      <c r="AA3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3" s="53"/>
      <c r="AC33" s="55"/>
      <c r="AD33" s="52"/>
      <c r="AE33" s="52"/>
      <c r="AF3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3" s="53"/>
      <c r="AH33" s="55"/>
      <c r="AI33" s="52"/>
      <c r="AJ33" s="52"/>
      <c r="AK3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3" s="52"/>
    </row>
    <row r="34" spans="1:38" x14ac:dyDescent="0.3">
      <c r="A34" s="33"/>
      <c r="B34" s="31" t="str">
        <f t="shared" si="3"/>
        <v/>
      </c>
      <c r="C34" s="2" t="str">
        <f>IF(A34="","",IF(MONTH(TableauFA1[[#This Row],[Date]])=MONTH(A33),C33+1,1))</f>
        <v/>
      </c>
      <c r="D34" s="34"/>
      <c r="E34" s="34"/>
      <c r="F34" s="35" t="str">
        <f>IF(C34="","",CONCATENATE(TableauFA1[[#This Row],[FA1]],"-",TEXT(YEAR(TableauFA1[[#This Row],[Date]])-2000,"00"),TEXT(MONTH(TableauFA1[[#This Row],[Date]]),"00"),TEXT(TableauFA1[[#This Row],[N°]],"0000")))</f>
        <v/>
      </c>
      <c r="G34" s="42"/>
      <c r="I3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4" s="137"/>
      <c r="K34" s="137"/>
      <c r="L34" s="37"/>
      <c r="M34" s="137" t="str">
        <f>IF(TableauFA1[[#This Row],[Dont soumis au taux réduit]]="","",ROUND(TableauFA1[[#This Row],[Dont soumis au taux réduit]]*TableauFA1[[#This Row],[Taux réduit]],2))</f>
        <v/>
      </c>
      <c r="N34" s="137"/>
      <c r="O34" s="37"/>
      <c r="P34" s="137" t="str">
        <f>IF(TableauFA1[[#This Row],[Dont soumis au taux intermédiaire]]="","",ROUND(TableauFA1[[#This Row],[Dont soumis au taux intermédiaire]]*TableauFA1[[#This Row],[Taux intermédiaire]],2))</f>
        <v/>
      </c>
      <c r="Q34" s="137"/>
      <c r="R34" s="37"/>
      <c r="S34" s="137" t="str">
        <f>IF(TableauFA1[[#This Row],[Dont soumis au taux normal]]="","",ROUND(TableauFA1[[#This Row],[Dont soumis au taux normal]]*TableauFA1[[#This Row],[Taux normal]],2))</f>
        <v/>
      </c>
      <c r="T34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4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4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4" s="31"/>
      <c r="Z34" s="51"/>
      <c r="AA34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4" s="53"/>
      <c r="AC34" s="55"/>
      <c r="AD34" s="52"/>
      <c r="AE34" s="52"/>
      <c r="AF34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4" s="53"/>
      <c r="AH34" s="55"/>
      <c r="AI34" s="52"/>
      <c r="AJ34" s="52"/>
      <c r="AK3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4" s="52"/>
    </row>
    <row r="35" spans="1:38" x14ac:dyDescent="0.3">
      <c r="A35" s="33"/>
      <c r="B35" s="31" t="str">
        <f t="shared" si="3"/>
        <v/>
      </c>
      <c r="C35" s="2" t="str">
        <f>IF(A35="","",IF(MONTH(TableauFA1[[#This Row],[Date]])=MONTH(A34),C34+1,1))</f>
        <v/>
      </c>
      <c r="D35" s="34"/>
      <c r="E35" s="34"/>
      <c r="F35" s="35" t="str">
        <f>IF(C35="","",CONCATENATE(TableauFA1[[#This Row],[FA1]],"-",TEXT(YEAR(TableauFA1[[#This Row],[Date]])-2000,"00"),TEXT(MONTH(TableauFA1[[#This Row],[Date]]),"00"),TEXT(TableauFA1[[#This Row],[N°]],"0000")))</f>
        <v/>
      </c>
      <c r="G35" s="42"/>
      <c r="I3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5" s="137"/>
      <c r="K35" s="137"/>
      <c r="L35" s="37"/>
      <c r="M35" s="137" t="str">
        <f>IF(TableauFA1[[#This Row],[Dont soumis au taux réduit]]="","",ROUND(TableauFA1[[#This Row],[Dont soumis au taux réduit]]*TableauFA1[[#This Row],[Taux réduit]],2))</f>
        <v/>
      </c>
      <c r="N35" s="137"/>
      <c r="O35" s="37"/>
      <c r="P35" s="137" t="str">
        <f>IF(TableauFA1[[#This Row],[Dont soumis au taux intermédiaire]]="","",ROUND(TableauFA1[[#This Row],[Dont soumis au taux intermédiaire]]*TableauFA1[[#This Row],[Taux intermédiaire]],2))</f>
        <v/>
      </c>
      <c r="Q35" s="137"/>
      <c r="R35" s="37"/>
      <c r="S35" s="137" t="str">
        <f>IF(TableauFA1[[#This Row],[Dont soumis au taux normal]]="","",ROUND(TableauFA1[[#This Row],[Dont soumis au taux normal]]*TableauFA1[[#This Row],[Taux normal]],2))</f>
        <v/>
      </c>
      <c r="T35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5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5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5" s="31"/>
      <c r="Z35" s="51"/>
      <c r="AA35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5" s="53"/>
      <c r="AC35" s="55"/>
      <c r="AD35" s="52"/>
      <c r="AE35" s="52"/>
      <c r="AF35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5" s="53"/>
      <c r="AH35" s="55"/>
      <c r="AI35" s="52"/>
      <c r="AJ35" s="52"/>
      <c r="AK3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5" s="52"/>
    </row>
    <row r="36" spans="1:38" x14ac:dyDescent="0.3">
      <c r="A36" s="33"/>
      <c r="B36" s="31" t="str">
        <f t="shared" si="3"/>
        <v/>
      </c>
      <c r="C36" s="2" t="str">
        <f>IF(A36="","",IF(MONTH(TableauFA1[[#This Row],[Date]])=MONTH(A35),C35+1,1))</f>
        <v/>
      </c>
      <c r="D36" s="34"/>
      <c r="E36" s="34"/>
      <c r="F36" s="35" t="str">
        <f>IF(C36="","",CONCATENATE(TableauFA1[[#This Row],[FA1]],"-",TEXT(YEAR(TableauFA1[[#This Row],[Date]])-2000,"00"),TEXT(MONTH(TableauFA1[[#This Row],[Date]]),"00"),TEXT(TableauFA1[[#This Row],[N°]],"0000")))</f>
        <v/>
      </c>
      <c r="G36" s="42"/>
      <c r="I3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6" s="137"/>
      <c r="K36" s="137"/>
      <c r="L36" s="37"/>
      <c r="M36" s="137" t="str">
        <f>IF(TableauFA1[[#This Row],[Dont soumis au taux réduit]]="","",ROUND(TableauFA1[[#This Row],[Dont soumis au taux réduit]]*TableauFA1[[#This Row],[Taux réduit]],2))</f>
        <v/>
      </c>
      <c r="N36" s="137"/>
      <c r="O36" s="37"/>
      <c r="P36" s="137" t="str">
        <f>IF(TableauFA1[[#This Row],[Dont soumis au taux intermédiaire]]="","",ROUND(TableauFA1[[#This Row],[Dont soumis au taux intermédiaire]]*TableauFA1[[#This Row],[Taux intermédiaire]],2))</f>
        <v/>
      </c>
      <c r="Q36" s="137"/>
      <c r="R36" s="37"/>
      <c r="S36" s="137" t="str">
        <f>IF(TableauFA1[[#This Row],[Dont soumis au taux normal]]="","",ROUND(TableauFA1[[#This Row],[Dont soumis au taux normal]]*TableauFA1[[#This Row],[Taux normal]],2))</f>
        <v/>
      </c>
      <c r="T36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6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6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6" s="31"/>
      <c r="Z36" s="51"/>
      <c r="AA36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6" s="53"/>
      <c r="AC36" s="55"/>
      <c r="AD36" s="52"/>
      <c r="AE36" s="52"/>
      <c r="AF3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6" s="53"/>
      <c r="AH36" s="55"/>
      <c r="AI36" s="52"/>
      <c r="AJ36" s="52"/>
      <c r="AK3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6" s="52"/>
    </row>
    <row r="37" spans="1:38" x14ac:dyDescent="0.3">
      <c r="A37" s="33"/>
      <c r="B37" s="31" t="str">
        <f t="shared" si="3"/>
        <v/>
      </c>
      <c r="C37" s="2" t="str">
        <f>IF(A37="","",IF(MONTH(TableauFA1[[#This Row],[Date]])=MONTH(A36),C36+1,1))</f>
        <v/>
      </c>
      <c r="D37" s="34"/>
      <c r="E37" s="34"/>
      <c r="F37" s="35" t="str">
        <f>IF(C37="","",CONCATENATE(TableauFA1[[#This Row],[FA1]],"-",TEXT(YEAR(TableauFA1[[#This Row],[Date]])-2000,"00"),TEXT(MONTH(TableauFA1[[#This Row],[Date]]),"00"),TEXT(TableauFA1[[#This Row],[N°]],"0000")))</f>
        <v/>
      </c>
      <c r="G37" s="42"/>
      <c r="I37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7" s="137"/>
      <c r="K37" s="137"/>
      <c r="L37" s="37"/>
      <c r="M37" s="137" t="str">
        <f>IF(TableauFA1[[#This Row],[Dont soumis au taux réduit]]="","",ROUND(TableauFA1[[#This Row],[Dont soumis au taux réduit]]*TableauFA1[[#This Row],[Taux réduit]],2))</f>
        <v/>
      </c>
      <c r="N37" s="137"/>
      <c r="O37" s="37"/>
      <c r="P37" s="137" t="str">
        <f>IF(TableauFA1[[#This Row],[Dont soumis au taux intermédiaire]]="","",ROUND(TableauFA1[[#This Row],[Dont soumis au taux intermédiaire]]*TableauFA1[[#This Row],[Taux intermédiaire]],2))</f>
        <v/>
      </c>
      <c r="Q37" s="137"/>
      <c r="R37" s="37"/>
      <c r="S37" s="137" t="str">
        <f>IF(TableauFA1[[#This Row],[Dont soumis au taux normal]]="","",ROUND(TableauFA1[[#This Row],[Dont soumis au taux normal]]*TableauFA1[[#This Row],[Taux normal]],2))</f>
        <v/>
      </c>
      <c r="T37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7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7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7" s="31"/>
      <c r="Z37" s="51"/>
      <c r="AA37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7" s="53"/>
      <c r="AC37" s="55"/>
      <c r="AD37" s="52"/>
      <c r="AE37" s="52"/>
      <c r="AF3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7" s="53"/>
      <c r="AH37" s="55"/>
      <c r="AI37" s="52"/>
      <c r="AJ37" s="52"/>
      <c r="AK3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7" s="52"/>
    </row>
    <row r="38" spans="1:38" x14ac:dyDescent="0.3">
      <c r="A38" s="33"/>
      <c r="B38" s="31" t="str">
        <f t="shared" si="3"/>
        <v/>
      </c>
      <c r="C38" s="2" t="str">
        <f>IF(A38="","",IF(MONTH(TableauFA1[[#This Row],[Date]])=MONTH(A37),C37+1,1))</f>
        <v/>
      </c>
      <c r="D38" s="34"/>
      <c r="E38" s="34"/>
      <c r="F38" s="35" t="str">
        <f>IF(C38="","",CONCATENATE(TableauFA1[[#This Row],[FA1]],"-",TEXT(YEAR(TableauFA1[[#This Row],[Date]])-2000,"00"),TEXT(MONTH(TableauFA1[[#This Row],[Date]]),"00"),TEXT(TableauFA1[[#This Row],[N°]],"0000")))</f>
        <v/>
      </c>
      <c r="G38" s="42"/>
      <c r="I3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8" s="137"/>
      <c r="K38" s="137"/>
      <c r="L38" s="37"/>
      <c r="M38" s="137" t="str">
        <f>IF(TableauFA1[[#This Row],[Dont soumis au taux réduit]]="","",ROUND(TableauFA1[[#This Row],[Dont soumis au taux réduit]]*TableauFA1[[#This Row],[Taux réduit]],2))</f>
        <v/>
      </c>
      <c r="N38" s="137"/>
      <c r="O38" s="37"/>
      <c r="P38" s="137" t="str">
        <f>IF(TableauFA1[[#This Row],[Dont soumis au taux intermédiaire]]="","",ROUND(TableauFA1[[#This Row],[Dont soumis au taux intermédiaire]]*TableauFA1[[#This Row],[Taux intermédiaire]],2))</f>
        <v/>
      </c>
      <c r="Q38" s="137"/>
      <c r="R38" s="37"/>
      <c r="S38" s="137" t="str">
        <f>IF(TableauFA1[[#This Row],[Dont soumis au taux normal]]="","",ROUND(TableauFA1[[#This Row],[Dont soumis au taux normal]]*TableauFA1[[#This Row],[Taux normal]],2))</f>
        <v/>
      </c>
      <c r="T38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8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8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8" s="31"/>
      <c r="Z38" s="51"/>
      <c r="AA38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8" s="53"/>
      <c r="AC38" s="55"/>
      <c r="AD38" s="52"/>
      <c r="AE38" s="52"/>
      <c r="AF3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8" s="53"/>
      <c r="AH38" s="55"/>
      <c r="AI38" s="52"/>
      <c r="AJ38" s="52"/>
      <c r="AK3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8" s="52"/>
    </row>
    <row r="39" spans="1:38" x14ac:dyDescent="0.3">
      <c r="A39" s="33"/>
      <c r="B39" s="31" t="str">
        <f t="shared" si="3"/>
        <v/>
      </c>
      <c r="C39" s="2" t="str">
        <f>IF(A39="","",IF(MONTH(TableauFA1[[#This Row],[Date]])=MONTH(A38),C38+1,1))</f>
        <v/>
      </c>
      <c r="D39" s="34"/>
      <c r="E39" s="34"/>
      <c r="F39" s="35" t="str">
        <f>IF(C39="","",CONCATENATE(TableauFA1[[#This Row],[FA1]],"-",TEXT(YEAR(TableauFA1[[#This Row],[Date]])-2000,"00"),TEXT(MONTH(TableauFA1[[#This Row],[Date]]),"00"),TEXT(TableauFA1[[#This Row],[N°]],"0000")))</f>
        <v/>
      </c>
      <c r="G39" s="42"/>
      <c r="I39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9" s="137"/>
      <c r="K39" s="137"/>
      <c r="L39" s="37"/>
      <c r="M39" s="137" t="str">
        <f>IF(TableauFA1[[#This Row],[Dont soumis au taux réduit]]="","",ROUND(TableauFA1[[#This Row],[Dont soumis au taux réduit]]*TableauFA1[[#This Row],[Taux réduit]],2))</f>
        <v/>
      </c>
      <c r="N39" s="137"/>
      <c r="O39" s="37"/>
      <c r="P39" s="137" t="str">
        <f>IF(TableauFA1[[#This Row],[Dont soumis au taux intermédiaire]]="","",ROUND(TableauFA1[[#This Row],[Dont soumis au taux intermédiaire]]*TableauFA1[[#This Row],[Taux intermédiaire]],2))</f>
        <v/>
      </c>
      <c r="Q39" s="137"/>
      <c r="R39" s="37"/>
      <c r="S39" s="137" t="str">
        <f>IF(TableauFA1[[#This Row],[Dont soumis au taux normal]]="","",ROUND(TableauFA1[[#This Row],[Dont soumis au taux normal]]*TableauFA1[[#This Row],[Taux normal]],2))</f>
        <v/>
      </c>
      <c r="T39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9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9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9" s="31"/>
      <c r="Z39" s="51"/>
      <c r="AA39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9" s="53"/>
      <c r="AC39" s="55"/>
      <c r="AD39" s="52"/>
      <c r="AE39" s="52"/>
      <c r="AF3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9" s="53"/>
      <c r="AH39" s="55"/>
      <c r="AI39" s="52"/>
      <c r="AJ39" s="52"/>
      <c r="AK3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9" s="52"/>
    </row>
    <row r="40" spans="1:38" x14ac:dyDescent="0.3">
      <c r="A40" s="33"/>
      <c r="B40" s="31" t="str">
        <f t="shared" si="3"/>
        <v/>
      </c>
      <c r="C40" s="2" t="str">
        <f>IF(A40="","",IF(MONTH(TableauFA1[[#This Row],[Date]])=MONTH(A39),C39+1,1))</f>
        <v/>
      </c>
      <c r="D40" s="34"/>
      <c r="E40" s="34"/>
      <c r="F40" s="35" t="str">
        <f>IF(C40="","",CONCATENATE(TableauFA1[[#This Row],[FA1]],"-",TEXT(YEAR(TableauFA1[[#This Row],[Date]])-2000,"00"),TEXT(MONTH(TableauFA1[[#This Row],[Date]]),"00"),TEXT(TableauFA1[[#This Row],[N°]],"0000")))</f>
        <v/>
      </c>
      <c r="G40" s="42"/>
      <c r="I4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0" s="137"/>
      <c r="K40" s="137"/>
      <c r="L40" s="37"/>
      <c r="M40" s="137" t="str">
        <f>IF(TableauFA1[[#This Row],[Dont soumis au taux réduit]]="","",ROUND(TableauFA1[[#This Row],[Dont soumis au taux réduit]]*TableauFA1[[#This Row],[Taux réduit]],2))</f>
        <v/>
      </c>
      <c r="N40" s="137"/>
      <c r="O40" s="37"/>
      <c r="P40" s="137" t="str">
        <f>IF(TableauFA1[[#This Row],[Dont soumis au taux intermédiaire]]="","",ROUND(TableauFA1[[#This Row],[Dont soumis au taux intermédiaire]]*TableauFA1[[#This Row],[Taux intermédiaire]],2))</f>
        <v/>
      </c>
      <c r="Q40" s="137"/>
      <c r="R40" s="37"/>
      <c r="S40" s="137" t="str">
        <f>IF(TableauFA1[[#This Row],[Dont soumis au taux normal]]="","",ROUND(TableauFA1[[#This Row],[Dont soumis au taux normal]]*TableauFA1[[#This Row],[Taux normal]],2))</f>
        <v/>
      </c>
      <c r="T40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0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0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0" s="31"/>
      <c r="Z40" s="51"/>
      <c r="AA40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0" s="53"/>
      <c r="AC40" s="55"/>
      <c r="AD40" s="52"/>
      <c r="AE40" s="52"/>
      <c r="AF4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0" s="53"/>
      <c r="AH40" s="55"/>
      <c r="AI40" s="52"/>
      <c r="AJ40" s="52"/>
      <c r="AK4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0" s="52"/>
    </row>
    <row r="41" spans="1:38" x14ac:dyDescent="0.3">
      <c r="A41" s="33"/>
      <c r="B41" s="31" t="str">
        <f t="shared" si="3"/>
        <v/>
      </c>
      <c r="C41" s="2" t="str">
        <f>IF(A41="","",IF(MONTH(TableauFA1[[#This Row],[Date]])=MONTH(A40),C40+1,1))</f>
        <v/>
      </c>
      <c r="D41" s="34"/>
      <c r="E41" s="34"/>
      <c r="F41" s="35" t="str">
        <f>IF(C41="","",CONCATENATE(TableauFA1[[#This Row],[FA1]],"-",TEXT(YEAR(TableauFA1[[#This Row],[Date]])-2000,"00"),TEXT(MONTH(TableauFA1[[#This Row],[Date]]),"00"),TEXT(TableauFA1[[#This Row],[N°]],"0000")))</f>
        <v/>
      </c>
      <c r="G41" s="42"/>
      <c r="I4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1" s="137"/>
      <c r="K41" s="137"/>
      <c r="L41" s="37"/>
      <c r="M41" s="137" t="str">
        <f>IF(TableauFA1[[#This Row],[Dont soumis au taux réduit]]="","",ROUND(TableauFA1[[#This Row],[Dont soumis au taux réduit]]*TableauFA1[[#This Row],[Taux réduit]],2))</f>
        <v/>
      </c>
      <c r="N41" s="137"/>
      <c r="O41" s="37"/>
      <c r="P41" s="137" t="str">
        <f>IF(TableauFA1[[#This Row],[Dont soumis au taux intermédiaire]]="","",ROUND(TableauFA1[[#This Row],[Dont soumis au taux intermédiaire]]*TableauFA1[[#This Row],[Taux intermédiaire]],2))</f>
        <v/>
      </c>
      <c r="Q41" s="137"/>
      <c r="R41" s="37"/>
      <c r="S41" s="137" t="str">
        <f>IF(TableauFA1[[#This Row],[Dont soumis au taux normal]]="","",ROUND(TableauFA1[[#This Row],[Dont soumis au taux normal]]*TableauFA1[[#This Row],[Taux normal]],2))</f>
        <v/>
      </c>
      <c r="T41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1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1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1" s="31"/>
      <c r="Z41" s="51"/>
      <c r="AA41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1" s="53"/>
      <c r="AC41" s="55"/>
      <c r="AD41" s="52"/>
      <c r="AE41" s="52"/>
      <c r="AF4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1" s="53"/>
      <c r="AH41" s="55"/>
      <c r="AI41" s="52"/>
      <c r="AJ41" s="52"/>
      <c r="AK4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1" s="52"/>
    </row>
    <row r="42" spans="1:38" x14ac:dyDescent="0.3">
      <c r="A42" s="33"/>
      <c r="B42" s="31" t="str">
        <f t="shared" si="3"/>
        <v/>
      </c>
      <c r="C42" s="2" t="str">
        <f>IF(A42="","",IF(MONTH(TableauFA1[[#This Row],[Date]])=MONTH(A41),C41+1,1))</f>
        <v/>
      </c>
      <c r="D42" s="34"/>
      <c r="E42" s="34"/>
      <c r="F42" s="35" t="str">
        <f>IF(C42="","",CONCATENATE(TableauFA1[[#This Row],[FA1]],"-",TEXT(YEAR(TableauFA1[[#This Row],[Date]])-2000,"00"),TEXT(MONTH(TableauFA1[[#This Row],[Date]]),"00"),TEXT(TableauFA1[[#This Row],[N°]],"0000")))</f>
        <v/>
      </c>
      <c r="G42" s="42"/>
      <c r="I4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2" s="137"/>
      <c r="K42" s="137"/>
      <c r="L42" s="37"/>
      <c r="M42" s="137" t="str">
        <f>IF(TableauFA1[[#This Row],[Dont soumis au taux réduit]]="","",ROUND(TableauFA1[[#This Row],[Dont soumis au taux réduit]]*TableauFA1[[#This Row],[Taux réduit]],2))</f>
        <v/>
      </c>
      <c r="N42" s="137"/>
      <c r="O42" s="37"/>
      <c r="P42" s="137" t="str">
        <f>IF(TableauFA1[[#This Row],[Dont soumis au taux intermédiaire]]="","",ROUND(TableauFA1[[#This Row],[Dont soumis au taux intermédiaire]]*TableauFA1[[#This Row],[Taux intermédiaire]],2))</f>
        <v/>
      </c>
      <c r="Q42" s="137"/>
      <c r="R42" s="37"/>
      <c r="S42" s="137" t="str">
        <f>IF(TableauFA1[[#This Row],[Dont soumis au taux normal]]="","",ROUND(TableauFA1[[#This Row],[Dont soumis au taux normal]]*TableauFA1[[#This Row],[Taux normal]],2))</f>
        <v/>
      </c>
      <c r="T42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2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2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2" s="31"/>
      <c r="Z42" s="51"/>
      <c r="AA42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2" s="53"/>
      <c r="AC42" s="55"/>
      <c r="AD42" s="52"/>
      <c r="AE42" s="52"/>
      <c r="AF4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2" s="53"/>
      <c r="AH42" s="55"/>
      <c r="AI42" s="52"/>
      <c r="AJ42" s="52"/>
      <c r="AK4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2" s="52"/>
    </row>
    <row r="43" spans="1:38" x14ac:dyDescent="0.3">
      <c r="A43" s="33"/>
      <c r="B43" s="31" t="str">
        <f t="shared" si="3"/>
        <v/>
      </c>
      <c r="C43" s="2" t="str">
        <f>IF(A43="","",IF(MONTH(TableauFA1[[#This Row],[Date]])=MONTH(A42),C42+1,1))</f>
        <v/>
      </c>
      <c r="D43" s="34"/>
      <c r="E43" s="34"/>
      <c r="F43" s="35" t="str">
        <f>IF(C43="","",CONCATENATE(TableauFA1[[#This Row],[FA1]],"-",TEXT(YEAR(TableauFA1[[#This Row],[Date]])-2000,"00"),TEXT(MONTH(TableauFA1[[#This Row],[Date]]),"00"),TEXT(TableauFA1[[#This Row],[N°]],"0000")))</f>
        <v/>
      </c>
      <c r="G43" s="42"/>
      <c r="I4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3" s="137"/>
      <c r="K43" s="137"/>
      <c r="L43" s="37"/>
      <c r="M43" s="137" t="str">
        <f>IF(TableauFA1[[#This Row],[Dont soumis au taux réduit]]="","",ROUND(TableauFA1[[#This Row],[Dont soumis au taux réduit]]*TableauFA1[[#This Row],[Taux réduit]],2))</f>
        <v/>
      </c>
      <c r="N43" s="137"/>
      <c r="O43" s="37"/>
      <c r="P43" s="137" t="str">
        <f>IF(TableauFA1[[#This Row],[Dont soumis au taux intermédiaire]]="","",ROUND(TableauFA1[[#This Row],[Dont soumis au taux intermédiaire]]*TableauFA1[[#This Row],[Taux intermédiaire]],2))</f>
        <v/>
      </c>
      <c r="Q43" s="137"/>
      <c r="R43" s="37"/>
      <c r="S43" s="137" t="str">
        <f>IF(TableauFA1[[#This Row],[Dont soumis au taux normal]]="","",ROUND(TableauFA1[[#This Row],[Dont soumis au taux normal]]*TableauFA1[[#This Row],[Taux normal]],2))</f>
        <v/>
      </c>
      <c r="T43" s="205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3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3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3" s="31"/>
      <c r="Z43" s="51"/>
      <c r="AA4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3" s="53"/>
      <c r="AC43" s="55"/>
      <c r="AD43" s="52"/>
      <c r="AE43" s="52"/>
      <c r="AF4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3" s="53"/>
      <c r="AH43" s="55"/>
      <c r="AI43" s="52"/>
      <c r="AJ43" s="52"/>
      <c r="AK4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3" s="52"/>
    </row>
    <row r="44" spans="1:38" x14ac:dyDescent="0.3">
      <c r="D44" s="43"/>
      <c r="E44" s="43"/>
      <c r="F44" s="43"/>
      <c r="J44" s="38"/>
      <c r="K44" s="38"/>
      <c r="L44" s="10"/>
      <c r="M44" s="38"/>
      <c r="N44" s="38"/>
      <c r="O44" s="10"/>
      <c r="P44" s="38"/>
      <c r="Q44" s="38"/>
      <c r="R44" s="10"/>
      <c r="S44" s="38"/>
      <c r="T44" s="38"/>
    </row>
  </sheetData>
  <conditionalFormatting sqref="L3 L5:L43">
    <cfRule type="expression" dxfId="60" priority="31" stopIfTrue="1">
      <formula>AND($L3="",$K3&gt;0)</formula>
    </cfRule>
  </conditionalFormatting>
  <conditionalFormatting sqref="U3:V3 U5:V43">
    <cfRule type="cellIs" dxfId="59" priority="32" operator="lessThan">
      <formula>tolerance</formula>
    </cfRule>
    <cfRule type="cellIs" dxfId="58" priority="51" operator="greaterThanOrEqual">
      <formula>tolerance</formula>
    </cfRule>
  </conditionalFormatting>
  <conditionalFormatting sqref="A3:T3 A5:T43">
    <cfRule type="expression" dxfId="57" priority="124">
      <formula>AND($A3&lt;&gt;"",$X3&lt;&gt;"",$U3&lt;-1)</formula>
    </cfRule>
    <cfRule type="expression" dxfId="56" priority="125">
      <formula>AND($A3&lt;&gt;"",$X3="")</formula>
    </cfRule>
    <cfRule type="expression" dxfId="55" priority="126">
      <formula>AND($A3&lt;&gt;"",$X3&lt;&gt;"",$U3&gt;=-1)</formula>
    </cfRule>
  </conditionalFormatting>
  <conditionalFormatting sqref="O3 O5:O43">
    <cfRule type="expression" dxfId="54" priority="30" stopIfTrue="1">
      <formula>AND($O3="",$N3&gt;0)</formula>
    </cfRule>
  </conditionalFormatting>
  <conditionalFormatting sqref="R3 R5:R43">
    <cfRule type="expression" dxfId="53" priority="29" stopIfTrue="1">
      <formula>AND($R3="",$Q3&gt;0)</formula>
    </cfRule>
  </conditionalFormatting>
  <conditionalFormatting sqref="L4">
    <cfRule type="expression" dxfId="52" priority="23" stopIfTrue="1">
      <formula>AND($L4="",$K4&gt;0)</formula>
    </cfRule>
  </conditionalFormatting>
  <conditionalFormatting sqref="U4:V4">
    <cfRule type="cellIs" dxfId="51" priority="24" operator="lessThan">
      <formula>tolerance</formula>
    </cfRule>
    <cfRule type="cellIs" dxfId="50" priority="25" operator="greaterThanOrEqual">
      <formula>tolerance</formula>
    </cfRule>
  </conditionalFormatting>
  <conditionalFormatting sqref="A4:B4 D4:T4">
    <cfRule type="expression" dxfId="49" priority="26">
      <formula>AND($A4&lt;&gt;"",$X4&lt;&gt;"",$U4&lt;-1)</formula>
    </cfRule>
    <cfRule type="expression" dxfId="48" priority="27">
      <formula>AND($A4&lt;&gt;"",$X4="")</formula>
    </cfRule>
    <cfRule type="expression" dxfId="47" priority="28">
      <formula>AND($A4&lt;&gt;"",$X4&lt;&gt;"",$U4&gt;=-1)</formula>
    </cfRule>
  </conditionalFormatting>
  <conditionalFormatting sqref="O4">
    <cfRule type="expression" dxfId="46" priority="22" stopIfTrue="1">
      <formula>AND($O4="",$N4&gt;0)</formula>
    </cfRule>
  </conditionalFormatting>
  <conditionalFormatting sqref="R4">
    <cfRule type="expression" dxfId="45" priority="21" stopIfTrue="1">
      <formula>AND($R4="",$Q4&gt;0)</formula>
    </cfRule>
  </conditionalFormatting>
  <conditionalFormatting sqref="C4">
    <cfRule type="expression" dxfId="44" priority="1">
      <formula>AND($A4&lt;&gt;"",$X4&lt;&gt;"",$U4&lt;-1)</formula>
    </cfRule>
    <cfRule type="expression" dxfId="43" priority="2">
      <formula>AND($A4&lt;&gt;"",$X4="")</formula>
    </cfRule>
    <cfRule type="expression" dxfId="42" priority="3">
      <formula>AND($A4&lt;&gt;"",$X4&lt;&gt;"",$U4&gt;=-1)</formula>
    </cfRule>
  </conditionalFormatting>
  <dataValidations count="1">
    <dataValidation type="list" allowBlank="1" showInputMessage="1" showErrorMessage="1" sqref="E3:E43">
      <formula1>liste_commerciaux</formula1>
    </dataValidation>
  </dataValidations>
  <hyperlinks>
    <hyperlink ref="Y1" r:id="rId1"/>
    <hyperlink ref="AD1" r:id="rId2"/>
    <hyperlink ref="AH1" r:id="rId3"/>
  </hyperlinks>
  <pageMargins left="0.25" right="0.25" top="0.75" bottom="0.75" header="0.3" footer="0.3"/>
  <pageSetup paperSize="9" orientation="landscape" horizontalDpi="300" verticalDpi="300" r:id="rId4"/>
  <legacy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AL46"/>
  <sheetViews>
    <sheetView workbookViewId="0">
      <pane xSplit="6" ySplit="2" topLeftCell="G3" activePane="bottomRight" state="frozen"/>
      <selection pane="topRight" activeCell="F1" sqref="F1"/>
      <selection pane="bottomLeft" activeCell="A3" sqref="A3"/>
      <selection pane="bottomRight" activeCell="D60" sqref="D60"/>
    </sheetView>
  </sheetViews>
  <sheetFormatPr baseColWidth="10" defaultColWidth="11.375" defaultRowHeight="16.5" x14ac:dyDescent="0.3"/>
  <cols>
    <col min="1" max="1" width="11.875" style="31" customWidth="1"/>
    <col min="2" max="2" width="6.625" style="31" customWidth="1"/>
    <col min="3" max="3" width="5.375" style="2" customWidth="1"/>
    <col min="4" max="4" width="19.875" style="31" customWidth="1"/>
    <col min="5" max="5" width="5.875" style="31" customWidth="1"/>
    <col min="6" max="6" width="15.375" style="31" customWidth="1"/>
    <col min="7" max="7" width="7.5" style="31" customWidth="1"/>
    <col min="8" max="9" width="18.375" style="31" customWidth="1"/>
    <col min="10" max="10" width="13.375" style="31" customWidth="1"/>
    <col min="11" max="11" width="11.875" style="31" customWidth="1"/>
    <col min="12" max="12" width="8.25" style="31" customWidth="1"/>
    <col min="13" max="13" width="11.625" style="31" customWidth="1"/>
    <col min="14" max="14" width="11.5" style="31" customWidth="1"/>
    <col min="15" max="15" width="8.375" style="31" customWidth="1"/>
    <col min="16" max="16" width="11.5" style="31" customWidth="1"/>
    <col min="17" max="17" width="12.25" style="31" customWidth="1"/>
    <col min="18" max="18" width="8.375" style="31" customWidth="1"/>
    <col min="19" max="19" width="11.625" style="31" customWidth="1"/>
    <col min="20" max="20" width="15.375" style="31" customWidth="1"/>
    <col min="21" max="22" width="13.25" style="30" customWidth="1"/>
    <col min="23" max="23" width="11.75" style="30" customWidth="1"/>
    <col min="24" max="24" width="13.5" style="30" customWidth="1"/>
    <col min="25" max="25" width="30.375" customWidth="1"/>
    <col min="26" max="26" width="12.125" style="31" customWidth="1"/>
    <col min="27" max="27" width="12" style="31" customWidth="1"/>
    <col min="28" max="28" width="10.625" style="31" customWidth="1"/>
    <col min="29" max="29" width="13.75" style="31" customWidth="1"/>
    <col min="30" max="30" width="27.375" style="31" customWidth="1"/>
    <col min="31" max="34" width="13.75" style="31" customWidth="1"/>
    <col min="35" max="35" width="27.75" style="31" customWidth="1"/>
    <col min="36" max="37" width="13.75" style="31" customWidth="1"/>
    <col min="38" max="16384" width="11.375" style="31"/>
  </cols>
  <sheetData>
    <row r="1" spans="1:38" x14ac:dyDescent="0.3">
      <c r="A1" s="67" t="s">
        <v>8</v>
      </c>
      <c r="B1" s="64"/>
      <c r="C1" s="65"/>
      <c r="D1" s="64"/>
      <c r="E1" s="64"/>
      <c r="F1" s="64"/>
      <c r="G1" s="64"/>
      <c r="H1" s="27" t="s">
        <v>177</v>
      </c>
      <c r="I1" s="27"/>
      <c r="J1" s="28"/>
      <c r="K1" s="28"/>
      <c r="L1" s="28"/>
      <c r="M1" s="28"/>
      <c r="N1" s="28"/>
      <c r="O1" s="28"/>
      <c r="P1" s="28"/>
      <c r="Q1" s="28"/>
      <c r="R1" s="28"/>
      <c r="S1" s="28"/>
      <c r="T1" s="28" t="s">
        <v>66</v>
      </c>
      <c r="Y1" s="69" t="s">
        <v>112</v>
      </c>
      <c r="Z1" s="26"/>
      <c r="AC1" s="69" t="s">
        <v>112</v>
      </c>
      <c r="AD1" s="26"/>
      <c r="AH1" s="69" t="s">
        <v>112</v>
      </c>
      <c r="AI1" s="26"/>
    </row>
    <row r="2" spans="1:38" s="32" customFormat="1" ht="57" x14ac:dyDescent="0.3">
      <c r="A2" s="22" t="s">
        <v>3</v>
      </c>
      <c r="B2" s="22" t="s">
        <v>6</v>
      </c>
      <c r="C2" s="23" t="s">
        <v>1</v>
      </c>
      <c r="D2" s="22" t="s">
        <v>2</v>
      </c>
      <c r="E2" s="22" t="s">
        <v>29</v>
      </c>
      <c r="F2" s="22" t="s">
        <v>4</v>
      </c>
      <c r="G2" s="22" t="s">
        <v>57</v>
      </c>
      <c r="H2" s="22" t="s">
        <v>16</v>
      </c>
      <c r="I2" s="25" t="s">
        <v>90</v>
      </c>
      <c r="J2" s="24" t="s">
        <v>17</v>
      </c>
      <c r="K2" s="19" t="s">
        <v>23</v>
      </c>
      <c r="L2" s="19" t="s">
        <v>28</v>
      </c>
      <c r="M2" s="19" t="s">
        <v>24</v>
      </c>
      <c r="N2" s="20" t="s">
        <v>44</v>
      </c>
      <c r="O2" s="20" t="s">
        <v>45</v>
      </c>
      <c r="P2" s="20" t="s">
        <v>63</v>
      </c>
      <c r="Q2" s="21" t="s">
        <v>25</v>
      </c>
      <c r="R2" s="21" t="s">
        <v>43</v>
      </c>
      <c r="S2" s="21" t="s">
        <v>26</v>
      </c>
      <c r="T2" s="22" t="s">
        <v>27</v>
      </c>
      <c r="U2" s="25" t="s">
        <v>34</v>
      </c>
      <c r="V2" s="25" t="s">
        <v>91</v>
      </c>
      <c r="W2" s="25" t="s">
        <v>74</v>
      </c>
      <c r="X2" s="25" t="s">
        <v>75</v>
      </c>
      <c r="Y2" s="25" t="s">
        <v>76</v>
      </c>
      <c r="Z2" s="25" t="s">
        <v>77</v>
      </c>
      <c r="AA2" s="25" t="s">
        <v>78</v>
      </c>
      <c r="AB2" s="60" t="s">
        <v>81</v>
      </c>
      <c r="AC2" s="60" t="s">
        <v>82</v>
      </c>
      <c r="AD2" s="60" t="s">
        <v>83</v>
      </c>
      <c r="AE2" s="60" t="s">
        <v>84</v>
      </c>
      <c r="AF2" s="60" t="s">
        <v>79</v>
      </c>
      <c r="AG2" s="61" t="s">
        <v>85</v>
      </c>
      <c r="AH2" s="61" t="s">
        <v>86</v>
      </c>
      <c r="AI2" s="61" t="s">
        <v>87</v>
      </c>
      <c r="AJ2" s="61" t="s">
        <v>88</v>
      </c>
      <c r="AK2" s="61" t="s">
        <v>80</v>
      </c>
      <c r="AL2" s="24" t="s">
        <v>73</v>
      </c>
    </row>
    <row r="3" spans="1:38" x14ac:dyDescent="0.3">
      <c r="A3" s="33">
        <v>42405</v>
      </c>
      <c r="B3" s="31" t="str">
        <f t="shared" ref="B3:B12" si="0">IF(A3="","",$B$2)</f>
        <v>FA2</v>
      </c>
      <c r="C3" s="2">
        <v>1</v>
      </c>
      <c r="D3" s="176" t="s">
        <v>118</v>
      </c>
      <c r="E3" s="176" t="s">
        <v>64</v>
      </c>
      <c r="F3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FA2-16020001</v>
      </c>
      <c r="G3" s="36">
        <v>0.6</v>
      </c>
      <c r="H3" s="31" t="s">
        <v>119</v>
      </c>
      <c r="I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" s="29">
        <v>18588.37</v>
      </c>
      <c r="K3" s="29">
        <v>18933.37</v>
      </c>
      <c r="L3" s="37">
        <v>5.5E-2</v>
      </c>
      <c r="M3" s="29">
        <f>IF(TableauFA2[[#This Row],[Dont soumis au taux réduit]]="","",TableauFA2[[#This Row],[Dont soumis au taux réduit]]*TableauFA2[[#This Row],[Taux réduit]])</f>
        <v>1041.3353500000001</v>
      </c>
      <c r="N3" s="29">
        <v>-345</v>
      </c>
      <c r="O3" s="37">
        <v>0</v>
      </c>
      <c r="P3" s="29">
        <f>IF(TableauFA2[[#This Row],[Dont soumis au taux intermédiaire]]="","",TableauFA2[[#This Row],[Dont soumis au taux intermédiaire]]*TableauFA2[[#This Row],[Taux intermédiaire]])</f>
        <v>0</v>
      </c>
      <c r="Q3" s="29"/>
      <c r="R3" s="37"/>
      <c r="S3" s="29" t="str">
        <f>IF(TableauFA2[[#This Row],[Dont soumis au taux normal]]="","",TableauFA2[[#This Row],[Dont soumis au taux normal]]*TableauFA2[[#This Row],[Taux normal]])</f>
        <v/>
      </c>
      <c r="T3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19629.70535</v>
      </c>
      <c r="U3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3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4.6499999989464413E-3</v>
      </c>
      <c r="W3" s="30">
        <v>42466</v>
      </c>
      <c r="X3" s="38">
        <v>19629.71</v>
      </c>
      <c r="Y3" s="203"/>
      <c r="Z3" s="203" t="s">
        <v>341</v>
      </c>
      <c r="AA3" s="53">
        <f>IF(TableauFA2[[#This Row],[N° remise chèque 1]]="","",IF(VLOOKUP(TableauFA2[[#This Row],[N° remise chèque 1]],matrice_remises,2,FALSE)&lt;&gt;"",VLOOKUP(TableauFA2[[#This Row],[N° remise chèque 1]],matrice_remises,2,FALSE),""))</f>
        <v>42466</v>
      </c>
      <c r="AB3" s="53"/>
      <c r="AC3" s="55"/>
      <c r="AD3" s="52"/>
      <c r="AE3" s="52"/>
      <c r="AF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" s="53"/>
      <c r="AH3" s="55"/>
      <c r="AI3" s="52"/>
      <c r="AJ3" s="52"/>
      <c r="AK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" s="52"/>
    </row>
    <row r="4" spans="1:38" x14ac:dyDescent="0.3">
      <c r="A4" s="33">
        <v>42405</v>
      </c>
      <c r="B4" s="31" t="str">
        <f t="shared" si="0"/>
        <v>FA2</v>
      </c>
      <c r="C4" s="2">
        <f>IF(A4="","",IF(MONTH(TableauFA2[[#This Row],[Date]])=MONTH(A3),C3+1,1))</f>
        <v>2</v>
      </c>
      <c r="D4" s="176" t="s">
        <v>118</v>
      </c>
      <c r="E4" s="176" t="s">
        <v>64</v>
      </c>
      <c r="F4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FA2-16020002</v>
      </c>
      <c r="G4" s="36">
        <v>0.6</v>
      </c>
      <c r="H4" s="31" t="s">
        <v>110</v>
      </c>
      <c r="I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" s="29">
        <v>13124.81</v>
      </c>
      <c r="K4" s="29">
        <v>13124.81</v>
      </c>
      <c r="L4" s="37">
        <v>5.5E-2</v>
      </c>
      <c r="M4" s="29">
        <f>IF(TableauFA2[[#This Row],[Dont soumis au taux réduit]]="","",TableauFA2[[#This Row],[Dont soumis au taux réduit]]*TableauFA2[[#This Row],[Taux réduit]])</f>
        <v>721.86455000000001</v>
      </c>
      <c r="N4" s="29"/>
      <c r="O4" s="37"/>
      <c r="P4" s="29" t="str">
        <f>IF(TableauFA2[[#This Row],[Dont soumis au taux intermédiaire]]="","",TableauFA2[[#This Row],[Dont soumis au taux intermédiaire]]*TableauFA2[[#This Row],[Taux intermédiaire]])</f>
        <v/>
      </c>
      <c r="Q4" s="29"/>
      <c r="R4" s="37"/>
      <c r="S4" s="29" t="str">
        <f>IF(TableauFA2[[#This Row],[Dont soumis au taux normal]]="","",TableauFA2[[#This Row],[Dont soumis au taux normal]]*TableauFA2[[#This Row],[Taux normal]])</f>
        <v/>
      </c>
      <c r="T4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13846.67455</v>
      </c>
      <c r="U4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4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-4.5499999996536644E-3</v>
      </c>
      <c r="W4" s="30">
        <v>42466</v>
      </c>
      <c r="X4" s="38">
        <v>13846.67</v>
      </c>
      <c r="Y4" s="203"/>
      <c r="Z4" s="203" t="s">
        <v>341</v>
      </c>
      <c r="AA4" s="53">
        <f>IF(TableauFA2[[#This Row],[N° remise chèque 1]]="","",IF(VLOOKUP(TableauFA2[[#This Row],[N° remise chèque 1]],matrice_remises,2,FALSE)&lt;&gt;"",VLOOKUP(TableauFA2[[#This Row],[N° remise chèque 1]],matrice_remises,2,FALSE),""))</f>
        <v>42466</v>
      </c>
      <c r="AB4" s="53"/>
      <c r="AC4" s="55"/>
      <c r="AD4" s="52"/>
      <c r="AE4" s="52"/>
      <c r="AF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" s="53"/>
      <c r="AH4" s="55"/>
      <c r="AI4" s="52"/>
      <c r="AJ4" s="52"/>
      <c r="AK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" s="52"/>
    </row>
    <row r="5" spans="1:38" x14ac:dyDescent="0.3">
      <c r="A5" s="33">
        <v>42405</v>
      </c>
      <c r="B5" s="31" t="str">
        <f t="shared" si="0"/>
        <v>FA2</v>
      </c>
      <c r="C5" s="2">
        <f>IF(A5="","",IF(MONTH(TableauFA2[[#This Row],[Date]])=MONTH(A4),C4+1,1))</f>
        <v>3</v>
      </c>
      <c r="D5" s="177" t="s">
        <v>118</v>
      </c>
      <c r="E5" s="177" t="s">
        <v>64</v>
      </c>
      <c r="F5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FA2-16020003</v>
      </c>
      <c r="G5" s="36">
        <v>0.6</v>
      </c>
      <c r="H5" s="179" t="s">
        <v>109</v>
      </c>
      <c r="I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5" s="29">
        <v>3329.96</v>
      </c>
      <c r="K5" s="29"/>
      <c r="L5" s="37"/>
      <c r="M5" s="29" t="str">
        <f>IF(TableauFA2[[#This Row],[Dont soumis au taux réduit]]="","",TableauFA2[[#This Row],[Dont soumis au taux réduit]]*TableauFA2[[#This Row],[Taux réduit]])</f>
        <v/>
      </c>
      <c r="N5" s="29">
        <v>3329.96</v>
      </c>
      <c r="O5" s="37">
        <v>0.1</v>
      </c>
      <c r="P5" s="29">
        <f>IF(TableauFA2[[#This Row],[Dont soumis au taux intermédiaire]]="","",TableauFA2[[#This Row],[Dont soumis au taux intermédiaire]]*TableauFA2[[#This Row],[Taux intermédiaire]])</f>
        <v>332.99600000000004</v>
      </c>
      <c r="Q5" s="29"/>
      <c r="R5" s="37"/>
      <c r="S5" s="29" t="str">
        <f>IF(TableauFA2[[#This Row],[Dont soumis au taux normal]]="","",TableauFA2[[#This Row],[Dont soumis au taux normal]]*TableauFA2[[#This Row],[Taux normal]])</f>
        <v/>
      </c>
      <c r="T5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3662.9560000000001</v>
      </c>
      <c r="U5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5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3.9999999999054126E-3</v>
      </c>
      <c r="W5" s="30">
        <v>42466</v>
      </c>
      <c r="X5" s="38">
        <v>3662.96</v>
      </c>
      <c r="Y5" s="203"/>
      <c r="Z5" s="203" t="s">
        <v>341</v>
      </c>
      <c r="AA5" s="53">
        <f>IF(TableauFA2[[#This Row],[N° remise chèque 1]]="","",IF(VLOOKUP(TableauFA2[[#This Row],[N° remise chèque 1]],matrice_remises,2,FALSE)&lt;&gt;"",VLOOKUP(TableauFA2[[#This Row],[N° remise chèque 1]],matrice_remises,2,FALSE),""))</f>
        <v>42466</v>
      </c>
      <c r="AB5" s="53"/>
      <c r="AC5" s="55"/>
      <c r="AD5" s="52"/>
      <c r="AE5" s="52"/>
      <c r="AF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5" s="53"/>
      <c r="AH5" s="55"/>
      <c r="AI5" s="52"/>
      <c r="AJ5" s="52"/>
      <c r="AK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5" s="52"/>
    </row>
    <row r="6" spans="1:38" x14ac:dyDescent="0.3">
      <c r="A6" s="33">
        <v>42431</v>
      </c>
      <c r="B6" s="31" t="str">
        <f t="shared" si="0"/>
        <v>FA2</v>
      </c>
      <c r="C6" s="2">
        <f>IF(A6="","",IF(MONTH(TableauFA2[[#This Row],[Date]])=MONTH(A5),C5+1,1))</f>
        <v>1</v>
      </c>
      <c r="D6" s="194" t="s">
        <v>254</v>
      </c>
      <c r="E6" s="194" t="s">
        <v>64</v>
      </c>
      <c r="F6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FA2-16030001</v>
      </c>
      <c r="G6" s="36">
        <v>0.6</v>
      </c>
      <c r="H6" s="195" t="s">
        <v>19</v>
      </c>
      <c r="I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6" s="29">
        <v>1637.36</v>
      </c>
      <c r="K6" s="29"/>
      <c r="L6" s="37"/>
      <c r="M6" s="29" t="str">
        <f>IF(TableauFA2[[#This Row],[Dont soumis au taux réduit]]="","",TableauFA2[[#This Row],[Dont soumis au taux réduit]]*TableauFA2[[#This Row],[Taux réduit]])</f>
        <v/>
      </c>
      <c r="N6" s="29">
        <v>273.56</v>
      </c>
      <c r="O6" s="37">
        <v>0.1</v>
      </c>
      <c r="P6" s="29">
        <f>IF(TableauFA2[[#This Row],[Dont soumis au taux intermédiaire]]="","",TableauFA2[[#This Row],[Dont soumis au taux intermédiaire]]*TableauFA2[[#This Row],[Taux intermédiaire]])</f>
        <v>27.356000000000002</v>
      </c>
      <c r="Q6" s="29">
        <v>1363.8</v>
      </c>
      <c r="R6" s="37">
        <v>0.2</v>
      </c>
      <c r="S6" s="29">
        <f>IF(TableauFA2[[#This Row],[Dont soumis au taux normal]]="","",TableauFA2[[#This Row],[Dont soumis au taux normal]]*TableauFA2[[#This Row],[Taux normal]])</f>
        <v>272.76</v>
      </c>
      <c r="T6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1937.4759999999999</v>
      </c>
      <c r="U6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6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4.0000000001327862E-3</v>
      </c>
      <c r="W6" s="30">
        <v>42431</v>
      </c>
      <c r="X6" s="38">
        <v>1937.48</v>
      </c>
      <c r="Y6" s="196"/>
      <c r="Z6" s="51">
        <v>1490734</v>
      </c>
      <c r="AA6" s="53">
        <f>IF(TableauFA2[[#This Row],[N° remise chèque 1]]="","",IF(VLOOKUP(TableauFA2[[#This Row],[N° remise chèque 1]],matrice_remises,2,FALSE)&lt;&gt;"",VLOOKUP(TableauFA2[[#This Row],[N° remise chèque 1]],matrice_remises,2,FALSE),""))</f>
        <v>42439</v>
      </c>
      <c r="AB6" s="53"/>
      <c r="AC6" s="55"/>
      <c r="AD6" s="52"/>
      <c r="AE6" s="52"/>
      <c r="AF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6" s="53"/>
      <c r="AH6" s="55"/>
      <c r="AI6" s="52"/>
      <c r="AJ6" s="52"/>
      <c r="AK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6" s="52"/>
    </row>
    <row r="7" spans="1:38" x14ac:dyDescent="0.3">
      <c r="A7" s="33">
        <v>42507</v>
      </c>
      <c r="B7" s="31" t="str">
        <f t="shared" si="0"/>
        <v>FA2</v>
      </c>
      <c r="C7" s="2">
        <f>IF(A7="","",IF(MONTH(TableauFA2[[#This Row],[Date]])=MONTH(A6),C6+1,1))</f>
        <v>1</v>
      </c>
      <c r="D7" s="220" t="s">
        <v>256</v>
      </c>
      <c r="E7" s="220" t="s">
        <v>64</v>
      </c>
      <c r="F7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FA2-16050001</v>
      </c>
      <c r="G7" s="36">
        <v>0.6</v>
      </c>
      <c r="H7" s="168" t="s">
        <v>257</v>
      </c>
      <c r="I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7" s="29">
        <v>14737.67</v>
      </c>
      <c r="K7" s="29">
        <v>13429.27</v>
      </c>
      <c r="L7" s="37">
        <v>5.5E-2</v>
      </c>
      <c r="M7" s="29">
        <f>IF(TableauFA2[[#This Row],[Dont soumis au taux réduit]]="","",TableauFA2[[#This Row],[Dont soumis au taux réduit]]*TableauFA2[[#This Row],[Taux réduit]])</f>
        <v>738.60985000000005</v>
      </c>
      <c r="N7" s="29">
        <v>1653.4</v>
      </c>
      <c r="O7" s="37">
        <v>0.1</v>
      </c>
      <c r="P7" s="29">
        <f>IF(TableauFA2[[#This Row],[Dont soumis au taux intermédiaire]]="","",TableauFA2[[#This Row],[Dont soumis au taux intermédiaire]]*TableauFA2[[#This Row],[Taux intermédiaire]])</f>
        <v>165.34000000000003</v>
      </c>
      <c r="Q7" s="29">
        <v>-345</v>
      </c>
      <c r="R7" s="37">
        <v>0</v>
      </c>
      <c r="S7" s="29">
        <f>IF(TableauFA2[[#This Row],[Dont soumis au taux normal]]="","",TableauFA2[[#This Row],[Dont soumis au taux normal]]*TableauFA2[[#This Row],[Taux normal]])</f>
        <v>0</v>
      </c>
      <c r="T7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15641.619850000001</v>
      </c>
      <c r="U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7" s="38"/>
      <c r="Y7" s="31"/>
      <c r="Z7" s="51"/>
      <c r="AA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7" s="53"/>
      <c r="AC7" s="55"/>
      <c r="AD7" s="52"/>
      <c r="AE7" s="52"/>
      <c r="AF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7" s="53"/>
      <c r="AH7" s="55"/>
      <c r="AI7" s="52"/>
      <c r="AJ7" s="52"/>
      <c r="AK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7" s="52"/>
    </row>
    <row r="8" spans="1:38" x14ac:dyDescent="0.3">
      <c r="A8" s="33">
        <v>42507</v>
      </c>
      <c r="B8" s="31" t="str">
        <f t="shared" si="0"/>
        <v>FA2</v>
      </c>
      <c r="C8" s="2">
        <f>IF(A8="","",IF(MONTH(TableauFA2[[#This Row],[Date]])=MONTH(A7),C7+1,1))</f>
        <v>2</v>
      </c>
      <c r="D8" s="220" t="s">
        <v>256</v>
      </c>
      <c r="E8" s="220" t="s">
        <v>64</v>
      </c>
      <c r="F8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FA2-16050002</v>
      </c>
      <c r="G8" s="36">
        <v>0.6</v>
      </c>
      <c r="H8" s="168" t="s">
        <v>18</v>
      </c>
      <c r="I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8" s="29">
        <v>1697.04</v>
      </c>
      <c r="K8" s="29">
        <v>1697.04</v>
      </c>
      <c r="L8" s="37">
        <v>5.5E-2</v>
      </c>
      <c r="M8" s="29">
        <f>IF(TableauFA2[[#This Row],[Dont soumis au taux réduit]]="","",TableauFA2[[#This Row],[Dont soumis au taux réduit]]*TableauFA2[[#This Row],[Taux réduit]])</f>
        <v>93.337199999999996</v>
      </c>
      <c r="N8" s="29"/>
      <c r="O8" s="37"/>
      <c r="P8" s="29" t="str">
        <f>IF(TableauFA2[[#This Row],[Dont soumis au taux intermédiaire]]="","",TableauFA2[[#This Row],[Dont soumis au taux intermédiaire]]*TableauFA2[[#This Row],[Taux intermédiaire]])</f>
        <v/>
      </c>
      <c r="Q8" s="29"/>
      <c r="R8" s="37"/>
      <c r="S8" s="29" t="str">
        <f>IF(TableauFA2[[#This Row],[Dont soumis au taux normal]]="","",TableauFA2[[#This Row],[Dont soumis au taux normal]]*TableauFA2[[#This Row],[Taux normal]])</f>
        <v/>
      </c>
      <c r="T8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1790.3771999999999</v>
      </c>
      <c r="U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8" s="38"/>
      <c r="Y8" s="31"/>
      <c r="Z8" s="51"/>
      <c r="AA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8" s="53"/>
      <c r="AC8" s="55"/>
      <c r="AD8" s="52"/>
      <c r="AE8" s="52"/>
      <c r="AF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8" s="53"/>
      <c r="AH8" s="55"/>
      <c r="AI8" s="52"/>
      <c r="AJ8" s="52"/>
      <c r="AK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8" s="52"/>
    </row>
    <row r="9" spans="1:38" x14ac:dyDescent="0.3">
      <c r="A9" s="33">
        <v>42507</v>
      </c>
      <c r="B9" s="31" t="str">
        <f t="shared" si="0"/>
        <v>FA2</v>
      </c>
      <c r="C9" s="2">
        <f>IF(A9="","",IF(MONTH(TableauFA2[[#This Row],[Date]])=MONTH(A8),C8+1,1))</f>
        <v>3</v>
      </c>
      <c r="D9" s="220" t="s">
        <v>256</v>
      </c>
      <c r="E9" s="220" t="s">
        <v>64</v>
      </c>
      <c r="F9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FA2-16050003</v>
      </c>
      <c r="G9" s="36">
        <v>0.6</v>
      </c>
      <c r="H9" s="168" t="s">
        <v>110</v>
      </c>
      <c r="I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9" s="29">
        <v>1197.5</v>
      </c>
      <c r="K9" s="29">
        <v>1197.5</v>
      </c>
      <c r="L9" s="37">
        <v>5.5E-2</v>
      </c>
      <c r="M9" s="29">
        <f>IF(TableauFA2[[#This Row],[Dont soumis au taux réduit]]="","",TableauFA2[[#This Row],[Dont soumis au taux réduit]]*TableauFA2[[#This Row],[Taux réduit]])</f>
        <v>65.862499999999997</v>
      </c>
      <c r="N9" s="29"/>
      <c r="O9" s="37"/>
      <c r="P9" s="29" t="str">
        <f>IF(TableauFA2[[#This Row],[Dont soumis au taux intermédiaire]]="","",TableauFA2[[#This Row],[Dont soumis au taux intermédiaire]]*TableauFA2[[#This Row],[Taux intermédiaire]])</f>
        <v/>
      </c>
      <c r="Q9" s="29"/>
      <c r="R9" s="37"/>
      <c r="S9" s="29" t="str">
        <f>IF(TableauFA2[[#This Row],[Dont soumis au taux normal]]="","",TableauFA2[[#This Row],[Dont soumis au taux normal]]*TableauFA2[[#This Row],[Taux normal]])</f>
        <v/>
      </c>
      <c r="T9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1263.3625</v>
      </c>
      <c r="U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9" s="38"/>
      <c r="Y9" s="31"/>
      <c r="Z9" s="51"/>
      <c r="AA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9" s="53"/>
      <c r="AC9" s="55"/>
      <c r="AD9" s="52"/>
      <c r="AE9" s="52"/>
      <c r="AF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9" s="53"/>
      <c r="AH9" s="55"/>
      <c r="AI9" s="52"/>
      <c r="AJ9" s="52"/>
      <c r="AK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9" s="52"/>
    </row>
    <row r="10" spans="1:38" x14ac:dyDescent="0.3">
      <c r="A10" s="33">
        <v>42508</v>
      </c>
      <c r="B10" s="31" t="str">
        <f t="shared" si="0"/>
        <v>FA2</v>
      </c>
      <c r="C10" s="2">
        <f>IF(A10="","",IF(MONTH(TableauFA2[[#This Row],[Date]])=MONTH(A9),C9+1,1))</f>
        <v>4</v>
      </c>
      <c r="D10" s="225" t="s">
        <v>172</v>
      </c>
      <c r="E10" s="225" t="s">
        <v>64</v>
      </c>
      <c r="F10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FA2-16050004</v>
      </c>
      <c r="G10" s="36">
        <v>0.6</v>
      </c>
      <c r="H10" s="31" t="s">
        <v>173</v>
      </c>
      <c r="I1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0" s="29">
        <v>4076.59</v>
      </c>
      <c r="K10" s="29"/>
      <c r="L10" s="37"/>
      <c r="M10" s="29" t="str">
        <f>IF(TableauFA2[[#This Row],[Dont soumis au taux réduit]]="","",TableauFA2[[#This Row],[Dont soumis au taux réduit]]*TableauFA2[[#This Row],[Taux réduit]])</f>
        <v/>
      </c>
      <c r="N10" s="29">
        <v>720</v>
      </c>
      <c r="O10" s="37">
        <v>0.1</v>
      </c>
      <c r="P10" s="29">
        <f>IF(TableauFA2[[#This Row],[Dont soumis au taux intermédiaire]]="","",TableauFA2[[#This Row],[Dont soumis au taux intermédiaire]]*TableauFA2[[#This Row],[Taux intermédiaire]])</f>
        <v>72</v>
      </c>
      <c r="Q10" s="29">
        <v>3356.59</v>
      </c>
      <c r="R10" s="37">
        <v>0.2</v>
      </c>
      <c r="S10" s="29">
        <f>IF(TableauFA2[[#This Row],[Dont soumis au taux normal]]="","",TableauFA2[[#This Row],[Dont soumis au taux normal]]*TableauFA2[[#This Row],[Taux normal]])</f>
        <v>671.3180000000001</v>
      </c>
      <c r="T10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4819.9080000000004</v>
      </c>
      <c r="U10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10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1.9999999994979589E-3</v>
      </c>
      <c r="X10" s="38">
        <v>4819.91</v>
      </c>
      <c r="Y10" s="229"/>
      <c r="Z10" s="229" t="s">
        <v>375</v>
      </c>
      <c r="AA10" s="53">
        <f>IF(TableauFA2[[#This Row],[N° remise chèque 1]]="","",IF(VLOOKUP(TableauFA2[[#This Row],[N° remise chèque 1]],matrice_remises,2,FALSE)&lt;&gt;"",VLOOKUP(TableauFA2[[#This Row],[N° remise chèque 1]],matrice_remises,2,FALSE),""))</f>
        <v>42510</v>
      </c>
      <c r="AB10" s="53"/>
      <c r="AC10" s="55"/>
      <c r="AD10" s="52"/>
      <c r="AE10" s="52"/>
      <c r="AF1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0" s="53"/>
      <c r="AH10" s="55"/>
      <c r="AI10" s="52"/>
      <c r="AJ10" s="52"/>
      <c r="AK1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0" s="52"/>
    </row>
    <row r="11" spans="1:38" x14ac:dyDescent="0.3">
      <c r="A11" s="33">
        <v>42508</v>
      </c>
      <c r="B11" s="31" t="str">
        <f t="shared" si="0"/>
        <v>FA2</v>
      </c>
      <c r="C11" s="2">
        <f>IF(A11="","",IF(MONTH(TableauFA2[[#This Row],[Date]])=MONTH(A10),C10+1,1))</f>
        <v>5</v>
      </c>
      <c r="D11" s="225" t="s">
        <v>172</v>
      </c>
      <c r="E11" s="225" t="s">
        <v>64</v>
      </c>
      <c r="F11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FA2-16050005</v>
      </c>
      <c r="G11" s="36">
        <v>0.6</v>
      </c>
      <c r="H11" s="31" t="s">
        <v>174</v>
      </c>
      <c r="I1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1" s="29">
        <v>4962.59</v>
      </c>
      <c r="K11" s="29"/>
      <c r="L11" s="37"/>
      <c r="M11" s="29" t="str">
        <f>IF(TableauFA2[[#This Row],[Dont soumis au taux réduit]]="","",TableauFA2[[#This Row],[Dont soumis au taux réduit]]*TableauFA2[[#This Row],[Taux réduit]])</f>
        <v/>
      </c>
      <c r="N11" s="29">
        <v>888</v>
      </c>
      <c r="O11" s="37">
        <v>0.1</v>
      </c>
      <c r="P11" s="29">
        <f>IF(TableauFA2[[#This Row],[Dont soumis au taux intermédiaire]]="","",TableauFA2[[#This Row],[Dont soumis au taux intermédiaire]]*TableauFA2[[#This Row],[Taux intermédiaire]])</f>
        <v>88.800000000000011</v>
      </c>
      <c r="Q11" s="29">
        <v>4074.59</v>
      </c>
      <c r="R11" s="37">
        <v>0.2</v>
      </c>
      <c r="S11" s="29">
        <f>IF(TableauFA2[[#This Row],[Dont soumis au taux normal]]="","",TableauFA2[[#This Row],[Dont soumis au taux normal]]*TableauFA2[[#This Row],[Taux normal]])</f>
        <v>814.91800000000012</v>
      </c>
      <c r="T11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5866.3080000000009</v>
      </c>
      <c r="U11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11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1.9999999985884642E-3</v>
      </c>
      <c r="X11" s="38">
        <f>10686.22-4819.91</f>
        <v>5866.3099999999995</v>
      </c>
      <c r="Y11" s="229"/>
      <c r="Z11" s="229" t="s">
        <v>375</v>
      </c>
      <c r="AA11" s="53">
        <f>IF(TableauFA2[[#This Row],[N° remise chèque 1]]="","",IF(VLOOKUP(TableauFA2[[#This Row],[N° remise chèque 1]],matrice_remises,2,FALSE)&lt;&gt;"",VLOOKUP(TableauFA2[[#This Row],[N° remise chèque 1]],matrice_remises,2,FALSE),""))</f>
        <v>42510</v>
      </c>
      <c r="AB11" s="53"/>
      <c r="AC11" s="55"/>
      <c r="AD11" s="52"/>
      <c r="AE11" s="52"/>
      <c r="AF1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1" s="53"/>
      <c r="AH11" s="55"/>
      <c r="AI11" s="52"/>
      <c r="AJ11" s="52"/>
      <c r="AK1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1" s="52"/>
    </row>
    <row r="12" spans="1:38" x14ac:dyDescent="0.3">
      <c r="A12" s="33">
        <v>42529</v>
      </c>
      <c r="B12" s="31" t="str">
        <f t="shared" si="0"/>
        <v>FA2</v>
      </c>
      <c r="C12" s="2">
        <f>IF(A12="","",IF(MONTH(TableauFA2[[#This Row],[Date]])=MONTH(A11),C11+1,1))</f>
        <v>1</v>
      </c>
      <c r="D12" s="233" t="s">
        <v>175</v>
      </c>
      <c r="E12" s="233" t="s">
        <v>64</v>
      </c>
      <c r="F12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FA2-16060001</v>
      </c>
      <c r="G12" s="36">
        <v>0.6</v>
      </c>
      <c r="H12" s="234" t="s">
        <v>52</v>
      </c>
      <c r="I1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2" s="29">
        <v>12747.95</v>
      </c>
      <c r="K12" s="29"/>
      <c r="L12" s="37"/>
      <c r="M12" s="29" t="str">
        <f>IF(TableauFA2[[#This Row],[Dont soumis au taux réduit]]="","",TableauFA2[[#This Row],[Dont soumis au taux réduit]]*TableauFA2[[#This Row],[Taux réduit]])</f>
        <v/>
      </c>
      <c r="N12" s="29"/>
      <c r="O12" s="37"/>
      <c r="P12" s="29" t="str">
        <f>IF(TableauFA2[[#This Row],[Dont soumis au taux intermédiaire]]="","",TableauFA2[[#This Row],[Dont soumis au taux intermédiaire]]*TableauFA2[[#This Row],[Taux intermédiaire]])</f>
        <v/>
      </c>
      <c r="Q12" s="29">
        <v>12747.95</v>
      </c>
      <c r="R12" s="37">
        <v>0.2</v>
      </c>
      <c r="S12" s="29">
        <f>IF(TableauFA2[[#This Row],[Dont soumis au taux normal]]="","",TableauFA2[[#This Row],[Dont soumis au taux normal]]*TableauFA2[[#This Row],[Taux normal]])</f>
        <v>2549.59</v>
      </c>
      <c r="T12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15297.54</v>
      </c>
      <c r="U1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2" s="38"/>
      <c r="Y12" s="31"/>
      <c r="Z12" s="51"/>
      <c r="AA1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2" s="53"/>
      <c r="AC12" s="55"/>
      <c r="AD12" s="52"/>
      <c r="AE12" s="52"/>
      <c r="AF1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2" s="53"/>
      <c r="AH12" s="55"/>
      <c r="AI12" s="52"/>
      <c r="AJ12" s="52"/>
      <c r="AK1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2" s="52"/>
    </row>
    <row r="13" spans="1:38" x14ac:dyDescent="0.3">
      <c r="A13" s="33">
        <v>42529</v>
      </c>
      <c r="B13" s="31" t="str">
        <f t="shared" ref="B13:B44" si="1">IF(A13="","",$B$2)</f>
        <v>FA2</v>
      </c>
      <c r="C13" s="2">
        <f>IF(A13="","",IF(MONTH(TableauFA2[[#This Row],[Date]])=MONTH(A12),C12+1,1))</f>
        <v>2</v>
      </c>
      <c r="D13" s="233" t="s">
        <v>113</v>
      </c>
      <c r="E13" s="233" t="s">
        <v>14</v>
      </c>
      <c r="F13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FA2-16060002</v>
      </c>
      <c r="G13" s="36">
        <v>0.6</v>
      </c>
      <c r="H13" s="234" t="s">
        <v>52</v>
      </c>
      <c r="I1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3" s="29">
        <v>11250</v>
      </c>
      <c r="K13" s="29"/>
      <c r="L13" s="37"/>
      <c r="M13" s="29" t="str">
        <f>IF(TableauFA2[[#This Row],[Dont soumis au taux réduit]]="","",TableauFA2[[#This Row],[Dont soumis au taux réduit]]*TableauFA2[[#This Row],[Taux réduit]])</f>
        <v/>
      </c>
      <c r="N13" s="29"/>
      <c r="O13" s="37"/>
      <c r="P13" s="29" t="str">
        <f>IF(TableauFA2[[#This Row],[Dont soumis au taux intermédiaire]]="","",TableauFA2[[#This Row],[Dont soumis au taux intermédiaire]]*TableauFA2[[#This Row],[Taux intermédiaire]])</f>
        <v/>
      </c>
      <c r="Q13" s="29">
        <v>11250</v>
      </c>
      <c r="R13" s="37">
        <v>0.2</v>
      </c>
      <c r="S13" s="29">
        <f>IF(TableauFA2[[#This Row],[Dont soumis au taux normal]]="","",TableauFA2[[#This Row],[Dont soumis au taux normal]]*TableauFA2[[#This Row],[Taux normal]])</f>
        <v>2250</v>
      </c>
      <c r="T13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13500</v>
      </c>
      <c r="U1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3" s="38"/>
      <c r="Y13" s="31"/>
      <c r="Z13" s="51"/>
      <c r="AA1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3" s="53"/>
      <c r="AC13" s="55"/>
      <c r="AD13" s="52"/>
      <c r="AE13" s="52"/>
      <c r="AF1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3" s="53"/>
      <c r="AH13" s="55"/>
      <c r="AI13" s="52"/>
      <c r="AJ13" s="52"/>
      <c r="AK1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3" s="52"/>
    </row>
    <row r="14" spans="1:38" x14ac:dyDescent="0.3">
      <c r="A14" s="33"/>
      <c r="B14" s="31" t="str">
        <f t="shared" si="1"/>
        <v/>
      </c>
      <c r="C14" s="2" t="str">
        <f>IF(A14="","",IF(MONTH(TableauFA2[[#This Row],[Date]])=MONTH(A13),C13+1,1))</f>
        <v/>
      </c>
      <c r="D14" s="34"/>
      <c r="E14" s="34"/>
      <c r="F1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4" s="36"/>
      <c r="I1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4" s="29"/>
      <c r="K14" s="29"/>
      <c r="L14" s="37"/>
      <c r="M14" s="29" t="str">
        <f>IF(TableauFA2[[#This Row],[Dont soumis au taux réduit]]="","",TableauFA2[[#This Row],[Dont soumis au taux réduit]]*TableauFA2[[#This Row],[Taux réduit]])</f>
        <v/>
      </c>
      <c r="N14" s="29"/>
      <c r="O14" s="37"/>
      <c r="P14" s="29" t="str">
        <f>IF(TableauFA2[[#This Row],[Dont soumis au taux intermédiaire]]="","",TableauFA2[[#This Row],[Dont soumis au taux intermédiaire]]*TableauFA2[[#This Row],[Taux intermédiaire]])</f>
        <v/>
      </c>
      <c r="Q14" s="29"/>
      <c r="R14" s="37"/>
      <c r="S14" s="29" t="str">
        <f>IF(TableauFA2[[#This Row],[Dont soumis au taux normal]]="","",TableauFA2[[#This Row],[Dont soumis au taux normal]]*TableauFA2[[#This Row],[Taux normal]])</f>
        <v/>
      </c>
      <c r="T1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4" s="38"/>
      <c r="Y14" s="31"/>
      <c r="Z14" s="51"/>
      <c r="AA1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4" s="53"/>
      <c r="AC14" s="55"/>
      <c r="AD14" s="52"/>
      <c r="AE14" s="52"/>
      <c r="AF1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4" s="53"/>
      <c r="AH14" s="55"/>
      <c r="AI14" s="52"/>
      <c r="AJ14" s="52"/>
      <c r="AK1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4" s="52"/>
    </row>
    <row r="15" spans="1:38" x14ac:dyDescent="0.3">
      <c r="A15" s="33"/>
      <c r="B15" s="31" t="str">
        <f t="shared" si="1"/>
        <v/>
      </c>
      <c r="C15" s="2" t="str">
        <f>IF(A15="","",IF(MONTH(TableauFA2[[#This Row],[Date]])=MONTH(A14),C14+1,1))</f>
        <v/>
      </c>
      <c r="D15" s="34"/>
      <c r="E15" s="34"/>
      <c r="F1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5" s="36"/>
      <c r="I1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5" s="29"/>
      <c r="K15" s="29"/>
      <c r="L15" s="37"/>
      <c r="M15" s="29" t="str">
        <f>IF(TableauFA2[[#This Row],[Dont soumis au taux réduit]]="","",TableauFA2[[#This Row],[Dont soumis au taux réduit]]*TableauFA2[[#This Row],[Taux réduit]])</f>
        <v/>
      </c>
      <c r="N15" s="29"/>
      <c r="O15" s="37"/>
      <c r="P15" s="29" t="str">
        <f>IF(TableauFA2[[#This Row],[Dont soumis au taux intermédiaire]]="","",TableauFA2[[#This Row],[Dont soumis au taux intermédiaire]]*TableauFA2[[#This Row],[Taux intermédiaire]])</f>
        <v/>
      </c>
      <c r="Q15" s="29"/>
      <c r="R15" s="37"/>
      <c r="S15" s="29" t="str">
        <f>IF(TableauFA2[[#This Row],[Dont soumis au taux normal]]="","",TableauFA2[[#This Row],[Dont soumis au taux normal]]*TableauFA2[[#This Row],[Taux normal]])</f>
        <v/>
      </c>
      <c r="T1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5" s="38"/>
      <c r="Y15" s="31"/>
      <c r="Z15" s="51"/>
      <c r="AA1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5" s="53"/>
      <c r="AC15" s="55"/>
      <c r="AD15" s="52"/>
      <c r="AE15" s="52"/>
      <c r="AF1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5" s="53"/>
      <c r="AH15" s="55"/>
      <c r="AI15" s="52"/>
      <c r="AJ15" s="52"/>
      <c r="AK1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5" s="52"/>
    </row>
    <row r="16" spans="1:38" x14ac:dyDescent="0.3">
      <c r="A16" s="33"/>
      <c r="B16" s="31" t="str">
        <f t="shared" si="1"/>
        <v/>
      </c>
      <c r="C16" s="2" t="str">
        <f>IF(A16="","",IF(MONTH(TableauFA2[[#This Row],[Date]])=MONTH(A15),C15+1,1))</f>
        <v/>
      </c>
      <c r="D16" s="34"/>
      <c r="E16" s="34"/>
      <c r="F1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6" s="36"/>
      <c r="I1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6" s="29"/>
      <c r="K16" s="29"/>
      <c r="L16" s="37"/>
      <c r="M16" s="29" t="str">
        <f>IF(TableauFA2[[#This Row],[Dont soumis au taux réduit]]="","",TableauFA2[[#This Row],[Dont soumis au taux réduit]]*TableauFA2[[#This Row],[Taux réduit]])</f>
        <v/>
      </c>
      <c r="N16" s="29"/>
      <c r="O16" s="37"/>
      <c r="P16" s="29" t="str">
        <f>IF(TableauFA2[[#This Row],[Dont soumis au taux intermédiaire]]="","",TableauFA2[[#This Row],[Dont soumis au taux intermédiaire]]*TableauFA2[[#This Row],[Taux intermédiaire]])</f>
        <v/>
      </c>
      <c r="Q16" s="29"/>
      <c r="R16" s="37"/>
      <c r="S16" s="29" t="str">
        <f>IF(TableauFA2[[#This Row],[Dont soumis au taux normal]]="","",TableauFA2[[#This Row],[Dont soumis au taux normal]]*TableauFA2[[#This Row],[Taux normal]])</f>
        <v/>
      </c>
      <c r="T1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6" s="38"/>
      <c r="Y16" s="31"/>
      <c r="Z16" s="51"/>
      <c r="AA1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6" s="53"/>
      <c r="AC16" s="55"/>
      <c r="AD16" s="52"/>
      <c r="AE16" s="52"/>
      <c r="AF1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6" s="53"/>
      <c r="AH16" s="55"/>
      <c r="AI16" s="52"/>
      <c r="AJ16" s="52"/>
      <c r="AK1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6" s="52"/>
    </row>
    <row r="17" spans="1:38" x14ac:dyDescent="0.3">
      <c r="A17" s="33"/>
      <c r="B17" s="31" t="str">
        <f t="shared" si="1"/>
        <v/>
      </c>
      <c r="C17" s="2" t="str">
        <f>IF(A17="","",IF(MONTH(TableauFA2[[#This Row],[Date]])=MONTH(A16),C16+1,1))</f>
        <v/>
      </c>
      <c r="D17" s="34"/>
      <c r="E17" s="34"/>
      <c r="F17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7" s="36"/>
      <c r="I1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7" s="29"/>
      <c r="K17" s="29"/>
      <c r="L17" s="37"/>
      <c r="M17" s="29" t="str">
        <f>IF(TableauFA2[[#This Row],[Dont soumis au taux réduit]]="","",TableauFA2[[#This Row],[Dont soumis au taux réduit]]*TableauFA2[[#This Row],[Taux réduit]])</f>
        <v/>
      </c>
      <c r="N17" s="29"/>
      <c r="O17" s="37"/>
      <c r="P17" s="29" t="str">
        <f>IF(TableauFA2[[#This Row],[Dont soumis au taux intermédiaire]]="","",TableauFA2[[#This Row],[Dont soumis au taux intermédiaire]]*TableauFA2[[#This Row],[Taux intermédiaire]])</f>
        <v/>
      </c>
      <c r="Q17" s="29"/>
      <c r="R17" s="37"/>
      <c r="S17" s="29" t="str">
        <f>IF(TableauFA2[[#This Row],[Dont soumis au taux normal]]="","",TableauFA2[[#This Row],[Dont soumis au taux normal]]*TableauFA2[[#This Row],[Taux normal]])</f>
        <v/>
      </c>
      <c r="T17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7" s="38"/>
      <c r="Y17" s="31"/>
      <c r="Z17" s="51"/>
      <c r="AA1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7" s="53"/>
      <c r="AC17" s="55"/>
      <c r="AD17" s="52"/>
      <c r="AE17" s="52"/>
      <c r="AF1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7" s="53"/>
      <c r="AH17" s="55"/>
      <c r="AI17" s="52"/>
      <c r="AJ17" s="52"/>
      <c r="AK1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7" s="52"/>
    </row>
    <row r="18" spans="1:38" x14ac:dyDescent="0.3">
      <c r="A18" s="33"/>
      <c r="B18" s="31" t="str">
        <f t="shared" si="1"/>
        <v/>
      </c>
      <c r="C18" s="2" t="str">
        <f>IF(A18="","",IF(MONTH(TableauFA2[[#This Row],[Date]])=MONTH(A17),C17+1,1))</f>
        <v/>
      </c>
      <c r="D18" s="34"/>
      <c r="E18" s="34"/>
      <c r="F18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8" s="36"/>
      <c r="I1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8" s="29"/>
      <c r="K18" s="29"/>
      <c r="L18" s="37"/>
      <c r="M18" s="29" t="str">
        <f>IF(TableauFA2[[#This Row],[Dont soumis au taux réduit]]="","",TableauFA2[[#This Row],[Dont soumis au taux réduit]]*TableauFA2[[#This Row],[Taux réduit]])</f>
        <v/>
      </c>
      <c r="N18" s="29"/>
      <c r="O18" s="37"/>
      <c r="P18" s="29" t="str">
        <f>IF(TableauFA2[[#This Row],[Dont soumis au taux intermédiaire]]="","",TableauFA2[[#This Row],[Dont soumis au taux intermédiaire]]*TableauFA2[[#This Row],[Taux intermédiaire]])</f>
        <v/>
      </c>
      <c r="Q18" s="29"/>
      <c r="R18" s="37"/>
      <c r="S18" s="29" t="str">
        <f>IF(TableauFA2[[#This Row],[Dont soumis au taux normal]]="","",TableauFA2[[#This Row],[Dont soumis au taux normal]]*TableauFA2[[#This Row],[Taux normal]])</f>
        <v/>
      </c>
      <c r="T18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8" s="38"/>
      <c r="Y18" s="31"/>
      <c r="Z18" s="51"/>
      <c r="AA1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8" s="53"/>
      <c r="AC18" s="55"/>
      <c r="AD18" s="52"/>
      <c r="AE18" s="52"/>
      <c r="AF1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8" s="53"/>
      <c r="AH18" s="55"/>
      <c r="AI18" s="52"/>
      <c r="AJ18" s="52"/>
      <c r="AK1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8" s="52"/>
    </row>
    <row r="19" spans="1:38" x14ac:dyDescent="0.3">
      <c r="A19" s="33"/>
      <c r="B19" s="31" t="str">
        <f t="shared" si="1"/>
        <v/>
      </c>
      <c r="C19" s="2" t="str">
        <f>IF(A19="","",IF(MONTH(TableauFA2[[#This Row],[Date]])=MONTH(A18),C18+1,1))</f>
        <v/>
      </c>
      <c r="D19" s="34"/>
      <c r="E19" s="34"/>
      <c r="F19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9" s="36"/>
      <c r="I1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9" s="29"/>
      <c r="K19" s="29"/>
      <c r="L19" s="37"/>
      <c r="M19" s="29" t="str">
        <f>IF(TableauFA2[[#This Row],[Dont soumis au taux réduit]]="","",TableauFA2[[#This Row],[Dont soumis au taux réduit]]*TableauFA2[[#This Row],[Taux réduit]])</f>
        <v/>
      </c>
      <c r="N19" s="29"/>
      <c r="O19" s="37"/>
      <c r="P19" s="29" t="str">
        <f>IF(TableauFA2[[#This Row],[Dont soumis au taux intermédiaire]]="","",TableauFA2[[#This Row],[Dont soumis au taux intermédiaire]]*TableauFA2[[#This Row],[Taux intermédiaire]])</f>
        <v/>
      </c>
      <c r="Q19" s="29"/>
      <c r="R19" s="37"/>
      <c r="S19" s="29" t="str">
        <f>IF(TableauFA2[[#This Row],[Dont soumis au taux normal]]="","",TableauFA2[[#This Row],[Dont soumis au taux normal]]*TableauFA2[[#This Row],[Taux normal]])</f>
        <v/>
      </c>
      <c r="T19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9" s="38"/>
      <c r="Y19" s="31"/>
      <c r="Z19" s="51"/>
      <c r="AA1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9" s="53"/>
      <c r="AC19" s="55"/>
      <c r="AD19" s="52"/>
      <c r="AE19" s="52"/>
      <c r="AF1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9" s="53"/>
      <c r="AH19" s="55"/>
      <c r="AI19" s="52"/>
      <c r="AJ19" s="52"/>
      <c r="AK1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9" s="52"/>
    </row>
    <row r="20" spans="1:38" x14ac:dyDescent="0.3">
      <c r="A20" s="33"/>
      <c r="B20" s="31" t="str">
        <f t="shared" si="1"/>
        <v/>
      </c>
      <c r="C20" s="2" t="str">
        <f>IF(A20="","",IF(MONTH(TableauFA2[[#This Row],[Date]])=MONTH(A19),C19+1,1))</f>
        <v/>
      </c>
      <c r="D20" s="34"/>
      <c r="E20" s="34"/>
      <c r="F20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0" s="36"/>
      <c r="I2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0" s="29"/>
      <c r="K20" s="29"/>
      <c r="L20" s="37"/>
      <c r="M20" s="29" t="str">
        <f>IF(TableauFA2[[#This Row],[Dont soumis au taux réduit]]="","",TableauFA2[[#This Row],[Dont soumis au taux réduit]]*TableauFA2[[#This Row],[Taux réduit]])</f>
        <v/>
      </c>
      <c r="N20" s="29"/>
      <c r="O20" s="37"/>
      <c r="P20" s="29" t="str">
        <f>IF(TableauFA2[[#This Row],[Dont soumis au taux intermédiaire]]="","",TableauFA2[[#This Row],[Dont soumis au taux intermédiaire]]*TableauFA2[[#This Row],[Taux intermédiaire]])</f>
        <v/>
      </c>
      <c r="Q20" s="29"/>
      <c r="R20" s="37"/>
      <c r="S20" s="29" t="str">
        <f>IF(TableauFA2[[#This Row],[Dont soumis au taux normal]]="","",TableauFA2[[#This Row],[Dont soumis au taux normal]]*TableauFA2[[#This Row],[Taux normal]])</f>
        <v/>
      </c>
      <c r="T20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0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0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0" s="38"/>
      <c r="Y20" s="31"/>
      <c r="Z20" s="51"/>
      <c r="AA20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0" s="53"/>
      <c r="AC20" s="55"/>
      <c r="AD20" s="52"/>
      <c r="AE20" s="52"/>
      <c r="AF2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0" s="53"/>
      <c r="AH20" s="55"/>
      <c r="AI20" s="52"/>
      <c r="AJ20" s="52"/>
      <c r="AK2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0" s="52"/>
    </row>
    <row r="21" spans="1:38" x14ac:dyDescent="0.3">
      <c r="A21" s="33"/>
      <c r="B21" s="31" t="str">
        <f t="shared" si="1"/>
        <v/>
      </c>
      <c r="C21" s="2" t="str">
        <f>IF(A21="","",IF(MONTH(TableauFA2[[#This Row],[Date]])=MONTH(A20),C20+1,1))</f>
        <v/>
      </c>
      <c r="D21" s="34"/>
      <c r="E21" s="34"/>
      <c r="F21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1" s="36"/>
      <c r="I2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1" s="29"/>
      <c r="K21" s="29"/>
      <c r="L21" s="37"/>
      <c r="M21" s="29" t="str">
        <f>IF(TableauFA2[[#This Row],[Dont soumis au taux réduit]]="","",TableauFA2[[#This Row],[Dont soumis au taux réduit]]*TableauFA2[[#This Row],[Taux réduit]])</f>
        <v/>
      </c>
      <c r="N21" s="29"/>
      <c r="O21" s="37"/>
      <c r="P21" s="29" t="str">
        <f>IF(TableauFA2[[#This Row],[Dont soumis au taux intermédiaire]]="","",TableauFA2[[#This Row],[Dont soumis au taux intermédiaire]]*TableauFA2[[#This Row],[Taux intermédiaire]])</f>
        <v/>
      </c>
      <c r="Q21" s="29"/>
      <c r="R21" s="37"/>
      <c r="S21" s="29" t="str">
        <f>IF(TableauFA2[[#This Row],[Dont soumis au taux normal]]="","",TableauFA2[[#This Row],[Dont soumis au taux normal]]*TableauFA2[[#This Row],[Taux normal]])</f>
        <v/>
      </c>
      <c r="T21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1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1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1" s="38"/>
      <c r="Y21" s="31"/>
      <c r="Z21" s="51"/>
      <c r="AA21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1" s="53"/>
      <c r="AC21" s="55"/>
      <c r="AD21" s="52"/>
      <c r="AE21" s="52"/>
      <c r="AF2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1" s="53"/>
      <c r="AH21" s="55"/>
      <c r="AI21" s="52"/>
      <c r="AJ21" s="52"/>
      <c r="AK2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1" s="52"/>
    </row>
    <row r="22" spans="1:38" x14ac:dyDescent="0.3">
      <c r="A22" s="33"/>
      <c r="B22" s="31" t="str">
        <f t="shared" si="1"/>
        <v/>
      </c>
      <c r="C22" s="2" t="str">
        <f>IF(A22="","",IF(MONTH(TableauFA2[[#This Row],[Date]])=MONTH(A21),C21+1,1))</f>
        <v/>
      </c>
      <c r="D22" s="34"/>
      <c r="E22" s="34"/>
      <c r="F22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2" s="36"/>
      <c r="I2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2" s="29"/>
      <c r="K22" s="29"/>
      <c r="L22" s="37"/>
      <c r="M22" s="29" t="str">
        <f>IF(TableauFA2[[#This Row],[Dont soumis au taux réduit]]="","",TableauFA2[[#This Row],[Dont soumis au taux réduit]]*TableauFA2[[#This Row],[Taux réduit]])</f>
        <v/>
      </c>
      <c r="N22" s="29"/>
      <c r="O22" s="37"/>
      <c r="P22" s="29" t="str">
        <f>IF(TableauFA2[[#This Row],[Dont soumis au taux intermédiaire]]="","",TableauFA2[[#This Row],[Dont soumis au taux intermédiaire]]*TableauFA2[[#This Row],[Taux intermédiaire]])</f>
        <v/>
      </c>
      <c r="Q22" s="29"/>
      <c r="R22" s="37"/>
      <c r="S22" s="29" t="str">
        <f>IF(TableauFA2[[#This Row],[Dont soumis au taux normal]]="","",TableauFA2[[#This Row],[Dont soumis au taux normal]]*TableauFA2[[#This Row],[Taux normal]])</f>
        <v/>
      </c>
      <c r="T22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2" s="38"/>
      <c r="Y22" s="31"/>
      <c r="Z22" s="51"/>
      <c r="AA2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2" s="53"/>
      <c r="AC22" s="55"/>
      <c r="AD22" s="52"/>
      <c r="AE22" s="52"/>
      <c r="AF2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2" s="53"/>
      <c r="AH22" s="55"/>
      <c r="AI22" s="52"/>
      <c r="AJ22" s="52"/>
      <c r="AK2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2" s="52"/>
    </row>
    <row r="23" spans="1:38" x14ac:dyDescent="0.3">
      <c r="A23" s="33"/>
      <c r="B23" s="31" t="str">
        <f t="shared" si="1"/>
        <v/>
      </c>
      <c r="C23" s="2" t="str">
        <f>IF(A23="","",IF(MONTH(TableauFA2[[#This Row],[Date]])=MONTH(A22),C22+1,1))</f>
        <v/>
      </c>
      <c r="D23" s="34"/>
      <c r="E23" s="34"/>
      <c r="F23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3" s="36"/>
      <c r="I2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3" s="29"/>
      <c r="K23" s="29"/>
      <c r="L23" s="37"/>
      <c r="M23" s="29" t="str">
        <f>IF(TableauFA2[[#This Row],[Dont soumis au taux réduit]]="","",TableauFA2[[#This Row],[Dont soumis au taux réduit]]*TableauFA2[[#This Row],[Taux réduit]])</f>
        <v/>
      </c>
      <c r="N23" s="29"/>
      <c r="O23" s="37"/>
      <c r="P23" s="29" t="str">
        <f>IF(TableauFA2[[#This Row],[Dont soumis au taux intermédiaire]]="","",TableauFA2[[#This Row],[Dont soumis au taux intermédiaire]]*TableauFA2[[#This Row],[Taux intermédiaire]])</f>
        <v/>
      </c>
      <c r="Q23" s="29"/>
      <c r="R23" s="37"/>
      <c r="S23" s="29" t="str">
        <f>IF(TableauFA2[[#This Row],[Dont soumis au taux normal]]="","",TableauFA2[[#This Row],[Dont soumis au taux normal]]*TableauFA2[[#This Row],[Taux normal]])</f>
        <v/>
      </c>
      <c r="T23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3" s="38"/>
      <c r="Y23" s="31"/>
      <c r="Z23" s="51"/>
      <c r="AA2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3" s="53"/>
      <c r="AC23" s="55"/>
      <c r="AD23" s="52"/>
      <c r="AE23" s="52"/>
      <c r="AF2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3" s="53"/>
      <c r="AH23" s="55"/>
      <c r="AI23" s="52"/>
      <c r="AJ23" s="52"/>
      <c r="AK2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3" s="52"/>
    </row>
    <row r="24" spans="1:38" x14ac:dyDescent="0.3">
      <c r="A24" s="33"/>
      <c r="B24" s="31" t="str">
        <f t="shared" si="1"/>
        <v/>
      </c>
      <c r="C24" s="2" t="str">
        <f>IF(A24="","",IF(MONTH(TableauFA2[[#This Row],[Date]])=MONTH(A23),C23+1,1))</f>
        <v/>
      </c>
      <c r="D24" s="34"/>
      <c r="E24" s="34"/>
      <c r="F2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4" s="36"/>
      <c r="I2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4" s="29"/>
      <c r="K24" s="29"/>
      <c r="L24" s="37"/>
      <c r="M24" s="29" t="str">
        <f>IF(TableauFA2[[#This Row],[Dont soumis au taux réduit]]="","",TableauFA2[[#This Row],[Dont soumis au taux réduit]]*TableauFA2[[#This Row],[Taux réduit]])</f>
        <v/>
      </c>
      <c r="N24" s="29"/>
      <c r="O24" s="37"/>
      <c r="P24" s="29" t="str">
        <f>IF(TableauFA2[[#This Row],[Dont soumis au taux intermédiaire]]="","",TableauFA2[[#This Row],[Dont soumis au taux intermédiaire]]*TableauFA2[[#This Row],[Taux intermédiaire]])</f>
        <v/>
      </c>
      <c r="Q24" s="29"/>
      <c r="R24" s="37"/>
      <c r="S24" s="29" t="str">
        <f>IF(TableauFA2[[#This Row],[Dont soumis au taux normal]]="","",TableauFA2[[#This Row],[Dont soumis au taux normal]]*TableauFA2[[#This Row],[Taux normal]])</f>
        <v/>
      </c>
      <c r="T2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4" s="38"/>
      <c r="Y24" s="31"/>
      <c r="Z24" s="51"/>
      <c r="AA2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4" s="53"/>
      <c r="AC24" s="55"/>
      <c r="AD24" s="52"/>
      <c r="AE24" s="52"/>
      <c r="AF2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4" s="53"/>
      <c r="AH24" s="55"/>
      <c r="AI24" s="52"/>
      <c r="AJ24" s="52"/>
      <c r="AK2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4" s="52"/>
    </row>
    <row r="25" spans="1:38" x14ac:dyDescent="0.3">
      <c r="A25" s="33"/>
      <c r="B25" s="31" t="str">
        <f t="shared" si="1"/>
        <v/>
      </c>
      <c r="C25" s="2" t="str">
        <f>IF(A25="","",IF(MONTH(TableauFA2[[#This Row],[Date]])=MONTH(A24),C24+1,1))</f>
        <v/>
      </c>
      <c r="D25" s="34"/>
      <c r="E25" s="34"/>
      <c r="F2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5" s="36"/>
      <c r="I2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5" s="29"/>
      <c r="K25" s="29"/>
      <c r="L25" s="37"/>
      <c r="M25" s="29" t="str">
        <f>IF(TableauFA2[[#This Row],[Dont soumis au taux réduit]]="","",TableauFA2[[#This Row],[Dont soumis au taux réduit]]*TableauFA2[[#This Row],[Taux réduit]])</f>
        <v/>
      </c>
      <c r="N25" s="29"/>
      <c r="O25" s="37"/>
      <c r="P25" s="29" t="str">
        <f>IF(TableauFA2[[#This Row],[Dont soumis au taux intermédiaire]]="","",TableauFA2[[#This Row],[Dont soumis au taux intermédiaire]]*TableauFA2[[#This Row],[Taux intermédiaire]])</f>
        <v/>
      </c>
      <c r="Q25" s="29"/>
      <c r="R25" s="37"/>
      <c r="S25" s="29" t="str">
        <f>IF(TableauFA2[[#This Row],[Dont soumis au taux normal]]="","",TableauFA2[[#This Row],[Dont soumis au taux normal]]*TableauFA2[[#This Row],[Taux normal]])</f>
        <v/>
      </c>
      <c r="T2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5" s="38"/>
      <c r="Y25" s="31"/>
      <c r="Z25" s="51"/>
      <c r="AA2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5" s="53"/>
      <c r="AC25" s="55"/>
      <c r="AD25" s="52"/>
      <c r="AE25" s="52"/>
      <c r="AF2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5" s="53"/>
      <c r="AH25" s="55"/>
      <c r="AI25" s="52"/>
      <c r="AJ25" s="52"/>
      <c r="AK2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5" s="52"/>
    </row>
    <row r="26" spans="1:38" x14ac:dyDescent="0.3">
      <c r="A26" s="33"/>
      <c r="B26" s="31" t="str">
        <f t="shared" si="1"/>
        <v/>
      </c>
      <c r="C26" s="2" t="str">
        <f>IF(A26="","",IF(MONTH(TableauFA2[[#This Row],[Date]])=MONTH(A25),C25+1,1))</f>
        <v/>
      </c>
      <c r="D26" s="34"/>
      <c r="E26" s="34"/>
      <c r="F2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6" s="36"/>
      <c r="I2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6" s="29"/>
      <c r="K26" s="29"/>
      <c r="L26" s="37"/>
      <c r="M26" s="29" t="str">
        <f>IF(TableauFA2[[#This Row],[Dont soumis au taux réduit]]="","",TableauFA2[[#This Row],[Dont soumis au taux réduit]]*TableauFA2[[#This Row],[Taux réduit]])</f>
        <v/>
      </c>
      <c r="N26" s="29"/>
      <c r="O26" s="37"/>
      <c r="P26" s="29" t="str">
        <f>IF(TableauFA2[[#This Row],[Dont soumis au taux intermédiaire]]="","",TableauFA2[[#This Row],[Dont soumis au taux intermédiaire]]*TableauFA2[[#This Row],[Taux intermédiaire]])</f>
        <v/>
      </c>
      <c r="Q26" s="29"/>
      <c r="R26" s="37"/>
      <c r="S26" s="29" t="str">
        <f>IF(TableauFA2[[#This Row],[Dont soumis au taux normal]]="","",TableauFA2[[#This Row],[Dont soumis au taux normal]]*TableauFA2[[#This Row],[Taux normal]])</f>
        <v/>
      </c>
      <c r="T2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6" s="38"/>
      <c r="Y26" s="31"/>
      <c r="Z26" s="51"/>
      <c r="AA2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6" s="53"/>
      <c r="AC26" s="55"/>
      <c r="AD26" s="52"/>
      <c r="AE26" s="52"/>
      <c r="AF2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6" s="53"/>
      <c r="AH26" s="55"/>
      <c r="AI26" s="52"/>
      <c r="AJ26" s="52"/>
      <c r="AK2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6" s="52"/>
    </row>
    <row r="27" spans="1:38" x14ac:dyDescent="0.3">
      <c r="A27" s="33"/>
      <c r="B27" s="31" t="str">
        <f t="shared" si="1"/>
        <v/>
      </c>
      <c r="C27" s="2" t="str">
        <f>IF(A27="","",IF(MONTH(TableauFA2[[#This Row],[Date]])=MONTH(A26),C26+1,1))</f>
        <v/>
      </c>
      <c r="D27" s="34"/>
      <c r="E27" s="34"/>
      <c r="F27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7" s="36"/>
      <c r="I2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7" s="29"/>
      <c r="K27" s="29"/>
      <c r="L27" s="37"/>
      <c r="M27" s="29" t="str">
        <f>IF(TableauFA2[[#This Row],[Dont soumis au taux réduit]]="","",TableauFA2[[#This Row],[Dont soumis au taux réduit]]*TableauFA2[[#This Row],[Taux réduit]])</f>
        <v/>
      </c>
      <c r="N27" s="29"/>
      <c r="O27" s="37"/>
      <c r="P27" s="29" t="str">
        <f>IF(TableauFA2[[#This Row],[Dont soumis au taux intermédiaire]]="","",TableauFA2[[#This Row],[Dont soumis au taux intermédiaire]]*TableauFA2[[#This Row],[Taux intermédiaire]])</f>
        <v/>
      </c>
      <c r="Q27" s="29"/>
      <c r="R27" s="37"/>
      <c r="S27" s="29" t="str">
        <f>IF(TableauFA2[[#This Row],[Dont soumis au taux normal]]="","",TableauFA2[[#This Row],[Dont soumis au taux normal]]*TableauFA2[[#This Row],[Taux normal]])</f>
        <v/>
      </c>
      <c r="T27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7" s="38"/>
      <c r="Y27" s="31"/>
      <c r="Z27" s="51"/>
      <c r="AA2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7" s="53"/>
      <c r="AC27" s="55"/>
      <c r="AD27" s="52"/>
      <c r="AE27" s="52"/>
      <c r="AF2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7" s="53"/>
      <c r="AH27" s="55"/>
      <c r="AI27" s="52"/>
      <c r="AJ27" s="52"/>
      <c r="AK2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7" s="52"/>
    </row>
    <row r="28" spans="1:38" x14ac:dyDescent="0.3">
      <c r="A28" s="33"/>
      <c r="B28" s="31" t="str">
        <f t="shared" si="1"/>
        <v/>
      </c>
      <c r="C28" s="2" t="str">
        <f>IF(A28="","",IF(MONTH(TableauFA2[[#This Row],[Date]])=MONTH(A27),C27+1,1))</f>
        <v/>
      </c>
      <c r="D28" s="34"/>
      <c r="E28" s="34"/>
      <c r="F28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8" s="36"/>
      <c r="I2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8" s="29"/>
      <c r="K28" s="29"/>
      <c r="L28" s="37"/>
      <c r="M28" s="29" t="str">
        <f>IF(TableauFA2[[#This Row],[Dont soumis au taux réduit]]="","",TableauFA2[[#This Row],[Dont soumis au taux réduit]]*TableauFA2[[#This Row],[Taux réduit]])</f>
        <v/>
      </c>
      <c r="N28" s="29"/>
      <c r="O28" s="37"/>
      <c r="P28" s="29" t="str">
        <f>IF(TableauFA2[[#This Row],[Dont soumis au taux intermédiaire]]="","",TableauFA2[[#This Row],[Dont soumis au taux intermédiaire]]*TableauFA2[[#This Row],[Taux intermédiaire]])</f>
        <v/>
      </c>
      <c r="Q28" s="29"/>
      <c r="R28" s="37"/>
      <c r="S28" s="29" t="str">
        <f>IF(TableauFA2[[#This Row],[Dont soumis au taux normal]]="","",TableauFA2[[#This Row],[Dont soumis au taux normal]]*TableauFA2[[#This Row],[Taux normal]])</f>
        <v/>
      </c>
      <c r="T28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8" s="38"/>
      <c r="Y28" s="31"/>
      <c r="Z28" s="51"/>
      <c r="AA2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8" s="53"/>
      <c r="AC28" s="55"/>
      <c r="AD28" s="52"/>
      <c r="AE28" s="52"/>
      <c r="AF2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8" s="53"/>
      <c r="AH28" s="55"/>
      <c r="AI28" s="52"/>
      <c r="AJ28" s="52"/>
      <c r="AK2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8" s="52"/>
    </row>
    <row r="29" spans="1:38" x14ac:dyDescent="0.3">
      <c r="A29" s="33"/>
      <c r="B29" s="31" t="str">
        <f t="shared" si="1"/>
        <v/>
      </c>
      <c r="C29" s="2" t="str">
        <f>IF(A29="","",IF(MONTH(TableauFA2[[#This Row],[Date]])=MONTH(A28),C28+1,1))</f>
        <v/>
      </c>
      <c r="D29" s="34"/>
      <c r="E29" s="34"/>
      <c r="F29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9" s="36"/>
      <c r="I2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9" s="29"/>
      <c r="K29" s="29"/>
      <c r="L29" s="37"/>
      <c r="M29" s="29" t="str">
        <f>IF(TableauFA2[[#This Row],[Dont soumis au taux réduit]]="","",TableauFA2[[#This Row],[Dont soumis au taux réduit]]*TableauFA2[[#This Row],[Taux réduit]])</f>
        <v/>
      </c>
      <c r="N29" s="29"/>
      <c r="O29" s="37"/>
      <c r="P29" s="29" t="str">
        <f>IF(TableauFA2[[#This Row],[Dont soumis au taux intermédiaire]]="","",TableauFA2[[#This Row],[Dont soumis au taux intermédiaire]]*TableauFA2[[#This Row],[Taux intermédiaire]])</f>
        <v/>
      </c>
      <c r="Q29" s="29"/>
      <c r="R29" s="37"/>
      <c r="S29" s="29" t="str">
        <f>IF(TableauFA2[[#This Row],[Dont soumis au taux normal]]="","",TableauFA2[[#This Row],[Dont soumis au taux normal]]*TableauFA2[[#This Row],[Taux normal]])</f>
        <v/>
      </c>
      <c r="T29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9" s="38"/>
      <c r="Y29" s="31"/>
      <c r="Z29" s="51"/>
      <c r="AA2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9" s="53"/>
      <c r="AC29" s="55"/>
      <c r="AD29" s="52"/>
      <c r="AE29" s="52"/>
      <c r="AF2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9" s="53"/>
      <c r="AH29" s="55"/>
      <c r="AI29" s="52"/>
      <c r="AJ29" s="52"/>
      <c r="AK2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9" s="52"/>
    </row>
    <row r="30" spans="1:38" x14ac:dyDescent="0.3">
      <c r="A30" s="33"/>
      <c r="B30" s="31" t="str">
        <f t="shared" si="1"/>
        <v/>
      </c>
      <c r="C30" s="2" t="str">
        <f>IF(A30="","",IF(MONTH(TableauFA2[[#This Row],[Date]])=MONTH(A29),C29+1,1))</f>
        <v/>
      </c>
      <c r="D30" s="34"/>
      <c r="E30" s="34"/>
      <c r="F30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0" s="36"/>
      <c r="I3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0" s="29"/>
      <c r="K30" s="29"/>
      <c r="L30" s="37"/>
      <c r="M30" s="29" t="str">
        <f>IF(TableauFA2[[#This Row],[Dont soumis au taux réduit]]="","",TableauFA2[[#This Row],[Dont soumis au taux réduit]]*TableauFA2[[#This Row],[Taux réduit]])</f>
        <v/>
      </c>
      <c r="N30" s="29"/>
      <c r="O30" s="37"/>
      <c r="P30" s="29" t="str">
        <f>IF(TableauFA2[[#This Row],[Dont soumis au taux intermédiaire]]="","",TableauFA2[[#This Row],[Dont soumis au taux intermédiaire]]*TableauFA2[[#This Row],[Taux intermédiaire]])</f>
        <v/>
      </c>
      <c r="Q30" s="29"/>
      <c r="R30" s="37"/>
      <c r="S30" s="29" t="str">
        <f>IF(TableauFA2[[#This Row],[Dont soumis au taux normal]]="","",TableauFA2[[#This Row],[Dont soumis au taux normal]]*TableauFA2[[#This Row],[Taux normal]])</f>
        <v/>
      </c>
      <c r="T30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0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0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0" s="38"/>
      <c r="Y30" s="31"/>
      <c r="Z30" s="51"/>
      <c r="AA30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0" s="53"/>
      <c r="AC30" s="55"/>
      <c r="AD30" s="52"/>
      <c r="AE30" s="52"/>
      <c r="AF3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0" s="53"/>
      <c r="AH30" s="55"/>
      <c r="AI30" s="52"/>
      <c r="AJ30" s="52"/>
      <c r="AK3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0" s="52"/>
    </row>
    <row r="31" spans="1:38" x14ac:dyDescent="0.3">
      <c r="A31" s="33"/>
      <c r="B31" s="31" t="str">
        <f t="shared" si="1"/>
        <v/>
      </c>
      <c r="C31" s="2" t="str">
        <f>IF(A31="","",IF(MONTH(TableauFA2[[#This Row],[Date]])=MONTH(A30),C30+1,1))</f>
        <v/>
      </c>
      <c r="D31" s="34"/>
      <c r="E31" s="34"/>
      <c r="F31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1" s="36"/>
      <c r="I3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1" s="29"/>
      <c r="K31" s="29"/>
      <c r="L31" s="37"/>
      <c r="M31" s="29" t="str">
        <f>IF(TableauFA2[[#This Row],[Dont soumis au taux réduit]]="","",TableauFA2[[#This Row],[Dont soumis au taux réduit]]*TableauFA2[[#This Row],[Taux réduit]])</f>
        <v/>
      </c>
      <c r="N31" s="29"/>
      <c r="O31" s="37"/>
      <c r="P31" s="29" t="str">
        <f>IF(TableauFA2[[#This Row],[Dont soumis au taux intermédiaire]]="","",TableauFA2[[#This Row],[Dont soumis au taux intermédiaire]]*TableauFA2[[#This Row],[Taux intermédiaire]])</f>
        <v/>
      </c>
      <c r="Q31" s="29"/>
      <c r="R31" s="37"/>
      <c r="S31" s="29" t="str">
        <f>IF(TableauFA2[[#This Row],[Dont soumis au taux normal]]="","",TableauFA2[[#This Row],[Dont soumis au taux normal]]*TableauFA2[[#This Row],[Taux normal]])</f>
        <v/>
      </c>
      <c r="T31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1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1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1" s="38"/>
      <c r="Y31" s="31"/>
      <c r="Z31" s="51"/>
      <c r="AA31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1" s="53"/>
      <c r="AC31" s="55"/>
      <c r="AD31" s="52"/>
      <c r="AE31" s="52"/>
      <c r="AF3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1" s="53"/>
      <c r="AH31" s="55"/>
      <c r="AI31" s="52"/>
      <c r="AJ31" s="52"/>
      <c r="AK3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1" s="52"/>
    </row>
    <row r="32" spans="1:38" x14ac:dyDescent="0.3">
      <c r="A32" s="33"/>
      <c r="B32" s="31" t="str">
        <f t="shared" si="1"/>
        <v/>
      </c>
      <c r="C32" s="2" t="str">
        <f>IF(A32="","",IF(MONTH(TableauFA2[[#This Row],[Date]])=MONTH(A31),C31+1,1))</f>
        <v/>
      </c>
      <c r="D32" s="34"/>
      <c r="E32" s="34"/>
      <c r="F32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2" s="36"/>
      <c r="I3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2" s="29"/>
      <c r="K32" s="29"/>
      <c r="L32" s="37"/>
      <c r="M32" s="29" t="str">
        <f>IF(TableauFA2[[#This Row],[Dont soumis au taux réduit]]="","",TableauFA2[[#This Row],[Dont soumis au taux réduit]]*TableauFA2[[#This Row],[Taux réduit]])</f>
        <v/>
      </c>
      <c r="N32" s="29"/>
      <c r="O32" s="37"/>
      <c r="P32" s="29" t="str">
        <f>IF(TableauFA2[[#This Row],[Dont soumis au taux intermédiaire]]="","",TableauFA2[[#This Row],[Dont soumis au taux intermédiaire]]*TableauFA2[[#This Row],[Taux intermédiaire]])</f>
        <v/>
      </c>
      <c r="Q32" s="29"/>
      <c r="R32" s="37"/>
      <c r="S32" s="29" t="str">
        <f>IF(TableauFA2[[#This Row],[Dont soumis au taux normal]]="","",TableauFA2[[#This Row],[Dont soumis au taux normal]]*TableauFA2[[#This Row],[Taux normal]])</f>
        <v/>
      </c>
      <c r="T32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2" s="38"/>
      <c r="Y32" s="31"/>
      <c r="Z32" s="51"/>
      <c r="AA3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2" s="53"/>
      <c r="AC32" s="55"/>
      <c r="AD32" s="52"/>
      <c r="AE32" s="52"/>
      <c r="AF3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2" s="53"/>
      <c r="AH32" s="55"/>
      <c r="AI32" s="52"/>
      <c r="AJ32" s="52"/>
      <c r="AK3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2" s="52"/>
    </row>
    <row r="33" spans="1:38" x14ac:dyDescent="0.3">
      <c r="A33" s="33"/>
      <c r="B33" s="31" t="str">
        <f t="shared" si="1"/>
        <v/>
      </c>
      <c r="C33" s="2" t="str">
        <f>IF(A33="","",IF(MONTH(TableauFA2[[#This Row],[Date]])=MONTH(A32),C32+1,1))</f>
        <v/>
      </c>
      <c r="D33" s="34"/>
      <c r="E33" s="34"/>
      <c r="F33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3" s="36"/>
      <c r="I3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3" s="29"/>
      <c r="K33" s="29"/>
      <c r="L33" s="37"/>
      <c r="M33" s="29" t="str">
        <f>IF(TableauFA2[[#This Row],[Dont soumis au taux réduit]]="","",TableauFA2[[#This Row],[Dont soumis au taux réduit]]*TableauFA2[[#This Row],[Taux réduit]])</f>
        <v/>
      </c>
      <c r="N33" s="29"/>
      <c r="O33" s="37"/>
      <c r="P33" s="29" t="str">
        <f>IF(TableauFA2[[#This Row],[Dont soumis au taux intermédiaire]]="","",TableauFA2[[#This Row],[Dont soumis au taux intermédiaire]]*TableauFA2[[#This Row],[Taux intermédiaire]])</f>
        <v/>
      </c>
      <c r="Q33" s="29"/>
      <c r="R33" s="37"/>
      <c r="S33" s="29" t="str">
        <f>IF(TableauFA2[[#This Row],[Dont soumis au taux normal]]="","",TableauFA2[[#This Row],[Dont soumis au taux normal]]*TableauFA2[[#This Row],[Taux normal]])</f>
        <v/>
      </c>
      <c r="T33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3" s="38"/>
      <c r="Y33" s="31"/>
      <c r="Z33" s="51"/>
      <c r="AA3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3" s="53"/>
      <c r="AC33" s="55"/>
      <c r="AD33" s="52"/>
      <c r="AE33" s="52"/>
      <c r="AF3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3" s="53"/>
      <c r="AH33" s="55"/>
      <c r="AI33" s="52"/>
      <c r="AJ33" s="52"/>
      <c r="AK3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3" s="52"/>
    </row>
    <row r="34" spans="1:38" x14ac:dyDescent="0.3">
      <c r="A34" s="33"/>
      <c r="B34" s="31" t="str">
        <f t="shared" si="1"/>
        <v/>
      </c>
      <c r="C34" s="2" t="str">
        <f>IF(A34="","",IF(MONTH(TableauFA2[[#This Row],[Date]])=MONTH(A33),C33+1,1))</f>
        <v/>
      </c>
      <c r="D34" s="34"/>
      <c r="E34" s="34"/>
      <c r="F3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4" s="36"/>
      <c r="I3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4" s="29"/>
      <c r="K34" s="29"/>
      <c r="L34" s="37"/>
      <c r="M34" s="29" t="str">
        <f>IF(TableauFA2[[#This Row],[Dont soumis au taux réduit]]="","",TableauFA2[[#This Row],[Dont soumis au taux réduit]]*TableauFA2[[#This Row],[Taux réduit]])</f>
        <v/>
      </c>
      <c r="N34" s="29"/>
      <c r="O34" s="37"/>
      <c r="P34" s="29" t="str">
        <f>IF(TableauFA2[[#This Row],[Dont soumis au taux intermédiaire]]="","",TableauFA2[[#This Row],[Dont soumis au taux intermédiaire]]*TableauFA2[[#This Row],[Taux intermédiaire]])</f>
        <v/>
      </c>
      <c r="Q34" s="29"/>
      <c r="R34" s="37"/>
      <c r="S34" s="29" t="str">
        <f>IF(TableauFA2[[#This Row],[Dont soumis au taux normal]]="","",TableauFA2[[#This Row],[Dont soumis au taux normal]]*TableauFA2[[#This Row],[Taux normal]])</f>
        <v/>
      </c>
      <c r="T3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4" s="38"/>
      <c r="Y34" s="31"/>
      <c r="Z34" s="51"/>
      <c r="AA3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4" s="53"/>
      <c r="AC34" s="55"/>
      <c r="AD34" s="52"/>
      <c r="AE34" s="52"/>
      <c r="AF3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4" s="53"/>
      <c r="AH34" s="55"/>
      <c r="AI34" s="52"/>
      <c r="AJ34" s="52"/>
      <c r="AK3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4" s="52"/>
    </row>
    <row r="35" spans="1:38" x14ac:dyDescent="0.3">
      <c r="A35" s="33"/>
      <c r="B35" s="31" t="str">
        <f t="shared" si="1"/>
        <v/>
      </c>
      <c r="C35" s="2" t="str">
        <f>IF(A35="","",IF(MONTH(TableauFA2[[#This Row],[Date]])=MONTH(A34),C34+1,1))</f>
        <v/>
      </c>
      <c r="D35" s="34"/>
      <c r="E35" s="34"/>
      <c r="F3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5" s="36"/>
      <c r="I3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5" s="29"/>
      <c r="K35" s="29"/>
      <c r="L35" s="37"/>
      <c r="M35" s="29" t="str">
        <f>IF(TableauFA2[[#This Row],[Dont soumis au taux réduit]]="","",TableauFA2[[#This Row],[Dont soumis au taux réduit]]*TableauFA2[[#This Row],[Taux réduit]])</f>
        <v/>
      </c>
      <c r="N35" s="29"/>
      <c r="O35" s="37"/>
      <c r="P35" s="29" t="str">
        <f>IF(TableauFA2[[#This Row],[Dont soumis au taux intermédiaire]]="","",TableauFA2[[#This Row],[Dont soumis au taux intermédiaire]]*TableauFA2[[#This Row],[Taux intermédiaire]])</f>
        <v/>
      </c>
      <c r="Q35" s="29"/>
      <c r="R35" s="37"/>
      <c r="S35" s="29" t="str">
        <f>IF(TableauFA2[[#This Row],[Dont soumis au taux normal]]="","",TableauFA2[[#This Row],[Dont soumis au taux normal]]*TableauFA2[[#This Row],[Taux normal]])</f>
        <v/>
      </c>
      <c r="T3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5" s="38"/>
      <c r="Y35" s="31"/>
      <c r="Z35" s="51"/>
      <c r="AA3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5" s="53"/>
      <c r="AC35" s="55"/>
      <c r="AD35" s="52"/>
      <c r="AE35" s="52"/>
      <c r="AF3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5" s="53"/>
      <c r="AH35" s="55"/>
      <c r="AI35" s="52"/>
      <c r="AJ35" s="52"/>
      <c r="AK3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5" s="52"/>
    </row>
    <row r="36" spans="1:38" x14ac:dyDescent="0.3">
      <c r="A36" s="33"/>
      <c r="B36" s="31" t="str">
        <f t="shared" si="1"/>
        <v/>
      </c>
      <c r="C36" s="2" t="str">
        <f>IF(A36="","",IF(MONTH(TableauFA2[[#This Row],[Date]])=MONTH(A35),C35+1,1))</f>
        <v/>
      </c>
      <c r="D36" s="34"/>
      <c r="E36" s="34"/>
      <c r="F3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6" s="36"/>
      <c r="I3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6" s="29"/>
      <c r="K36" s="29"/>
      <c r="L36" s="37"/>
      <c r="M36" s="29" t="str">
        <f>IF(TableauFA2[[#This Row],[Dont soumis au taux réduit]]="","",TableauFA2[[#This Row],[Dont soumis au taux réduit]]*TableauFA2[[#This Row],[Taux réduit]])</f>
        <v/>
      </c>
      <c r="N36" s="29"/>
      <c r="O36" s="37"/>
      <c r="P36" s="29" t="str">
        <f>IF(TableauFA2[[#This Row],[Dont soumis au taux intermédiaire]]="","",TableauFA2[[#This Row],[Dont soumis au taux intermédiaire]]*TableauFA2[[#This Row],[Taux intermédiaire]])</f>
        <v/>
      </c>
      <c r="Q36" s="29"/>
      <c r="R36" s="37"/>
      <c r="S36" s="29" t="str">
        <f>IF(TableauFA2[[#This Row],[Dont soumis au taux normal]]="","",TableauFA2[[#This Row],[Dont soumis au taux normal]]*TableauFA2[[#This Row],[Taux normal]])</f>
        <v/>
      </c>
      <c r="T3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6" s="38"/>
      <c r="Y36" s="31"/>
      <c r="Z36" s="51"/>
      <c r="AA3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6" s="53"/>
      <c r="AC36" s="55"/>
      <c r="AD36" s="52"/>
      <c r="AE36" s="52"/>
      <c r="AF3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6" s="53"/>
      <c r="AH36" s="55"/>
      <c r="AI36" s="52"/>
      <c r="AJ36" s="52"/>
      <c r="AK3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6" s="52"/>
    </row>
    <row r="37" spans="1:38" x14ac:dyDescent="0.3">
      <c r="A37" s="33"/>
      <c r="B37" s="31" t="str">
        <f t="shared" si="1"/>
        <v/>
      </c>
      <c r="C37" s="2" t="str">
        <f>IF(A37="","",IF(MONTH(TableauFA2[[#This Row],[Date]])=MONTH(A36),C36+1,1))</f>
        <v/>
      </c>
      <c r="D37" s="34"/>
      <c r="E37" s="34"/>
      <c r="F37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7" s="36"/>
      <c r="I3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7" s="29"/>
      <c r="K37" s="29"/>
      <c r="L37" s="37"/>
      <c r="M37" s="29" t="str">
        <f>IF(TableauFA2[[#This Row],[Dont soumis au taux réduit]]="","",TableauFA2[[#This Row],[Dont soumis au taux réduit]]*TableauFA2[[#This Row],[Taux réduit]])</f>
        <v/>
      </c>
      <c r="N37" s="29"/>
      <c r="O37" s="37"/>
      <c r="P37" s="29" t="str">
        <f>IF(TableauFA2[[#This Row],[Dont soumis au taux intermédiaire]]="","",TableauFA2[[#This Row],[Dont soumis au taux intermédiaire]]*TableauFA2[[#This Row],[Taux intermédiaire]])</f>
        <v/>
      </c>
      <c r="Q37" s="29"/>
      <c r="R37" s="37"/>
      <c r="S37" s="29" t="str">
        <f>IF(TableauFA2[[#This Row],[Dont soumis au taux normal]]="","",TableauFA2[[#This Row],[Dont soumis au taux normal]]*TableauFA2[[#This Row],[Taux normal]])</f>
        <v/>
      </c>
      <c r="T37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7" s="38"/>
      <c r="Y37" s="31"/>
      <c r="Z37" s="51"/>
      <c r="AA3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7" s="53"/>
      <c r="AC37" s="55"/>
      <c r="AD37" s="52"/>
      <c r="AE37" s="52"/>
      <c r="AF3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7" s="53"/>
      <c r="AH37" s="55"/>
      <c r="AI37" s="52"/>
      <c r="AJ37" s="52"/>
      <c r="AK3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7" s="52"/>
    </row>
    <row r="38" spans="1:38" x14ac:dyDescent="0.3">
      <c r="A38" s="33"/>
      <c r="B38" s="31" t="str">
        <f t="shared" si="1"/>
        <v/>
      </c>
      <c r="C38" s="2" t="str">
        <f>IF(A38="","",IF(MONTH(TableauFA2[[#This Row],[Date]])=MONTH(A37),C37+1,1))</f>
        <v/>
      </c>
      <c r="D38" s="34"/>
      <c r="E38" s="34"/>
      <c r="F38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8" s="36"/>
      <c r="I3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8" s="29"/>
      <c r="K38" s="29"/>
      <c r="L38" s="37"/>
      <c r="M38" s="29" t="str">
        <f>IF(TableauFA2[[#This Row],[Dont soumis au taux réduit]]="","",TableauFA2[[#This Row],[Dont soumis au taux réduit]]*TableauFA2[[#This Row],[Taux réduit]])</f>
        <v/>
      </c>
      <c r="N38" s="29"/>
      <c r="O38" s="37"/>
      <c r="P38" s="29" t="str">
        <f>IF(TableauFA2[[#This Row],[Dont soumis au taux intermédiaire]]="","",TableauFA2[[#This Row],[Dont soumis au taux intermédiaire]]*TableauFA2[[#This Row],[Taux intermédiaire]])</f>
        <v/>
      </c>
      <c r="Q38" s="29"/>
      <c r="R38" s="37"/>
      <c r="S38" s="29" t="str">
        <f>IF(TableauFA2[[#This Row],[Dont soumis au taux normal]]="","",TableauFA2[[#This Row],[Dont soumis au taux normal]]*TableauFA2[[#This Row],[Taux normal]])</f>
        <v/>
      </c>
      <c r="T38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8" s="38"/>
      <c r="Y38" s="31"/>
      <c r="Z38" s="51"/>
      <c r="AA3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8" s="53"/>
      <c r="AC38" s="55"/>
      <c r="AD38" s="52"/>
      <c r="AE38" s="52"/>
      <c r="AF3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8" s="53"/>
      <c r="AH38" s="55"/>
      <c r="AI38" s="52"/>
      <c r="AJ38" s="52"/>
      <c r="AK3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8" s="52"/>
    </row>
    <row r="39" spans="1:38" x14ac:dyDescent="0.3">
      <c r="A39" s="33"/>
      <c r="B39" s="31" t="str">
        <f t="shared" si="1"/>
        <v/>
      </c>
      <c r="C39" s="2" t="str">
        <f>IF(A39="","",IF(MONTH(TableauFA2[[#This Row],[Date]])=MONTH(A38),C38+1,1))</f>
        <v/>
      </c>
      <c r="D39" s="34"/>
      <c r="E39" s="34"/>
      <c r="F39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9" s="36"/>
      <c r="I3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9" s="29"/>
      <c r="K39" s="29"/>
      <c r="L39" s="37"/>
      <c r="M39" s="29" t="str">
        <f>IF(TableauFA2[[#This Row],[Dont soumis au taux réduit]]="","",TableauFA2[[#This Row],[Dont soumis au taux réduit]]*TableauFA2[[#This Row],[Taux réduit]])</f>
        <v/>
      </c>
      <c r="N39" s="29"/>
      <c r="O39" s="37"/>
      <c r="P39" s="29" t="str">
        <f>IF(TableauFA2[[#This Row],[Dont soumis au taux intermédiaire]]="","",TableauFA2[[#This Row],[Dont soumis au taux intermédiaire]]*TableauFA2[[#This Row],[Taux intermédiaire]])</f>
        <v/>
      </c>
      <c r="Q39" s="29"/>
      <c r="R39" s="37"/>
      <c r="S39" s="29" t="str">
        <f>IF(TableauFA2[[#This Row],[Dont soumis au taux normal]]="","",TableauFA2[[#This Row],[Dont soumis au taux normal]]*TableauFA2[[#This Row],[Taux normal]])</f>
        <v/>
      </c>
      <c r="T39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9" s="38"/>
      <c r="Y39" s="31"/>
      <c r="Z39" s="51"/>
      <c r="AA3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9" s="53"/>
      <c r="AC39" s="55"/>
      <c r="AD39" s="52"/>
      <c r="AE39" s="52"/>
      <c r="AF3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9" s="53"/>
      <c r="AH39" s="55"/>
      <c r="AI39" s="52"/>
      <c r="AJ39" s="52"/>
      <c r="AK3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9" s="52"/>
    </row>
    <row r="40" spans="1:38" x14ac:dyDescent="0.3">
      <c r="A40" s="33"/>
      <c r="B40" s="31" t="str">
        <f t="shared" si="1"/>
        <v/>
      </c>
      <c r="C40" s="2" t="str">
        <f>IF(A40="","",IF(MONTH(TableauFA2[[#This Row],[Date]])=MONTH(A39),C39+1,1))</f>
        <v/>
      </c>
      <c r="D40" s="34"/>
      <c r="E40" s="34"/>
      <c r="F40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0" s="36"/>
      <c r="I4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0" s="29"/>
      <c r="K40" s="29"/>
      <c r="L40" s="37"/>
      <c r="M40" s="29" t="str">
        <f>IF(TableauFA2[[#This Row],[Dont soumis au taux réduit]]="","",TableauFA2[[#This Row],[Dont soumis au taux réduit]]*TableauFA2[[#This Row],[Taux réduit]])</f>
        <v/>
      </c>
      <c r="N40" s="29"/>
      <c r="O40" s="37"/>
      <c r="P40" s="29" t="str">
        <f>IF(TableauFA2[[#This Row],[Dont soumis au taux intermédiaire]]="","",TableauFA2[[#This Row],[Dont soumis au taux intermédiaire]]*TableauFA2[[#This Row],[Taux intermédiaire]])</f>
        <v/>
      </c>
      <c r="Q40" s="29"/>
      <c r="R40" s="37"/>
      <c r="S40" s="29" t="str">
        <f>IF(TableauFA2[[#This Row],[Dont soumis au taux normal]]="","",TableauFA2[[#This Row],[Dont soumis au taux normal]]*TableauFA2[[#This Row],[Taux normal]])</f>
        <v/>
      </c>
      <c r="T40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0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0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0" s="38"/>
      <c r="Y40" s="31"/>
      <c r="Z40" s="51"/>
      <c r="AA40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0" s="53"/>
      <c r="AC40" s="55"/>
      <c r="AD40" s="52"/>
      <c r="AE40" s="52"/>
      <c r="AF4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0" s="53"/>
      <c r="AH40" s="55"/>
      <c r="AI40" s="52"/>
      <c r="AJ40" s="52"/>
      <c r="AK4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0" s="52"/>
    </row>
    <row r="41" spans="1:38" x14ac:dyDescent="0.3">
      <c r="A41" s="33"/>
      <c r="B41" s="31" t="str">
        <f t="shared" si="1"/>
        <v/>
      </c>
      <c r="C41" s="2" t="str">
        <f>IF(A41="","",IF(MONTH(TableauFA2[[#This Row],[Date]])=MONTH(A40),C40+1,1))</f>
        <v/>
      </c>
      <c r="D41" s="34"/>
      <c r="E41" s="34"/>
      <c r="F41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1" s="36"/>
      <c r="I4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1" s="29"/>
      <c r="K41" s="29"/>
      <c r="L41" s="37"/>
      <c r="M41" s="29" t="str">
        <f>IF(TableauFA2[[#This Row],[Dont soumis au taux réduit]]="","",TableauFA2[[#This Row],[Dont soumis au taux réduit]]*TableauFA2[[#This Row],[Taux réduit]])</f>
        <v/>
      </c>
      <c r="N41" s="29"/>
      <c r="O41" s="37"/>
      <c r="P41" s="29" t="str">
        <f>IF(TableauFA2[[#This Row],[Dont soumis au taux intermédiaire]]="","",TableauFA2[[#This Row],[Dont soumis au taux intermédiaire]]*TableauFA2[[#This Row],[Taux intermédiaire]])</f>
        <v/>
      </c>
      <c r="Q41" s="29"/>
      <c r="R41" s="37"/>
      <c r="S41" s="29" t="str">
        <f>IF(TableauFA2[[#This Row],[Dont soumis au taux normal]]="","",TableauFA2[[#This Row],[Dont soumis au taux normal]]*TableauFA2[[#This Row],[Taux normal]])</f>
        <v/>
      </c>
      <c r="T41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1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1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1" s="38"/>
      <c r="Y41" s="31"/>
      <c r="Z41" s="51"/>
      <c r="AA41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1" s="53"/>
      <c r="AC41" s="55"/>
      <c r="AD41" s="52"/>
      <c r="AE41" s="52"/>
      <c r="AF4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1" s="53"/>
      <c r="AH41" s="55"/>
      <c r="AI41" s="52"/>
      <c r="AJ41" s="52"/>
      <c r="AK4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1" s="52"/>
    </row>
    <row r="42" spans="1:38" x14ac:dyDescent="0.3">
      <c r="A42" s="33"/>
      <c r="B42" s="31" t="str">
        <f t="shared" si="1"/>
        <v/>
      </c>
      <c r="C42" s="2" t="str">
        <f>IF(A42="","",IF(MONTH(TableauFA2[[#This Row],[Date]])=MONTH(A41),C41+1,1))</f>
        <v/>
      </c>
      <c r="D42" s="34"/>
      <c r="E42" s="34"/>
      <c r="F42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2" s="36"/>
      <c r="I4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2" s="29"/>
      <c r="K42" s="29"/>
      <c r="L42" s="37"/>
      <c r="M42" s="29" t="str">
        <f>IF(TableauFA2[[#This Row],[Dont soumis au taux réduit]]="","",TableauFA2[[#This Row],[Dont soumis au taux réduit]]*TableauFA2[[#This Row],[Taux réduit]])</f>
        <v/>
      </c>
      <c r="N42" s="29"/>
      <c r="O42" s="37"/>
      <c r="P42" s="29" t="str">
        <f>IF(TableauFA2[[#This Row],[Dont soumis au taux intermédiaire]]="","",TableauFA2[[#This Row],[Dont soumis au taux intermédiaire]]*TableauFA2[[#This Row],[Taux intermédiaire]])</f>
        <v/>
      </c>
      <c r="Q42" s="29"/>
      <c r="R42" s="37"/>
      <c r="S42" s="29" t="str">
        <f>IF(TableauFA2[[#This Row],[Dont soumis au taux normal]]="","",TableauFA2[[#This Row],[Dont soumis au taux normal]]*TableauFA2[[#This Row],[Taux normal]])</f>
        <v/>
      </c>
      <c r="T42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2" s="38"/>
      <c r="Y42" s="31"/>
      <c r="Z42" s="51"/>
      <c r="AA4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2" s="53"/>
      <c r="AC42" s="55"/>
      <c r="AD42" s="52"/>
      <c r="AE42" s="52"/>
      <c r="AF4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2" s="53"/>
      <c r="AH42" s="55"/>
      <c r="AI42" s="52"/>
      <c r="AJ42" s="52"/>
      <c r="AK4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2" s="52"/>
    </row>
    <row r="43" spans="1:38" x14ac:dyDescent="0.3">
      <c r="A43" s="33"/>
      <c r="B43" s="31" t="str">
        <f t="shared" si="1"/>
        <v/>
      </c>
      <c r="C43" s="2" t="str">
        <f>IF(A43="","",IF(MONTH(TableauFA2[[#This Row],[Date]])=MONTH(A42),C42+1,1))</f>
        <v/>
      </c>
      <c r="D43" s="34"/>
      <c r="E43" s="34"/>
      <c r="F43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3" s="36"/>
      <c r="I4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3" s="29"/>
      <c r="K43" s="29"/>
      <c r="L43" s="37"/>
      <c r="M43" s="29" t="str">
        <f>IF(TableauFA2[[#This Row],[Dont soumis au taux réduit]]="","",TableauFA2[[#This Row],[Dont soumis au taux réduit]]*TableauFA2[[#This Row],[Taux réduit]])</f>
        <v/>
      </c>
      <c r="N43" s="29"/>
      <c r="O43" s="37"/>
      <c r="P43" s="29" t="str">
        <f>IF(TableauFA2[[#This Row],[Dont soumis au taux intermédiaire]]="","",TableauFA2[[#This Row],[Dont soumis au taux intermédiaire]]*TableauFA2[[#This Row],[Taux intermédiaire]])</f>
        <v/>
      </c>
      <c r="Q43" s="29"/>
      <c r="R43" s="37"/>
      <c r="S43" s="29" t="str">
        <f>IF(TableauFA2[[#This Row],[Dont soumis au taux normal]]="","",TableauFA2[[#This Row],[Dont soumis au taux normal]]*TableauFA2[[#This Row],[Taux normal]])</f>
        <v/>
      </c>
      <c r="T43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3" s="38"/>
      <c r="Y43" s="31"/>
      <c r="Z43" s="51"/>
      <c r="AA4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3" s="53"/>
      <c r="AC43" s="55"/>
      <c r="AD43" s="52"/>
      <c r="AE43" s="52"/>
      <c r="AF4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3" s="53"/>
      <c r="AH43" s="55"/>
      <c r="AI43" s="52"/>
      <c r="AJ43" s="52"/>
      <c r="AK4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3" s="52"/>
    </row>
    <row r="44" spans="1:38" x14ac:dyDescent="0.3">
      <c r="A44" s="33"/>
      <c r="B44" s="31" t="str">
        <f t="shared" si="1"/>
        <v/>
      </c>
      <c r="C44" s="2" t="str">
        <f>IF(A44="","",IF(MONTH(TableauFA2[[#This Row],[Date]])=MONTH(A43),C43+1,1))</f>
        <v/>
      </c>
      <c r="D44" s="34"/>
      <c r="E44" s="34"/>
      <c r="F4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4" s="36"/>
      <c r="I4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4" s="29"/>
      <c r="K44" s="29"/>
      <c r="L44" s="37"/>
      <c r="M44" s="29" t="str">
        <f>IF(TableauFA2[[#This Row],[Dont soumis au taux réduit]]="","",TableauFA2[[#This Row],[Dont soumis au taux réduit]]*TableauFA2[[#This Row],[Taux réduit]])</f>
        <v/>
      </c>
      <c r="N44" s="29"/>
      <c r="O44" s="37"/>
      <c r="P44" s="29" t="str">
        <f>IF(TableauFA2[[#This Row],[Dont soumis au taux intermédiaire]]="","",TableauFA2[[#This Row],[Dont soumis au taux intermédiaire]]*TableauFA2[[#This Row],[Taux intermédiaire]])</f>
        <v/>
      </c>
      <c r="Q44" s="29"/>
      <c r="R44" s="37"/>
      <c r="S44" s="29" t="str">
        <f>IF(TableauFA2[[#This Row],[Dont soumis au taux normal]]="","",TableauFA2[[#This Row],[Dont soumis au taux normal]]*TableauFA2[[#This Row],[Taux normal]])</f>
        <v/>
      </c>
      <c r="T4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4" s="38"/>
      <c r="Y44" s="31"/>
      <c r="Z44" s="51"/>
      <c r="AA4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4" s="53"/>
      <c r="AC44" s="55"/>
      <c r="AD44" s="52"/>
      <c r="AE44" s="52"/>
      <c r="AF4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4" s="53"/>
      <c r="AH44" s="55"/>
      <c r="AI44" s="52"/>
      <c r="AJ44" s="52"/>
      <c r="AK4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4" s="52"/>
    </row>
    <row r="45" spans="1:38" x14ac:dyDescent="0.3">
      <c r="A45" s="33"/>
      <c r="B45" s="31" t="str">
        <f>IF(A45="","",$B$2)</f>
        <v/>
      </c>
      <c r="C45" s="2" t="str">
        <f>IF(A45="","",IF(MONTH(TableauFA2[[#This Row],[Date]])=MONTH(A44),C44+1,1))</f>
        <v/>
      </c>
      <c r="D45" s="34"/>
      <c r="E45" s="34"/>
      <c r="F4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5" s="36"/>
      <c r="I4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5" s="29"/>
      <c r="K45" s="29"/>
      <c r="L45" s="37"/>
      <c r="M45" s="29" t="str">
        <f>IF(TableauFA2[[#This Row],[Dont soumis au taux réduit]]="","",TableauFA2[[#This Row],[Dont soumis au taux réduit]]*TableauFA2[[#This Row],[Taux réduit]])</f>
        <v/>
      </c>
      <c r="N45" s="29"/>
      <c r="O45" s="37"/>
      <c r="P45" s="29" t="str">
        <f>IF(TableauFA2[[#This Row],[Dont soumis au taux intermédiaire]]="","",TableauFA2[[#This Row],[Dont soumis au taux intermédiaire]]*TableauFA2[[#This Row],[Taux intermédiaire]])</f>
        <v/>
      </c>
      <c r="Q45" s="29"/>
      <c r="R45" s="37"/>
      <c r="S45" s="29" t="str">
        <f>IF(TableauFA2[[#This Row],[Dont soumis au taux normal]]="","",TableauFA2[[#This Row],[Dont soumis au taux normal]]*TableauFA2[[#This Row],[Taux normal]])</f>
        <v/>
      </c>
      <c r="T4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5" s="38"/>
      <c r="Y45" s="31"/>
      <c r="Z45" s="51"/>
      <c r="AA4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5" s="53"/>
      <c r="AC45" s="55"/>
      <c r="AD45" s="52"/>
      <c r="AE45" s="52"/>
      <c r="AF4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5" s="53"/>
      <c r="AH45" s="55"/>
      <c r="AI45" s="52"/>
      <c r="AJ45" s="52"/>
      <c r="AK4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5" s="52"/>
    </row>
    <row r="46" spans="1:38" x14ac:dyDescent="0.3">
      <c r="A46" s="33"/>
      <c r="B46" s="31" t="str">
        <f>IF(A46="","",$B$2)</f>
        <v/>
      </c>
      <c r="C46" s="2" t="str">
        <f>IF(A46="","",IF(MONTH(TableauFA2[[#This Row],[Date]])=MONTH(A45),C45+1,1))</f>
        <v/>
      </c>
      <c r="D46" s="34"/>
      <c r="E46" s="34"/>
      <c r="F4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6" s="36"/>
      <c r="I4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6" s="29"/>
      <c r="K46" s="29"/>
      <c r="L46" s="37"/>
      <c r="M46" s="29" t="str">
        <f>IF(TableauFA2[[#This Row],[Dont soumis au taux réduit]]="","",TableauFA2[[#This Row],[Dont soumis au taux réduit]]*TableauFA2[[#This Row],[Taux réduit]])</f>
        <v/>
      </c>
      <c r="N46" s="29"/>
      <c r="O46" s="37"/>
      <c r="P46" s="29" t="str">
        <f>IF(TableauFA2[[#This Row],[Dont soumis au taux intermédiaire]]="","",TableauFA2[[#This Row],[Dont soumis au taux intermédiaire]]*TableauFA2[[#This Row],[Taux intermédiaire]])</f>
        <v/>
      </c>
      <c r="Q46" s="29"/>
      <c r="R46" s="37"/>
      <c r="S46" s="29" t="str">
        <f>IF(TableauFA2[[#This Row],[Dont soumis au taux normal]]="","",TableauFA2[[#This Row],[Dont soumis au taux normal]]*TableauFA2[[#This Row],[Taux normal]])</f>
        <v/>
      </c>
      <c r="T4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6" s="38"/>
      <c r="Y46" s="31"/>
      <c r="Z46" s="51"/>
      <c r="AA4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6" s="53"/>
      <c r="AC46" s="55"/>
      <c r="AD46" s="52"/>
      <c r="AE46" s="52"/>
      <c r="AF4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6" s="53"/>
      <c r="AH46" s="55"/>
      <c r="AI46" s="52"/>
      <c r="AJ46" s="52"/>
      <c r="AK4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6" s="52"/>
    </row>
  </sheetData>
  <conditionalFormatting sqref="L3:L46">
    <cfRule type="expression" dxfId="41" priority="9" stopIfTrue="1">
      <formula>AND($L3="",$K3&gt;0)</formula>
    </cfRule>
  </conditionalFormatting>
  <conditionalFormatting sqref="U3:V46">
    <cfRule type="cellIs" dxfId="40" priority="10" operator="lessThan">
      <formula>0</formula>
    </cfRule>
    <cfRule type="cellIs" dxfId="39" priority="11" operator="greaterThan">
      <formula>0</formula>
    </cfRule>
  </conditionalFormatting>
  <conditionalFormatting sqref="I7:T9 A7:G9 A10:T46 A3:T6">
    <cfRule type="expression" dxfId="38" priority="102">
      <formula>AND($A3&lt;&gt;"",$X3&lt;&gt;"",$U3&lt;-1)</formula>
    </cfRule>
    <cfRule type="expression" dxfId="37" priority="103">
      <formula>AND($A3&lt;&gt;"",$X3="")</formula>
    </cfRule>
    <cfRule type="expression" dxfId="36" priority="104">
      <formula>AND($A3&lt;&gt;"",$X3&lt;&gt;"",$U3&gt;=-1)</formula>
    </cfRule>
  </conditionalFormatting>
  <conditionalFormatting sqref="O3:O46">
    <cfRule type="expression" dxfId="35" priority="5" stopIfTrue="1">
      <formula>AND($O3="",$N3&gt;0)</formula>
    </cfRule>
  </conditionalFormatting>
  <conditionalFormatting sqref="R3:R46">
    <cfRule type="expression" dxfId="34" priority="4" stopIfTrue="1">
      <formula>AND($R3="",$Q3&gt;0)</formula>
    </cfRule>
  </conditionalFormatting>
  <conditionalFormatting sqref="H7:H9">
    <cfRule type="expression" dxfId="33" priority="1">
      <formula>AND($A7&lt;&gt;"",$X7&lt;&gt;"",$U7&lt;-1)</formula>
    </cfRule>
    <cfRule type="expression" dxfId="32" priority="2">
      <formula>AND($A7&lt;&gt;"",$X7="")</formula>
    </cfRule>
    <cfRule type="expression" dxfId="31" priority="3">
      <formula>AND($A7&lt;&gt;"",$X7&lt;&gt;"",$U7&gt;=-1)</formula>
    </cfRule>
  </conditionalFormatting>
  <dataValidations count="1">
    <dataValidation type="list" allowBlank="1" showInputMessage="1" showErrorMessage="1" sqref="E3:E46">
      <formula1>liste_commerciaux</formula1>
    </dataValidation>
  </dataValidations>
  <hyperlinks>
    <hyperlink ref="Y1" r:id="rId1"/>
    <hyperlink ref="AC1" r:id="rId2"/>
    <hyperlink ref="AH1" r:id="rId3"/>
  </hyperlinks>
  <pageMargins left="0.25" right="0.25" top="0.75" bottom="0.75" header="0.3" footer="0.3"/>
  <pageSetup paperSize="9" orientation="landscape" r:id="rId4"/>
  <legacyDrawing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S58"/>
  <sheetViews>
    <sheetView zoomScaleNormal="100" workbookViewId="0">
      <pane xSplit="6" ySplit="2" topLeftCell="G4" activePane="bottomRight" state="frozen"/>
      <selection pane="topRight" activeCell="F1" sqref="F1"/>
      <selection pane="bottomLeft" activeCell="A3" sqref="A3"/>
      <selection pane="bottomRight" activeCell="C18" sqref="C18"/>
    </sheetView>
  </sheetViews>
  <sheetFormatPr baseColWidth="10" defaultColWidth="11.375" defaultRowHeight="16.5" x14ac:dyDescent="0.3"/>
  <cols>
    <col min="1" max="1" width="11.875" style="31" customWidth="1"/>
    <col min="2" max="2" width="4.5" style="31" customWidth="1"/>
    <col min="3" max="3" width="8" style="2" customWidth="1"/>
    <col min="4" max="4" width="18.75" style="31" customWidth="1"/>
    <col min="5" max="5" width="5.875" style="31" customWidth="1"/>
    <col min="6" max="6" width="14.625" style="31" customWidth="1"/>
    <col min="7" max="7" width="7.375" style="40" customWidth="1"/>
    <col min="8" max="8" width="21.625" style="31" customWidth="1"/>
    <col min="9" max="9" width="16.875" style="31" customWidth="1"/>
    <col min="10" max="10" width="10.875" style="31" customWidth="1"/>
    <col min="11" max="11" width="13.125" style="31" customWidth="1"/>
    <col min="12" max="12" width="11" style="31" customWidth="1"/>
    <col min="13" max="13" width="6.25" style="31" customWidth="1"/>
    <col min="14" max="14" width="9.875" style="31" customWidth="1"/>
    <col min="15" max="15" width="12.25" style="31" customWidth="1"/>
    <col min="16" max="16" width="8" style="31" customWidth="1"/>
    <col min="17" max="17" width="9.875" style="31" customWidth="1"/>
    <col min="18" max="18" width="12.375" style="31" customWidth="1"/>
    <col min="19" max="19" width="7.875" style="31" customWidth="1"/>
    <col min="20" max="20" width="10.75" style="31" customWidth="1"/>
    <col min="21" max="23" width="14.875" style="31" customWidth="1"/>
    <col min="24" max="24" width="11.875" style="30" customWidth="1"/>
    <col min="25" max="25" width="14.75" style="30" customWidth="1"/>
    <col min="26" max="26" width="11.875" style="30" customWidth="1"/>
    <col min="27" max="27" width="14.375" style="30" customWidth="1"/>
    <col min="28" max="28" width="36.5" customWidth="1"/>
    <col min="29" max="29" width="11.5" style="31" customWidth="1"/>
    <col min="30" max="30" width="13.75" style="31" bestFit="1" customWidth="1"/>
    <col min="31" max="31" width="10.875" style="31" customWidth="1"/>
    <col min="32" max="32" width="13.75" style="31" customWidth="1"/>
    <col min="33" max="33" width="27.125" style="31" customWidth="1"/>
    <col min="34" max="34" width="11" style="31" customWidth="1"/>
    <col min="35" max="35" width="12" style="31" customWidth="1"/>
    <col min="36" max="36" width="10.625" style="31" customWidth="1"/>
    <col min="37" max="37" width="13.75" style="31" customWidth="1"/>
    <col min="38" max="38" width="27.5" style="31" customWidth="1"/>
    <col min="39" max="42" width="13.75" style="31" customWidth="1"/>
    <col min="43" max="43" width="12.75" style="31" customWidth="1"/>
    <col min="44" max="44" width="11.875" style="31" customWidth="1"/>
    <col min="45" max="45" width="12.875" style="31" customWidth="1"/>
    <col min="46" max="16384" width="11.375" style="31"/>
  </cols>
  <sheetData>
    <row r="1" spans="1:45" x14ac:dyDescent="0.3">
      <c r="A1" s="67" t="s">
        <v>9</v>
      </c>
      <c r="B1" s="64"/>
      <c r="C1" s="65"/>
      <c r="D1" s="64"/>
      <c r="E1" s="64"/>
      <c r="F1" s="64"/>
      <c r="G1" s="66"/>
      <c r="H1" s="28"/>
      <c r="I1" s="28"/>
      <c r="J1" s="27" t="s">
        <v>178</v>
      </c>
      <c r="K1" s="28"/>
      <c r="L1" s="69" t="s">
        <v>112</v>
      </c>
      <c r="M1" s="26"/>
      <c r="N1" s="26"/>
      <c r="O1" s="26"/>
      <c r="P1" s="28"/>
      <c r="Q1" s="28"/>
      <c r="R1" s="28"/>
      <c r="S1" s="28"/>
      <c r="T1" s="28"/>
      <c r="U1" s="28"/>
      <c r="V1" s="28" t="s">
        <v>66</v>
      </c>
      <c r="W1" s="28"/>
      <c r="AA1" s="69" t="s">
        <v>112</v>
      </c>
      <c r="AB1" s="26"/>
      <c r="AF1" s="69" t="s">
        <v>112</v>
      </c>
      <c r="AG1" s="26"/>
      <c r="AK1" s="69" t="s">
        <v>112</v>
      </c>
      <c r="AL1" s="26"/>
    </row>
    <row r="2" spans="1:45" s="1" customFormat="1" ht="48.75" customHeight="1" x14ac:dyDescent="0.3">
      <c r="A2" s="11" t="s">
        <v>3</v>
      </c>
      <c r="B2" s="12" t="s">
        <v>10</v>
      </c>
      <c r="C2" s="13" t="s">
        <v>1</v>
      </c>
      <c r="D2" s="11" t="s">
        <v>2</v>
      </c>
      <c r="E2" s="11" t="s">
        <v>29</v>
      </c>
      <c r="F2" s="12" t="s">
        <v>4</v>
      </c>
      <c r="G2" s="12" t="s">
        <v>57</v>
      </c>
      <c r="H2" s="12" t="s">
        <v>16</v>
      </c>
      <c r="I2" s="44" t="s">
        <v>90</v>
      </c>
      <c r="J2" s="14" t="s">
        <v>38</v>
      </c>
      <c r="K2" s="15" t="s">
        <v>17</v>
      </c>
      <c r="L2" s="19" t="s">
        <v>23</v>
      </c>
      <c r="M2" s="19" t="s">
        <v>28</v>
      </c>
      <c r="N2" s="19" t="s">
        <v>24</v>
      </c>
      <c r="O2" s="20" t="s">
        <v>44</v>
      </c>
      <c r="P2" s="20" t="s">
        <v>45</v>
      </c>
      <c r="Q2" s="20" t="s">
        <v>63</v>
      </c>
      <c r="R2" s="21" t="s">
        <v>25</v>
      </c>
      <c r="S2" s="21" t="s">
        <v>43</v>
      </c>
      <c r="T2" s="21" t="s">
        <v>26</v>
      </c>
      <c r="U2" s="12" t="s">
        <v>27</v>
      </c>
      <c r="V2" s="49" t="s">
        <v>228</v>
      </c>
      <c r="W2" s="15" t="s">
        <v>32</v>
      </c>
      <c r="X2" s="15" t="s">
        <v>31</v>
      </c>
      <c r="Y2" s="44" t="s">
        <v>92</v>
      </c>
      <c r="Z2" s="44" t="s">
        <v>74</v>
      </c>
      <c r="AA2" s="44" t="s">
        <v>75</v>
      </c>
      <c r="AB2" s="44" t="s">
        <v>76</v>
      </c>
      <c r="AC2" s="44" t="s">
        <v>77</v>
      </c>
      <c r="AD2" s="44" t="s">
        <v>78</v>
      </c>
      <c r="AE2" s="62" t="s">
        <v>81</v>
      </c>
      <c r="AF2" s="62" t="s">
        <v>82</v>
      </c>
      <c r="AG2" s="62" t="s">
        <v>83</v>
      </c>
      <c r="AH2" s="62" t="s">
        <v>84</v>
      </c>
      <c r="AI2" s="62" t="s">
        <v>79</v>
      </c>
      <c r="AJ2" s="63" t="s">
        <v>85</v>
      </c>
      <c r="AK2" s="63" t="s">
        <v>86</v>
      </c>
      <c r="AL2" s="63" t="s">
        <v>87</v>
      </c>
      <c r="AM2" s="63" t="s">
        <v>88</v>
      </c>
      <c r="AN2" s="63" t="s">
        <v>80</v>
      </c>
      <c r="AO2" s="15" t="s">
        <v>73</v>
      </c>
      <c r="AP2" s="16" t="s">
        <v>41</v>
      </c>
      <c r="AQ2" s="16" t="s">
        <v>42</v>
      </c>
      <c r="AR2" s="50" t="s">
        <v>53</v>
      </c>
      <c r="AS2" s="40"/>
    </row>
    <row r="3" spans="1:45" x14ac:dyDescent="0.3">
      <c r="A3" s="33">
        <v>41610</v>
      </c>
      <c r="B3" s="31" t="str">
        <f t="shared" ref="B3" si="0">IF(A3="","",$B$2)</f>
        <v>F</v>
      </c>
      <c r="C3" s="2">
        <v>1</v>
      </c>
      <c r="D3" s="3" t="s">
        <v>37</v>
      </c>
      <c r="E3" s="3" t="s">
        <v>14</v>
      </c>
      <c r="F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F-13120001</v>
      </c>
      <c r="G3" s="36"/>
      <c r="H3" s="68" t="s">
        <v>93</v>
      </c>
      <c r="I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" s="40" t="b">
        <f>IF(TableauFfinale[[#This Row],[Date]]&lt;&gt;"",AND(TableauFfinale[[#This Row],[Ecart de règlement]]&lt;&gt;"",TableauFfinale[[#This Row],[Ecart de règlement]]&gt;=-1),"")</f>
        <v>1</v>
      </c>
      <c r="K3" s="29">
        <v>202.83</v>
      </c>
      <c r="L3" s="29">
        <v>202.83</v>
      </c>
      <c r="M3" s="37">
        <v>7.0000000000000007E-2</v>
      </c>
      <c r="N3" s="29">
        <f>IF(TableauFfinale[[#This Row],[Dont soumis au taux réduit]]="","",TableauFfinale[[#This Row],[Dont soumis au taux réduit]]*TableauFfinale[[#This Row],[Taux réduit]])</f>
        <v>14.198100000000002</v>
      </c>
      <c r="O3" s="29"/>
      <c r="P3" s="37"/>
      <c r="Q3" s="29" t="str">
        <f>IF(TableauFfinale[[#This Row],[Dont soumis au taux intermédiaire]]="","",TableauFfinale[[#This Row],[Dont soumis au taux intermédiaire]]*TableauFfinale[[#This Row],[Taux intermédiaire]])</f>
        <v/>
      </c>
      <c r="R3" s="29"/>
      <c r="S3" s="37"/>
      <c r="T3" s="29" t="str">
        <f>IF(TableauFfinale[[#This Row],[Dont soumis au taux normal]]="","",TableauFfinale[[#This Row],[Dont soumis au taux normal]]*TableauFfinale[[#This Row],[Taux normal]])</f>
        <v/>
      </c>
      <c r="U3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217.02810000000002</v>
      </c>
      <c r="V3" s="38">
        <f>670-651.09-1302.18</f>
        <v>-1283.27</v>
      </c>
      <c r="W3" s="4">
        <f>IF(TableauFfinale[[#This Row],[Date]]="","",SUM(TableauFfinale[[#This Row],[TOTAL TTC]]-TableauFfinale[[#This Row],[Ecarts réglements FA1+FA2-AVOIR (report)]]))</f>
        <v>1500.2981</v>
      </c>
      <c r="X3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3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-1500.2981</v>
      </c>
      <c r="Z3" s="30">
        <v>41607</v>
      </c>
      <c r="AA3" s="38">
        <v>1500.3</v>
      </c>
      <c r="AB3" s="31"/>
      <c r="AD3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" s="30"/>
      <c r="AF3" s="39"/>
      <c r="AI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" s="30"/>
      <c r="AK3" s="39"/>
      <c r="AN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" s="45"/>
      <c r="AQ3" s="45"/>
      <c r="AR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" spans="1:45" x14ac:dyDescent="0.3">
      <c r="A4" s="33">
        <v>42405</v>
      </c>
      <c r="B4" s="31" t="str">
        <f t="shared" ref="B4:B6" si="1">IF(A4="","",$B$2)</f>
        <v>F</v>
      </c>
      <c r="C4" s="2">
        <v>1</v>
      </c>
      <c r="D4" s="177" t="s">
        <v>118</v>
      </c>
      <c r="E4" s="177" t="s">
        <v>64</v>
      </c>
      <c r="F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F-16020001</v>
      </c>
      <c r="G4" s="36">
        <v>0.1</v>
      </c>
      <c r="H4" s="178" t="s">
        <v>263</v>
      </c>
      <c r="I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4" s="40" t="b">
        <f>IF(TableauFfinale[[#This Row],[Date]]&lt;&gt;"",AND(TableauFfinale[[#This Row],[Ecart de règlement]]&lt;&gt;"",TableauFfinale[[#This Row],[Ecart de règlement]]&gt;=-1),"")</f>
        <v>1</v>
      </c>
      <c r="K4" s="29">
        <v>3098.06</v>
      </c>
      <c r="L4" s="29">
        <v>3155.56</v>
      </c>
      <c r="M4" s="47">
        <v>5.5E-2</v>
      </c>
      <c r="N4" s="29">
        <f>IF(TableauFfinale[[#This Row],[Dont soumis au taux réduit]]="","",TableauFfinale[[#This Row],[Dont soumis au taux réduit]]*TableauFfinale[[#This Row],[Taux réduit]])</f>
        <v>173.5558</v>
      </c>
      <c r="O4" s="29">
        <v>-57.5</v>
      </c>
      <c r="P4" s="47">
        <v>0</v>
      </c>
      <c r="Q4" s="29">
        <f>IF(TableauFfinale[[#This Row],[Dont soumis au taux intermédiaire]]="","",TableauFfinale[[#This Row],[Dont soumis au taux intermédiaire]]*TableauFfinale[[#This Row],[Taux intermédiaire]])</f>
        <v>0</v>
      </c>
      <c r="R4" s="29"/>
      <c r="S4" s="47"/>
      <c r="T4" s="29" t="str">
        <f>IF(TableauFfinale[[#This Row],[Dont soumis au taux normal]]="","",TableauFfinale[[#This Row],[Dont soumis au taux normal]]*TableauFfinale[[#This Row],[Taux normal]])</f>
        <v/>
      </c>
      <c r="U4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3271.6158</v>
      </c>
      <c r="V4" s="38"/>
      <c r="W4" s="4">
        <f>IF(TableauFfinale[[#This Row],[Date]]="","",SUM(TableauFfinale[[#This Row],[TOTAL TTC]]-TableauFfinale[[#This Row],[Ecarts réglements FA1+FA2-AVOIR (report)]]))</f>
        <v>3271.6158</v>
      </c>
      <c r="X4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-0.01</v>
      </c>
      <c r="Y4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-5.7999999999083229E-3</v>
      </c>
      <c r="Z4" s="30">
        <v>42466</v>
      </c>
      <c r="AA4" s="38">
        <v>3271.61</v>
      </c>
      <c r="AB4" s="203"/>
      <c r="AC4" s="203" t="s">
        <v>341</v>
      </c>
      <c r="AD4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42466</v>
      </c>
      <c r="AE4" s="30"/>
      <c r="AF4" s="39"/>
      <c r="AI4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4" s="30"/>
      <c r="AK4" s="39"/>
      <c r="AN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4" s="45"/>
      <c r="AQ4" s="45"/>
      <c r="AR4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5" spans="1:45" x14ac:dyDescent="0.3">
      <c r="A5" s="33">
        <v>42405</v>
      </c>
      <c r="B5" s="31" t="str">
        <f t="shared" si="1"/>
        <v>F</v>
      </c>
      <c r="C5" s="2">
        <f>IF(TableauFfinale[[#This Row],[Date]]="","",IF(MONTH(TableauFfinale[[#This Row],[Date]])=MONTH(A4),C4+1,1))</f>
        <v>2</v>
      </c>
      <c r="D5" s="180" t="s">
        <v>118</v>
      </c>
      <c r="E5" s="180" t="s">
        <v>64</v>
      </c>
      <c r="F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F-16020002</v>
      </c>
      <c r="G5" s="36">
        <v>0.1</v>
      </c>
      <c r="H5" s="181" t="s">
        <v>109</v>
      </c>
      <c r="I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5" s="40" t="b">
        <f>IF(TableauFfinale[[#This Row],[Date]]&lt;&gt;"",AND(TableauFfinale[[#This Row],[Ecart de règlement]]&lt;&gt;"",TableauFfinale[[#This Row],[Ecart de règlement]]&gt;=-1),"")</f>
        <v>1</v>
      </c>
      <c r="K5" s="29">
        <v>555</v>
      </c>
      <c r="L5" s="29"/>
      <c r="M5" s="47"/>
      <c r="N5" s="29" t="str">
        <f>IF(TableauFfinale[[#This Row],[Dont soumis au taux réduit]]="","",TableauFfinale[[#This Row],[Dont soumis au taux réduit]]*TableauFfinale[[#This Row],[Taux réduit]])</f>
        <v/>
      </c>
      <c r="O5" s="29">
        <v>555</v>
      </c>
      <c r="P5" s="47">
        <v>0.1</v>
      </c>
      <c r="Q5" s="29">
        <f>IF(TableauFfinale[[#This Row],[Dont soumis au taux intermédiaire]]="","",TableauFfinale[[#This Row],[Dont soumis au taux intermédiaire]]*TableauFfinale[[#This Row],[Taux intermédiaire]])</f>
        <v>55.5</v>
      </c>
      <c r="R5" s="29"/>
      <c r="S5" s="47"/>
      <c r="T5" s="29" t="str">
        <f>IF(TableauFfinale[[#This Row],[Dont soumis au taux normal]]="","",TableauFfinale[[#This Row],[Dont soumis au taux normal]]*TableauFfinale[[#This Row],[Taux normal]])</f>
        <v/>
      </c>
      <c r="U5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610.5</v>
      </c>
      <c r="V5" s="38"/>
      <c r="W5" s="4">
        <f>IF(TableauFfinale[[#This Row],[Date]]="","",SUM(TableauFfinale[[#This Row],[TOTAL TTC]]-TableauFfinale[[#This Row],[Ecarts réglements FA1+FA2-AVOIR (report)]]))</f>
        <v>610.5</v>
      </c>
      <c r="X5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-0.01</v>
      </c>
      <c r="Y5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-9.9999999999909051E-3</v>
      </c>
      <c r="Z5" s="30">
        <v>42466</v>
      </c>
      <c r="AA5" s="38">
        <v>610.49</v>
      </c>
      <c r="AB5" s="203"/>
      <c r="AC5" s="203" t="s">
        <v>341</v>
      </c>
      <c r="AD5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42466</v>
      </c>
      <c r="AE5" s="30"/>
      <c r="AF5" s="39"/>
      <c r="AI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5" s="30"/>
      <c r="AK5" s="39"/>
      <c r="AN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5" s="45"/>
      <c r="AQ5" s="45"/>
      <c r="AR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6" spans="1:45" x14ac:dyDescent="0.3">
      <c r="A6" s="33">
        <v>42431</v>
      </c>
      <c r="B6" s="31" t="str">
        <f t="shared" si="1"/>
        <v>F</v>
      </c>
      <c r="C6" s="2">
        <f>IF(TableauFfinale[[#This Row],[Date]]="","",IF(MONTH(TableauFfinale[[#This Row],[Date]])=MONTH(A5),C5+1,1))</f>
        <v>1</v>
      </c>
      <c r="D6" s="194" t="s">
        <v>254</v>
      </c>
      <c r="E6" s="194" t="s">
        <v>64</v>
      </c>
      <c r="F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F-16030001</v>
      </c>
      <c r="G6" s="36">
        <v>0.1</v>
      </c>
      <c r="H6" s="195" t="s">
        <v>19</v>
      </c>
      <c r="I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6" s="40" t="b">
        <f>IF(TableauFfinale[[#This Row],[Date]]&lt;&gt;"",AND(TableauFfinale[[#This Row],[Ecart de règlement]]&lt;&gt;"",TableauFfinale[[#This Row],[Ecart de règlement]]&gt;=-1),"")</f>
        <v>1</v>
      </c>
      <c r="K6" s="29">
        <v>272.89999999999998</v>
      </c>
      <c r="L6" s="29"/>
      <c r="M6" s="47"/>
      <c r="N6" s="29" t="str">
        <f>IF(TableauFfinale[[#This Row],[Dont soumis au taux réduit]]="","",TableauFfinale[[#This Row],[Dont soumis au taux réduit]]*TableauFfinale[[#This Row],[Taux réduit]])</f>
        <v/>
      </c>
      <c r="O6" s="29">
        <v>45.6</v>
      </c>
      <c r="P6" s="47">
        <v>0.1</v>
      </c>
      <c r="Q6" s="29">
        <f>IF(TableauFfinale[[#This Row],[Dont soumis au taux intermédiaire]]="","",TableauFfinale[[#This Row],[Dont soumis au taux intermédiaire]]*TableauFfinale[[#This Row],[Taux intermédiaire]])</f>
        <v>4.5600000000000005</v>
      </c>
      <c r="R6" s="29">
        <v>227.3</v>
      </c>
      <c r="S6" s="47">
        <v>0.2</v>
      </c>
      <c r="T6" s="29">
        <f>IF(TableauFfinale[[#This Row],[Dont soumis au taux normal]]="","",TableauFfinale[[#This Row],[Dont soumis au taux normal]]*TableauFfinale[[#This Row],[Taux normal]])</f>
        <v>45.460000000000008</v>
      </c>
      <c r="U6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322.91999999999996</v>
      </c>
      <c r="V6" s="38"/>
      <c r="W6" s="4">
        <f>IF(TableauFfinale[[#This Row],[Date]]="","",SUM(TableauFfinale[[#This Row],[TOTAL TTC]]-TableauFfinale[[#This Row],[Ecarts réglements FA1+FA2-AVOIR (report)]]))</f>
        <v>322.91999999999996</v>
      </c>
      <c r="X6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-0.27</v>
      </c>
      <c r="Y6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-0.26999999999986812</v>
      </c>
      <c r="Z6" s="30">
        <v>42431</v>
      </c>
      <c r="AA6" s="38">
        <f>2260.13-1937.48</f>
        <v>322.65000000000009</v>
      </c>
      <c r="AB6" s="196"/>
      <c r="AC6" s="31">
        <v>1490734</v>
      </c>
      <c r="AD6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42439</v>
      </c>
      <c r="AE6" s="30"/>
      <c r="AF6" s="39"/>
      <c r="AI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6" s="30"/>
      <c r="AK6" s="39"/>
      <c r="AN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6" s="45"/>
      <c r="AQ6" s="45"/>
      <c r="AR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7" spans="1:45" x14ac:dyDescent="0.3">
      <c r="A7" s="33">
        <v>42466</v>
      </c>
      <c r="B7" s="31" t="str">
        <f t="shared" ref="B7:B13" si="2">IF(A7="","",$B$2)</f>
        <v>F</v>
      </c>
      <c r="C7" s="2">
        <f>IF(TableauFfinale[[#This Row],[Date]]="","",IF(MONTH(TableauFfinale[[#This Row],[Date]])=MONTH(A6),C6+1,1))</f>
        <v>1</v>
      </c>
      <c r="D7" s="200" t="s">
        <v>258</v>
      </c>
      <c r="E7" s="200" t="s">
        <v>64</v>
      </c>
      <c r="F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F-16040001</v>
      </c>
      <c r="G7" s="36">
        <v>0.7</v>
      </c>
      <c r="H7" s="201" t="s">
        <v>19</v>
      </c>
      <c r="I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7" s="40" t="b">
        <f>IF(TableauFfinale[[#This Row],[Date]]&lt;&gt;"",AND(TableauFfinale[[#This Row],[Ecart de règlement]]&lt;&gt;"",TableauFfinale[[#This Row],[Ecart de règlement]]&gt;=-1),"")</f>
        <v>1</v>
      </c>
      <c r="K7" s="29">
        <v>1426.79</v>
      </c>
      <c r="L7" s="29"/>
      <c r="M7" s="47"/>
      <c r="N7" s="29" t="str">
        <f>IF(TableauFfinale[[#This Row],[Dont soumis au taux réduit]]="","",TableauFfinale[[#This Row],[Dont soumis au taux réduit]]*TableauFfinale[[#This Row],[Taux réduit]])</f>
        <v/>
      </c>
      <c r="O7" s="29">
        <v>319.16000000000003</v>
      </c>
      <c r="P7" s="47">
        <v>0.1</v>
      </c>
      <c r="Q7" s="29">
        <f>IF(TableauFfinale[[#This Row],[Dont soumis au taux intermédiaire]]="","",TableauFfinale[[#This Row],[Dont soumis au taux intermédiaire]]*TableauFfinale[[#This Row],[Taux intermédiaire]])</f>
        <v>31.916000000000004</v>
      </c>
      <c r="R7" s="29">
        <v>1107.6300000000001</v>
      </c>
      <c r="S7" s="47">
        <v>0.2</v>
      </c>
      <c r="T7" s="29">
        <f>IF(TableauFfinale[[#This Row],[Dont soumis au taux normal]]="","",TableauFfinale[[#This Row],[Dont soumis au taux normal]]*TableauFfinale[[#This Row],[Taux normal]])</f>
        <v>221.52600000000004</v>
      </c>
      <c r="U7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1680.232</v>
      </c>
      <c r="V7" s="38"/>
      <c r="W7" s="4">
        <f>IF(TableauFfinale[[#This Row],[Date]]="","",SUM(TableauFfinale[[#This Row],[TOTAL TTC]]-TableauFfinale[[#This Row],[Ecarts réglements FA1+FA2-AVOIR (report)]]))</f>
        <v>1680.232</v>
      </c>
      <c r="X7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7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-1.9999999999527063E-3</v>
      </c>
      <c r="Z7" s="30">
        <v>42467</v>
      </c>
      <c r="AA7" s="38">
        <v>1680.23</v>
      </c>
      <c r="AB7" s="204"/>
      <c r="AC7" s="31">
        <v>8911504</v>
      </c>
      <c r="AD7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42471</v>
      </c>
      <c r="AE7" s="30"/>
      <c r="AF7" s="39"/>
      <c r="AI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7" s="30"/>
      <c r="AK7" s="39"/>
      <c r="AN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7" s="45"/>
      <c r="AQ7" s="45"/>
      <c r="AR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8" spans="1:45" x14ac:dyDescent="0.3">
      <c r="A8" s="33">
        <v>42466</v>
      </c>
      <c r="B8" s="31" t="str">
        <f t="shared" si="2"/>
        <v>F</v>
      </c>
      <c r="C8" s="2">
        <f>IF(TableauFfinale[[#This Row],[Date]]="","",IF(MONTH(TableauFfinale[[#This Row],[Date]])=MONTH(A7),C7+1,1))</f>
        <v>2</v>
      </c>
      <c r="D8" s="200" t="s">
        <v>258</v>
      </c>
      <c r="E8" s="200" t="s">
        <v>64</v>
      </c>
      <c r="F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F-16040002</v>
      </c>
      <c r="G8" s="36">
        <v>0.7</v>
      </c>
      <c r="H8" s="201" t="s">
        <v>93</v>
      </c>
      <c r="I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8" s="40" t="b">
        <f>IF(TableauFfinale[[#This Row],[Date]]&lt;&gt;"",AND(TableauFfinale[[#This Row],[Ecart de règlement]]&lt;&gt;"",TableauFfinale[[#This Row],[Ecart de règlement]]&gt;=-1),"")</f>
        <v>1</v>
      </c>
      <c r="K8" s="29">
        <v>1007.5</v>
      </c>
      <c r="L8" s="29">
        <v>1007.5</v>
      </c>
      <c r="M8" s="47">
        <v>5.5E-2</v>
      </c>
      <c r="N8" s="29">
        <f>IF(TableauFfinale[[#This Row],[Dont soumis au taux réduit]]="","",TableauFfinale[[#This Row],[Dont soumis au taux réduit]]*TableauFfinale[[#This Row],[Taux réduit]])</f>
        <v>55.412500000000001</v>
      </c>
      <c r="O8" s="29"/>
      <c r="P8" s="47"/>
      <c r="Q8" s="29" t="str">
        <f>IF(TableauFfinale[[#This Row],[Dont soumis au taux intermédiaire]]="","",TableauFfinale[[#This Row],[Dont soumis au taux intermédiaire]]*TableauFfinale[[#This Row],[Taux intermédiaire]])</f>
        <v/>
      </c>
      <c r="R8" s="29"/>
      <c r="S8" s="47"/>
      <c r="T8" s="29" t="str">
        <f>IF(TableauFfinale[[#This Row],[Dont soumis au taux normal]]="","",TableauFfinale[[#This Row],[Dont soumis au taux normal]]*TableauFfinale[[#This Row],[Taux normal]])</f>
        <v/>
      </c>
      <c r="U8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1062.9124999999999</v>
      </c>
      <c r="V8" s="38"/>
      <c r="W8" s="4">
        <f>IF(TableauFfinale[[#This Row],[Date]]="","",SUM(TableauFfinale[[#This Row],[TOTAL TTC]]-TableauFfinale[[#This Row],[Ecarts réglements FA1+FA2-AVOIR (report)]]))</f>
        <v>1062.9124999999999</v>
      </c>
      <c r="X8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8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-2.499999999827196E-3</v>
      </c>
      <c r="Z8" s="30">
        <v>42475</v>
      </c>
      <c r="AA8" s="38">
        <v>1062.9100000000001</v>
      </c>
      <c r="AB8" s="208"/>
      <c r="AC8" s="31">
        <v>8911506</v>
      </c>
      <c r="AD8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42508</v>
      </c>
      <c r="AE8" s="30"/>
      <c r="AF8" s="39"/>
      <c r="AI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8" s="30"/>
      <c r="AK8" s="39"/>
      <c r="AN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8" s="45"/>
      <c r="AQ8" s="45"/>
      <c r="AR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9" spans="1:45" x14ac:dyDescent="0.3">
      <c r="A9" s="33">
        <v>42467</v>
      </c>
      <c r="B9" s="31" t="str">
        <f t="shared" si="2"/>
        <v>F</v>
      </c>
      <c r="C9" s="2">
        <f>IF(TableauFfinale[[#This Row],[Date]]="","",IF(MONTH(TableauFfinale[[#This Row],[Date]])=MONTH(A8),C8+1,1))</f>
        <v>3</v>
      </c>
      <c r="D9" s="202" t="s">
        <v>152</v>
      </c>
      <c r="E9" s="202" t="s">
        <v>64</v>
      </c>
      <c r="F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F-16040003</v>
      </c>
      <c r="G9" s="36">
        <v>0.7</v>
      </c>
      <c r="H9" s="201" t="s">
        <v>93</v>
      </c>
      <c r="I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9" s="40" t="b">
        <f>IF(TableauFfinale[[#This Row],[Date]]&lt;&gt;"",AND(TableauFfinale[[#This Row],[Ecart de règlement]]&lt;&gt;"",TableauFfinale[[#This Row],[Ecart de règlement]]&gt;=-1),"")</f>
        <v>1</v>
      </c>
      <c r="K9" s="29">
        <v>1684.2</v>
      </c>
      <c r="L9" s="29">
        <v>1684.2</v>
      </c>
      <c r="M9" s="47">
        <v>5.5E-2</v>
      </c>
      <c r="N9" s="29">
        <f>IF(TableauFfinale[[#This Row],[Dont soumis au taux réduit]]="","",TableauFfinale[[#This Row],[Dont soumis au taux réduit]]*TableauFfinale[[#This Row],[Taux réduit]])</f>
        <v>92.631</v>
      </c>
      <c r="O9" s="29"/>
      <c r="P9" s="47"/>
      <c r="Q9" s="29" t="str">
        <f>IF(TableauFfinale[[#This Row],[Dont soumis au taux intermédiaire]]="","",TableauFfinale[[#This Row],[Dont soumis au taux intermédiaire]]*TableauFfinale[[#This Row],[Taux intermédiaire]])</f>
        <v/>
      </c>
      <c r="R9" s="29"/>
      <c r="S9" s="47"/>
      <c r="T9" s="29" t="str">
        <f>IF(TableauFfinale[[#This Row],[Dont soumis au taux normal]]="","",TableauFfinale[[#This Row],[Dont soumis au taux normal]]*TableauFfinale[[#This Row],[Taux normal]])</f>
        <v/>
      </c>
      <c r="U9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1776.8310000000001</v>
      </c>
      <c r="V9" s="38"/>
      <c r="W9" s="4">
        <f>IF(TableauFfinale[[#This Row],[Date]]="","",SUM(TableauFfinale[[#This Row],[TOTAL TTC]]-TableauFfinale[[#This Row],[Ecarts réglements FA1+FA2-AVOIR (report)]]))</f>
        <v>1776.8310000000001</v>
      </c>
      <c r="X9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9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-1.0000000002037268E-3</v>
      </c>
      <c r="Z9" s="30">
        <v>42495</v>
      </c>
      <c r="AA9" s="38">
        <v>1776.83</v>
      </c>
      <c r="AB9" s="217"/>
      <c r="AC9" s="31">
        <v>8911510</v>
      </c>
      <c r="AD9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42508</v>
      </c>
      <c r="AE9" s="30"/>
      <c r="AF9" s="39"/>
      <c r="AI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9" s="30"/>
      <c r="AK9" s="39"/>
      <c r="AN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9" s="45"/>
      <c r="AQ9" s="45"/>
      <c r="AR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0" spans="1:45" x14ac:dyDescent="0.3">
      <c r="A10" s="33">
        <v>42467</v>
      </c>
      <c r="B10" s="31" t="str">
        <f t="shared" si="2"/>
        <v>F</v>
      </c>
      <c r="C10" s="2">
        <f>IF(TableauFfinale[[#This Row],[Date]]="","",IF(MONTH(TableauFfinale[[#This Row],[Date]])=MONTH(A9),C9+1,1))</f>
        <v>4</v>
      </c>
      <c r="D10" s="202" t="s">
        <v>118</v>
      </c>
      <c r="E10" s="202" t="s">
        <v>64</v>
      </c>
      <c r="F1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F-16040004</v>
      </c>
      <c r="G10" s="36">
        <v>0.1</v>
      </c>
      <c r="H10" s="203" t="s">
        <v>110</v>
      </c>
      <c r="I1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0" s="40" t="b">
        <f>IF(TableauFfinale[[#This Row],[Date]]&lt;&gt;"",AND(TableauFfinale[[#This Row],[Ecart de règlement]]&lt;&gt;"",TableauFfinale[[#This Row],[Ecart de règlement]]&gt;=-1),"")</f>
        <v>0</v>
      </c>
      <c r="K10" s="29">
        <v>2187.4699999999998</v>
      </c>
      <c r="L10" s="29">
        <v>2187.4699999999998</v>
      </c>
      <c r="M10" s="47">
        <v>5.5E-2</v>
      </c>
      <c r="N10" s="29">
        <f>IF(TableauFfinale[[#This Row],[Dont soumis au taux réduit]]="","",TableauFfinale[[#This Row],[Dont soumis au taux réduit]]*TableauFfinale[[#This Row],[Taux réduit]])</f>
        <v>120.31084999999999</v>
      </c>
      <c r="O10" s="29"/>
      <c r="P10" s="47"/>
      <c r="Q10" s="29" t="str">
        <f>IF(TableauFfinale[[#This Row],[Dont soumis au taux intermédiaire]]="","",TableauFfinale[[#This Row],[Dont soumis au taux intermédiaire]]*TableauFfinale[[#This Row],[Taux intermédiaire]])</f>
        <v/>
      </c>
      <c r="R10" s="29"/>
      <c r="S10" s="47"/>
      <c r="T10" s="29" t="str">
        <f>IF(TableauFfinale[[#This Row],[Dont soumis au taux normal]]="","",TableauFfinale[[#This Row],[Dont soumis au taux normal]]*TableauFfinale[[#This Row],[Taux normal]])</f>
        <v/>
      </c>
      <c r="U10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2307.7808499999996</v>
      </c>
      <c r="V10" s="38"/>
      <c r="W10" s="4">
        <f>IF(TableauFfinale[[#This Row],[Date]]="","",SUM(TableauFfinale[[#This Row],[TOTAL TTC]]-TableauFfinale[[#This Row],[Ecarts réglements FA1+FA2-AVOIR (report)]]))</f>
        <v>2307.7808499999996</v>
      </c>
      <c r="X1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0" s="38"/>
      <c r="AB10" s="31"/>
      <c r="AD1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0" s="30"/>
      <c r="AF10" s="39"/>
      <c r="AI1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0" s="30"/>
      <c r="AK10" s="39"/>
      <c r="AN1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0" s="45"/>
      <c r="AQ10" s="45"/>
      <c r="AR1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1" spans="1:45" x14ac:dyDescent="0.3">
      <c r="A11" s="33">
        <v>42479</v>
      </c>
      <c r="B11" s="31" t="str">
        <f t="shared" si="2"/>
        <v>F</v>
      </c>
      <c r="C11" s="2">
        <f>IF(TableauFfinale[[#This Row],[Date]]="","",IF(MONTH(TableauFfinale[[#This Row],[Date]])=MONTH(A10),C10+1,1))</f>
        <v>5</v>
      </c>
      <c r="D11" s="240" t="s">
        <v>261</v>
      </c>
      <c r="E11" s="206" t="s">
        <v>64</v>
      </c>
      <c r="F1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F-16040005</v>
      </c>
      <c r="G11" s="36">
        <v>0.7</v>
      </c>
      <c r="H11" s="207" t="s">
        <v>93</v>
      </c>
      <c r="I1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1" s="40" t="b">
        <f>IF(TableauFfinale[[#This Row],[Date]]&lt;&gt;"",AND(TableauFfinale[[#This Row],[Ecart de règlement]]&lt;&gt;"",TableauFfinale[[#This Row],[Ecart de règlement]]&gt;=-1),"")</f>
        <v>1</v>
      </c>
      <c r="K11" s="29">
        <v>1268.4000000000001</v>
      </c>
      <c r="L11" s="29">
        <v>1268.4000000000001</v>
      </c>
      <c r="M11" s="47">
        <v>5.5E-2</v>
      </c>
      <c r="N11" s="29">
        <f>IF(TableauFfinale[[#This Row],[Dont soumis au taux réduit]]="","",TableauFfinale[[#This Row],[Dont soumis au taux réduit]]*TableauFfinale[[#This Row],[Taux réduit]])</f>
        <v>69.762</v>
      </c>
      <c r="O11" s="29"/>
      <c r="P11" s="47"/>
      <c r="Q11" s="29" t="str">
        <f>IF(TableauFfinale[[#This Row],[Dont soumis au taux intermédiaire]]="","",TableauFfinale[[#This Row],[Dont soumis au taux intermédiaire]]*TableauFfinale[[#This Row],[Taux intermédiaire]])</f>
        <v/>
      </c>
      <c r="R11" s="29"/>
      <c r="S11" s="47"/>
      <c r="T11" s="29" t="str">
        <f>IF(TableauFfinale[[#This Row],[Dont soumis au taux normal]]="","",TableauFfinale[[#This Row],[Dont soumis au taux normal]]*TableauFfinale[[#This Row],[Taux normal]])</f>
        <v/>
      </c>
      <c r="U11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1338.162</v>
      </c>
      <c r="V11" s="38"/>
      <c r="W11" s="4">
        <f>IF(TableauFfinale[[#This Row],[Date]]="","",SUM(TableauFfinale[[#This Row],[TOTAL TTC]]-TableauFfinale[[#This Row],[Ecarts réglements FA1+FA2-AVOIR (report)]]))</f>
        <v>1338.162</v>
      </c>
      <c r="X11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1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-1.9999999999527063E-3</v>
      </c>
      <c r="AA11" s="38">
        <v>1338.16</v>
      </c>
      <c r="AB11" s="209"/>
      <c r="AC11" s="209" t="s">
        <v>346</v>
      </c>
      <c r="AD11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42486</v>
      </c>
      <c r="AE11" s="30"/>
      <c r="AF11" s="39"/>
      <c r="AI1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1" s="30"/>
      <c r="AK11" s="39"/>
      <c r="AN1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1" s="45"/>
      <c r="AQ11" s="45"/>
      <c r="AR1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2" spans="1:45" x14ac:dyDescent="0.3">
      <c r="A12" s="33">
        <v>42479</v>
      </c>
      <c r="B12" s="31" t="str">
        <f t="shared" si="2"/>
        <v>F</v>
      </c>
      <c r="C12" s="2">
        <f>IF(TableauFfinale[[#This Row],[Date]]="","",IF(MONTH(TableauFfinale[[#This Row],[Date]])=MONTH(A11),C11+1,1))</f>
        <v>6</v>
      </c>
      <c r="D12" s="240" t="s">
        <v>261</v>
      </c>
      <c r="E12" s="206" t="s">
        <v>64</v>
      </c>
      <c r="F12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F-16040006</v>
      </c>
      <c r="G12" s="36">
        <v>0.7</v>
      </c>
      <c r="H12" s="207" t="s">
        <v>18</v>
      </c>
      <c r="I12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2" s="40" t="b">
        <f>IF(TableauFfinale[[#This Row],[Date]]&lt;&gt;"",AND(TableauFfinale[[#This Row],[Ecart de règlement]]&lt;&gt;"",TableauFfinale[[#This Row],[Ecart de règlement]]&gt;=-1),"")</f>
        <v>1</v>
      </c>
      <c r="K12" s="29">
        <v>2050.36</v>
      </c>
      <c r="L12" s="29">
        <v>2050.36</v>
      </c>
      <c r="M12" s="47">
        <v>5.5E-2</v>
      </c>
      <c r="N12" s="29">
        <f>IF(TableauFfinale[[#This Row],[Dont soumis au taux réduit]]="","",TableauFfinale[[#This Row],[Dont soumis au taux réduit]]*TableauFfinale[[#This Row],[Taux réduit]])</f>
        <v>112.7698</v>
      </c>
      <c r="O12" s="29"/>
      <c r="P12" s="47"/>
      <c r="Q12" s="29" t="str">
        <f>IF(TableauFfinale[[#This Row],[Dont soumis au taux intermédiaire]]="","",TableauFfinale[[#This Row],[Dont soumis au taux intermédiaire]]*TableauFfinale[[#This Row],[Taux intermédiaire]])</f>
        <v/>
      </c>
      <c r="R12" s="29"/>
      <c r="S12" s="47"/>
      <c r="T12" s="29" t="str">
        <f>IF(TableauFfinale[[#This Row],[Dont soumis au taux normal]]="","",TableauFfinale[[#This Row],[Dont soumis au taux normal]]*TableauFfinale[[#This Row],[Taux normal]])</f>
        <v/>
      </c>
      <c r="U12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2163.1298000000002</v>
      </c>
      <c r="V12" s="38"/>
      <c r="W12" s="4">
        <f>IF(TableauFfinale[[#This Row],[Date]]="","",SUM(TableauFfinale[[#This Row],[TOTAL TTC]]-TableauFfinale[[#This Row],[Ecarts réglements FA1+FA2-AVOIR (report)]]))</f>
        <v>2163.1298000000002</v>
      </c>
      <c r="X12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2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1.9999999994979589E-4</v>
      </c>
      <c r="AA12" s="38">
        <v>2163.13</v>
      </c>
      <c r="AB12" s="209"/>
      <c r="AC12" s="209" t="s">
        <v>347</v>
      </c>
      <c r="AD12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42486</v>
      </c>
      <c r="AE12" s="30"/>
      <c r="AF12" s="39"/>
      <c r="AI12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2" s="30"/>
      <c r="AK12" s="39"/>
      <c r="AN12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2" s="45"/>
      <c r="AQ12" s="45"/>
      <c r="AR12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3" spans="1:45" x14ac:dyDescent="0.3">
      <c r="A13" s="33">
        <v>42479</v>
      </c>
      <c r="B13" s="31" t="str">
        <f t="shared" si="2"/>
        <v>F</v>
      </c>
      <c r="C13" s="2">
        <f>IF(TableauFfinale[[#This Row],[Date]]="","",IF(MONTH(TableauFfinale[[#This Row],[Date]])=MONTH(A12),C12+1,1))</f>
        <v>7</v>
      </c>
      <c r="D13" s="210" t="s">
        <v>349</v>
      </c>
      <c r="E13" s="210" t="s">
        <v>14</v>
      </c>
      <c r="F1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F-16040007</v>
      </c>
      <c r="G13" s="36">
        <v>1</v>
      </c>
      <c r="H13" s="211" t="s">
        <v>350</v>
      </c>
      <c r="I1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3" s="40" t="b">
        <f>IF(TableauFfinale[[#This Row],[Date]]&lt;&gt;"",AND(TableauFfinale[[#This Row],[Ecart de règlement]]&lt;&gt;"",TableauFfinale[[#This Row],[Ecart de règlement]]&gt;=-1),"")</f>
        <v>1</v>
      </c>
      <c r="K13" s="29">
        <v>199.35</v>
      </c>
      <c r="L13" s="29">
        <v>199.35</v>
      </c>
      <c r="M13" s="47">
        <v>5.5E-2</v>
      </c>
      <c r="N13" s="29">
        <f>IF(TableauFfinale[[#This Row],[Dont soumis au taux réduit]]="","",TableauFfinale[[#This Row],[Dont soumis au taux réduit]]*TableauFfinale[[#This Row],[Taux réduit]])</f>
        <v>10.96425</v>
      </c>
      <c r="O13" s="29"/>
      <c r="P13" s="47"/>
      <c r="Q13" s="29" t="str">
        <f>IF(TableauFfinale[[#This Row],[Dont soumis au taux intermédiaire]]="","",TableauFfinale[[#This Row],[Dont soumis au taux intermédiaire]]*TableauFfinale[[#This Row],[Taux intermédiaire]])</f>
        <v/>
      </c>
      <c r="R13" s="29"/>
      <c r="S13" s="47"/>
      <c r="T13" s="29" t="str">
        <f>IF(TableauFfinale[[#This Row],[Dont soumis au taux normal]]="","",TableauFfinale[[#This Row],[Dont soumis au taux normal]]*TableauFfinale[[#This Row],[Taux normal]])</f>
        <v/>
      </c>
      <c r="U13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210.31424999999999</v>
      </c>
      <c r="V13" s="38"/>
      <c r="W13" s="4">
        <f>IF(TableauFfinale[[#This Row],[Date]]="","",SUM(TableauFfinale[[#This Row],[TOTAL TTC]]-TableauFfinale[[#This Row],[Ecarts réglements FA1+FA2-AVOIR (report)]]))</f>
        <v>210.31424999999999</v>
      </c>
      <c r="X13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3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-4.249999999984766E-3</v>
      </c>
      <c r="Z13" s="30">
        <v>42492</v>
      </c>
      <c r="AA13" s="38">
        <v>210.31</v>
      </c>
      <c r="AB13" s="216"/>
      <c r="AC13" s="31">
        <v>8911510</v>
      </c>
      <c r="AD13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42508</v>
      </c>
      <c r="AE13" s="30"/>
      <c r="AF13" s="39"/>
      <c r="AI1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3" s="30"/>
      <c r="AK13" s="39"/>
      <c r="AN1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3" s="45"/>
      <c r="AQ13" s="45"/>
      <c r="AR1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4" spans="1:45" x14ac:dyDescent="0.3">
      <c r="A14" s="33">
        <v>42493</v>
      </c>
      <c r="B14" s="31" t="str">
        <f t="shared" ref="B14:B17" si="3">IF(A14="","",$B$2)</f>
        <v>F</v>
      </c>
      <c r="C14" s="2">
        <f>IF(TableauFfinale[[#This Row],[Date]]="","",IF(MONTH(TableauFfinale[[#This Row],[Date]])=MONTH(A13),C13+1,1))</f>
        <v>1</v>
      </c>
      <c r="D14" s="212" t="s">
        <v>169</v>
      </c>
      <c r="E14" s="212" t="s">
        <v>0</v>
      </c>
      <c r="F1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F-16050001</v>
      </c>
      <c r="G14" s="36">
        <v>0.7</v>
      </c>
      <c r="H14" s="213" t="s">
        <v>362</v>
      </c>
      <c r="I1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4" s="40" t="b">
        <f>IF(TableauFfinale[[#This Row],[Date]]&lt;&gt;"",AND(TableauFfinale[[#This Row],[Ecart de règlement]]&lt;&gt;"",TableauFfinale[[#This Row],[Ecart de règlement]]&gt;=-1),"")</f>
        <v>1</v>
      </c>
      <c r="K14" s="29">
        <v>3906.11</v>
      </c>
      <c r="L14" s="29">
        <v>3906.11</v>
      </c>
      <c r="M14" s="47">
        <v>5.5E-2</v>
      </c>
      <c r="N14" s="29">
        <f>IF(TableauFfinale[[#This Row],[Dont soumis au taux réduit]]="","",TableauFfinale[[#This Row],[Dont soumis au taux réduit]]*TableauFfinale[[#This Row],[Taux réduit]])</f>
        <v>214.83605</v>
      </c>
      <c r="O14" s="29"/>
      <c r="P14" s="47"/>
      <c r="Q14" s="29" t="str">
        <f>IF(TableauFfinale[[#This Row],[Dont soumis au taux intermédiaire]]="","",TableauFfinale[[#This Row],[Dont soumis au taux intermédiaire]]*TableauFfinale[[#This Row],[Taux intermédiaire]])</f>
        <v/>
      </c>
      <c r="R14" s="29"/>
      <c r="S14" s="47"/>
      <c r="T14" s="29" t="str">
        <f>IF(TableauFfinale[[#This Row],[Dont soumis au taux normal]]="","",TableauFfinale[[#This Row],[Dont soumis au taux normal]]*TableauFfinale[[#This Row],[Taux normal]])</f>
        <v/>
      </c>
      <c r="U14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4120.9460500000005</v>
      </c>
      <c r="V14" s="38"/>
      <c r="W14" s="4">
        <f>IF(TableauFfinale[[#This Row],[Date]]="","",SUM(TableauFfinale[[#This Row],[TOTAL TTC]]-TableauFfinale[[#This Row],[Ecarts réglements FA1+FA2-AVOIR (report)]]))</f>
        <v>4120.9460500000005</v>
      </c>
      <c r="X14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4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3.9499999993495294E-3</v>
      </c>
      <c r="AA14" s="38">
        <v>1500</v>
      </c>
      <c r="AB14" s="215"/>
      <c r="AC14" s="214" t="s">
        <v>363</v>
      </c>
      <c r="AD14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42510</v>
      </c>
      <c r="AE14" s="30">
        <v>42494</v>
      </c>
      <c r="AF14" s="39">
        <v>2620.9499999999998</v>
      </c>
      <c r="AG14" s="218"/>
      <c r="AH14" s="31">
        <v>8911512</v>
      </c>
      <c r="AI14" s="30">
        <f>IF(TableauFfinale[[#This Row],[N° remise chèque 2]]="","",IF(VLOOKUP(TableauFfinale[[#This Row],[N° remise chèque 2]],matrice_remises,2,FALSE)&lt;&gt;"",VLOOKUP(TableauFfinale[[#This Row],[N° remise chèque 2]],matrice_remises,2,FALSE),""))</f>
        <v>42508</v>
      </c>
      <c r="AJ14" s="30"/>
      <c r="AK14" s="39"/>
      <c r="AN1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4" s="45">
        <v>42494</v>
      </c>
      <c r="AQ14" s="45"/>
      <c r="AR14" s="46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>40</v>
      </c>
    </row>
    <row r="15" spans="1:45" x14ac:dyDescent="0.3">
      <c r="A15" s="33">
        <v>42507</v>
      </c>
      <c r="B15" s="31" t="str">
        <f t="shared" si="3"/>
        <v>F</v>
      </c>
      <c r="C15" s="2">
        <f>IF(TableauFfinale[[#This Row],[Date]]="","",IF(MONTH(TableauFfinale[[#This Row],[Date]])=MONTH(A14),C14+1,1))</f>
        <v>2</v>
      </c>
      <c r="D15" s="221" t="s">
        <v>256</v>
      </c>
      <c r="E15" s="221" t="s">
        <v>64</v>
      </c>
      <c r="F1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F-16050002</v>
      </c>
      <c r="G15" s="36">
        <v>0.1</v>
      </c>
      <c r="H15" s="222" t="s">
        <v>110</v>
      </c>
      <c r="I1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5" s="40" t="b">
        <f>IF(TableauFfinale[[#This Row],[Date]]&lt;&gt;"",AND(TableauFfinale[[#This Row],[Ecart de règlement]]&lt;&gt;"",TableauFfinale[[#This Row],[Ecart de règlement]]&gt;=-1),"")</f>
        <v>0</v>
      </c>
      <c r="K15" s="29">
        <v>199.59</v>
      </c>
      <c r="L15" s="29">
        <v>199.59</v>
      </c>
      <c r="M15" s="47">
        <v>5.5E-2</v>
      </c>
      <c r="N15" s="29">
        <f>IF(TableauFfinale[[#This Row],[Dont soumis au taux réduit]]="","",TableauFfinale[[#This Row],[Dont soumis au taux réduit]]*TableauFfinale[[#This Row],[Taux réduit]])</f>
        <v>10.977450000000001</v>
      </c>
      <c r="O15" s="29"/>
      <c r="P15" s="47"/>
      <c r="Q15" s="29" t="str">
        <f>IF(TableauFfinale[[#This Row],[Dont soumis au taux intermédiaire]]="","",TableauFfinale[[#This Row],[Dont soumis au taux intermédiaire]]*TableauFfinale[[#This Row],[Taux intermédiaire]])</f>
        <v/>
      </c>
      <c r="R15" s="29"/>
      <c r="S15" s="47"/>
      <c r="T15" s="29" t="str">
        <f>IF(TableauFfinale[[#This Row],[Dont soumis au taux normal]]="","",TableauFfinale[[#This Row],[Dont soumis au taux normal]]*TableauFfinale[[#This Row],[Taux normal]])</f>
        <v/>
      </c>
      <c r="U15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210.56745000000001</v>
      </c>
      <c r="V15" s="38">
        <v>90</v>
      </c>
      <c r="W15" s="4">
        <f>IF(TableauFfinale[[#This Row],[Date]]="","",SUM(TableauFfinale[[#This Row],[TOTAL TTC]]-TableauFfinale[[#This Row],[Ecarts réglements FA1+FA2-AVOIR (report)]]))</f>
        <v>120.56745000000001</v>
      </c>
      <c r="X15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5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5" s="38"/>
      <c r="AB15" s="31"/>
      <c r="AD15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5" s="30"/>
      <c r="AF15" s="39"/>
      <c r="AI1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5" s="30"/>
      <c r="AK15" s="39"/>
      <c r="AN1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5" s="45"/>
      <c r="AQ15" s="45"/>
      <c r="AR1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6" spans="1:45" x14ac:dyDescent="0.3">
      <c r="A16" s="33">
        <v>42508</v>
      </c>
      <c r="B16" s="31" t="str">
        <f t="shared" si="3"/>
        <v>F</v>
      </c>
      <c r="C16" s="2">
        <f>IF(TableauFfinale[[#This Row],[Date]]="","",IF(MONTH(TableauFfinale[[#This Row],[Date]])=MONTH(A15),C15+1,1))</f>
        <v>3</v>
      </c>
      <c r="D16" s="223" t="s">
        <v>313</v>
      </c>
      <c r="E16" s="223" t="s">
        <v>64</v>
      </c>
      <c r="F1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F-16050003</v>
      </c>
      <c r="G16" s="36">
        <v>0.7</v>
      </c>
      <c r="H16" s="224" t="s">
        <v>364</v>
      </c>
      <c r="I1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6" s="40" t="b">
        <f>IF(TableauFfinale[[#This Row],[Date]]&lt;&gt;"",AND(TableauFfinale[[#This Row],[Ecart de règlement]]&lt;&gt;"",TableauFfinale[[#This Row],[Ecart de règlement]]&gt;=-1),"")</f>
        <v>1</v>
      </c>
      <c r="K16" s="29">
        <v>1480.39</v>
      </c>
      <c r="L16" s="29">
        <v>1480.39</v>
      </c>
      <c r="M16" s="47">
        <v>5.5E-2</v>
      </c>
      <c r="N16" s="29">
        <f>IF(TableauFfinale[[#This Row],[Dont soumis au taux réduit]]="","",TableauFfinale[[#This Row],[Dont soumis au taux réduit]]*TableauFfinale[[#This Row],[Taux réduit]])</f>
        <v>81.421450000000007</v>
      </c>
      <c r="O16" s="29"/>
      <c r="P16" s="47"/>
      <c r="Q16" s="29" t="str">
        <f>IF(TableauFfinale[[#This Row],[Dont soumis au taux intermédiaire]]="","",TableauFfinale[[#This Row],[Dont soumis au taux intermédiaire]]*TableauFfinale[[#This Row],[Taux intermédiaire]])</f>
        <v/>
      </c>
      <c r="R16" s="29"/>
      <c r="S16" s="47"/>
      <c r="T16" s="29" t="str">
        <f>IF(TableauFfinale[[#This Row],[Dont soumis au taux normal]]="","",TableauFfinale[[#This Row],[Dont soumis au taux normal]]*TableauFfinale[[#This Row],[Taux normal]])</f>
        <v/>
      </c>
      <c r="U16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1561.8114500000001</v>
      </c>
      <c r="V16" s="38">
        <v>0.66</v>
      </c>
      <c r="W16" s="4">
        <f>IF(TableauFfinale[[#This Row],[Date]]="","",SUM(TableauFfinale[[#This Row],[TOTAL TTC]]-TableauFfinale[[#This Row],[Ecarts réglements FA1+FA2-AVOIR (report)]]))</f>
        <v>1561.1514500000001</v>
      </c>
      <c r="X16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0.01</v>
      </c>
      <c r="Y16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8.5500000000138243E-3</v>
      </c>
      <c r="Z16" s="30">
        <v>42514</v>
      </c>
      <c r="AA16" s="38">
        <v>1561.16</v>
      </c>
      <c r="AB16" s="226"/>
      <c r="AC16" s="31">
        <v>8911515</v>
      </c>
      <c r="AD16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42521</v>
      </c>
      <c r="AE16" s="30"/>
      <c r="AF16" s="39"/>
      <c r="AI1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6" s="30"/>
      <c r="AK16" s="39"/>
      <c r="AN1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6" s="45"/>
      <c r="AQ16" s="45"/>
      <c r="AR1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7" spans="1:44" x14ac:dyDescent="0.3">
      <c r="A17" s="33">
        <v>42520</v>
      </c>
      <c r="B17" s="31" t="str">
        <f t="shared" si="3"/>
        <v>F</v>
      </c>
      <c r="C17" s="2">
        <f>IF(TableauFfinale[[#This Row],[Date]]="","",IF(MONTH(TableauFfinale[[#This Row],[Date]])=MONTH(A16),C16+1,1))</f>
        <v>4</v>
      </c>
      <c r="D17" s="227" t="s">
        <v>255</v>
      </c>
      <c r="E17" s="227" t="s">
        <v>64</v>
      </c>
      <c r="F1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F-16050004</v>
      </c>
      <c r="G17" s="36">
        <v>0.7</v>
      </c>
      <c r="H17" s="228" t="s">
        <v>15</v>
      </c>
      <c r="I1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7" s="40" t="b">
        <f>IF(TableauFfinale[[#This Row],[Date]]&lt;&gt;"",AND(TableauFfinale[[#This Row],[Ecart de règlement]]&lt;&gt;"",TableauFfinale[[#This Row],[Ecart de règlement]]&gt;=-1),"")</f>
        <v>1</v>
      </c>
      <c r="K17" s="29">
        <v>3594.23</v>
      </c>
      <c r="L17" s="29">
        <v>3594.23</v>
      </c>
      <c r="M17" s="47">
        <v>5.5E-2</v>
      </c>
      <c r="N17" s="29">
        <f>IF(TableauFfinale[[#This Row],[Dont soumis au taux réduit]]="","",TableauFfinale[[#This Row],[Dont soumis au taux réduit]]*TableauFfinale[[#This Row],[Taux réduit]])</f>
        <v>197.68265</v>
      </c>
      <c r="O17" s="29"/>
      <c r="P17" s="47"/>
      <c r="Q17" s="29" t="str">
        <f>IF(TableauFfinale[[#This Row],[Dont soumis au taux intermédiaire]]="","",TableauFfinale[[#This Row],[Dont soumis au taux intermédiaire]]*TableauFfinale[[#This Row],[Taux intermédiaire]])</f>
        <v/>
      </c>
      <c r="R17" s="29"/>
      <c r="S17" s="47"/>
      <c r="T17" s="29" t="str">
        <f>IF(TableauFfinale[[#This Row],[Dont soumis au taux normal]]="","",TableauFfinale[[#This Row],[Dont soumis au taux normal]]*TableauFfinale[[#This Row],[Taux normal]])</f>
        <v/>
      </c>
      <c r="U17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3791.9126500000002</v>
      </c>
      <c r="V17" s="38">
        <v>-125.1</v>
      </c>
      <c r="W17" s="4">
        <f>IF(TableauFfinale[[#This Row],[Date]]="","",SUM(TableauFfinale[[#This Row],[TOTAL TTC]]-TableauFfinale[[#This Row],[Ecarts réglements FA1+FA2-AVOIR (report)]]))</f>
        <v>3917.0126500000001</v>
      </c>
      <c r="X17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7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-3917.0126500000001</v>
      </c>
      <c r="Z17" s="30">
        <v>42529</v>
      </c>
      <c r="AA17" s="38">
        <v>3917.01</v>
      </c>
      <c r="AB17" s="235"/>
      <c r="AC17" s="31">
        <v>8911516</v>
      </c>
      <c r="AD17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7" s="30"/>
      <c r="AF17" s="39"/>
      <c r="AI1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7" s="30"/>
      <c r="AK17" s="39"/>
      <c r="AN1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7" s="45"/>
      <c r="AQ17" s="45"/>
      <c r="AR1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8" spans="1:44" x14ac:dyDescent="0.3">
      <c r="A18" s="33"/>
      <c r="B18" s="31" t="str">
        <f t="shared" ref="B18:B41" si="4">IF(A18="","",$B$2)</f>
        <v/>
      </c>
      <c r="C18" s="2" t="str">
        <f>IF(TableauFfinale[[#This Row],[Date]]="","",IF(MONTH(TableauFfinale[[#This Row],[Date]])=MONTH(A17),C17+1,1))</f>
        <v/>
      </c>
      <c r="D18" s="34"/>
      <c r="E18" s="34"/>
      <c r="F1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18" s="36"/>
      <c r="I1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8" s="40" t="str">
        <f>IF(TableauFfinale[[#This Row],[Date]]&lt;&gt;"",AND(TableauFfinale[[#This Row],[Ecart de règlement]]&lt;&gt;"",TableauFfinale[[#This Row],[Ecart de règlement]]&gt;=-1),"")</f>
        <v/>
      </c>
      <c r="K18" s="29"/>
      <c r="L18" s="29"/>
      <c r="M18" s="47"/>
      <c r="N18" s="29" t="str">
        <f>IF(TableauFfinale[[#This Row],[Dont soumis au taux réduit]]="","",TableauFfinale[[#This Row],[Dont soumis au taux réduit]]*TableauFfinale[[#This Row],[Taux réduit]])</f>
        <v/>
      </c>
      <c r="O18" s="29"/>
      <c r="P18" s="47"/>
      <c r="Q18" s="29" t="str">
        <f>IF(TableauFfinale[[#This Row],[Dont soumis au taux intermédiaire]]="","",TableauFfinale[[#This Row],[Dont soumis au taux intermédiaire]]*TableauFfinale[[#This Row],[Taux intermédiaire]])</f>
        <v/>
      </c>
      <c r="R18" s="29"/>
      <c r="S18" s="47"/>
      <c r="T18" s="29" t="str">
        <f>IF(TableauFfinale[[#This Row],[Dont soumis au taux normal]]="","",TableauFfinale[[#This Row],[Dont soumis au taux normal]]*TableauFfinale[[#This Row],[Taux normal]])</f>
        <v/>
      </c>
      <c r="U18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18" s="38"/>
      <c r="W18" s="4" t="str">
        <f>IF(TableauFfinale[[#This Row],[Date]]="","",SUM(TableauFfinale[[#This Row],[TOTAL TTC]]-TableauFfinale[[#This Row],[Ecarts réglements FA1+FA2-AVOIR (report)]]))</f>
        <v/>
      </c>
      <c r="X18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8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8" s="38"/>
      <c r="AB18" s="31"/>
      <c r="AD18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8" s="30"/>
      <c r="AF18" s="39"/>
      <c r="AI1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8" s="30"/>
      <c r="AK18" s="39"/>
      <c r="AN1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8" s="45"/>
      <c r="AQ18" s="45"/>
      <c r="AR1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9" spans="1:44" x14ac:dyDescent="0.3">
      <c r="A19" s="33"/>
      <c r="B19" s="31" t="str">
        <f t="shared" si="4"/>
        <v/>
      </c>
      <c r="C19" s="2" t="str">
        <f>IF(TableauFfinale[[#This Row],[Date]]="","",IF(MONTH(TableauFfinale[[#This Row],[Date]])=MONTH(A18),C18+1,1))</f>
        <v/>
      </c>
      <c r="D19" s="34"/>
      <c r="E19" s="34"/>
      <c r="F1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19" s="36"/>
      <c r="I1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9" s="40" t="str">
        <f>IF(TableauFfinale[[#This Row],[Date]]&lt;&gt;"",AND(TableauFfinale[[#This Row],[Ecart de règlement]]&lt;&gt;"",TableauFfinale[[#This Row],[Ecart de règlement]]&gt;=-1),"")</f>
        <v/>
      </c>
      <c r="K19" s="29"/>
      <c r="L19" s="29"/>
      <c r="M19" s="47"/>
      <c r="N19" s="29" t="str">
        <f>IF(TableauFfinale[[#This Row],[Dont soumis au taux réduit]]="","",TableauFfinale[[#This Row],[Dont soumis au taux réduit]]*TableauFfinale[[#This Row],[Taux réduit]])</f>
        <v/>
      </c>
      <c r="O19" s="29"/>
      <c r="P19" s="47"/>
      <c r="Q19" s="29" t="str">
        <f>IF(TableauFfinale[[#This Row],[Dont soumis au taux intermédiaire]]="","",TableauFfinale[[#This Row],[Dont soumis au taux intermédiaire]]*TableauFfinale[[#This Row],[Taux intermédiaire]])</f>
        <v/>
      </c>
      <c r="R19" s="29"/>
      <c r="S19" s="47"/>
      <c r="T19" s="29" t="str">
        <f>IF(TableauFfinale[[#This Row],[Dont soumis au taux normal]]="","",TableauFfinale[[#This Row],[Dont soumis au taux normal]]*TableauFfinale[[#This Row],[Taux normal]])</f>
        <v/>
      </c>
      <c r="U19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19" s="38"/>
      <c r="W19" s="4" t="str">
        <f>IF(TableauFfinale[[#This Row],[Date]]="","",SUM(TableauFfinale[[#This Row],[TOTAL TTC]]-TableauFfinale[[#This Row],[Ecarts réglements FA1+FA2-AVOIR (report)]]))</f>
        <v/>
      </c>
      <c r="X19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9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9" s="38"/>
      <c r="AB19" s="31"/>
      <c r="AD19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9" s="30"/>
      <c r="AF19" s="39"/>
      <c r="AI1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9" s="30"/>
      <c r="AK19" s="39"/>
      <c r="AN1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9" s="45"/>
      <c r="AQ19" s="45"/>
      <c r="AR1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0" spans="1:44" x14ac:dyDescent="0.3">
      <c r="A20" s="33"/>
      <c r="B20" s="31" t="str">
        <f t="shared" si="4"/>
        <v/>
      </c>
      <c r="C20" s="2" t="str">
        <f>IF(TableauFfinale[[#This Row],[Date]]="","",IF(MONTH(TableauFfinale[[#This Row],[Date]])=MONTH(A19),C19+1,1))</f>
        <v/>
      </c>
      <c r="D20" s="34"/>
      <c r="E20" s="34"/>
      <c r="F2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0" s="36"/>
      <c r="I2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0" s="40" t="str">
        <f>IF(TableauFfinale[[#This Row],[Date]]&lt;&gt;"",AND(TableauFfinale[[#This Row],[Ecart de règlement]]&lt;&gt;"",TableauFfinale[[#This Row],[Ecart de règlement]]&gt;=-1),"")</f>
        <v/>
      </c>
      <c r="K20" s="29"/>
      <c r="L20" s="29"/>
      <c r="M20" s="47"/>
      <c r="N20" s="29" t="str">
        <f>IF(TableauFfinale[[#This Row],[Dont soumis au taux réduit]]="","",TableauFfinale[[#This Row],[Dont soumis au taux réduit]]*TableauFfinale[[#This Row],[Taux réduit]])</f>
        <v/>
      </c>
      <c r="O20" s="29"/>
      <c r="P20" s="47"/>
      <c r="Q20" s="29" t="str">
        <f>IF(TableauFfinale[[#This Row],[Dont soumis au taux intermédiaire]]="","",TableauFfinale[[#This Row],[Dont soumis au taux intermédiaire]]*TableauFfinale[[#This Row],[Taux intermédiaire]])</f>
        <v/>
      </c>
      <c r="R20" s="29"/>
      <c r="S20" s="47"/>
      <c r="T20" s="29" t="str">
        <f>IF(TableauFfinale[[#This Row],[Dont soumis au taux normal]]="","",TableauFfinale[[#This Row],[Dont soumis au taux normal]]*TableauFfinale[[#This Row],[Taux normal]])</f>
        <v/>
      </c>
      <c r="U20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0" s="38"/>
      <c r="W20" s="4" t="str">
        <f>IF(TableauFfinale[[#This Row],[Date]]="","",SUM(TableauFfinale[[#This Row],[TOTAL TTC]]-TableauFfinale[[#This Row],[Ecarts réglements FA1+FA2-AVOIR (report)]]))</f>
        <v/>
      </c>
      <c r="X2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0" s="38"/>
      <c r="AB20" s="31"/>
      <c r="AD2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0" s="30"/>
      <c r="AF20" s="39"/>
      <c r="AI2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0" s="30"/>
      <c r="AK20" s="39"/>
      <c r="AN2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0" s="45"/>
      <c r="AQ20" s="45"/>
      <c r="AR2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1" spans="1:44" x14ac:dyDescent="0.3">
      <c r="A21" s="33"/>
      <c r="B21" s="31" t="str">
        <f t="shared" si="4"/>
        <v/>
      </c>
      <c r="C21" s="2" t="str">
        <f>IF(TableauFfinale[[#This Row],[Date]]="","",IF(MONTH(TableauFfinale[[#This Row],[Date]])=MONTH(A20),C20+1,1))</f>
        <v/>
      </c>
      <c r="D21" s="34"/>
      <c r="E21" s="34"/>
      <c r="F2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1" s="36"/>
      <c r="I2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1" s="40" t="str">
        <f>IF(TableauFfinale[[#This Row],[Date]]&lt;&gt;"",AND(TableauFfinale[[#This Row],[Ecart de règlement]]&lt;&gt;"",TableauFfinale[[#This Row],[Ecart de règlement]]&gt;=-1),"")</f>
        <v/>
      </c>
      <c r="K21" s="29"/>
      <c r="L21" s="29"/>
      <c r="M21" s="47"/>
      <c r="N21" s="29" t="str">
        <f>IF(TableauFfinale[[#This Row],[Dont soumis au taux réduit]]="","",TableauFfinale[[#This Row],[Dont soumis au taux réduit]]*TableauFfinale[[#This Row],[Taux réduit]])</f>
        <v/>
      </c>
      <c r="O21" s="29"/>
      <c r="P21" s="47"/>
      <c r="Q21" s="29" t="str">
        <f>IF(TableauFfinale[[#This Row],[Dont soumis au taux intermédiaire]]="","",TableauFfinale[[#This Row],[Dont soumis au taux intermédiaire]]*TableauFfinale[[#This Row],[Taux intermédiaire]])</f>
        <v/>
      </c>
      <c r="R21" s="29"/>
      <c r="S21" s="47"/>
      <c r="T21" s="29" t="str">
        <f>IF(TableauFfinale[[#This Row],[Dont soumis au taux normal]]="","",TableauFfinale[[#This Row],[Dont soumis au taux normal]]*TableauFfinale[[#This Row],[Taux normal]])</f>
        <v/>
      </c>
      <c r="U21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1" s="38"/>
      <c r="W21" s="4" t="str">
        <f>IF(TableauFfinale[[#This Row],[Date]]="","",SUM(TableauFfinale[[#This Row],[TOTAL TTC]]-TableauFfinale[[#This Row],[Ecarts réglements FA1+FA2-AVOIR (report)]]))</f>
        <v/>
      </c>
      <c r="X21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1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1" s="38"/>
      <c r="AB21" s="31"/>
      <c r="AD21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1" s="30"/>
      <c r="AF21" s="39"/>
      <c r="AI2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1" s="30"/>
      <c r="AK21" s="39"/>
      <c r="AN2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1" s="45"/>
      <c r="AQ21" s="45"/>
      <c r="AR2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2" spans="1:44" x14ac:dyDescent="0.3">
      <c r="A22" s="33"/>
      <c r="B22" s="31" t="str">
        <f t="shared" si="4"/>
        <v/>
      </c>
      <c r="C22" s="2" t="str">
        <f>IF(TableauFfinale[[#This Row],[Date]]="","",IF(MONTH(TableauFfinale[[#This Row],[Date]])=MONTH(A21),C21+1,1))</f>
        <v/>
      </c>
      <c r="D22" s="34"/>
      <c r="E22" s="34"/>
      <c r="F22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2" s="36"/>
      <c r="I22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2" s="40" t="str">
        <f>IF(TableauFfinale[[#This Row],[Date]]&lt;&gt;"",AND(TableauFfinale[[#This Row],[Ecart de règlement]]&lt;&gt;"",TableauFfinale[[#This Row],[Ecart de règlement]]&gt;=-1),"")</f>
        <v/>
      </c>
      <c r="K22" s="29"/>
      <c r="L22" s="29"/>
      <c r="M22" s="47"/>
      <c r="N22" s="29" t="str">
        <f>IF(TableauFfinale[[#This Row],[Dont soumis au taux réduit]]="","",TableauFfinale[[#This Row],[Dont soumis au taux réduit]]*TableauFfinale[[#This Row],[Taux réduit]])</f>
        <v/>
      </c>
      <c r="O22" s="29"/>
      <c r="P22" s="47"/>
      <c r="Q22" s="29" t="str">
        <f>IF(TableauFfinale[[#This Row],[Dont soumis au taux intermédiaire]]="","",TableauFfinale[[#This Row],[Dont soumis au taux intermédiaire]]*TableauFfinale[[#This Row],[Taux intermédiaire]])</f>
        <v/>
      </c>
      <c r="R22" s="29"/>
      <c r="S22" s="47"/>
      <c r="T22" s="29" t="str">
        <f>IF(TableauFfinale[[#This Row],[Dont soumis au taux normal]]="","",TableauFfinale[[#This Row],[Dont soumis au taux normal]]*TableauFfinale[[#This Row],[Taux normal]])</f>
        <v/>
      </c>
      <c r="U22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2" s="38"/>
      <c r="W22" s="4" t="str">
        <f>IF(TableauFfinale[[#This Row],[Date]]="","",SUM(TableauFfinale[[#This Row],[TOTAL TTC]]-TableauFfinale[[#This Row],[Ecarts réglements FA1+FA2-AVOIR (report)]]))</f>
        <v/>
      </c>
      <c r="X22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2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2" s="38"/>
      <c r="AB22" s="31"/>
      <c r="AD22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2" s="30"/>
      <c r="AF22" s="39"/>
      <c r="AI22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2" s="30"/>
      <c r="AK22" s="39"/>
      <c r="AN22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2" s="45"/>
      <c r="AQ22" s="45"/>
      <c r="AR22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3" spans="1:44" x14ac:dyDescent="0.3">
      <c r="A23" s="33"/>
      <c r="B23" s="31" t="str">
        <f t="shared" si="4"/>
        <v/>
      </c>
      <c r="C23" s="2" t="str">
        <f>IF(TableauFfinale[[#This Row],[Date]]="","",IF(MONTH(TableauFfinale[[#This Row],[Date]])=MONTH(A22),C22+1,1))</f>
        <v/>
      </c>
      <c r="D23" s="34"/>
      <c r="E23" s="34"/>
      <c r="F2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3" s="36"/>
      <c r="I2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3" s="40" t="str">
        <f>IF(TableauFfinale[[#This Row],[Date]]&lt;&gt;"",AND(TableauFfinale[[#This Row],[Ecart de règlement]]&lt;&gt;"",TableauFfinale[[#This Row],[Ecart de règlement]]&gt;=-1),"")</f>
        <v/>
      </c>
      <c r="K23" s="29"/>
      <c r="L23" s="29"/>
      <c r="M23" s="47"/>
      <c r="N23" s="29" t="str">
        <f>IF(TableauFfinale[[#This Row],[Dont soumis au taux réduit]]="","",TableauFfinale[[#This Row],[Dont soumis au taux réduit]]*TableauFfinale[[#This Row],[Taux réduit]])</f>
        <v/>
      </c>
      <c r="O23" s="29"/>
      <c r="P23" s="47"/>
      <c r="Q23" s="29" t="str">
        <f>IF(TableauFfinale[[#This Row],[Dont soumis au taux intermédiaire]]="","",TableauFfinale[[#This Row],[Dont soumis au taux intermédiaire]]*TableauFfinale[[#This Row],[Taux intermédiaire]])</f>
        <v/>
      </c>
      <c r="R23" s="29"/>
      <c r="S23" s="47"/>
      <c r="T23" s="29" t="str">
        <f>IF(TableauFfinale[[#This Row],[Dont soumis au taux normal]]="","",TableauFfinale[[#This Row],[Dont soumis au taux normal]]*TableauFfinale[[#This Row],[Taux normal]])</f>
        <v/>
      </c>
      <c r="U23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3" s="38"/>
      <c r="W23" s="4" t="str">
        <f>IF(TableauFfinale[[#This Row],[Date]]="","",SUM(TableauFfinale[[#This Row],[TOTAL TTC]]-TableauFfinale[[#This Row],[Ecarts réglements FA1+FA2-AVOIR (report)]]))</f>
        <v/>
      </c>
      <c r="X23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3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3" s="38"/>
      <c r="AB23" s="31"/>
      <c r="AD23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3" s="30"/>
      <c r="AF23" s="39"/>
      <c r="AI2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3" s="30"/>
      <c r="AK23" s="39"/>
      <c r="AN2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3" s="45"/>
      <c r="AQ23" s="45"/>
      <c r="AR2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4" spans="1:44" x14ac:dyDescent="0.3">
      <c r="A24" s="33"/>
      <c r="B24" s="31" t="str">
        <f t="shared" si="4"/>
        <v/>
      </c>
      <c r="C24" s="2" t="str">
        <f>IF(TableauFfinale[[#This Row],[Date]]="","",IF(MONTH(TableauFfinale[[#This Row],[Date]])=MONTH(A23),C23+1,1))</f>
        <v/>
      </c>
      <c r="D24" s="34"/>
      <c r="E24" s="34"/>
      <c r="F2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4" s="36"/>
      <c r="I2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4" s="40" t="str">
        <f>IF(TableauFfinale[[#This Row],[Date]]&lt;&gt;"",AND(TableauFfinale[[#This Row],[Ecart de règlement]]&lt;&gt;"",TableauFfinale[[#This Row],[Ecart de règlement]]&gt;=-1),"")</f>
        <v/>
      </c>
      <c r="K24" s="29"/>
      <c r="L24" s="29"/>
      <c r="M24" s="47"/>
      <c r="N24" s="29" t="str">
        <f>IF(TableauFfinale[[#This Row],[Dont soumis au taux réduit]]="","",TableauFfinale[[#This Row],[Dont soumis au taux réduit]]*TableauFfinale[[#This Row],[Taux réduit]])</f>
        <v/>
      </c>
      <c r="O24" s="29"/>
      <c r="P24" s="47"/>
      <c r="Q24" s="29" t="str">
        <f>IF(TableauFfinale[[#This Row],[Dont soumis au taux intermédiaire]]="","",TableauFfinale[[#This Row],[Dont soumis au taux intermédiaire]]*TableauFfinale[[#This Row],[Taux intermédiaire]])</f>
        <v/>
      </c>
      <c r="R24" s="29"/>
      <c r="S24" s="47"/>
      <c r="T24" s="29" t="str">
        <f>IF(TableauFfinale[[#This Row],[Dont soumis au taux normal]]="","",TableauFfinale[[#This Row],[Dont soumis au taux normal]]*TableauFfinale[[#This Row],[Taux normal]])</f>
        <v/>
      </c>
      <c r="U24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4" s="38"/>
      <c r="W24" s="4" t="str">
        <f>IF(TableauFfinale[[#This Row],[Date]]="","",SUM(TableauFfinale[[#This Row],[TOTAL TTC]]-TableauFfinale[[#This Row],[Ecarts réglements FA1+FA2-AVOIR (report)]]))</f>
        <v/>
      </c>
      <c r="X24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4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4" s="38"/>
      <c r="AB24" s="31"/>
      <c r="AD24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4" s="30"/>
      <c r="AF24" s="39"/>
      <c r="AI24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4" s="30"/>
      <c r="AK24" s="39"/>
      <c r="AN2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4" s="45"/>
      <c r="AQ24" s="45"/>
      <c r="AR24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5" spans="1:44" x14ac:dyDescent="0.3">
      <c r="A25" s="33"/>
      <c r="B25" s="31" t="str">
        <f t="shared" si="4"/>
        <v/>
      </c>
      <c r="C25" s="2" t="str">
        <f>IF(TableauFfinale[[#This Row],[Date]]="","",IF(MONTH(TableauFfinale[[#This Row],[Date]])=MONTH(A24),C24+1,1))</f>
        <v/>
      </c>
      <c r="D25" s="34"/>
      <c r="E25" s="34"/>
      <c r="F2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5" s="36"/>
      <c r="I2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5" s="40" t="str">
        <f>IF(TableauFfinale[[#This Row],[Date]]&lt;&gt;"",AND(TableauFfinale[[#This Row],[Ecart de règlement]]&lt;&gt;"",TableauFfinale[[#This Row],[Ecart de règlement]]&gt;=-1),"")</f>
        <v/>
      </c>
      <c r="K25" s="29"/>
      <c r="L25" s="29"/>
      <c r="M25" s="47"/>
      <c r="N25" s="29" t="str">
        <f>IF(TableauFfinale[[#This Row],[Dont soumis au taux réduit]]="","",TableauFfinale[[#This Row],[Dont soumis au taux réduit]]*TableauFfinale[[#This Row],[Taux réduit]])</f>
        <v/>
      </c>
      <c r="O25" s="29"/>
      <c r="P25" s="47"/>
      <c r="Q25" s="29" t="str">
        <f>IF(TableauFfinale[[#This Row],[Dont soumis au taux intermédiaire]]="","",TableauFfinale[[#This Row],[Dont soumis au taux intermédiaire]]*TableauFfinale[[#This Row],[Taux intermédiaire]])</f>
        <v/>
      </c>
      <c r="R25" s="29"/>
      <c r="S25" s="47"/>
      <c r="T25" s="29" t="str">
        <f>IF(TableauFfinale[[#This Row],[Dont soumis au taux normal]]="","",TableauFfinale[[#This Row],[Dont soumis au taux normal]]*TableauFfinale[[#This Row],[Taux normal]])</f>
        <v/>
      </c>
      <c r="U25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5" s="38"/>
      <c r="W25" s="4" t="str">
        <f>IF(TableauFfinale[[#This Row],[Date]]="","",SUM(TableauFfinale[[#This Row],[TOTAL TTC]]-TableauFfinale[[#This Row],[Ecarts réglements FA1+FA2-AVOIR (report)]]))</f>
        <v/>
      </c>
      <c r="X25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5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5" s="38"/>
      <c r="AB25" s="31"/>
      <c r="AD25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5" s="30"/>
      <c r="AF25" s="39"/>
      <c r="AI2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5" s="30"/>
      <c r="AK25" s="39"/>
      <c r="AN2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5" s="45"/>
      <c r="AQ25" s="45"/>
      <c r="AR2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6" spans="1:44" x14ac:dyDescent="0.3">
      <c r="A26" s="33"/>
      <c r="B26" s="31" t="str">
        <f t="shared" si="4"/>
        <v/>
      </c>
      <c r="C26" s="2" t="str">
        <f>IF(TableauFfinale[[#This Row],[Date]]="","",IF(MONTH(TableauFfinale[[#This Row],[Date]])=MONTH(A25),C25+1,1))</f>
        <v/>
      </c>
      <c r="D26" s="34"/>
      <c r="E26" s="34"/>
      <c r="F2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6" s="36"/>
      <c r="I2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6" s="40" t="str">
        <f>IF(TableauFfinale[[#This Row],[Date]]&lt;&gt;"",AND(TableauFfinale[[#This Row],[Ecart de règlement]]&lt;&gt;"",TableauFfinale[[#This Row],[Ecart de règlement]]&gt;=-1),"")</f>
        <v/>
      </c>
      <c r="K26" s="29"/>
      <c r="L26" s="29"/>
      <c r="M26" s="47"/>
      <c r="N26" s="29" t="str">
        <f>IF(TableauFfinale[[#This Row],[Dont soumis au taux réduit]]="","",TableauFfinale[[#This Row],[Dont soumis au taux réduit]]*TableauFfinale[[#This Row],[Taux réduit]])</f>
        <v/>
      </c>
      <c r="O26" s="29"/>
      <c r="P26" s="47"/>
      <c r="Q26" s="29" t="str">
        <f>IF(TableauFfinale[[#This Row],[Dont soumis au taux intermédiaire]]="","",TableauFfinale[[#This Row],[Dont soumis au taux intermédiaire]]*TableauFfinale[[#This Row],[Taux intermédiaire]])</f>
        <v/>
      </c>
      <c r="R26" s="29"/>
      <c r="S26" s="47"/>
      <c r="T26" s="29" t="str">
        <f>IF(TableauFfinale[[#This Row],[Dont soumis au taux normal]]="","",TableauFfinale[[#This Row],[Dont soumis au taux normal]]*TableauFfinale[[#This Row],[Taux normal]])</f>
        <v/>
      </c>
      <c r="U26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6" s="38"/>
      <c r="W26" s="4" t="str">
        <f>IF(TableauFfinale[[#This Row],[Date]]="","",SUM(TableauFfinale[[#This Row],[TOTAL TTC]]-TableauFfinale[[#This Row],[Ecarts réglements FA1+FA2-AVOIR (report)]]))</f>
        <v/>
      </c>
      <c r="X26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6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6" s="38"/>
      <c r="AB26" s="31"/>
      <c r="AD26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6" s="30"/>
      <c r="AF26" s="39"/>
      <c r="AI2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6" s="30"/>
      <c r="AK26" s="39"/>
      <c r="AN2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6" s="45"/>
      <c r="AQ26" s="45"/>
      <c r="AR2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7" spans="1:44" x14ac:dyDescent="0.3">
      <c r="A27" s="33"/>
      <c r="B27" s="31" t="str">
        <f t="shared" si="4"/>
        <v/>
      </c>
      <c r="C27" s="2" t="str">
        <f>IF(TableauFfinale[[#This Row],[Date]]="","",IF(MONTH(TableauFfinale[[#This Row],[Date]])=MONTH(A26),C26+1,1))</f>
        <v/>
      </c>
      <c r="D27" s="34"/>
      <c r="E27" s="34"/>
      <c r="F2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7" s="36"/>
      <c r="I2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7" s="40" t="str">
        <f>IF(TableauFfinale[[#This Row],[Date]]&lt;&gt;"",AND(TableauFfinale[[#This Row],[Ecart de règlement]]&lt;&gt;"",TableauFfinale[[#This Row],[Ecart de règlement]]&gt;=-1),"")</f>
        <v/>
      </c>
      <c r="K27" s="29"/>
      <c r="L27" s="29"/>
      <c r="M27" s="47"/>
      <c r="N27" s="29" t="str">
        <f>IF(TableauFfinale[[#This Row],[Dont soumis au taux réduit]]="","",TableauFfinale[[#This Row],[Dont soumis au taux réduit]]*TableauFfinale[[#This Row],[Taux réduit]])</f>
        <v/>
      </c>
      <c r="O27" s="29"/>
      <c r="P27" s="47"/>
      <c r="Q27" s="29" t="str">
        <f>IF(TableauFfinale[[#This Row],[Dont soumis au taux intermédiaire]]="","",TableauFfinale[[#This Row],[Dont soumis au taux intermédiaire]]*TableauFfinale[[#This Row],[Taux intermédiaire]])</f>
        <v/>
      </c>
      <c r="R27" s="29"/>
      <c r="S27" s="47"/>
      <c r="T27" s="29" t="str">
        <f>IF(TableauFfinale[[#This Row],[Dont soumis au taux normal]]="","",TableauFfinale[[#This Row],[Dont soumis au taux normal]]*TableauFfinale[[#This Row],[Taux normal]])</f>
        <v/>
      </c>
      <c r="U27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7" s="38"/>
      <c r="W27" s="4" t="str">
        <f>IF(TableauFfinale[[#This Row],[Date]]="","",SUM(TableauFfinale[[#This Row],[TOTAL TTC]]-TableauFfinale[[#This Row],[Ecarts réglements FA1+FA2-AVOIR (report)]]))</f>
        <v/>
      </c>
      <c r="X27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7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7" s="38"/>
      <c r="AB27" s="31"/>
      <c r="AD27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7" s="30"/>
      <c r="AF27" s="39"/>
      <c r="AI2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7" s="30"/>
      <c r="AK27" s="39"/>
      <c r="AN2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7" s="45"/>
      <c r="AQ27" s="45"/>
      <c r="AR2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8" spans="1:44" x14ac:dyDescent="0.3">
      <c r="A28" s="33"/>
      <c r="B28" s="31" t="str">
        <f t="shared" si="4"/>
        <v/>
      </c>
      <c r="C28" s="2" t="str">
        <f>IF(TableauFfinale[[#This Row],[Date]]="","",IF(MONTH(TableauFfinale[[#This Row],[Date]])=MONTH(A27),C27+1,1))</f>
        <v/>
      </c>
      <c r="D28" s="34"/>
      <c r="E28" s="34"/>
      <c r="F2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8" s="36"/>
      <c r="I2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8" s="40" t="str">
        <f>IF(TableauFfinale[[#This Row],[Date]]&lt;&gt;"",AND(TableauFfinale[[#This Row],[Ecart de règlement]]&lt;&gt;"",TableauFfinale[[#This Row],[Ecart de règlement]]&gt;=-1),"")</f>
        <v/>
      </c>
      <c r="K28" s="29"/>
      <c r="L28" s="29"/>
      <c r="M28" s="47"/>
      <c r="N28" s="29" t="str">
        <f>IF(TableauFfinale[[#This Row],[Dont soumis au taux réduit]]="","",TableauFfinale[[#This Row],[Dont soumis au taux réduit]]*TableauFfinale[[#This Row],[Taux réduit]])</f>
        <v/>
      </c>
      <c r="O28" s="29"/>
      <c r="P28" s="47"/>
      <c r="Q28" s="29" t="str">
        <f>IF(TableauFfinale[[#This Row],[Dont soumis au taux intermédiaire]]="","",TableauFfinale[[#This Row],[Dont soumis au taux intermédiaire]]*TableauFfinale[[#This Row],[Taux intermédiaire]])</f>
        <v/>
      </c>
      <c r="R28" s="29"/>
      <c r="S28" s="47"/>
      <c r="T28" s="29" t="str">
        <f>IF(TableauFfinale[[#This Row],[Dont soumis au taux normal]]="","",TableauFfinale[[#This Row],[Dont soumis au taux normal]]*TableauFfinale[[#This Row],[Taux normal]])</f>
        <v/>
      </c>
      <c r="U28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8" s="38"/>
      <c r="W28" s="4" t="str">
        <f>IF(TableauFfinale[[#This Row],[Date]]="","",SUM(TableauFfinale[[#This Row],[TOTAL TTC]]-TableauFfinale[[#This Row],[Ecarts réglements FA1+FA2-AVOIR (report)]]))</f>
        <v/>
      </c>
      <c r="X28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8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8" s="38"/>
      <c r="AB28" s="31"/>
      <c r="AD28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8" s="30"/>
      <c r="AF28" s="39"/>
      <c r="AI2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8" s="30"/>
      <c r="AK28" s="39"/>
      <c r="AN2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8" s="45"/>
      <c r="AQ28" s="45"/>
      <c r="AR2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9" spans="1:44" x14ac:dyDescent="0.3">
      <c r="A29" s="33"/>
      <c r="B29" s="31" t="str">
        <f t="shared" si="4"/>
        <v/>
      </c>
      <c r="C29" s="2" t="str">
        <f>IF(TableauFfinale[[#This Row],[Date]]="","",IF(MONTH(TableauFfinale[[#This Row],[Date]])=MONTH(A28),C28+1,1))</f>
        <v/>
      </c>
      <c r="D29" s="34"/>
      <c r="E29" s="34"/>
      <c r="F2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9" s="36"/>
      <c r="I2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9" s="40" t="str">
        <f>IF(TableauFfinale[[#This Row],[Date]]&lt;&gt;"",AND(TableauFfinale[[#This Row],[Ecart de règlement]]&lt;&gt;"",TableauFfinale[[#This Row],[Ecart de règlement]]&gt;=-1),"")</f>
        <v/>
      </c>
      <c r="K29" s="29"/>
      <c r="L29" s="29"/>
      <c r="M29" s="47"/>
      <c r="N29" s="29" t="str">
        <f>IF(TableauFfinale[[#This Row],[Dont soumis au taux réduit]]="","",TableauFfinale[[#This Row],[Dont soumis au taux réduit]]*TableauFfinale[[#This Row],[Taux réduit]])</f>
        <v/>
      </c>
      <c r="O29" s="29"/>
      <c r="P29" s="47"/>
      <c r="Q29" s="29" t="str">
        <f>IF(TableauFfinale[[#This Row],[Dont soumis au taux intermédiaire]]="","",TableauFfinale[[#This Row],[Dont soumis au taux intermédiaire]]*TableauFfinale[[#This Row],[Taux intermédiaire]])</f>
        <v/>
      </c>
      <c r="R29" s="29"/>
      <c r="S29" s="47"/>
      <c r="T29" s="29" t="str">
        <f>IF(TableauFfinale[[#This Row],[Dont soumis au taux normal]]="","",TableauFfinale[[#This Row],[Dont soumis au taux normal]]*TableauFfinale[[#This Row],[Taux normal]])</f>
        <v/>
      </c>
      <c r="U29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9" s="38"/>
      <c r="W29" s="4" t="str">
        <f>IF(TableauFfinale[[#This Row],[Date]]="","",SUM(TableauFfinale[[#This Row],[TOTAL TTC]]-TableauFfinale[[#This Row],[Ecarts réglements FA1+FA2-AVOIR (report)]]))</f>
        <v/>
      </c>
      <c r="X29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9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9" s="38"/>
      <c r="AB29" s="31"/>
      <c r="AD29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9" s="30"/>
      <c r="AF29" s="39"/>
      <c r="AI2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9" s="30"/>
      <c r="AK29" s="39"/>
      <c r="AN2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9" s="45"/>
      <c r="AQ29" s="45"/>
      <c r="AR2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0" spans="1:44" x14ac:dyDescent="0.3">
      <c r="A30" s="33"/>
      <c r="B30" s="31" t="str">
        <f t="shared" si="4"/>
        <v/>
      </c>
      <c r="C30" s="2" t="str">
        <f>IF(TableauFfinale[[#This Row],[Date]]="","",IF(MONTH(TableauFfinale[[#This Row],[Date]])=MONTH(A29),C29+1,1))</f>
        <v/>
      </c>
      <c r="D30" s="34"/>
      <c r="E30" s="34"/>
      <c r="F3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0" s="36"/>
      <c r="I3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0" s="40" t="str">
        <f>IF(TableauFfinale[[#This Row],[Date]]&lt;&gt;"",AND(TableauFfinale[[#This Row],[Ecart de règlement]]&lt;&gt;"",TableauFfinale[[#This Row],[Ecart de règlement]]&gt;=-1),"")</f>
        <v/>
      </c>
      <c r="K30" s="29"/>
      <c r="L30" s="29"/>
      <c r="M30" s="47"/>
      <c r="N30" s="29" t="str">
        <f>IF(TableauFfinale[[#This Row],[Dont soumis au taux réduit]]="","",TableauFfinale[[#This Row],[Dont soumis au taux réduit]]*TableauFfinale[[#This Row],[Taux réduit]])</f>
        <v/>
      </c>
      <c r="O30" s="29"/>
      <c r="P30" s="47"/>
      <c r="Q30" s="29" t="str">
        <f>IF(TableauFfinale[[#This Row],[Dont soumis au taux intermédiaire]]="","",TableauFfinale[[#This Row],[Dont soumis au taux intermédiaire]]*TableauFfinale[[#This Row],[Taux intermédiaire]])</f>
        <v/>
      </c>
      <c r="R30" s="29"/>
      <c r="S30" s="47"/>
      <c r="T30" s="29" t="str">
        <f>IF(TableauFfinale[[#This Row],[Dont soumis au taux normal]]="","",TableauFfinale[[#This Row],[Dont soumis au taux normal]]*TableauFfinale[[#This Row],[Taux normal]])</f>
        <v/>
      </c>
      <c r="U30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0" s="38"/>
      <c r="W30" s="4" t="str">
        <f>IF(TableauFfinale[[#This Row],[Date]]="","",SUM(TableauFfinale[[#This Row],[TOTAL TTC]]-TableauFfinale[[#This Row],[Ecarts réglements FA1+FA2-AVOIR (report)]]))</f>
        <v/>
      </c>
      <c r="X3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0" s="38"/>
      <c r="AB30" s="31"/>
      <c r="AD3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0" s="30"/>
      <c r="AF30" s="39"/>
      <c r="AI3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0" s="30"/>
      <c r="AK30" s="39"/>
      <c r="AN3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0" s="45"/>
      <c r="AQ30" s="45"/>
      <c r="AR3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1" spans="1:44" x14ac:dyDescent="0.3">
      <c r="A31" s="33"/>
      <c r="B31" s="31" t="str">
        <f t="shared" si="4"/>
        <v/>
      </c>
      <c r="C31" s="2" t="str">
        <f>IF(TableauFfinale[[#This Row],[Date]]="","",IF(MONTH(TableauFfinale[[#This Row],[Date]])=MONTH(A30),C30+1,1))</f>
        <v/>
      </c>
      <c r="D31" s="34"/>
      <c r="E31" s="34"/>
      <c r="F3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1" s="36"/>
      <c r="I3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1" s="40" t="str">
        <f>IF(TableauFfinale[[#This Row],[Date]]&lt;&gt;"",AND(TableauFfinale[[#This Row],[Ecart de règlement]]&lt;&gt;"",TableauFfinale[[#This Row],[Ecart de règlement]]&gt;=-1),"")</f>
        <v/>
      </c>
      <c r="K31" s="29"/>
      <c r="L31" s="29"/>
      <c r="M31" s="47"/>
      <c r="N31" s="29" t="str">
        <f>IF(TableauFfinale[[#This Row],[Dont soumis au taux réduit]]="","",TableauFfinale[[#This Row],[Dont soumis au taux réduit]]*TableauFfinale[[#This Row],[Taux réduit]])</f>
        <v/>
      </c>
      <c r="O31" s="29"/>
      <c r="P31" s="47"/>
      <c r="Q31" s="29" t="str">
        <f>IF(TableauFfinale[[#This Row],[Dont soumis au taux intermédiaire]]="","",TableauFfinale[[#This Row],[Dont soumis au taux intermédiaire]]*TableauFfinale[[#This Row],[Taux intermédiaire]])</f>
        <v/>
      </c>
      <c r="R31" s="29"/>
      <c r="S31" s="47"/>
      <c r="T31" s="29" t="str">
        <f>IF(TableauFfinale[[#This Row],[Dont soumis au taux normal]]="","",TableauFfinale[[#This Row],[Dont soumis au taux normal]]*TableauFfinale[[#This Row],[Taux normal]])</f>
        <v/>
      </c>
      <c r="U31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1" s="38"/>
      <c r="W31" s="4" t="str">
        <f>IF(TableauFfinale[[#This Row],[Date]]="","",SUM(TableauFfinale[[#This Row],[TOTAL TTC]]-TableauFfinale[[#This Row],[Ecarts réglements FA1+FA2-AVOIR (report)]]))</f>
        <v/>
      </c>
      <c r="X31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1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1" s="38"/>
      <c r="AB31" s="31"/>
      <c r="AD31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1" s="30"/>
      <c r="AF31" s="39"/>
      <c r="AI3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1" s="30"/>
      <c r="AK31" s="39"/>
      <c r="AN3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1" s="45"/>
      <c r="AQ31" s="45"/>
      <c r="AR3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2" spans="1:44" x14ac:dyDescent="0.3">
      <c r="A32" s="33"/>
      <c r="B32" s="31" t="str">
        <f t="shared" si="4"/>
        <v/>
      </c>
      <c r="C32" s="2" t="str">
        <f>IF(TableauFfinale[[#This Row],[Date]]="","",IF(MONTH(TableauFfinale[[#This Row],[Date]])=MONTH(A31),C31+1,1))</f>
        <v/>
      </c>
      <c r="D32" s="34"/>
      <c r="E32" s="34"/>
      <c r="F32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2" s="36"/>
      <c r="I32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2" s="40" t="str">
        <f>IF(TableauFfinale[[#This Row],[Date]]&lt;&gt;"",AND(TableauFfinale[[#This Row],[Ecart de règlement]]&lt;&gt;"",TableauFfinale[[#This Row],[Ecart de règlement]]&gt;=-1),"")</f>
        <v/>
      </c>
      <c r="K32" s="29"/>
      <c r="L32" s="29"/>
      <c r="M32" s="47"/>
      <c r="N32" s="29" t="str">
        <f>IF(TableauFfinale[[#This Row],[Dont soumis au taux réduit]]="","",TableauFfinale[[#This Row],[Dont soumis au taux réduit]]*TableauFfinale[[#This Row],[Taux réduit]])</f>
        <v/>
      </c>
      <c r="O32" s="29"/>
      <c r="P32" s="47"/>
      <c r="Q32" s="29" t="str">
        <f>IF(TableauFfinale[[#This Row],[Dont soumis au taux intermédiaire]]="","",TableauFfinale[[#This Row],[Dont soumis au taux intermédiaire]]*TableauFfinale[[#This Row],[Taux intermédiaire]])</f>
        <v/>
      </c>
      <c r="R32" s="29"/>
      <c r="S32" s="47"/>
      <c r="T32" s="29" t="str">
        <f>IF(TableauFfinale[[#This Row],[Dont soumis au taux normal]]="","",TableauFfinale[[#This Row],[Dont soumis au taux normal]]*TableauFfinale[[#This Row],[Taux normal]])</f>
        <v/>
      </c>
      <c r="U32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2" s="38"/>
      <c r="W32" s="4" t="str">
        <f>IF(TableauFfinale[[#This Row],[Date]]="","",SUM(TableauFfinale[[#This Row],[TOTAL TTC]]-TableauFfinale[[#This Row],[Ecarts réglements FA1+FA2-AVOIR (report)]]))</f>
        <v/>
      </c>
      <c r="X32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2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2" s="38"/>
      <c r="AB32" s="31"/>
      <c r="AD32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2" s="30"/>
      <c r="AF32" s="39"/>
      <c r="AI32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2" s="30"/>
      <c r="AK32" s="39"/>
      <c r="AN32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2" s="45"/>
      <c r="AQ32" s="45"/>
      <c r="AR32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3" spans="1:44" x14ac:dyDescent="0.3">
      <c r="A33" s="33"/>
      <c r="B33" s="31" t="str">
        <f t="shared" si="4"/>
        <v/>
      </c>
      <c r="C33" s="2" t="str">
        <f>IF(TableauFfinale[[#This Row],[Date]]="","",IF(MONTH(TableauFfinale[[#This Row],[Date]])=MONTH(A32),C32+1,1))</f>
        <v/>
      </c>
      <c r="D33" s="34"/>
      <c r="E33" s="34"/>
      <c r="F3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3" s="36"/>
      <c r="I3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3" s="40" t="str">
        <f>IF(TableauFfinale[[#This Row],[Date]]&lt;&gt;"",AND(TableauFfinale[[#This Row],[Ecart de règlement]]&lt;&gt;"",TableauFfinale[[#This Row],[Ecart de règlement]]&gt;=-1),"")</f>
        <v/>
      </c>
      <c r="K33" s="29"/>
      <c r="L33" s="29"/>
      <c r="M33" s="47"/>
      <c r="N33" s="29" t="str">
        <f>IF(TableauFfinale[[#This Row],[Dont soumis au taux réduit]]="","",TableauFfinale[[#This Row],[Dont soumis au taux réduit]]*TableauFfinale[[#This Row],[Taux réduit]])</f>
        <v/>
      </c>
      <c r="O33" s="29"/>
      <c r="P33" s="47"/>
      <c r="Q33" s="29" t="str">
        <f>IF(TableauFfinale[[#This Row],[Dont soumis au taux intermédiaire]]="","",TableauFfinale[[#This Row],[Dont soumis au taux intermédiaire]]*TableauFfinale[[#This Row],[Taux intermédiaire]])</f>
        <v/>
      </c>
      <c r="R33" s="29"/>
      <c r="S33" s="47"/>
      <c r="T33" s="29" t="str">
        <f>IF(TableauFfinale[[#This Row],[Dont soumis au taux normal]]="","",TableauFfinale[[#This Row],[Dont soumis au taux normal]]*TableauFfinale[[#This Row],[Taux normal]])</f>
        <v/>
      </c>
      <c r="U33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3" s="38"/>
      <c r="W33" s="4" t="str">
        <f>IF(TableauFfinale[[#This Row],[Date]]="","",SUM(TableauFfinale[[#This Row],[TOTAL TTC]]-TableauFfinale[[#This Row],[Ecarts réglements FA1+FA2-AVOIR (report)]]))</f>
        <v/>
      </c>
      <c r="X33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3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3" s="38"/>
      <c r="AB33" s="31"/>
      <c r="AD33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3" s="30"/>
      <c r="AF33" s="39"/>
      <c r="AI3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3" s="30"/>
      <c r="AK33" s="39"/>
      <c r="AN3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3" s="45"/>
      <c r="AQ33" s="45"/>
      <c r="AR3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4" spans="1:44" x14ac:dyDescent="0.3">
      <c r="A34" s="33"/>
      <c r="B34" s="31" t="str">
        <f t="shared" si="4"/>
        <v/>
      </c>
      <c r="C34" s="2" t="str">
        <f>IF(TableauFfinale[[#This Row],[Date]]="","",IF(MONTH(TableauFfinale[[#This Row],[Date]])=MONTH(A33),C33+1,1))</f>
        <v/>
      </c>
      <c r="D34" s="34"/>
      <c r="E34" s="34"/>
      <c r="F3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4" s="36"/>
      <c r="I3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4" s="40" t="str">
        <f>IF(TableauFfinale[[#This Row],[Date]]&lt;&gt;"",AND(TableauFfinale[[#This Row],[Ecart de règlement]]&lt;&gt;"",TableauFfinale[[#This Row],[Ecart de règlement]]&gt;=-1),"")</f>
        <v/>
      </c>
      <c r="K34" s="29"/>
      <c r="L34" s="29"/>
      <c r="M34" s="47"/>
      <c r="N34" s="29" t="str">
        <f>IF(TableauFfinale[[#This Row],[Dont soumis au taux réduit]]="","",TableauFfinale[[#This Row],[Dont soumis au taux réduit]]*TableauFfinale[[#This Row],[Taux réduit]])</f>
        <v/>
      </c>
      <c r="O34" s="29"/>
      <c r="P34" s="47"/>
      <c r="Q34" s="29" t="str">
        <f>IF(TableauFfinale[[#This Row],[Dont soumis au taux intermédiaire]]="","",TableauFfinale[[#This Row],[Dont soumis au taux intermédiaire]]*TableauFfinale[[#This Row],[Taux intermédiaire]])</f>
        <v/>
      </c>
      <c r="R34" s="29"/>
      <c r="S34" s="47"/>
      <c r="T34" s="29" t="str">
        <f>IF(TableauFfinale[[#This Row],[Dont soumis au taux normal]]="","",TableauFfinale[[#This Row],[Dont soumis au taux normal]]*TableauFfinale[[#This Row],[Taux normal]])</f>
        <v/>
      </c>
      <c r="U34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4" s="38"/>
      <c r="W34" s="4" t="str">
        <f>IF(TableauFfinale[[#This Row],[Date]]="","",SUM(TableauFfinale[[#This Row],[TOTAL TTC]]-TableauFfinale[[#This Row],[Ecarts réglements FA1+FA2-AVOIR (report)]]))</f>
        <v/>
      </c>
      <c r="X34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4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4" s="38"/>
      <c r="AB34" s="31"/>
      <c r="AD34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4" s="30"/>
      <c r="AF34" s="39"/>
      <c r="AI34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4" s="30"/>
      <c r="AK34" s="39"/>
      <c r="AN3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4" s="45"/>
      <c r="AQ34" s="45"/>
      <c r="AR34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5" spans="1:44" x14ac:dyDescent="0.3">
      <c r="A35" s="33"/>
      <c r="B35" s="31" t="str">
        <f t="shared" si="4"/>
        <v/>
      </c>
      <c r="C35" s="2" t="str">
        <f>IF(TableauFfinale[[#This Row],[Date]]="","",IF(MONTH(TableauFfinale[[#This Row],[Date]])=MONTH(A34),C34+1,1))</f>
        <v/>
      </c>
      <c r="D35" s="34"/>
      <c r="E35" s="34"/>
      <c r="F3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5" s="36"/>
      <c r="I3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5" s="40" t="str">
        <f>IF(TableauFfinale[[#This Row],[Date]]&lt;&gt;"",AND(TableauFfinale[[#This Row],[Ecart de règlement]]&lt;&gt;"",TableauFfinale[[#This Row],[Ecart de règlement]]&gt;=-1),"")</f>
        <v/>
      </c>
      <c r="K35" s="29"/>
      <c r="L35" s="29"/>
      <c r="M35" s="47"/>
      <c r="N35" s="29" t="str">
        <f>IF(TableauFfinale[[#This Row],[Dont soumis au taux réduit]]="","",TableauFfinale[[#This Row],[Dont soumis au taux réduit]]*TableauFfinale[[#This Row],[Taux réduit]])</f>
        <v/>
      </c>
      <c r="O35" s="29"/>
      <c r="P35" s="47"/>
      <c r="Q35" s="29" t="str">
        <f>IF(TableauFfinale[[#This Row],[Dont soumis au taux intermédiaire]]="","",TableauFfinale[[#This Row],[Dont soumis au taux intermédiaire]]*TableauFfinale[[#This Row],[Taux intermédiaire]])</f>
        <v/>
      </c>
      <c r="R35" s="29"/>
      <c r="S35" s="47"/>
      <c r="T35" s="29" t="str">
        <f>IF(TableauFfinale[[#This Row],[Dont soumis au taux normal]]="","",TableauFfinale[[#This Row],[Dont soumis au taux normal]]*TableauFfinale[[#This Row],[Taux normal]])</f>
        <v/>
      </c>
      <c r="U35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5" s="38"/>
      <c r="W35" s="4" t="str">
        <f>IF(TableauFfinale[[#This Row],[Date]]="","",SUM(TableauFfinale[[#This Row],[TOTAL TTC]]-TableauFfinale[[#This Row],[Ecarts réglements FA1+FA2-AVOIR (report)]]))</f>
        <v/>
      </c>
      <c r="X35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5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5" s="38"/>
      <c r="AB35" s="31"/>
      <c r="AD35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5" s="30"/>
      <c r="AF35" s="39"/>
      <c r="AI3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5" s="30"/>
      <c r="AK35" s="39"/>
      <c r="AN3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5" s="45"/>
      <c r="AQ35" s="45"/>
      <c r="AR3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6" spans="1:44" x14ac:dyDescent="0.3">
      <c r="A36" s="33"/>
      <c r="B36" s="31" t="str">
        <f t="shared" si="4"/>
        <v/>
      </c>
      <c r="C36" s="2" t="str">
        <f>IF(TableauFfinale[[#This Row],[Date]]="","",IF(MONTH(TableauFfinale[[#This Row],[Date]])=MONTH(A35),C35+1,1))</f>
        <v/>
      </c>
      <c r="D36" s="34"/>
      <c r="E36" s="34"/>
      <c r="F3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6" s="36"/>
      <c r="I3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6" s="40" t="str">
        <f>IF(TableauFfinale[[#This Row],[Date]]&lt;&gt;"",AND(TableauFfinale[[#This Row],[Ecart de règlement]]&lt;&gt;"",TableauFfinale[[#This Row],[Ecart de règlement]]&gt;=-1),"")</f>
        <v/>
      </c>
      <c r="K36" s="29"/>
      <c r="L36" s="29"/>
      <c r="M36" s="47"/>
      <c r="N36" s="29" t="str">
        <f>IF(TableauFfinale[[#This Row],[Dont soumis au taux réduit]]="","",TableauFfinale[[#This Row],[Dont soumis au taux réduit]]*TableauFfinale[[#This Row],[Taux réduit]])</f>
        <v/>
      </c>
      <c r="O36" s="29"/>
      <c r="P36" s="47"/>
      <c r="Q36" s="29" t="str">
        <f>IF(TableauFfinale[[#This Row],[Dont soumis au taux intermédiaire]]="","",TableauFfinale[[#This Row],[Dont soumis au taux intermédiaire]]*TableauFfinale[[#This Row],[Taux intermédiaire]])</f>
        <v/>
      </c>
      <c r="R36" s="29"/>
      <c r="S36" s="47"/>
      <c r="T36" s="29" t="str">
        <f>IF(TableauFfinale[[#This Row],[Dont soumis au taux normal]]="","",TableauFfinale[[#This Row],[Dont soumis au taux normal]]*TableauFfinale[[#This Row],[Taux normal]])</f>
        <v/>
      </c>
      <c r="U36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6" s="38"/>
      <c r="W36" s="4" t="str">
        <f>IF(TableauFfinale[[#This Row],[Date]]="","",SUM(TableauFfinale[[#This Row],[TOTAL TTC]]-TableauFfinale[[#This Row],[Ecarts réglements FA1+FA2-AVOIR (report)]]))</f>
        <v/>
      </c>
      <c r="X36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6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6" s="38"/>
      <c r="AB36" s="31"/>
      <c r="AD36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6" s="30"/>
      <c r="AF36" s="39"/>
      <c r="AI3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6" s="30"/>
      <c r="AK36" s="39"/>
      <c r="AN3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6" s="45"/>
      <c r="AQ36" s="45"/>
      <c r="AR3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7" spans="1:44" x14ac:dyDescent="0.3">
      <c r="A37" s="33"/>
      <c r="B37" s="31" t="str">
        <f t="shared" si="4"/>
        <v/>
      </c>
      <c r="C37" s="2" t="str">
        <f>IF(TableauFfinale[[#This Row],[Date]]="","",IF(MONTH(TableauFfinale[[#This Row],[Date]])=MONTH(A36),C36+1,1))</f>
        <v/>
      </c>
      <c r="D37" s="34"/>
      <c r="E37" s="34"/>
      <c r="F3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7" s="36"/>
      <c r="I3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7" s="40" t="str">
        <f>IF(TableauFfinale[[#This Row],[Date]]&lt;&gt;"",AND(TableauFfinale[[#This Row],[Ecart de règlement]]&lt;&gt;"",TableauFfinale[[#This Row],[Ecart de règlement]]&gt;=-1),"")</f>
        <v/>
      </c>
      <c r="K37" s="29"/>
      <c r="L37" s="29"/>
      <c r="M37" s="47"/>
      <c r="N37" s="29" t="str">
        <f>IF(TableauFfinale[[#This Row],[Dont soumis au taux réduit]]="","",TableauFfinale[[#This Row],[Dont soumis au taux réduit]]*TableauFfinale[[#This Row],[Taux réduit]])</f>
        <v/>
      </c>
      <c r="O37" s="29"/>
      <c r="P37" s="47"/>
      <c r="Q37" s="29" t="str">
        <f>IF(TableauFfinale[[#This Row],[Dont soumis au taux intermédiaire]]="","",TableauFfinale[[#This Row],[Dont soumis au taux intermédiaire]]*TableauFfinale[[#This Row],[Taux intermédiaire]])</f>
        <v/>
      </c>
      <c r="R37" s="29"/>
      <c r="S37" s="47"/>
      <c r="T37" s="29" t="str">
        <f>IF(TableauFfinale[[#This Row],[Dont soumis au taux normal]]="","",TableauFfinale[[#This Row],[Dont soumis au taux normal]]*TableauFfinale[[#This Row],[Taux normal]])</f>
        <v/>
      </c>
      <c r="U37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7" s="38"/>
      <c r="W37" s="4" t="str">
        <f>IF(TableauFfinale[[#This Row],[Date]]="","",SUM(TableauFfinale[[#This Row],[TOTAL TTC]]-TableauFfinale[[#This Row],[Ecarts réglements FA1+FA2-AVOIR (report)]]))</f>
        <v/>
      </c>
      <c r="X37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7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7" s="38"/>
      <c r="AB37" s="31"/>
      <c r="AD37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7" s="30"/>
      <c r="AF37" s="39"/>
      <c r="AI3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7" s="30"/>
      <c r="AK37" s="39"/>
      <c r="AN3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7" s="45"/>
      <c r="AQ37" s="45"/>
      <c r="AR3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8" spans="1:44" x14ac:dyDescent="0.3">
      <c r="A38" s="33"/>
      <c r="B38" s="31" t="str">
        <f t="shared" si="4"/>
        <v/>
      </c>
      <c r="C38" s="2" t="str">
        <f>IF(TableauFfinale[[#This Row],[Date]]="","",IF(MONTH(TableauFfinale[[#This Row],[Date]])=MONTH(A37),C37+1,1))</f>
        <v/>
      </c>
      <c r="D38" s="34"/>
      <c r="E38" s="34"/>
      <c r="F3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8" s="36"/>
      <c r="I3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8" s="40" t="str">
        <f>IF(TableauFfinale[[#This Row],[Date]]&lt;&gt;"",AND(TableauFfinale[[#This Row],[Ecart de règlement]]&lt;&gt;"",TableauFfinale[[#This Row],[Ecart de règlement]]&gt;=-1),"")</f>
        <v/>
      </c>
      <c r="K38" s="29"/>
      <c r="L38" s="29"/>
      <c r="M38" s="47"/>
      <c r="N38" s="29" t="str">
        <f>IF(TableauFfinale[[#This Row],[Dont soumis au taux réduit]]="","",TableauFfinale[[#This Row],[Dont soumis au taux réduit]]*TableauFfinale[[#This Row],[Taux réduit]])</f>
        <v/>
      </c>
      <c r="O38" s="29"/>
      <c r="P38" s="47"/>
      <c r="Q38" s="29" t="str">
        <f>IF(TableauFfinale[[#This Row],[Dont soumis au taux intermédiaire]]="","",TableauFfinale[[#This Row],[Dont soumis au taux intermédiaire]]*TableauFfinale[[#This Row],[Taux intermédiaire]])</f>
        <v/>
      </c>
      <c r="R38" s="29"/>
      <c r="S38" s="47"/>
      <c r="T38" s="29" t="str">
        <f>IF(TableauFfinale[[#This Row],[Dont soumis au taux normal]]="","",TableauFfinale[[#This Row],[Dont soumis au taux normal]]*TableauFfinale[[#This Row],[Taux normal]])</f>
        <v/>
      </c>
      <c r="U38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8" s="38"/>
      <c r="W38" s="4" t="str">
        <f>IF(TableauFfinale[[#This Row],[Date]]="","",SUM(TableauFfinale[[#This Row],[TOTAL TTC]]-TableauFfinale[[#This Row],[Ecarts réglements FA1+FA2-AVOIR (report)]]))</f>
        <v/>
      </c>
      <c r="X38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8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8" s="38"/>
      <c r="AB38" s="31"/>
      <c r="AD38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8" s="30"/>
      <c r="AF38" s="39"/>
      <c r="AI3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8" s="30"/>
      <c r="AK38" s="39"/>
      <c r="AN3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8" s="45"/>
      <c r="AQ38" s="45"/>
      <c r="AR3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9" spans="1:44" x14ac:dyDescent="0.3">
      <c r="A39" s="33"/>
      <c r="B39" s="31" t="str">
        <f t="shared" si="4"/>
        <v/>
      </c>
      <c r="C39" s="2" t="str">
        <f>IF(TableauFfinale[[#This Row],[Date]]="","",IF(MONTH(TableauFfinale[[#This Row],[Date]])=MONTH(A38),C38+1,1))</f>
        <v/>
      </c>
      <c r="D39" s="34"/>
      <c r="E39" s="34"/>
      <c r="F3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9" s="36"/>
      <c r="I3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9" s="40" t="str">
        <f>IF(TableauFfinale[[#This Row],[Date]]&lt;&gt;"",AND(TableauFfinale[[#This Row],[Ecart de règlement]]&lt;&gt;"",TableauFfinale[[#This Row],[Ecart de règlement]]&gt;=-1),"")</f>
        <v/>
      </c>
      <c r="K39" s="29"/>
      <c r="L39" s="29"/>
      <c r="M39" s="47"/>
      <c r="N39" s="29" t="str">
        <f>IF(TableauFfinale[[#This Row],[Dont soumis au taux réduit]]="","",TableauFfinale[[#This Row],[Dont soumis au taux réduit]]*TableauFfinale[[#This Row],[Taux réduit]])</f>
        <v/>
      </c>
      <c r="O39" s="29"/>
      <c r="P39" s="47"/>
      <c r="Q39" s="29" t="str">
        <f>IF(TableauFfinale[[#This Row],[Dont soumis au taux intermédiaire]]="","",TableauFfinale[[#This Row],[Dont soumis au taux intermédiaire]]*TableauFfinale[[#This Row],[Taux intermédiaire]])</f>
        <v/>
      </c>
      <c r="R39" s="29"/>
      <c r="S39" s="47"/>
      <c r="T39" s="29" t="str">
        <f>IF(TableauFfinale[[#This Row],[Dont soumis au taux normal]]="","",TableauFfinale[[#This Row],[Dont soumis au taux normal]]*TableauFfinale[[#This Row],[Taux normal]])</f>
        <v/>
      </c>
      <c r="U39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9" s="38"/>
      <c r="W39" s="4" t="str">
        <f>IF(TableauFfinale[[#This Row],[Date]]="","",SUM(TableauFfinale[[#This Row],[TOTAL TTC]]-TableauFfinale[[#This Row],[Ecarts réglements FA1+FA2-AVOIR (report)]]))</f>
        <v/>
      </c>
      <c r="X39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9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9" s="38"/>
      <c r="AB39" s="31"/>
      <c r="AD39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9" s="30"/>
      <c r="AF39" s="39"/>
      <c r="AI3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9" s="30"/>
      <c r="AK39" s="39"/>
      <c r="AN3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9" s="45"/>
      <c r="AQ39" s="45"/>
      <c r="AR3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0" spans="1:44" x14ac:dyDescent="0.3">
      <c r="A40" s="33"/>
      <c r="B40" s="31" t="str">
        <f t="shared" si="4"/>
        <v/>
      </c>
      <c r="C40" s="2" t="str">
        <f>IF(TableauFfinale[[#This Row],[Date]]="","",IF(MONTH(TableauFfinale[[#This Row],[Date]])=MONTH(A39),C39+1,1))</f>
        <v/>
      </c>
      <c r="D40" s="34"/>
      <c r="E40" s="34"/>
      <c r="F4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40" s="36"/>
      <c r="I4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40" s="40" t="str">
        <f>IF(TableauFfinale[[#This Row],[Date]]&lt;&gt;"",AND(TableauFfinale[[#This Row],[Ecart de règlement]]&lt;&gt;"",TableauFfinale[[#This Row],[Ecart de règlement]]&gt;=-1),"")</f>
        <v/>
      </c>
      <c r="K40" s="29"/>
      <c r="L40" s="29"/>
      <c r="M40" s="47"/>
      <c r="N40" s="29" t="str">
        <f>IF(TableauFfinale[[#This Row],[Dont soumis au taux réduit]]="","",TableauFfinale[[#This Row],[Dont soumis au taux réduit]]*TableauFfinale[[#This Row],[Taux réduit]])</f>
        <v/>
      </c>
      <c r="O40" s="29"/>
      <c r="P40" s="47"/>
      <c r="Q40" s="29" t="str">
        <f>IF(TableauFfinale[[#This Row],[Dont soumis au taux intermédiaire]]="","",TableauFfinale[[#This Row],[Dont soumis au taux intermédiaire]]*TableauFfinale[[#This Row],[Taux intermédiaire]])</f>
        <v/>
      </c>
      <c r="R40" s="29"/>
      <c r="S40" s="47"/>
      <c r="T40" s="29" t="str">
        <f>IF(TableauFfinale[[#This Row],[Dont soumis au taux normal]]="","",TableauFfinale[[#This Row],[Dont soumis au taux normal]]*TableauFfinale[[#This Row],[Taux normal]])</f>
        <v/>
      </c>
      <c r="U40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40" s="38"/>
      <c r="W40" s="4" t="str">
        <f>IF(TableauFfinale[[#This Row],[Date]]="","",SUM(TableauFfinale[[#This Row],[TOTAL TTC]]-TableauFfinale[[#This Row],[Ecarts réglements FA1+FA2-AVOIR (report)]]))</f>
        <v/>
      </c>
      <c r="X4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4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40" s="38"/>
      <c r="AB40" s="31"/>
      <c r="AD4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40" s="30"/>
      <c r="AF40" s="39"/>
      <c r="AI4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40" s="30"/>
      <c r="AK40" s="39"/>
      <c r="AN4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40" s="45"/>
      <c r="AQ40" s="45"/>
      <c r="AR4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1" spans="1:44" x14ac:dyDescent="0.3">
      <c r="A41" s="33"/>
      <c r="B41" s="31" t="str">
        <f t="shared" si="4"/>
        <v/>
      </c>
      <c r="C41" s="2" t="str">
        <f>IF(TableauFfinale[[#This Row],[Date]]="","",IF(MONTH(TableauFfinale[[#This Row],[Date]])=MONTH(A40),C40+1,1))</f>
        <v/>
      </c>
      <c r="D41" s="34"/>
      <c r="E41" s="34"/>
      <c r="F4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41" s="36"/>
      <c r="I4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41" s="40" t="str">
        <f>IF(TableauFfinale[[#This Row],[Date]]&lt;&gt;"",AND(TableauFfinale[[#This Row],[Ecart de règlement]]&lt;&gt;"",TableauFfinale[[#This Row],[Ecart de règlement]]&gt;=-1),"")</f>
        <v/>
      </c>
      <c r="K41" s="29"/>
      <c r="L41" s="29"/>
      <c r="M41" s="47"/>
      <c r="N41" s="29" t="str">
        <f>IF(TableauFfinale[[#This Row],[Dont soumis au taux réduit]]="","",TableauFfinale[[#This Row],[Dont soumis au taux réduit]]*TableauFfinale[[#This Row],[Taux réduit]])</f>
        <v/>
      </c>
      <c r="O41" s="29"/>
      <c r="P41" s="47"/>
      <c r="Q41" s="29" t="str">
        <f>IF(TableauFfinale[[#This Row],[Dont soumis au taux intermédiaire]]="","",TableauFfinale[[#This Row],[Dont soumis au taux intermédiaire]]*TableauFfinale[[#This Row],[Taux intermédiaire]])</f>
        <v/>
      </c>
      <c r="R41" s="29"/>
      <c r="S41" s="47"/>
      <c r="T41" s="29" t="str">
        <f>IF(TableauFfinale[[#This Row],[Dont soumis au taux normal]]="","",TableauFfinale[[#This Row],[Dont soumis au taux normal]]*TableauFfinale[[#This Row],[Taux normal]])</f>
        <v/>
      </c>
      <c r="U41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41" s="38"/>
      <c r="W41" s="4" t="str">
        <f>IF(TableauFfinale[[#This Row],[Date]]="","",SUM(TableauFfinale[[#This Row],[TOTAL TTC]]-TableauFfinale[[#This Row],[Ecarts réglements FA1+FA2-AVOIR (report)]]))</f>
        <v/>
      </c>
      <c r="X41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41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41" s="38"/>
      <c r="AB41" s="31"/>
      <c r="AD41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41" s="30"/>
      <c r="AF41" s="39"/>
      <c r="AI4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41" s="30"/>
      <c r="AK41" s="39"/>
      <c r="AN4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41" s="45"/>
      <c r="AQ41" s="45"/>
      <c r="AR4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2" spans="1:44" x14ac:dyDescent="0.3">
      <c r="G42" s="31"/>
      <c r="T42" s="29"/>
      <c r="U42" s="29"/>
      <c r="V42" s="30"/>
      <c r="W42" s="38"/>
    </row>
    <row r="43" spans="1:44" x14ac:dyDescent="0.3">
      <c r="G43" s="31"/>
      <c r="T43" s="29"/>
      <c r="U43" s="29"/>
      <c r="V43" s="30"/>
      <c r="W43" s="38"/>
    </row>
    <row r="44" spans="1:44" x14ac:dyDescent="0.3">
      <c r="G44" s="31"/>
      <c r="T44" s="29"/>
      <c r="U44" s="29"/>
      <c r="V44" s="30"/>
      <c r="W44" s="38"/>
    </row>
    <row r="45" spans="1:44" x14ac:dyDescent="0.3">
      <c r="G45" s="31"/>
      <c r="T45" s="29"/>
      <c r="U45" s="29"/>
      <c r="V45" s="30"/>
      <c r="W45" s="38"/>
    </row>
    <row r="46" spans="1:44" x14ac:dyDescent="0.3"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</row>
    <row r="47" spans="1:44" x14ac:dyDescent="0.3"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</row>
    <row r="48" spans="1:44" x14ac:dyDescent="0.3"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</row>
    <row r="49" spans="12:24" x14ac:dyDescent="0.3"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</row>
    <row r="50" spans="12:24" x14ac:dyDescent="0.3"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</row>
    <row r="51" spans="12:24" x14ac:dyDescent="0.3"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</row>
    <row r="52" spans="12:24" x14ac:dyDescent="0.3"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</row>
    <row r="53" spans="12:24" x14ac:dyDescent="0.3"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</row>
    <row r="54" spans="12:24" x14ac:dyDescent="0.3"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</row>
    <row r="55" spans="12:24" x14ac:dyDescent="0.3"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30" t="str">
        <f>IF(NOT(ISBLANK(Y55)),"nonvide","vide")</f>
        <v>vide</v>
      </c>
    </row>
    <row r="56" spans="12:24" x14ac:dyDescent="0.3"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</row>
    <row r="57" spans="12:24" x14ac:dyDescent="0.3"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</row>
    <row r="58" spans="12:24" x14ac:dyDescent="0.3"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</row>
  </sheetData>
  <conditionalFormatting sqref="M3:M41">
    <cfRule type="expression" dxfId="30" priority="117" stopIfTrue="1">
      <formula>AND($M3="",$L3&gt;0)</formula>
    </cfRule>
  </conditionalFormatting>
  <conditionalFormatting sqref="J3:J41">
    <cfRule type="cellIs" dxfId="29" priority="123" operator="equal">
      <formula>FALSE</formula>
    </cfRule>
  </conditionalFormatting>
  <conditionalFormatting sqref="A3:U41">
    <cfRule type="expression" dxfId="28" priority="118">
      <formula>$J3=FALSE</formula>
    </cfRule>
    <cfRule type="expression" dxfId="27" priority="119">
      <formula>$J3=TRUE</formula>
    </cfRule>
  </conditionalFormatting>
  <conditionalFormatting sqref="AQ3:AQ41">
    <cfRule type="expression" dxfId="26" priority="55">
      <formula>AND($AP3&lt;&gt;"",$AQ3&lt;&gt;"")</formula>
    </cfRule>
    <cfRule type="expression" dxfId="25" priority="181">
      <formula>AND($AP3&lt;&gt;"",$AQ3="")</formula>
    </cfRule>
  </conditionalFormatting>
  <conditionalFormatting sqref="V3:V41 X4:Y41">
    <cfRule type="cellIs" dxfId="24" priority="124" operator="lessThan">
      <formula>0</formula>
    </cfRule>
    <cfRule type="cellIs" dxfId="23" priority="125" operator="greaterThan">
      <formula>0</formula>
    </cfRule>
  </conditionalFormatting>
  <conditionalFormatting sqref="X3:Y3">
    <cfRule type="cellIs" dxfId="22" priority="126" operator="lessThan">
      <formula>0</formula>
    </cfRule>
    <cfRule type="cellIs" dxfId="21" priority="127" operator="greaterThan">
      <formula>0</formula>
    </cfRule>
  </conditionalFormatting>
  <conditionalFormatting sqref="P3:P41">
    <cfRule type="expression" dxfId="20" priority="116" stopIfTrue="1">
      <formula>AND($P3="",$O3&gt;0)</formula>
    </cfRule>
  </conditionalFormatting>
  <conditionalFormatting sqref="S3:S41">
    <cfRule type="expression" dxfId="19" priority="115" stopIfTrue="1">
      <formula>AND($S3="",$R3&gt;0)</formula>
    </cfRule>
  </conditionalFormatting>
  <conditionalFormatting sqref="AP3:AP41">
    <cfRule type="expression" dxfId="18" priority="54">
      <formula>$AP3&lt;&gt;""</formula>
    </cfRule>
  </conditionalFormatting>
  <conditionalFormatting sqref="AR3:AR41">
    <cfRule type="expression" dxfId="17" priority="53">
      <formula>$AR3&lt;&gt;""</formula>
    </cfRule>
  </conditionalFormatting>
  <dataValidations count="1">
    <dataValidation type="list" allowBlank="1" showInputMessage="1" showErrorMessage="1" sqref="E3:E41">
      <formula1>liste_commerciaux</formula1>
    </dataValidation>
  </dataValidations>
  <hyperlinks>
    <hyperlink ref="AA1" r:id="rId1"/>
    <hyperlink ref="AF1" r:id="rId2"/>
    <hyperlink ref="AK1" r:id="rId3"/>
    <hyperlink ref="L1" r:id="rId4"/>
  </hyperlinks>
  <pageMargins left="0.25" right="0.25" top="0.75" bottom="0.75" header="0.3" footer="0.3"/>
  <pageSetup paperSize="9" orientation="landscape" horizontalDpi="300" verticalDpi="300" r:id="rId5"/>
  <drawing r:id="rId6"/>
  <legacyDrawing r:id="rId7"/>
  <tableParts count="1"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38"/>
  <sheetViews>
    <sheetView workbookViewId="0">
      <pane xSplit="6" ySplit="2" topLeftCell="G3" activePane="bottomRight" state="frozen"/>
      <selection pane="topRight" activeCell="F1" sqref="F1"/>
      <selection pane="bottomLeft" activeCell="A3" sqref="A3"/>
      <selection pane="bottomRight" activeCell="K15" sqref="K15"/>
    </sheetView>
  </sheetViews>
  <sheetFormatPr baseColWidth="10" defaultColWidth="11.375" defaultRowHeight="16.5" x14ac:dyDescent="0.3"/>
  <cols>
    <col min="1" max="1" width="11.25" style="77" customWidth="1"/>
    <col min="2" max="2" width="4.5" style="77" customWidth="1"/>
    <col min="3" max="3" width="5.375" style="87" customWidth="1"/>
    <col min="4" max="4" width="15.625" style="77" customWidth="1"/>
    <col min="5" max="5" width="6.875" style="77" customWidth="1"/>
    <col min="6" max="6" width="13.875" style="77" customWidth="1"/>
    <col min="7" max="7" width="23.75" style="77" customWidth="1"/>
    <col min="8" max="8" width="13.625" style="77" customWidth="1"/>
    <col min="9" max="9" width="10.625" style="77" customWidth="1"/>
    <col min="10" max="10" width="8.375" style="77" customWidth="1"/>
    <col min="11" max="14" width="11" style="77" customWidth="1"/>
    <col min="15" max="15" width="11.625" style="77" customWidth="1"/>
    <col min="16" max="16" width="7.625" style="77" customWidth="1"/>
    <col min="17" max="17" width="9.625" style="77" customWidth="1"/>
    <col min="18" max="18" width="15.75" style="77" customWidth="1"/>
    <col min="19" max="19" width="8" style="77" customWidth="1"/>
    <col min="20" max="20" width="11.375" style="76"/>
    <col min="21" max="21" width="24" style="77" customWidth="1"/>
    <col min="22" max="16384" width="11.375" style="77"/>
  </cols>
  <sheetData>
    <row r="1" spans="1:25" x14ac:dyDescent="0.3">
      <c r="A1" s="71" t="s">
        <v>20</v>
      </c>
      <c r="B1" s="72"/>
      <c r="C1" s="73"/>
      <c r="D1" s="72"/>
      <c r="E1" s="72"/>
      <c r="F1" s="72"/>
      <c r="G1" s="74"/>
      <c r="H1" s="75" t="s">
        <v>179</v>
      </c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</row>
    <row r="2" spans="1:25" s="85" customFormat="1" ht="44.25" customHeight="1" x14ac:dyDescent="0.3">
      <c r="A2" s="78" t="s">
        <v>3</v>
      </c>
      <c r="B2" s="78" t="s">
        <v>21</v>
      </c>
      <c r="C2" s="78" t="s">
        <v>1</v>
      </c>
      <c r="D2" s="78" t="s">
        <v>2</v>
      </c>
      <c r="E2" s="78" t="s">
        <v>29</v>
      </c>
      <c r="F2" s="78" t="s">
        <v>4</v>
      </c>
      <c r="G2" s="78" t="s">
        <v>16</v>
      </c>
      <c r="H2" s="79" t="s">
        <v>17</v>
      </c>
      <c r="I2" s="80" t="s">
        <v>23</v>
      </c>
      <c r="J2" s="80" t="s">
        <v>28</v>
      </c>
      <c r="K2" s="80" t="s">
        <v>24</v>
      </c>
      <c r="L2" s="81" t="s">
        <v>44</v>
      </c>
      <c r="M2" s="81" t="s">
        <v>45</v>
      </c>
      <c r="N2" s="81" t="s">
        <v>63</v>
      </c>
      <c r="O2" s="82" t="s">
        <v>25</v>
      </c>
      <c r="P2" s="82" t="s">
        <v>43</v>
      </c>
      <c r="Q2" s="82" t="s">
        <v>26</v>
      </c>
      <c r="R2" s="78" t="s">
        <v>27</v>
      </c>
      <c r="S2" s="83" t="s">
        <v>22</v>
      </c>
      <c r="T2" s="78" t="s">
        <v>12</v>
      </c>
      <c r="U2" s="78" t="s">
        <v>13</v>
      </c>
      <c r="V2" s="84"/>
      <c r="W2" s="84"/>
      <c r="X2" s="84"/>
      <c r="Y2" s="84"/>
    </row>
    <row r="3" spans="1:25" x14ac:dyDescent="0.3">
      <c r="A3" s="86">
        <v>41608</v>
      </c>
      <c r="B3" s="77" t="str">
        <f t="shared" ref="B3:B35" si="0">IF(A3="","",$B$2)</f>
        <v>A</v>
      </c>
      <c r="C3" s="87">
        <v>1</v>
      </c>
      <c r="D3" s="88" t="s">
        <v>30</v>
      </c>
      <c r="E3" s="88" t="s">
        <v>0</v>
      </c>
      <c r="F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A-13110001</v>
      </c>
      <c r="G3" s="77" t="s">
        <v>47</v>
      </c>
      <c r="H3" s="90"/>
      <c r="I3" s="90"/>
      <c r="J3" s="91"/>
      <c r="K3" s="90" t="str">
        <f>IF(TableauAvoirs[[#This Row],[Dont soumis au taux réduit]]="","",TableauAvoirs[[#This Row],[Dont soumis au taux réduit]]*TableauAvoirs[[#This Row],[Taux réduit]])</f>
        <v/>
      </c>
      <c r="L3" s="90"/>
      <c r="M3" s="92"/>
      <c r="N3" s="90" t="str">
        <f>IF(TableauAvoirs[[#This Row],[Dont soumis au taux intermédiaire]]="","",TableauAvoirs[[#This Row],[Dont soumis au taux intermédiaire]]*TableauAvoirs[[#This Row],[Taux intermédiaire]])</f>
        <v/>
      </c>
      <c r="O3" s="90"/>
      <c r="P3" s="92"/>
      <c r="Q3" s="90" t="str">
        <f>IF(TableauAvoirs[[#This Row],[Dont soumis au taux normal]]="","",TableauAvoirs[[#This Row],[Dont soumis au taux normal]]*TableauAvoirs[[#This Row],[Taux normal]])</f>
        <v/>
      </c>
      <c r="R3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0</v>
      </c>
      <c r="S3" s="93" t="str">
        <f>IF(TableauAvoirs[[#This Row],[Réglé le]]="","",MONTH(TableauAvoirs[[#This Row],[Réglé le]]))</f>
        <v/>
      </c>
    </row>
    <row r="4" spans="1:25" x14ac:dyDescent="0.3">
      <c r="A4" s="86">
        <v>41639</v>
      </c>
      <c r="B4" s="77" t="str">
        <f t="shared" ref="B4:B7" si="1">IF(A4="","",$B$2)</f>
        <v>A</v>
      </c>
      <c r="C4" s="87">
        <v>1</v>
      </c>
      <c r="D4" s="88" t="s">
        <v>40</v>
      </c>
      <c r="E4" s="88" t="s">
        <v>0</v>
      </c>
      <c r="F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A-13120001</v>
      </c>
      <c r="G4" s="77" t="s">
        <v>47</v>
      </c>
      <c r="H4" s="90"/>
      <c r="I4" s="90"/>
      <c r="J4" s="91"/>
      <c r="K4" s="90" t="str">
        <f>IF(TableauAvoirs[[#This Row],[Dont soumis au taux réduit]]="","",TableauAvoirs[[#This Row],[Dont soumis au taux réduit]]*TableauAvoirs[[#This Row],[Taux réduit]])</f>
        <v/>
      </c>
      <c r="L4" s="90"/>
      <c r="M4" s="92"/>
      <c r="N4" s="90" t="str">
        <f>IF(TableauAvoirs[[#This Row],[Dont soumis au taux intermédiaire]]="","",TableauAvoirs[[#This Row],[Dont soumis au taux intermédiaire]]*TableauAvoirs[[#This Row],[Taux intermédiaire]])</f>
        <v/>
      </c>
      <c r="O4" s="90"/>
      <c r="P4" s="92"/>
      <c r="Q4" s="90" t="str">
        <f>IF(TableauAvoirs[[#This Row],[Dont soumis au taux normal]]="","",TableauAvoirs[[#This Row],[Dont soumis au taux normal]]*TableauAvoirs[[#This Row],[Taux normal]])</f>
        <v/>
      </c>
      <c r="R4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0</v>
      </c>
      <c r="S4" s="93" t="str">
        <f>IF(TableauAvoirs[[#This Row],[Réglé le]]="","",MONTH(TableauAvoirs[[#This Row],[Réglé le]]))</f>
        <v/>
      </c>
    </row>
    <row r="5" spans="1:25" x14ac:dyDescent="0.3">
      <c r="A5" s="86">
        <v>41639</v>
      </c>
      <c r="B5" s="77" t="str">
        <f t="shared" si="1"/>
        <v>A</v>
      </c>
      <c r="C5" s="87">
        <f>IF(TableauAvoirs[[#This Row],[Date]]="","",IF(MONTH(TableauAvoirs[[#This Row],[Date]])=MONTH(A4),C4+1,1))</f>
        <v>2</v>
      </c>
      <c r="D5" s="88" t="s">
        <v>40</v>
      </c>
      <c r="E5" s="88" t="s">
        <v>0</v>
      </c>
      <c r="F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A-13120002</v>
      </c>
      <c r="G5" s="77" t="s">
        <v>48</v>
      </c>
      <c r="H5" s="90"/>
      <c r="I5" s="90"/>
      <c r="J5" s="91"/>
      <c r="K5" s="90" t="str">
        <f>IF(TableauAvoirs[[#This Row],[Dont soumis au taux réduit]]="","",TableauAvoirs[[#This Row],[Dont soumis au taux réduit]]*TableauAvoirs[[#This Row],[Taux réduit]])</f>
        <v/>
      </c>
      <c r="L5" s="90"/>
      <c r="M5" s="92"/>
      <c r="N5" s="90" t="str">
        <f>IF(TableauAvoirs[[#This Row],[Dont soumis au taux intermédiaire]]="","",TableauAvoirs[[#This Row],[Dont soumis au taux intermédiaire]]*TableauAvoirs[[#This Row],[Taux intermédiaire]])</f>
        <v/>
      </c>
      <c r="O5" s="90"/>
      <c r="P5" s="92"/>
      <c r="Q5" s="90" t="str">
        <f>IF(TableauAvoirs[[#This Row],[Dont soumis au taux normal]]="","",TableauAvoirs[[#This Row],[Dont soumis au taux normal]]*TableauAvoirs[[#This Row],[Taux normal]])</f>
        <v/>
      </c>
      <c r="R5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0</v>
      </c>
      <c r="S5" s="93" t="str">
        <f>IF(TableauAvoirs[[#This Row],[Réglé le]]="","",MONTH(TableauAvoirs[[#This Row],[Réglé le]]))</f>
        <v/>
      </c>
    </row>
    <row r="6" spans="1:25" x14ac:dyDescent="0.3">
      <c r="A6" s="86">
        <v>41668</v>
      </c>
      <c r="B6" s="77" t="str">
        <f t="shared" si="1"/>
        <v>A</v>
      </c>
      <c r="C6" s="87">
        <f>IF(TableauAvoirs[[#This Row],[Date]]="","",IF(MONTH(TableauAvoirs[[#This Row],[Date]])=MONTH(A5),C5+1,1))</f>
        <v>1</v>
      </c>
      <c r="D6" s="88" t="s">
        <v>40</v>
      </c>
      <c r="E6" s="88" t="s">
        <v>0</v>
      </c>
      <c r="F6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A-14010001</v>
      </c>
      <c r="G6" s="77" t="s">
        <v>46</v>
      </c>
      <c r="H6" s="90">
        <v>755.91</v>
      </c>
      <c r="I6" s="90">
        <v>151.18</v>
      </c>
      <c r="J6" s="91">
        <v>7.0000000000000007E-2</v>
      </c>
      <c r="K6" s="90">
        <f>IF(TableauAvoirs[[#This Row],[Dont soumis au taux réduit]]="","",TableauAvoirs[[#This Row],[Dont soumis au taux réduit]]*TableauAvoirs[[#This Row],[Taux réduit]])</f>
        <v>10.582600000000001</v>
      </c>
      <c r="L6" s="90">
        <v>604.73</v>
      </c>
      <c r="M6" s="92">
        <v>0.1</v>
      </c>
      <c r="N6" s="90">
        <f>IF(TableauAvoirs[[#This Row],[Dont soumis au taux intermédiaire]]="","",TableauAvoirs[[#This Row],[Dont soumis au taux intermédiaire]]*TableauAvoirs[[#This Row],[Taux intermédiaire]])</f>
        <v>60.473000000000006</v>
      </c>
      <c r="O6" s="90"/>
      <c r="P6" s="92"/>
      <c r="Q6" s="90" t="str">
        <f>IF(TableauAvoirs[[#This Row],[Dont soumis au taux normal]]="","",TableauAvoirs[[#This Row],[Dont soumis au taux normal]]*TableauAvoirs[[#This Row],[Taux normal]])</f>
        <v/>
      </c>
      <c r="R6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826.96559999999988</v>
      </c>
      <c r="S6" s="93">
        <f>IF(TableauAvoirs[[#This Row],[Réglé le]]="","",MONTH(TableauAvoirs[[#This Row],[Réglé le]]))</f>
        <v>1</v>
      </c>
      <c r="T6" s="76">
        <v>41668</v>
      </c>
      <c r="U6" s="77" t="s">
        <v>49</v>
      </c>
    </row>
    <row r="7" spans="1:25" x14ac:dyDescent="0.3">
      <c r="A7" s="86">
        <v>41689</v>
      </c>
      <c r="B7" s="77" t="str">
        <f t="shared" si="1"/>
        <v>A</v>
      </c>
      <c r="C7" s="87">
        <f>IF(TableauAvoirs[[#This Row],[Date]]="","",IF(MONTH(TableauAvoirs[[#This Row],[Date]])=MONTH(A6),C6+1,1))</f>
        <v>1</v>
      </c>
      <c r="D7" s="88" t="s">
        <v>39</v>
      </c>
      <c r="E7" s="88" t="s">
        <v>0</v>
      </c>
      <c r="F7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A-14020001</v>
      </c>
      <c r="G7" s="77" t="s">
        <v>50</v>
      </c>
      <c r="H7" s="90">
        <v>180</v>
      </c>
      <c r="I7" s="90">
        <v>180</v>
      </c>
      <c r="J7" s="91">
        <v>5.5E-2</v>
      </c>
      <c r="K7" s="90">
        <f>IF(TableauAvoirs[[#This Row],[Dont soumis au taux réduit]]="","",TableauAvoirs[[#This Row],[Dont soumis au taux réduit]]*TableauAvoirs[[#This Row],[Taux réduit]])</f>
        <v>9.9</v>
      </c>
      <c r="L7" s="90"/>
      <c r="M7" s="92"/>
      <c r="N7" s="90" t="str">
        <f>IF(TableauAvoirs[[#This Row],[Dont soumis au taux intermédiaire]]="","",TableauAvoirs[[#This Row],[Dont soumis au taux intermédiaire]]*TableauAvoirs[[#This Row],[Taux intermédiaire]])</f>
        <v/>
      </c>
      <c r="O7" s="90"/>
      <c r="P7" s="92"/>
      <c r="Q7" s="90" t="str">
        <f>IF(TableauAvoirs[[#This Row],[Dont soumis au taux normal]]="","",TableauAvoirs[[#This Row],[Dont soumis au taux normal]]*TableauAvoirs[[#This Row],[Taux normal]])</f>
        <v/>
      </c>
      <c r="R7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189.9</v>
      </c>
      <c r="S7" s="93" t="str">
        <f>IF(TableauAvoirs[[#This Row],[Réglé le]]="","",MONTH(TableauAvoirs[[#This Row],[Réglé le]]))</f>
        <v/>
      </c>
      <c r="U7" s="77" t="s">
        <v>51</v>
      </c>
    </row>
    <row r="8" spans="1:25" x14ac:dyDescent="0.3">
      <c r="A8" s="86">
        <v>41844</v>
      </c>
      <c r="B8" s="77" t="str">
        <f t="shared" si="0"/>
        <v>A</v>
      </c>
      <c r="C8" s="87">
        <f>IF(TableauAvoirs[[#This Row],[Date]]="","",IF(MONTH(TableauAvoirs[[#This Row],[Date]])=MONTH(A7),C7+1,1))</f>
        <v>1</v>
      </c>
      <c r="D8" s="88" t="s">
        <v>55</v>
      </c>
      <c r="E8" s="88" t="s">
        <v>0</v>
      </c>
      <c r="F8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A-14070001</v>
      </c>
      <c r="G8" s="77" t="s">
        <v>56</v>
      </c>
      <c r="H8" s="90">
        <v>313.7</v>
      </c>
      <c r="I8" s="90">
        <v>313.7</v>
      </c>
      <c r="J8" s="91">
        <v>5.5E-2</v>
      </c>
      <c r="K8" s="90">
        <f>IF(TableauAvoirs[[#This Row],[Dont soumis au taux réduit]]="","",TableauAvoirs[[#This Row],[Dont soumis au taux réduit]]*TableauAvoirs[[#This Row],[Taux réduit]])</f>
        <v>17.253499999999999</v>
      </c>
      <c r="L8" s="90"/>
      <c r="M8" s="92"/>
      <c r="N8" s="90" t="str">
        <f>IF(TableauAvoirs[[#This Row],[Dont soumis au taux intermédiaire]]="","",TableauAvoirs[[#This Row],[Dont soumis au taux intermédiaire]]*TableauAvoirs[[#This Row],[Taux intermédiaire]])</f>
        <v/>
      </c>
      <c r="O8" s="90"/>
      <c r="P8" s="92"/>
      <c r="Q8" s="90" t="str">
        <f>IF(TableauAvoirs[[#This Row],[Dont soumis au taux normal]]="","",TableauAvoirs[[#This Row],[Dont soumis au taux normal]]*TableauAvoirs[[#This Row],[Taux normal]])</f>
        <v/>
      </c>
      <c r="R8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330.95349999999996</v>
      </c>
      <c r="S8" s="93" t="str">
        <f>IF(TableauAvoirs[[#This Row],[Réglé le]]="","",MONTH(TableauAvoirs[[#This Row],[Réglé le]]))</f>
        <v/>
      </c>
    </row>
    <row r="9" spans="1:25" x14ac:dyDescent="0.3">
      <c r="A9" s="86">
        <v>42004</v>
      </c>
      <c r="B9" s="77" t="str">
        <f t="shared" si="0"/>
        <v>A</v>
      </c>
      <c r="C9" s="87">
        <f>IF(TableauAvoirs[[#This Row],[Date]]="","",IF(MONTH(TableauAvoirs[[#This Row],[Date]])=MONTH(A8),C8+1,1))</f>
        <v>1</v>
      </c>
      <c r="D9" s="88" t="s">
        <v>54</v>
      </c>
      <c r="E9" s="88" t="s">
        <v>0</v>
      </c>
      <c r="F9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A-14120001</v>
      </c>
      <c r="G9" s="77" t="s">
        <v>70</v>
      </c>
      <c r="H9" s="90">
        <v>4.2699999999999996</v>
      </c>
      <c r="I9" s="90">
        <v>4.2699999999999996</v>
      </c>
      <c r="J9" s="91">
        <v>5.5E-2</v>
      </c>
      <c r="K9" s="90">
        <f>IF(TableauAvoirs[[#This Row],[Dont soumis au taux réduit]]="","",TableauAvoirs[[#This Row],[Dont soumis au taux réduit]]*TableauAvoirs[[#This Row],[Taux réduit]])</f>
        <v>0.23484999999999998</v>
      </c>
      <c r="L9" s="90"/>
      <c r="M9" s="92"/>
      <c r="N9" s="90" t="str">
        <f>IF(TableauAvoirs[[#This Row],[Dont soumis au taux intermédiaire]]="","",TableauAvoirs[[#This Row],[Dont soumis au taux intermédiaire]]*TableauAvoirs[[#This Row],[Taux intermédiaire]])</f>
        <v/>
      </c>
      <c r="O9" s="90"/>
      <c r="P9" s="92"/>
      <c r="Q9" s="90" t="str">
        <f>IF(TableauAvoirs[[#This Row],[Dont soumis au taux normal]]="","",TableauAvoirs[[#This Row],[Dont soumis au taux normal]]*TableauAvoirs[[#This Row],[Taux normal]])</f>
        <v/>
      </c>
      <c r="R9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4.5048499999999994</v>
      </c>
      <c r="S9" s="93" t="str">
        <f>IF(TableauAvoirs[[#This Row],[Réglé le]]="","",MONTH(TableauAvoirs[[#This Row],[Réglé le]]))</f>
        <v/>
      </c>
    </row>
    <row r="10" spans="1:25" x14ac:dyDescent="0.3">
      <c r="A10" s="86">
        <v>42229</v>
      </c>
      <c r="B10" s="77" t="str">
        <f t="shared" si="0"/>
        <v>A</v>
      </c>
      <c r="C10" s="87">
        <f>IF(TableauAvoirs[[#This Row],[Date]]="","",IF(MONTH(TableauAvoirs[[#This Row],[Date]])=MONTH(A9),C9+1,1))</f>
        <v>1</v>
      </c>
      <c r="D10" s="88" t="s">
        <v>68</v>
      </c>
      <c r="E10" s="88" t="s">
        <v>0</v>
      </c>
      <c r="F10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A-15080001</v>
      </c>
      <c r="G10" s="77" t="s">
        <v>111</v>
      </c>
      <c r="H10" s="90">
        <v>156</v>
      </c>
      <c r="I10" s="90">
        <v>156</v>
      </c>
      <c r="J10" s="91">
        <v>5.5E-2</v>
      </c>
      <c r="K10" s="90">
        <f>IF(TableauAvoirs[[#This Row],[Dont soumis au taux réduit]]="","",TableauAvoirs[[#This Row],[Dont soumis au taux réduit]]*TableauAvoirs[[#This Row],[Taux réduit]])</f>
        <v>8.58</v>
      </c>
      <c r="L10" s="90"/>
      <c r="M10" s="92"/>
      <c r="N10" s="90" t="str">
        <f>IF(TableauAvoirs[[#This Row],[Dont soumis au taux intermédiaire]]="","",TableauAvoirs[[#This Row],[Dont soumis au taux intermédiaire]]*TableauAvoirs[[#This Row],[Taux intermédiaire]])</f>
        <v/>
      </c>
      <c r="O10" s="90"/>
      <c r="P10" s="92"/>
      <c r="Q10" s="90" t="str">
        <f>IF(TableauAvoirs[[#This Row],[Dont soumis au taux normal]]="","",TableauAvoirs[[#This Row],[Dont soumis au taux normal]]*TableauAvoirs[[#This Row],[Taux normal]])</f>
        <v/>
      </c>
      <c r="R10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164.58</v>
      </c>
      <c r="S10" s="93" t="str">
        <f>IF(TableauAvoirs[[#This Row],[Réglé le]]="","",MONTH(TableauAvoirs[[#This Row],[Réglé le]]))</f>
        <v/>
      </c>
    </row>
    <row r="11" spans="1:25" x14ac:dyDescent="0.3">
      <c r="A11" s="86">
        <v>42290</v>
      </c>
      <c r="B11" s="77" t="str">
        <f t="shared" si="0"/>
        <v>A</v>
      </c>
      <c r="C11" s="87">
        <f>IF(TableauAvoirs[[#This Row],[Date]]="","",IF(MONTH(TableauAvoirs[[#This Row],[Date]])=MONTH(A10),C10+1,1))</f>
        <v>1</v>
      </c>
      <c r="D11" s="88" t="s">
        <v>69</v>
      </c>
      <c r="E11" s="88" t="s">
        <v>64</v>
      </c>
      <c r="F11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A-15100001</v>
      </c>
      <c r="G11" s="77" t="s">
        <v>117</v>
      </c>
      <c r="H11" s="90">
        <v>175</v>
      </c>
      <c r="I11" s="90">
        <v>175</v>
      </c>
      <c r="J11" s="91">
        <v>5.5E-2</v>
      </c>
      <c r="K11" s="90">
        <f>IF(TableauAvoirs[[#This Row],[Dont soumis au taux réduit]]="","",TableauAvoirs[[#This Row],[Dont soumis au taux réduit]]*TableauAvoirs[[#This Row],[Taux réduit]])</f>
        <v>9.625</v>
      </c>
      <c r="L11" s="90"/>
      <c r="M11" s="92"/>
      <c r="N11" s="90" t="str">
        <f>IF(TableauAvoirs[[#This Row],[Dont soumis au taux intermédiaire]]="","",TableauAvoirs[[#This Row],[Dont soumis au taux intermédiaire]]*TableauAvoirs[[#This Row],[Taux intermédiaire]])</f>
        <v/>
      </c>
      <c r="O11" s="90"/>
      <c r="P11" s="92"/>
      <c r="Q11" s="90" t="str">
        <f>IF(TableauAvoirs[[#This Row],[Dont soumis au taux normal]]="","",TableauAvoirs[[#This Row],[Dont soumis au taux normal]]*TableauAvoirs[[#This Row],[Taux normal]])</f>
        <v/>
      </c>
      <c r="R11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184.625</v>
      </c>
      <c r="S11" s="93" t="str">
        <f>IF(TableauAvoirs[[#This Row],[Réglé le]]="","",MONTH(TableauAvoirs[[#This Row],[Réglé le]]))</f>
        <v/>
      </c>
    </row>
    <row r="12" spans="1:25" x14ac:dyDescent="0.3">
      <c r="A12" s="86">
        <v>42327</v>
      </c>
      <c r="B12" s="77" t="str">
        <f t="shared" si="0"/>
        <v>A</v>
      </c>
      <c r="C12" s="87">
        <f>IF(TableauAvoirs[[#This Row],[Date]]="","",IF(MONTH(TableauAvoirs[[#This Row],[Date]])=MONTH(A11),C11+1,1))</f>
        <v>1</v>
      </c>
      <c r="D12" s="88" t="s">
        <v>65</v>
      </c>
      <c r="E12" s="88" t="s">
        <v>0</v>
      </c>
      <c r="F12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A-15110001</v>
      </c>
      <c r="G12" s="77" t="s">
        <v>151</v>
      </c>
      <c r="H12" s="90">
        <v>3058.24</v>
      </c>
      <c r="I12" s="90">
        <v>3058.24</v>
      </c>
      <c r="J12" s="91">
        <v>5.5E-2</v>
      </c>
      <c r="K12" s="90">
        <f>IF(TableauAvoirs[[#This Row],[Dont soumis au taux réduit]]="","",TableauAvoirs[[#This Row],[Dont soumis au taux réduit]]*TableauAvoirs[[#This Row],[Taux réduit]])</f>
        <v>168.20319999999998</v>
      </c>
      <c r="L12" s="90"/>
      <c r="M12" s="92"/>
      <c r="N12" s="90" t="str">
        <f>IF(TableauAvoirs[[#This Row],[Dont soumis au taux intermédiaire]]="","",TableauAvoirs[[#This Row],[Dont soumis au taux intermédiaire]]*TableauAvoirs[[#This Row],[Taux intermédiaire]])</f>
        <v/>
      </c>
      <c r="O12" s="90"/>
      <c r="P12" s="92"/>
      <c r="Q12" s="90" t="str">
        <f>IF(TableauAvoirs[[#This Row],[Dont soumis au taux normal]]="","",TableauAvoirs[[#This Row],[Dont soumis au taux normal]]*TableauAvoirs[[#This Row],[Taux normal]])</f>
        <v/>
      </c>
      <c r="R12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3226.4431999999997</v>
      </c>
      <c r="S12" s="93" t="str">
        <f>IF(TableauAvoirs[[#This Row],[Réglé le]]="","",MONTH(TableauAvoirs[[#This Row],[Réglé le]]))</f>
        <v/>
      </c>
    </row>
    <row r="13" spans="1:25" x14ac:dyDescent="0.3">
      <c r="A13" s="86">
        <v>42368</v>
      </c>
      <c r="B13" s="77" t="str">
        <f t="shared" si="0"/>
        <v>A</v>
      </c>
      <c r="C13" s="87">
        <f>IF(TableauAvoirs[[#This Row],[Date]]="","",IF(MONTH(TableauAvoirs[[#This Row],[Date]])=MONTH(A12),C12+1,1))</f>
        <v>1</v>
      </c>
      <c r="D13" s="88" t="s">
        <v>67</v>
      </c>
      <c r="E13" s="88" t="s">
        <v>0</v>
      </c>
      <c r="F1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A-15120001</v>
      </c>
      <c r="G13" s="77" t="s">
        <v>250</v>
      </c>
      <c r="H13" s="90">
        <v>1571.81</v>
      </c>
      <c r="I13" s="90">
        <v>1571.81</v>
      </c>
      <c r="J13" s="91">
        <v>5.5E-2</v>
      </c>
      <c r="K13" s="90">
        <f>IF(TableauAvoirs[[#This Row],[Dont soumis au taux réduit]]="","",TableauAvoirs[[#This Row],[Dont soumis au taux réduit]]*TableauAvoirs[[#This Row],[Taux réduit]])</f>
        <v>86.449550000000002</v>
      </c>
      <c r="L13" s="90"/>
      <c r="M13" s="92"/>
      <c r="N13" s="90" t="str">
        <f>IF(TableauAvoirs[[#This Row],[Dont soumis au taux intermédiaire]]="","",TableauAvoirs[[#This Row],[Dont soumis au taux intermédiaire]]*TableauAvoirs[[#This Row],[Taux intermédiaire]])</f>
        <v/>
      </c>
      <c r="O13" s="90"/>
      <c r="P13" s="92"/>
      <c r="Q13" s="90" t="str">
        <f>IF(TableauAvoirs[[#This Row],[Dont soumis au taux normal]]="","",TableauAvoirs[[#This Row],[Dont soumis au taux normal]]*TableauAvoirs[[#This Row],[Taux normal]])</f>
        <v/>
      </c>
      <c r="R13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1658.25955</v>
      </c>
      <c r="S13" s="93" t="str">
        <f>IF(TableauAvoirs[[#This Row],[Réglé le]]="","",MONTH(TableauAvoirs[[#This Row],[Réglé le]]))</f>
        <v/>
      </c>
    </row>
    <row r="14" spans="1:25" x14ac:dyDescent="0.3">
      <c r="A14" s="86">
        <v>42397</v>
      </c>
      <c r="B14" s="77" t="str">
        <f t="shared" si="0"/>
        <v>A</v>
      </c>
      <c r="C14" s="87">
        <f>IF(TableauAvoirs[[#This Row],[Date]]="","",IF(MONTH(TableauAvoirs[[#This Row],[Date]])=MONTH(A13),C13+1,1))</f>
        <v>1</v>
      </c>
      <c r="D14" s="88" t="s">
        <v>55</v>
      </c>
      <c r="E14" s="88" t="s">
        <v>0</v>
      </c>
      <c r="F1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A-16010001</v>
      </c>
      <c r="G14" s="77" t="s">
        <v>56</v>
      </c>
      <c r="H14" s="90">
        <v>108.17</v>
      </c>
      <c r="I14" s="90">
        <v>108.17</v>
      </c>
      <c r="J14" s="91">
        <v>5.5E-2</v>
      </c>
      <c r="K14" s="90">
        <f>IF(TableauAvoirs[[#This Row],[Dont soumis au taux réduit]]="","",TableauAvoirs[[#This Row],[Dont soumis au taux réduit]]*TableauAvoirs[[#This Row],[Taux réduit]])</f>
        <v>5.9493499999999999</v>
      </c>
      <c r="L14" s="90"/>
      <c r="M14" s="92"/>
      <c r="N14" s="90" t="str">
        <f>IF(TableauAvoirs[[#This Row],[Dont soumis au taux intermédiaire]]="","",TableauAvoirs[[#This Row],[Dont soumis au taux intermédiaire]]*TableauAvoirs[[#This Row],[Taux intermédiaire]])</f>
        <v/>
      </c>
      <c r="O14" s="90"/>
      <c r="P14" s="92"/>
      <c r="Q14" s="90" t="str">
        <f>IF(TableauAvoirs[[#This Row],[Dont soumis au taux normal]]="","",TableauAvoirs[[#This Row],[Dont soumis au taux normal]]*TableauAvoirs[[#This Row],[Taux normal]])</f>
        <v/>
      </c>
      <c r="R14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114.11935</v>
      </c>
      <c r="S14" s="93" t="str">
        <f>IF(TableauAvoirs[[#This Row],[Réglé le]]="","",MONTH(TableauAvoirs[[#This Row],[Réglé le]]))</f>
        <v/>
      </c>
    </row>
    <row r="15" spans="1:25" x14ac:dyDescent="0.3">
      <c r="A15" s="86">
        <v>42403</v>
      </c>
      <c r="B15" s="77" t="str">
        <f t="shared" si="0"/>
        <v>A</v>
      </c>
      <c r="C15" s="87">
        <f>IF(TableauAvoirs[[#This Row],[Date]]="","",IF(MONTH(TableauAvoirs[[#This Row],[Date]])=MONTH(A14),C14+1,1))</f>
        <v>1</v>
      </c>
      <c r="D15" s="175" t="s">
        <v>40</v>
      </c>
      <c r="E15" s="175" t="s">
        <v>0</v>
      </c>
      <c r="F1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A-16020001</v>
      </c>
      <c r="G15" t="s">
        <v>260</v>
      </c>
      <c r="H15" s="90">
        <v>78.459999999999994</v>
      </c>
      <c r="I15" s="90">
        <v>78.459999999999994</v>
      </c>
      <c r="J15" s="91">
        <v>5.5E-2</v>
      </c>
      <c r="K15" s="90">
        <f>IF(TableauAvoirs[[#This Row],[Dont soumis au taux réduit]]="","",TableauAvoirs[[#This Row],[Dont soumis au taux réduit]]*TableauAvoirs[[#This Row],[Taux réduit]])</f>
        <v>4.3152999999999997</v>
      </c>
      <c r="L15" s="90"/>
      <c r="M15" s="92"/>
      <c r="N15" s="90" t="str">
        <f>IF(TableauAvoirs[[#This Row],[Dont soumis au taux intermédiaire]]="","",TableauAvoirs[[#This Row],[Dont soumis au taux intermédiaire]]*TableauAvoirs[[#This Row],[Taux intermédiaire]])</f>
        <v/>
      </c>
      <c r="O15" s="90"/>
      <c r="P15" s="92"/>
      <c r="Q15" s="90" t="str">
        <f>IF(TableauAvoirs[[#This Row],[Dont soumis au taux normal]]="","",TableauAvoirs[[#This Row],[Dont soumis au taux normal]]*TableauAvoirs[[#This Row],[Taux normal]])</f>
        <v/>
      </c>
      <c r="R15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82.775299999999987</v>
      </c>
      <c r="S15" s="93" t="str">
        <f>IF(TableauAvoirs[[#This Row],[Réglé le]]="","",MONTH(TableauAvoirs[[#This Row],[Réglé le]]))</f>
        <v/>
      </c>
    </row>
    <row r="16" spans="1:25" x14ac:dyDescent="0.3">
      <c r="A16" s="86">
        <v>42403</v>
      </c>
      <c r="B16" s="77" t="str">
        <f t="shared" si="0"/>
        <v>A</v>
      </c>
      <c r="C16" s="87">
        <f>IF(TableauAvoirs[[#This Row],[Date]]="","",IF(MONTH(TableauAvoirs[[#This Row],[Date]])=MONTH(A15),C15+1,1))</f>
        <v>2</v>
      </c>
      <c r="D16" s="175" t="s">
        <v>35</v>
      </c>
      <c r="E16" s="175" t="s">
        <v>14</v>
      </c>
      <c r="F16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A-16020002</v>
      </c>
      <c r="G16" t="s">
        <v>262</v>
      </c>
      <c r="H16" s="90">
        <v>344.07</v>
      </c>
      <c r="I16" s="90">
        <v>344.07</v>
      </c>
      <c r="J16" s="91">
        <v>5.5E-2</v>
      </c>
      <c r="K16" s="90">
        <f>IF(TableauAvoirs[[#This Row],[Dont soumis au taux réduit]]="","",TableauAvoirs[[#This Row],[Dont soumis au taux réduit]]*TableauAvoirs[[#This Row],[Taux réduit]])</f>
        <v>18.923849999999998</v>
      </c>
      <c r="L16" s="90"/>
      <c r="M16" s="92"/>
      <c r="N16" s="90" t="str">
        <f>IF(TableauAvoirs[[#This Row],[Dont soumis au taux intermédiaire]]="","",TableauAvoirs[[#This Row],[Dont soumis au taux intermédiaire]]*TableauAvoirs[[#This Row],[Taux intermédiaire]])</f>
        <v/>
      </c>
      <c r="O16" s="90"/>
      <c r="P16" s="92"/>
      <c r="Q16" s="90" t="str">
        <f>IF(TableauAvoirs[[#This Row],[Dont soumis au taux normal]]="","",TableauAvoirs[[#This Row],[Dont soumis au taux normal]]*TableauAvoirs[[#This Row],[Taux normal]])</f>
        <v/>
      </c>
      <c r="R16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362.99385000000001</v>
      </c>
      <c r="S16" s="93" t="str">
        <f>IF(TableauAvoirs[[#This Row],[Réglé le]]="","",MONTH(TableauAvoirs[[#This Row],[Réglé le]]))</f>
        <v/>
      </c>
    </row>
    <row r="17" spans="1:19" x14ac:dyDescent="0.3">
      <c r="A17" s="86"/>
      <c r="B17" s="77" t="str">
        <f t="shared" si="0"/>
        <v/>
      </c>
      <c r="C17" s="87" t="str">
        <f>IF(TableauAvoirs[[#This Row],[Date]]="","",IF(MONTH(TableauAvoirs[[#This Row],[Date]])=MONTH(A16),C16+1,1))</f>
        <v/>
      </c>
      <c r="D17" s="88"/>
      <c r="E17" s="88"/>
      <c r="F17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17" s="90"/>
      <c r="I17" s="90"/>
      <c r="J17" s="91"/>
      <c r="K17" s="90" t="str">
        <f>IF(TableauAvoirs[[#This Row],[Dont soumis au taux réduit]]="","",TableauAvoirs[[#This Row],[Dont soumis au taux réduit]]*TableauAvoirs[[#This Row],[Taux réduit]])</f>
        <v/>
      </c>
      <c r="L17" s="90"/>
      <c r="M17" s="92"/>
      <c r="N17" s="90" t="str">
        <f>IF(TableauAvoirs[[#This Row],[Dont soumis au taux intermédiaire]]="","",TableauAvoirs[[#This Row],[Dont soumis au taux intermédiaire]]*TableauAvoirs[[#This Row],[Taux intermédiaire]])</f>
        <v/>
      </c>
      <c r="O17" s="90"/>
      <c r="P17" s="92"/>
      <c r="Q17" s="90" t="str">
        <f>IF(TableauAvoirs[[#This Row],[Dont soumis au taux normal]]="","",TableauAvoirs[[#This Row],[Dont soumis au taux normal]]*TableauAvoirs[[#This Row],[Taux normal]])</f>
        <v/>
      </c>
      <c r="R17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17" s="93" t="str">
        <f>IF(TableauAvoirs[[#This Row],[Réglé le]]="","",MONTH(TableauAvoirs[[#This Row],[Réglé le]]))</f>
        <v/>
      </c>
    </row>
    <row r="18" spans="1:19" x14ac:dyDescent="0.3">
      <c r="A18" s="86"/>
      <c r="B18" s="77" t="str">
        <f t="shared" si="0"/>
        <v/>
      </c>
      <c r="C18" s="87" t="str">
        <f>IF(TableauAvoirs[[#This Row],[Date]]="","",IF(MONTH(TableauAvoirs[[#This Row],[Date]])=MONTH(A17),C17+1,1))</f>
        <v/>
      </c>
      <c r="D18" s="88"/>
      <c r="E18" s="88"/>
      <c r="F18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18" s="90"/>
      <c r="I18" s="90"/>
      <c r="J18" s="91"/>
      <c r="K18" s="90" t="str">
        <f>IF(TableauAvoirs[[#This Row],[Dont soumis au taux réduit]]="","",TableauAvoirs[[#This Row],[Dont soumis au taux réduit]]*TableauAvoirs[[#This Row],[Taux réduit]])</f>
        <v/>
      </c>
      <c r="L18" s="90"/>
      <c r="M18" s="92"/>
      <c r="N18" s="90" t="str">
        <f>IF(TableauAvoirs[[#This Row],[Dont soumis au taux intermédiaire]]="","",TableauAvoirs[[#This Row],[Dont soumis au taux intermédiaire]]*TableauAvoirs[[#This Row],[Taux intermédiaire]])</f>
        <v/>
      </c>
      <c r="O18" s="90"/>
      <c r="P18" s="92"/>
      <c r="Q18" s="90" t="str">
        <f>IF(TableauAvoirs[[#This Row],[Dont soumis au taux normal]]="","",TableauAvoirs[[#This Row],[Dont soumis au taux normal]]*TableauAvoirs[[#This Row],[Taux normal]])</f>
        <v/>
      </c>
      <c r="R18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18" s="93" t="str">
        <f>IF(TableauAvoirs[[#This Row],[Réglé le]]="","",MONTH(TableauAvoirs[[#This Row],[Réglé le]]))</f>
        <v/>
      </c>
    </row>
    <row r="19" spans="1:19" x14ac:dyDescent="0.3">
      <c r="A19" s="86"/>
      <c r="B19" s="77" t="str">
        <f t="shared" si="0"/>
        <v/>
      </c>
      <c r="C19" s="87" t="str">
        <f>IF(TableauAvoirs[[#This Row],[Date]]="","",IF(MONTH(TableauAvoirs[[#This Row],[Date]])=MONTH(A18),C18+1,1))</f>
        <v/>
      </c>
      <c r="D19" s="88"/>
      <c r="E19" s="88"/>
      <c r="F19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19" s="90"/>
      <c r="I19" s="90"/>
      <c r="J19" s="91"/>
      <c r="K19" s="90" t="str">
        <f>IF(TableauAvoirs[[#This Row],[Dont soumis au taux réduit]]="","",TableauAvoirs[[#This Row],[Dont soumis au taux réduit]]*TableauAvoirs[[#This Row],[Taux réduit]])</f>
        <v/>
      </c>
      <c r="L19" s="90"/>
      <c r="M19" s="92"/>
      <c r="N19" s="90" t="str">
        <f>IF(TableauAvoirs[[#This Row],[Dont soumis au taux intermédiaire]]="","",TableauAvoirs[[#This Row],[Dont soumis au taux intermédiaire]]*TableauAvoirs[[#This Row],[Taux intermédiaire]])</f>
        <v/>
      </c>
      <c r="O19" s="90"/>
      <c r="P19" s="92"/>
      <c r="Q19" s="90" t="str">
        <f>IF(TableauAvoirs[[#This Row],[Dont soumis au taux normal]]="","",TableauAvoirs[[#This Row],[Dont soumis au taux normal]]*TableauAvoirs[[#This Row],[Taux normal]])</f>
        <v/>
      </c>
      <c r="R19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19" s="93" t="str">
        <f>IF(TableauAvoirs[[#This Row],[Réglé le]]="","",MONTH(TableauAvoirs[[#This Row],[Réglé le]]))</f>
        <v/>
      </c>
    </row>
    <row r="20" spans="1:19" x14ac:dyDescent="0.3">
      <c r="A20" s="86"/>
      <c r="B20" s="77" t="str">
        <f t="shared" si="0"/>
        <v/>
      </c>
      <c r="C20" s="87" t="str">
        <f>IF(TableauAvoirs[[#This Row],[Date]]="","",IF(MONTH(TableauAvoirs[[#This Row],[Date]])=MONTH(A19),C19+1,1))</f>
        <v/>
      </c>
      <c r="D20" s="88"/>
      <c r="E20" s="88"/>
      <c r="F20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0" s="90"/>
      <c r="I20" s="90"/>
      <c r="J20" s="91"/>
      <c r="K20" s="90" t="str">
        <f>IF(TableauAvoirs[[#This Row],[Dont soumis au taux réduit]]="","",TableauAvoirs[[#This Row],[Dont soumis au taux réduit]]*TableauAvoirs[[#This Row],[Taux réduit]])</f>
        <v/>
      </c>
      <c r="L20" s="90"/>
      <c r="M20" s="92"/>
      <c r="N20" s="90" t="str">
        <f>IF(TableauAvoirs[[#This Row],[Dont soumis au taux intermédiaire]]="","",TableauAvoirs[[#This Row],[Dont soumis au taux intermédiaire]]*TableauAvoirs[[#This Row],[Taux intermédiaire]])</f>
        <v/>
      </c>
      <c r="O20" s="90"/>
      <c r="P20" s="92"/>
      <c r="Q20" s="90" t="str">
        <f>IF(TableauAvoirs[[#This Row],[Dont soumis au taux normal]]="","",TableauAvoirs[[#This Row],[Dont soumis au taux normal]]*TableauAvoirs[[#This Row],[Taux normal]])</f>
        <v/>
      </c>
      <c r="R20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0" s="93" t="str">
        <f>IF(TableauAvoirs[[#This Row],[Réglé le]]="","",MONTH(TableauAvoirs[[#This Row],[Réglé le]]))</f>
        <v/>
      </c>
    </row>
    <row r="21" spans="1:19" x14ac:dyDescent="0.3">
      <c r="A21" s="86"/>
      <c r="B21" s="77" t="str">
        <f t="shared" si="0"/>
        <v/>
      </c>
      <c r="C21" s="87" t="str">
        <f>IF(TableauAvoirs[[#This Row],[Date]]="","",IF(MONTH(TableauAvoirs[[#This Row],[Date]])=MONTH(A20),C20+1,1))</f>
        <v/>
      </c>
      <c r="D21" s="88"/>
      <c r="E21" s="88"/>
      <c r="F21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1" s="90"/>
      <c r="I21" s="90"/>
      <c r="J21" s="91"/>
      <c r="K21" s="90" t="str">
        <f>IF(TableauAvoirs[[#This Row],[Dont soumis au taux réduit]]="","",TableauAvoirs[[#This Row],[Dont soumis au taux réduit]]*TableauAvoirs[[#This Row],[Taux réduit]])</f>
        <v/>
      </c>
      <c r="L21" s="90"/>
      <c r="M21" s="92"/>
      <c r="N21" s="90" t="str">
        <f>IF(TableauAvoirs[[#This Row],[Dont soumis au taux intermédiaire]]="","",TableauAvoirs[[#This Row],[Dont soumis au taux intermédiaire]]*TableauAvoirs[[#This Row],[Taux intermédiaire]])</f>
        <v/>
      </c>
      <c r="O21" s="90"/>
      <c r="P21" s="92"/>
      <c r="Q21" s="90" t="str">
        <f>IF(TableauAvoirs[[#This Row],[Dont soumis au taux normal]]="","",TableauAvoirs[[#This Row],[Dont soumis au taux normal]]*TableauAvoirs[[#This Row],[Taux normal]])</f>
        <v/>
      </c>
      <c r="R21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1" s="93" t="str">
        <f>IF(TableauAvoirs[[#This Row],[Réglé le]]="","",MONTH(TableauAvoirs[[#This Row],[Réglé le]]))</f>
        <v/>
      </c>
    </row>
    <row r="22" spans="1:19" x14ac:dyDescent="0.3">
      <c r="A22" s="86"/>
      <c r="B22" s="77" t="str">
        <f t="shared" si="0"/>
        <v/>
      </c>
      <c r="C22" s="87" t="str">
        <f>IF(TableauAvoirs[[#This Row],[Date]]="","",IF(MONTH(TableauAvoirs[[#This Row],[Date]])=MONTH(A21),C21+1,1))</f>
        <v/>
      </c>
      <c r="D22" s="88"/>
      <c r="E22" s="88"/>
      <c r="F22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2" s="90"/>
      <c r="I22" s="90"/>
      <c r="J22" s="91"/>
      <c r="K22" s="90" t="str">
        <f>IF(TableauAvoirs[[#This Row],[Dont soumis au taux réduit]]="","",TableauAvoirs[[#This Row],[Dont soumis au taux réduit]]*TableauAvoirs[[#This Row],[Taux réduit]])</f>
        <v/>
      </c>
      <c r="L22" s="90"/>
      <c r="M22" s="92"/>
      <c r="N22" s="90" t="str">
        <f>IF(TableauAvoirs[[#This Row],[Dont soumis au taux intermédiaire]]="","",TableauAvoirs[[#This Row],[Dont soumis au taux intermédiaire]]*TableauAvoirs[[#This Row],[Taux intermédiaire]])</f>
        <v/>
      </c>
      <c r="O22" s="90"/>
      <c r="P22" s="92"/>
      <c r="Q22" s="90" t="str">
        <f>IF(TableauAvoirs[[#This Row],[Dont soumis au taux normal]]="","",TableauAvoirs[[#This Row],[Dont soumis au taux normal]]*TableauAvoirs[[#This Row],[Taux normal]])</f>
        <v/>
      </c>
      <c r="R22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2" s="93" t="str">
        <f>IF(TableauAvoirs[[#This Row],[Réglé le]]="","",MONTH(TableauAvoirs[[#This Row],[Réglé le]]))</f>
        <v/>
      </c>
    </row>
    <row r="23" spans="1:19" x14ac:dyDescent="0.3">
      <c r="A23" s="86"/>
      <c r="B23" s="77" t="str">
        <f t="shared" si="0"/>
        <v/>
      </c>
      <c r="C23" s="87" t="str">
        <f>IF(TableauAvoirs[[#This Row],[Date]]="","",IF(MONTH(TableauAvoirs[[#This Row],[Date]])=MONTH(A22),C22+1,1))</f>
        <v/>
      </c>
      <c r="D23" s="88"/>
      <c r="E23" s="88"/>
      <c r="F2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3" s="90"/>
      <c r="I23" s="90"/>
      <c r="J23" s="91"/>
      <c r="K23" s="90" t="str">
        <f>IF(TableauAvoirs[[#This Row],[Dont soumis au taux réduit]]="","",TableauAvoirs[[#This Row],[Dont soumis au taux réduit]]*TableauAvoirs[[#This Row],[Taux réduit]])</f>
        <v/>
      </c>
      <c r="L23" s="90"/>
      <c r="M23" s="92"/>
      <c r="N23" s="90" t="str">
        <f>IF(TableauAvoirs[[#This Row],[Dont soumis au taux intermédiaire]]="","",TableauAvoirs[[#This Row],[Dont soumis au taux intermédiaire]]*TableauAvoirs[[#This Row],[Taux intermédiaire]])</f>
        <v/>
      </c>
      <c r="O23" s="90"/>
      <c r="P23" s="92"/>
      <c r="Q23" s="90" t="str">
        <f>IF(TableauAvoirs[[#This Row],[Dont soumis au taux normal]]="","",TableauAvoirs[[#This Row],[Dont soumis au taux normal]]*TableauAvoirs[[#This Row],[Taux normal]])</f>
        <v/>
      </c>
      <c r="R23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3" s="93" t="str">
        <f>IF(TableauAvoirs[[#This Row],[Réglé le]]="","",MONTH(TableauAvoirs[[#This Row],[Réglé le]]))</f>
        <v/>
      </c>
    </row>
    <row r="24" spans="1:19" x14ac:dyDescent="0.3">
      <c r="A24" s="86"/>
      <c r="B24" s="77" t="str">
        <f t="shared" si="0"/>
        <v/>
      </c>
      <c r="C24" s="87" t="str">
        <f>IF(TableauAvoirs[[#This Row],[Date]]="","",IF(MONTH(TableauAvoirs[[#This Row],[Date]])=MONTH(A23),C23+1,1))</f>
        <v/>
      </c>
      <c r="D24" s="88"/>
      <c r="E24" s="88"/>
      <c r="F2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4" s="90"/>
      <c r="I24" s="90"/>
      <c r="J24" s="91"/>
      <c r="K24" s="90" t="str">
        <f>IF(TableauAvoirs[[#This Row],[Dont soumis au taux réduit]]="","",TableauAvoirs[[#This Row],[Dont soumis au taux réduit]]*TableauAvoirs[[#This Row],[Taux réduit]])</f>
        <v/>
      </c>
      <c r="L24" s="90"/>
      <c r="M24" s="92"/>
      <c r="N24" s="90" t="str">
        <f>IF(TableauAvoirs[[#This Row],[Dont soumis au taux intermédiaire]]="","",TableauAvoirs[[#This Row],[Dont soumis au taux intermédiaire]]*TableauAvoirs[[#This Row],[Taux intermédiaire]])</f>
        <v/>
      </c>
      <c r="O24" s="90"/>
      <c r="P24" s="92"/>
      <c r="Q24" s="90" t="str">
        <f>IF(TableauAvoirs[[#This Row],[Dont soumis au taux normal]]="","",TableauAvoirs[[#This Row],[Dont soumis au taux normal]]*TableauAvoirs[[#This Row],[Taux normal]])</f>
        <v/>
      </c>
      <c r="R24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4" s="93" t="str">
        <f>IF(TableauAvoirs[[#This Row],[Réglé le]]="","",MONTH(TableauAvoirs[[#This Row],[Réglé le]]))</f>
        <v/>
      </c>
    </row>
    <row r="25" spans="1:19" x14ac:dyDescent="0.3">
      <c r="A25" s="94"/>
      <c r="B25" s="77" t="str">
        <f t="shared" si="0"/>
        <v/>
      </c>
      <c r="C25" s="87" t="str">
        <f>IF(TableauAvoirs[[#This Row],[Date]]="","",IF(MONTH(TableauAvoirs[[#This Row],[Date]])=MONTH(A24),C24+1,1))</f>
        <v/>
      </c>
      <c r="D25" s="88"/>
      <c r="E25" s="88"/>
      <c r="F2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5" s="90"/>
      <c r="I25" s="90"/>
      <c r="J25" s="91"/>
      <c r="K25" s="90" t="str">
        <f>IF(TableauAvoirs[[#This Row],[Dont soumis au taux réduit]]="","",TableauAvoirs[[#This Row],[Dont soumis au taux réduit]]*TableauAvoirs[[#This Row],[Taux réduit]])</f>
        <v/>
      </c>
      <c r="L25" s="90"/>
      <c r="M25" s="92"/>
      <c r="N25" s="90" t="str">
        <f>IF(TableauAvoirs[[#This Row],[Dont soumis au taux intermédiaire]]="","",TableauAvoirs[[#This Row],[Dont soumis au taux intermédiaire]]*TableauAvoirs[[#This Row],[Taux intermédiaire]])</f>
        <v/>
      </c>
      <c r="O25" s="90"/>
      <c r="P25" s="92"/>
      <c r="Q25" s="90" t="str">
        <f>IF(TableauAvoirs[[#This Row],[Dont soumis au taux normal]]="","",TableauAvoirs[[#This Row],[Dont soumis au taux normal]]*TableauAvoirs[[#This Row],[Taux normal]])</f>
        <v/>
      </c>
      <c r="R25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5" s="93" t="str">
        <f>IF(TableauAvoirs[[#This Row],[Réglé le]]="","",MONTH(TableauAvoirs[[#This Row],[Réglé le]]))</f>
        <v/>
      </c>
    </row>
    <row r="26" spans="1:19" x14ac:dyDescent="0.3">
      <c r="A26" s="94"/>
      <c r="B26" s="77" t="str">
        <f t="shared" si="0"/>
        <v/>
      </c>
      <c r="C26" s="87" t="str">
        <f>IF(TableauAvoirs[[#This Row],[Date]]="","",IF(MONTH(TableauAvoirs[[#This Row],[Date]])=MONTH(A25),C25+1,1))</f>
        <v/>
      </c>
      <c r="D26" s="88"/>
      <c r="E26" s="88"/>
      <c r="F26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6" s="90"/>
      <c r="I26" s="90"/>
      <c r="J26" s="91"/>
      <c r="K26" s="90" t="str">
        <f>IF(TableauAvoirs[[#This Row],[Dont soumis au taux réduit]]="","",TableauAvoirs[[#This Row],[Dont soumis au taux réduit]]*TableauAvoirs[[#This Row],[Taux réduit]])</f>
        <v/>
      </c>
      <c r="L26" s="90"/>
      <c r="M26" s="92"/>
      <c r="N26" s="90" t="str">
        <f>IF(TableauAvoirs[[#This Row],[Dont soumis au taux intermédiaire]]="","",TableauAvoirs[[#This Row],[Dont soumis au taux intermédiaire]]*TableauAvoirs[[#This Row],[Taux intermédiaire]])</f>
        <v/>
      </c>
      <c r="O26" s="90"/>
      <c r="P26" s="92"/>
      <c r="Q26" s="90" t="str">
        <f>IF(TableauAvoirs[[#This Row],[Dont soumis au taux normal]]="","",TableauAvoirs[[#This Row],[Dont soumis au taux normal]]*TableauAvoirs[[#This Row],[Taux normal]])</f>
        <v/>
      </c>
      <c r="R26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6" s="93" t="str">
        <f>IF(TableauAvoirs[[#This Row],[Réglé le]]="","",MONTH(TableauAvoirs[[#This Row],[Réglé le]]))</f>
        <v/>
      </c>
    </row>
    <row r="27" spans="1:19" x14ac:dyDescent="0.3">
      <c r="A27" s="94"/>
      <c r="B27" s="77" t="str">
        <f t="shared" si="0"/>
        <v/>
      </c>
      <c r="C27" s="87" t="str">
        <f>IF(TableauAvoirs[[#This Row],[Date]]="","",IF(MONTH(TableauAvoirs[[#This Row],[Date]])=MONTH(A26),C26+1,1))</f>
        <v/>
      </c>
      <c r="D27" s="88"/>
      <c r="E27" s="88"/>
      <c r="F27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7" s="90"/>
      <c r="I27" s="90"/>
      <c r="J27" s="91"/>
      <c r="K27" s="90" t="str">
        <f>IF(TableauAvoirs[[#This Row],[Dont soumis au taux réduit]]="","",TableauAvoirs[[#This Row],[Dont soumis au taux réduit]]*TableauAvoirs[[#This Row],[Taux réduit]])</f>
        <v/>
      </c>
      <c r="L27" s="90"/>
      <c r="M27" s="92"/>
      <c r="N27" s="90" t="str">
        <f>IF(TableauAvoirs[[#This Row],[Dont soumis au taux intermédiaire]]="","",TableauAvoirs[[#This Row],[Dont soumis au taux intermédiaire]]*TableauAvoirs[[#This Row],[Taux intermédiaire]])</f>
        <v/>
      </c>
      <c r="O27" s="90"/>
      <c r="P27" s="92"/>
      <c r="Q27" s="90" t="str">
        <f>IF(TableauAvoirs[[#This Row],[Dont soumis au taux normal]]="","",TableauAvoirs[[#This Row],[Dont soumis au taux normal]]*TableauAvoirs[[#This Row],[Taux normal]])</f>
        <v/>
      </c>
      <c r="R27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7" s="93" t="str">
        <f>IF(TableauAvoirs[[#This Row],[Réglé le]]="","",MONTH(TableauAvoirs[[#This Row],[Réglé le]]))</f>
        <v/>
      </c>
    </row>
    <row r="28" spans="1:19" x14ac:dyDescent="0.3">
      <c r="A28" s="94"/>
      <c r="B28" s="77" t="str">
        <f t="shared" si="0"/>
        <v/>
      </c>
      <c r="C28" s="87" t="str">
        <f>IF(TableauAvoirs[[#This Row],[Date]]="","",IF(MONTH(TableauAvoirs[[#This Row],[Date]])=MONTH(A27),C27+1,1))</f>
        <v/>
      </c>
      <c r="D28" s="88"/>
      <c r="E28" s="88"/>
      <c r="F28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8" s="90"/>
      <c r="I28" s="90"/>
      <c r="J28" s="91"/>
      <c r="K28" s="90" t="str">
        <f>IF(TableauAvoirs[[#This Row],[Dont soumis au taux réduit]]="","",TableauAvoirs[[#This Row],[Dont soumis au taux réduit]]*TableauAvoirs[[#This Row],[Taux réduit]])</f>
        <v/>
      </c>
      <c r="L28" s="90"/>
      <c r="M28" s="92"/>
      <c r="N28" s="90" t="str">
        <f>IF(TableauAvoirs[[#This Row],[Dont soumis au taux intermédiaire]]="","",TableauAvoirs[[#This Row],[Dont soumis au taux intermédiaire]]*TableauAvoirs[[#This Row],[Taux intermédiaire]])</f>
        <v/>
      </c>
      <c r="O28" s="90"/>
      <c r="P28" s="92"/>
      <c r="Q28" s="90" t="str">
        <f>IF(TableauAvoirs[[#This Row],[Dont soumis au taux normal]]="","",TableauAvoirs[[#This Row],[Dont soumis au taux normal]]*TableauAvoirs[[#This Row],[Taux normal]])</f>
        <v/>
      </c>
      <c r="R28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8" s="93" t="str">
        <f>IF(TableauAvoirs[[#This Row],[Réglé le]]="","",MONTH(TableauAvoirs[[#This Row],[Réglé le]]))</f>
        <v/>
      </c>
    </row>
    <row r="29" spans="1:19" x14ac:dyDescent="0.3">
      <c r="A29" s="94"/>
      <c r="B29" s="77" t="str">
        <f t="shared" si="0"/>
        <v/>
      </c>
      <c r="C29" s="87" t="str">
        <f>IF(TableauAvoirs[[#This Row],[Date]]="","",IF(MONTH(TableauAvoirs[[#This Row],[Date]])=MONTH(A28),C28+1,1))</f>
        <v/>
      </c>
      <c r="D29" s="88"/>
      <c r="E29" s="88"/>
      <c r="F29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9" s="90"/>
      <c r="I29" s="90"/>
      <c r="J29" s="91"/>
      <c r="K29" s="90" t="str">
        <f>IF(TableauAvoirs[[#This Row],[Dont soumis au taux réduit]]="","",TableauAvoirs[[#This Row],[Dont soumis au taux réduit]]*TableauAvoirs[[#This Row],[Taux réduit]])</f>
        <v/>
      </c>
      <c r="L29" s="90"/>
      <c r="M29" s="92"/>
      <c r="N29" s="90" t="str">
        <f>IF(TableauAvoirs[[#This Row],[Dont soumis au taux intermédiaire]]="","",TableauAvoirs[[#This Row],[Dont soumis au taux intermédiaire]]*TableauAvoirs[[#This Row],[Taux intermédiaire]])</f>
        <v/>
      </c>
      <c r="O29" s="90"/>
      <c r="P29" s="92"/>
      <c r="Q29" s="90" t="str">
        <f>IF(TableauAvoirs[[#This Row],[Dont soumis au taux normal]]="","",TableauAvoirs[[#This Row],[Dont soumis au taux normal]]*TableauAvoirs[[#This Row],[Taux normal]])</f>
        <v/>
      </c>
      <c r="R29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9" s="93" t="str">
        <f>IF(TableauAvoirs[[#This Row],[Réglé le]]="","",MONTH(TableauAvoirs[[#This Row],[Réglé le]]))</f>
        <v/>
      </c>
    </row>
    <row r="30" spans="1:19" x14ac:dyDescent="0.3">
      <c r="A30" s="94"/>
      <c r="B30" s="77" t="str">
        <f t="shared" si="0"/>
        <v/>
      </c>
      <c r="C30" s="87" t="str">
        <f>IF(TableauAvoirs[[#This Row],[Date]]="","",IF(MONTH(TableauAvoirs[[#This Row],[Date]])=MONTH(A29),C29+1,1))</f>
        <v/>
      </c>
      <c r="D30" s="88"/>
      <c r="E30" s="88"/>
      <c r="F30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0" s="90"/>
      <c r="I30" s="90"/>
      <c r="J30" s="91"/>
      <c r="K30" s="90" t="str">
        <f>IF(TableauAvoirs[[#This Row],[Dont soumis au taux réduit]]="","",TableauAvoirs[[#This Row],[Dont soumis au taux réduit]]*TableauAvoirs[[#This Row],[Taux réduit]])</f>
        <v/>
      </c>
      <c r="L30" s="90"/>
      <c r="M30" s="92"/>
      <c r="N30" s="90" t="str">
        <f>IF(TableauAvoirs[[#This Row],[Dont soumis au taux intermédiaire]]="","",TableauAvoirs[[#This Row],[Dont soumis au taux intermédiaire]]*TableauAvoirs[[#This Row],[Taux intermédiaire]])</f>
        <v/>
      </c>
      <c r="O30" s="90"/>
      <c r="P30" s="92"/>
      <c r="Q30" s="90" t="str">
        <f>IF(TableauAvoirs[[#This Row],[Dont soumis au taux normal]]="","",TableauAvoirs[[#This Row],[Dont soumis au taux normal]]*TableauAvoirs[[#This Row],[Taux normal]])</f>
        <v/>
      </c>
      <c r="R30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0" s="93" t="str">
        <f>IF(TableauAvoirs[[#This Row],[Réglé le]]="","",MONTH(TableauAvoirs[[#This Row],[Réglé le]]))</f>
        <v/>
      </c>
    </row>
    <row r="31" spans="1:19" x14ac:dyDescent="0.3">
      <c r="A31" s="94"/>
      <c r="B31" s="77" t="str">
        <f t="shared" si="0"/>
        <v/>
      </c>
      <c r="C31" s="87" t="str">
        <f>IF(TableauAvoirs[[#This Row],[Date]]="","",IF(MONTH(TableauAvoirs[[#This Row],[Date]])=MONTH(A30),C30+1,1))</f>
        <v/>
      </c>
      <c r="D31" s="88"/>
      <c r="E31" s="88"/>
      <c r="F31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1" s="90"/>
      <c r="I31" s="90"/>
      <c r="J31" s="91"/>
      <c r="K31" s="90" t="str">
        <f>IF(TableauAvoirs[[#This Row],[Dont soumis au taux réduit]]="","",TableauAvoirs[[#This Row],[Dont soumis au taux réduit]]*TableauAvoirs[[#This Row],[Taux réduit]])</f>
        <v/>
      </c>
      <c r="L31" s="90"/>
      <c r="M31" s="92"/>
      <c r="N31" s="90" t="str">
        <f>IF(TableauAvoirs[[#This Row],[Dont soumis au taux intermédiaire]]="","",TableauAvoirs[[#This Row],[Dont soumis au taux intermédiaire]]*TableauAvoirs[[#This Row],[Taux intermédiaire]])</f>
        <v/>
      </c>
      <c r="O31" s="90"/>
      <c r="P31" s="92"/>
      <c r="Q31" s="90" t="str">
        <f>IF(TableauAvoirs[[#This Row],[Dont soumis au taux normal]]="","",TableauAvoirs[[#This Row],[Dont soumis au taux normal]]*TableauAvoirs[[#This Row],[Taux normal]])</f>
        <v/>
      </c>
      <c r="R31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1" s="93" t="str">
        <f>IF(TableauAvoirs[[#This Row],[Réglé le]]="","",MONTH(TableauAvoirs[[#This Row],[Réglé le]]))</f>
        <v/>
      </c>
    </row>
    <row r="32" spans="1:19" x14ac:dyDescent="0.3">
      <c r="A32" s="94"/>
      <c r="B32" s="77" t="str">
        <f t="shared" si="0"/>
        <v/>
      </c>
      <c r="C32" s="87" t="str">
        <f>IF(TableauAvoirs[[#This Row],[Date]]="","",IF(MONTH(TableauAvoirs[[#This Row],[Date]])=MONTH(A31),C31+1,1))</f>
        <v/>
      </c>
      <c r="D32" s="88"/>
      <c r="E32" s="88"/>
      <c r="F32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2" s="90"/>
      <c r="I32" s="90"/>
      <c r="J32" s="91"/>
      <c r="K32" s="90" t="str">
        <f>IF(TableauAvoirs[[#This Row],[Dont soumis au taux réduit]]="","",TableauAvoirs[[#This Row],[Dont soumis au taux réduit]]*TableauAvoirs[[#This Row],[Taux réduit]])</f>
        <v/>
      </c>
      <c r="L32" s="90"/>
      <c r="M32" s="92"/>
      <c r="N32" s="90" t="str">
        <f>IF(TableauAvoirs[[#This Row],[Dont soumis au taux intermédiaire]]="","",TableauAvoirs[[#This Row],[Dont soumis au taux intermédiaire]]*TableauAvoirs[[#This Row],[Taux intermédiaire]])</f>
        <v/>
      </c>
      <c r="O32" s="90"/>
      <c r="P32" s="92"/>
      <c r="Q32" s="90" t="str">
        <f>IF(TableauAvoirs[[#This Row],[Dont soumis au taux normal]]="","",TableauAvoirs[[#This Row],[Dont soumis au taux normal]]*TableauAvoirs[[#This Row],[Taux normal]])</f>
        <v/>
      </c>
      <c r="R32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2" s="93" t="str">
        <f>IF(TableauAvoirs[[#This Row],[Réglé le]]="","",MONTH(TableauAvoirs[[#This Row],[Réglé le]]))</f>
        <v/>
      </c>
    </row>
    <row r="33" spans="1:20" x14ac:dyDescent="0.3">
      <c r="A33" s="94"/>
      <c r="B33" s="77" t="str">
        <f t="shared" si="0"/>
        <v/>
      </c>
      <c r="C33" s="87" t="str">
        <f>IF(TableauAvoirs[[#This Row],[Date]]="","",IF(MONTH(TableauAvoirs[[#This Row],[Date]])=MONTH(A32),C32+1,1))</f>
        <v/>
      </c>
      <c r="D33" s="88"/>
      <c r="E33" s="88"/>
      <c r="F3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3" s="90"/>
      <c r="I33" s="90"/>
      <c r="J33" s="91"/>
      <c r="K33" s="90" t="str">
        <f>IF(TableauAvoirs[[#This Row],[Dont soumis au taux réduit]]="","",TableauAvoirs[[#This Row],[Dont soumis au taux réduit]]*TableauAvoirs[[#This Row],[Taux réduit]])</f>
        <v/>
      </c>
      <c r="L33" s="90"/>
      <c r="M33" s="92"/>
      <c r="N33" s="90" t="str">
        <f>IF(TableauAvoirs[[#This Row],[Dont soumis au taux intermédiaire]]="","",TableauAvoirs[[#This Row],[Dont soumis au taux intermédiaire]]*TableauAvoirs[[#This Row],[Taux intermédiaire]])</f>
        <v/>
      </c>
      <c r="O33" s="90"/>
      <c r="P33" s="92"/>
      <c r="Q33" s="90" t="str">
        <f>IF(TableauAvoirs[[#This Row],[Dont soumis au taux normal]]="","",TableauAvoirs[[#This Row],[Dont soumis au taux normal]]*TableauAvoirs[[#This Row],[Taux normal]])</f>
        <v/>
      </c>
      <c r="R33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3" s="93" t="str">
        <f>IF(TableauAvoirs[[#This Row],[Réglé le]]="","",MONTH(TableauAvoirs[[#This Row],[Réglé le]]))</f>
        <v/>
      </c>
    </row>
    <row r="34" spans="1:20" x14ac:dyDescent="0.3">
      <c r="A34" s="94"/>
      <c r="B34" s="77" t="str">
        <f t="shared" si="0"/>
        <v/>
      </c>
      <c r="C34" s="87" t="str">
        <f>IF(TableauAvoirs[[#This Row],[Date]]="","",IF(MONTH(TableauAvoirs[[#This Row],[Date]])=MONTH(A33),C33+1,1))</f>
        <v/>
      </c>
      <c r="D34" s="88"/>
      <c r="E34" s="88"/>
      <c r="F3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4" s="90"/>
      <c r="I34" s="90"/>
      <c r="J34" s="91"/>
      <c r="K34" s="90" t="str">
        <f>IF(TableauAvoirs[[#This Row],[Dont soumis au taux réduit]]="","",TableauAvoirs[[#This Row],[Dont soumis au taux réduit]]*TableauAvoirs[[#This Row],[Taux réduit]])</f>
        <v/>
      </c>
      <c r="L34" s="90"/>
      <c r="M34" s="92"/>
      <c r="N34" s="90" t="str">
        <f>IF(TableauAvoirs[[#This Row],[Dont soumis au taux intermédiaire]]="","",TableauAvoirs[[#This Row],[Dont soumis au taux intermédiaire]]*TableauAvoirs[[#This Row],[Taux intermédiaire]])</f>
        <v/>
      </c>
      <c r="O34" s="90"/>
      <c r="P34" s="92"/>
      <c r="Q34" s="90" t="str">
        <f>IF(TableauAvoirs[[#This Row],[Dont soumis au taux normal]]="","",TableauAvoirs[[#This Row],[Dont soumis au taux normal]]*TableauAvoirs[[#This Row],[Taux normal]])</f>
        <v/>
      </c>
      <c r="R34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4" s="93" t="str">
        <f>IF(TableauAvoirs[[#This Row],[Réglé le]]="","",MONTH(TableauAvoirs[[#This Row],[Réglé le]]))</f>
        <v/>
      </c>
    </row>
    <row r="35" spans="1:20" x14ac:dyDescent="0.3">
      <c r="A35" s="94"/>
      <c r="B35" s="77" t="str">
        <f t="shared" si="0"/>
        <v/>
      </c>
      <c r="C35" s="87" t="str">
        <f>IF(TableauAvoirs[[#This Row],[Date]]="","",IF(MONTH(TableauAvoirs[[#This Row],[Date]])=MONTH(A34),C34+1,1))</f>
        <v/>
      </c>
      <c r="D35" s="88"/>
      <c r="E35" s="88"/>
      <c r="F3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5" s="90"/>
      <c r="I35" s="90"/>
      <c r="J35" s="91"/>
      <c r="K35" s="90" t="str">
        <f>IF(TableauAvoirs[[#This Row],[Dont soumis au taux réduit]]="","",TableauAvoirs[[#This Row],[Dont soumis au taux réduit]]*TableauAvoirs[[#This Row],[Taux réduit]])</f>
        <v/>
      </c>
      <c r="L35" s="90"/>
      <c r="M35" s="92"/>
      <c r="N35" s="90" t="str">
        <f>IF(TableauAvoirs[[#This Row],[Dont soumis au taux intermédiaire]]="","",TableauAvoirs[[#This Row],[Dont soumis au taux intermédiaire]]*TableauAvoirs[[#This Row],[Taux intermédiaire]])</f>
        <v/>
      </c>
      <c r="O35" s="90"/>
      <c r="P35" s="92"/>
      <c r="Q35" s="90" t="str">
        <f>IF(TableauAvoirs[[#This Row],[Dont soumis au taux normal]]="","",TableauAvoirs[[#This Row],[Dont soumis au taux normal]]*TableauAvoirs[[#This Row],[Taux normal]])</f>
        <v/>
      </c>
      <c r="R35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5" s="93" t="str">
        <f>IF(TableauAvoirs[[#This Row],[Réglé le]]="","",MONTH(TableauAvoirs[[#This Row],[Réglé le]]))</f>
        <v/>
      </c>
    </row>
    <row r="37" spans="1:20" x14ac:dyDescent="0.3"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6"/>
    </row>
    <row r="38" spans="1:20" x14ac:dyDescent="0.3"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6"/>
    </row>
  </sheetData>
  <dataValidations count="1">
    <dataValidation type="list" allowBlank="1" showInputMessage="1" showErrorMessage="1" sqref="E3:E35">
      <formula1>liste_commerciaux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66FF"/>
  </sheetPr>
  <dimension ref="A1:J19"/>
  <sheetViews>
    <sheetView workbookViewId="0">
      <selection activeCell="E15" sqref="E15"/>
    </sheetView>
  </sheetViews>
  <sheetFormatPr baseColWidth="10" defaultColWidth="9" defaultRowHeight="16.5" x14ac:dyDescent="0.3"/>
  <cols>
    <col min="1" max="1" width="24.625" style="5" customWidth="1"/>
    <col min="2" max="2" width="14" style="5" customWidth="1"/>
    <col min="3" max="3" width="13" style="5" customWidth="1"/>
    <col min="4" max="4" width="17.5" style="5" customWidth="1"/>
    <col min="5" max="6" width="9" style="5"/>
    <col min="7" max="7" width="15" style="5" customWidth="1"/>
    <col min="8" max="8" width="17" style="5" customWidth="1"/>
    <col min="9" max="9" width="14.625" style="5" bestFit="1" customWidth="1"/>
    <col min="10" max="10" width="14.375" style="5" customWidth="1"/>
    <col min="11" max="16384" width="9" style="5"/>
  </cols>
  <sheetData>
    <row r="1" spans="1:10" ht="16.5" customHeight="1" x14ac:dyDescent="0.3">
      <c r="A1" s="135" t="s">
        <v>58</v>
      </c>
      <c r="G1" t="s">
        <v>3</v>
      </c>
      <c r="H1" t="s">
        <v>1</v>
      </c>
      <c r="I1" t="s">
        <v>392</v>
      </c>
      <c r="J1" t="s">
        <v>393</v>
      </c>
    </row>
    <row r="2" spans="1:10" x14ac:dyDescent="0.3">
      <c r="A2" s="236" t="s">
        <v>389</v>
      </c>
      <c r="G2" s="239"/>
      <c r="H2"/>
      <c r="I2" s="136"/>
      <c r="J2" s="136"/>
    </row>
    <row r="3" spans="1:10" x14ac:dyDescent="0.3">
      <c r="G3" s="239"/>
      <c r="H3"/>
      <c r="I3" s="136"/>
      <c r="J3" s="136"/>
    </row>
    <row r="4" spans="1:10" x14ac:dyDescent="0.3">
      <c r="B4" s="1" t="s">
        <v>94</v>
      </c>
      <c r="C4" s="1" t="s">
        <v>60</v>
      </c>
      <c r="D4" s="41" t="s">
        <v>31</v>
      </c>
      <c r="G4" s="239"/>
      <c r="H4"/>
      <c r="I4" s="136"/>
      <c r="J4" s="136"/>
    </row>
    <row r="5" spans="1:10" x14ac:dyDescent="0.3">
      <c r="A5" s="8" t="s">
        <v>5</v>
      </c>
      <c r="B5" s="6">
        <f>SUMIF(TableauFA1[Client],nom_client,TableauFA1[TOTAL TTC])</f>
        <v>0</v>
      </c>
      <c r="C5" s="6">
        <f>SUM(SUMIF(TableauFA1[Client],nom_client,TableauFA1[Montant chèque 1]),SUMIF(TableauFA1[Client],nom_client,TableauFA1[Montant chèque 2]),SUMIF(TableauFA1[Client],nom_client,TableauFA1[Montant chèque 3]))</f>
        <v>0</v>
      </c>
      <c r="D5" s="6">
        <f>C5-B5</f>
        <v>0</v>
      </c>
      <c r="G5" s="239"/>
      <c r="H5"/>
      <c r="I5" s="136"/>
      <c r="J5" s="136"/>
    </row>
    <row r="6" spans="1:10" x14ac:dyDescent="0.3">
      <c r="A6" s="8" t="s">
        <v>6</v>
      </c>
      <c r="B6" s="6">
        <f>SUMIF(TableauFA2[Client],nom_client,TableauFA2[TOTAL TTC])</f>
        <v>0</v>
      </c>
      <c r="C6" s="6">
        <f>SUM(SUMIF(TableauFA2[Client],nom_client,TableauFA2[Montant chèque 1]),SUMIF(TableauFA2[Client],nom_client,TableauFA2[Montant chèque 2]),SUMIF(TableauFA2[Client],nom_client,TableauFA2[Montant chèque 3]))</f>
        <v>0</v>
      </c>
      <c r="D6" s="6">
        <f>C6-B6</f>
        <v>0</v>
      </c>
      <c r="G6" s="239"/>
      <c r="H6"/>
      <c r="I6" s="136"/>
      <c r="J6" s="136"/>
    </row>
    <row r="7" spans="1:10" x14ac:dyDescent="0.3">
      <c r="A7" s="8" t="s">
        <v>10</v>
      </c>
      <c r="B7" s="6">
        <f>SUMIF(TableauFfinale[Client],nom_client,TableauFfinale[TOTAL TTC])</f>
        <v>0</v>
      </c>
      <c r="C7" s="6">
        <f>SUM(SUMIF(TableauFfinale[Client],nom_client,TableauFfinale[Montant chèque 1]),SUMIF(TableauFfinale[Client],nom_client,TableauFfinale[Montant chèque 2]),SUMIF(TableauFfinale[Client],nom_client,TableauFfinale[Montant chèque 3]))</f>
        <v>0</v>
      </c>
      <c r="D7" s="6">
        <f>C7-B7</f>
        <v>0</v>
      </c>
      <c r="G7" s="239"/>
      <c r="H7"/>
      <c r="I7" s="136"/>
      <c r="J7" s="136"/>
    </row>
    <row r="8" spans="1:10" x14ac:dyDescent="0.3">
      <c r="A8" s="8" t="s">
        <v>21</v>
      </c>
      <c r="B8" s="6">
        <f>-SUMIF(TableauAvoirs[Client],nom_client,TableauAvoirs[TOTAL TTC])</f>
        <v>0</v>
      </c>
      <c r="C8" s="7"/>
      <c r="G8" s="239"/>
      <c r="H8"/>
      <c r="I8" s="136"/>
      <c r="J8" s="136"/>
    </row>
    <row r="9" spans="1:10" x14ac:dyDescent="0.3">
      <c r="A9" s="9" t="s">
        <v>59</v>
      </c>
      <c r="B9" s="4">
        <f>SUM(B5:B8)</f>
        <v>0</v>
      </c>
      <c r="C9" s="4">
        <f>SUM(C5:C8)</f>
        <v>0</v>
      </c>
      <c r="G9" s="239"/>
      <c r="H9"/>
      <c r="I9" s="136"/>
      <c r="J9" s="136"/>
    </row>
    <row r="10" spans="1:10" x14ac:dyDescent="0.3">
      <c r="A10" s="8"/>
      <c r="G10" s="239"/>
      <c r="H10"/>
      <c r="I10" s="136"/>
      <c r="J10" s="136"/>
    </row>
    <row r="11" spans="1:10" x14ac:dyDescent="0.3">
      <c r="A11" s="8" t="s">
        <v>61</v>
      </c>
      <c r="B11" s="6">
        <f>IF(total_reglements&lt;total_factures_ttc,total_factures_ttc-total_reglements,0)</f>
        <v>0</v>
      </c>
      <c r="G11" s="239"/>
      <c r="H11"/>
      <c r="I11" s="136"/>
      <c r="J11" s="136"/>
    </row>
    <row r="12" spans="1:10" x14ac:dyDescent="0.3">
      <c r="A12" s="8" t="s">
        <v>62</v>
      </c>
      <c r="B12" s="6">
        <f>IF(total_reglements&gt;total_factures_ttc,total_reglements-total_factures_ttc,0)</f>
        <v>0</v>
      </c>
      <c r="G12" s="239"/>
      <c r="H12"/>
      <c r="I12" s="136"/>
      <c r="J12" s="136"/>
    </row>
    <row r="13" spans="1:10" x14ac:dyDescent="0.3">
      <c r="G13" s="239"/>
      <c r="H13"/>
      <c r="I13" s="136"/>
      <c r="J13" s="136"/>
    </row>
    <row r="14" spans="1:10" x14ac:dyDescent="0.3">
      <c r="G14" s="239"/>
      <c r="H14"/>
      <c r="I14" s="136"/>
      <c r="J14" s="136"/>
    </row>
    <row r="15" spans="1:10" x14ac:dyDescent="0.3">
      <c r="G15" s="239"/>
      <c r="H15"/>
      <c r="I15" s="136"/>
      <c r="J15" s="136"/>
    </row>
    <row r="16" spans="1:10" x14ac:dyDescent="0.3">
      <c r="G16" s="239"/>
      <c r="H16"/>
      <c r="I16" s="136"/>
      <c r="J16" s="136"/>
    </row>
    <row r="17" spans="7:10" x14ac:dyDescent="0.3">
      <c r="G17" s="239"/>
      <c r="H17"/>
      <c r="I17" s="136"/>
      <c r="J17" s="136"/>
    </row>
    <row r="18" spans="7:10" x14ac:dyDescent="0.3">
      <c r="G18" s="239"/>
      <c r="H18"/>
      <c r="I18" s="136"/>
      <c r="J18" s="136"/>
    </row>
    <row r="19" spans="7:10" x14ac:dyDescent="0.3">
      <c r="G19" s="239"/>
      <c r="H19"/>
      <c r="I19" s="136">
        <f>SUBTOTAL(109,Tableau1345[Montant TTC])</f>
        <v>0</v>
      </c>
      <c r="J19" s="136">
        <f>SUBTOTAL(109,Tableau1345[Reste dû])</f>
        <v>0</v>
      </c>
    </row>
  </sheetData>
  <conditionalFormatting sqref="B11">
    <cfRule type="cellIs" dxfId="16" priority="10" operator="lessThan">
      <formula>0.01</formula>
    </cfRule>
    <cfRule type="cellIs" dxfId="15" priority="11" operator="greaterThan">
      <formula>0.01</formula>
    </cfRule>
  </conditionalFormatting>
  <conditionalFormatting sqref="B12">
    <cfRule type="expression" dxfId="14" priority="9">
      <formula>$B$12&lt;&gt;0</formula>
    </cfRule>
  </conditionalFormatting>
  <conditionalFormatting sqref="D5">
    <cfRule type="cellIs" dxfId="13" priority="7" operator="greaterThanOrEqual">
      <formula>0.01</formula>
    </cfRule>
    <cfRule type="cellIs" dxfId="12" priority="8" operator="lessThanOrEqual">
      <formula>-0.01</formula>
    </cfRule>
  </conditionalFormatting>
  <conditionalFormatting sqref="D6:D7">
    <cfRule type="cellIs" dxfId="11" priority="1" operator="greaterThanOrEqual">
      <formula>0.01</formula>
    </cfRule>
    <cfRule type="cellIs" dxfId="10" priority="2" operator="lessThanOrEqual">
      <formula>-0.01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CC00"/>
  </sheetPr>
  <dimension ref="A1:U256"/>
  <sheetViews>
    <sheetView workbookViewId="0">
      <pane ySplit="4" topLeftCell="A5" activePane="bottomLeft" state="frozen"/>
      <selection pane="bottomLeft" activeCell="N263" sqref="N263"/>
    </sheetView>
  </sheetViews>
  <sheetFormatPr baseColWidth="10" defaultRowHeight="16.5" x14ac:dyDescent="0.3"/>
  <cols>
    <col min="1" max="1" width="15.375" style="97" customWidth="1"/>
    <col min="2" max="2" width="11" style="98"/>
    <col min="3" max="4" width="11.125" style="97" hidden="1" customWidth="1"/>
    <col min="5" max="5" width="13.75" style="97" hidden="1" customWidth="1"/>
    <col min="6" max="6" width="11.75" style="97" hidden="1" customWidth="1"/>
    <col min="7" max="8" width="11.125" style="97" hidden="1" customWidth="1"/>
    <col min="9" max="9" width="13.25" style="97" hidden="1" customWidth="1"/>
    <col min="10" max="11" width="11.125" style="97" hidden="1" customWidth="1"/>
    <col min="12" max="12" width="13.125" style="97" bestFit="1" customWidth="1"/>
    <col min="13" max="14" width="11" style="97"/>
    <col min="15" max="15" width="11" style="144"/>
    <col min="16" max="16" width="16" style="97" customWidth="1"/>
    <col min="17" max="17" width="11" style="97"/>
    <col min="18" max="18" width="11.75" style="182" bestFit="1" customWidth="1"/>
    <col min="19" max="16384" width="11" style="97"/>
  </cols>
  <sheetData>
    <row r="1" spans="1:21" x14ac:dyDescent="0.3">
      <c r="O1" s="99" t="s">
        <v>95</v>
      </c>
      <c r="P1" s="97" t="s">
        <v>96</v>
      </c>
    </row>
    <row r="2" spans="1:21" x14ac:dyDescent="0.3">
      <c r="O2" s="99" t="s">
        <v>97</v>
      </c>
      <c r="P2" s="100">
        <v>542293</v>
      </c>
      <c r="T2" s="97" t="s">
        <v>391</v>
      </c>
      <c r="U2" s="238">
        <v>5</v>
      </c>
    </row>
    <row r="3" spans="1:21" x14ac:dyDescent="0.3">
      <c r="O3" s="99" t="s">
        <v>98</v>
      </c>
      <c r="P3" s="101">
        <f>VLOOKUP(num_remise,matrice_remises,12,FALSE)</f>
        <v>0</v>
      </c>
    </row>
    <row r="4" spans="1:21" x14ac:dyDescent="0.3">
      <c r="A4" s="102" t="s">
        <v>71</v>
      </c>
      <c r="B4" s="103" t="s">
        <v>72</v>
      </c>
      <c r="C4" s="104" t="s">
        <v>99</v>
      </c>
      <c r="D4" s="104" t="s">
        <v>100</v>
      </c>
      <c r="E4" s="104" t="s">
        <v>101</v>
      </c>
      <c r="F4" s="104" t="s">
        <v>102</v>
      </c>
      <c r="G4" s="104" t="s">
        <v>103</v>
      </c>
      <c r="H4" s="104" t="s">
        <v>104</v>
      </c>
      <c r="I4" s="104" t="s">
        <v>105</v>
      </c>
      <c r="J4" s="104" t="s">
        <v>106</v>
      </c>
      <c r="K4" s="104" t="s">
        <v>107</v>
      </c>
      <c r="L4" s="198" t="s">
        <v>108</v>
      </c>
      <c r="N4" s="97" t="s">
        <v>3</v>
      </c>
      <c r="O4" s="144" t="s">
        <v>72</v>
      </c>
      <c r="P4" s="97" t="s">
        <v>231</v>
      </c>
      <c r="Q4" s="159" t="s">
        <v>232</v>
      </c>
      <c r="R4" s="183" t="s">
        <v>233</v>
      </c>
    </row>
    <row r="5" spans="1:21" hidden="1" x14ac:dyDescent="0.3">
      <c r="A5" s="140">
        <v>6241167</v>
      </c>
      <c r="B5" s="105">
        <v>41642</v>
      </c>
      <c r="C5" s="106">
        <f>SUMIF(TableauFA1[N° remise chèque 1],'remises de cheques'!$A5,TableauFA1[Montant chèque 1])</f>
        <v>0</v>
      </c>
      <c r="D5" s="106">
        <f>SUMIF(TableauFA1[N° remise chèque 2],'remises de cheques'!$A5,TableauFA1[Montant chèque 2])</f>
        <v>0</v>
      </c>
      <c r="E5" s="106">
        <f>SUMIF(TableauFA1[N° remise chèque 3],'remises de cheques'!$A5,TableauFA1[Montant chèque 3])</f>
        <v>0</v>
      </c>
      <c r="F5" s="106">
        <f>SUMIF(TableauFA2[N° remise chèque 1],'remises de cheques'!$A5,TableauFA2[Montant chèque 1])</f>
        <v>0</v>
      </c>
      <c r="G5" s="106">
        <f>SUMIF(TableauFA2[N° remise chèque 2],'remises de cheques'!$A5,TableauFA2[Montant chèque 2])</f>
        <v>0</v>
      </c>
      <c r="H5" s="106">
        <f>SUMIF(TableauFA2[N° remise chèque 3],'remises de cheques'!$A5,TableauFA2[Montant chèque 3])</f>
        <v>0</v>
      </c>
      <c r="I5" s="106">
        <f>SUMIF(TableauFfinale[N° remise chèque 1],'remises de cheques'!$A5,TableauFfinale[Montant chèque 1])</f>
        <v>0</v>
      </c>
      <c r="J5" s="106">
        <f>SUMIF(TableauFfinale[N° remise chèque 2],'remises de cheques'!$A5,TableauFfinale[Montant chèque 2])</f>
        <v>0</v>
      </c>
      <c r="K5" s="106">
        <f>SUMIF(TableauFfinale[N° remise chèque 3],'remises de cheques'!$A5,TableauFfinale[Montant chèque 3])</f>
        <v>0</v>
      </c>
      <c r="L5" s="107">
        <f t="shared" ref="L5:L69" si="0">SUM(C5:K5)</f>
        <v>0</v>
      </c>
      <c r="Q5" s="159"/>
      <c r="R5" s="183"/>
    </row>
    <row r="6" spans="1:21" hidden="1" x14ac:dyDescent="0.3">
      <c r="A6" s="140">
        <v>6241168</v>
      </c>
      <c r="B6" s="105">
        <v>41656</v>
      </c>
      <c r="C6" s="106">
        <f>SUMIF(TableauFA1[N° remise chèque 1],'remises de cheques'!$A6,TableauFA1[Montant chèque 1])</f>
        <v>0</v>
      </c>
      <c r="D6" s="106">
        <f>SUMIF(TableauFA1[N° remise chèque 2],'remises de cheques'!$A6,TableauFA1[Montant chèque 2])</f>
        <v>0</v>
      </c>
      <c r="E6" s="106">
        <f>SUMIF(TableauFA1[N° remise chèque 3],'remises de cheques'!$A6,TableauFA1[Montant chèque 3])</f>
        <v>0</v>
      </c>
      <c r="F6" s="106">
        <f>SUMIF(TableauFA2[N° remise chèque 1],'remises de cheques'!$A6,TableauFA2[Montant chèque 1])</f>
        <v>0</v>
      </c>
      <c r="G6" s="106">
        <f>SUMIF(TableauFA2[N° remise chèque 2],'remises de cheques'!$A6,TableauFA2[Montant chèque 2])</f>
        <v>0</v>
      </c>
      <c r="H6" s="106">
        <f>SUMIF(TableauFA2[N° remise chèque 3],'remises de cheques'!$A6,TableauFA2[Montant chèque 3])</f>
        <v>0</v>
      </c>
      <c r="I6" s="106">
        <f>SUMIF(TableauFfinale[N° remise chèque 1],'remises de cheques'!$A6,TableauFfinale[Montant chèque 1])</f>
        <v>0</v>
      </c>
      <c r="J6" s="106">
        <f>SUMIF(TableauFfinale[N° remise chèque 2],'remises de cheques'!$A6,TableauFfinale[Montant chèque 2])</f>
        <v>0</v>
      </c>
      <c r="K6" s="106">
        <f>SUMIF(TableauFfinale[N° remise chèque 3],'remises de cheques'!$A6,TableauFfinale[Montant chèque 3])</f>
        <v>0</v>
      </c>
      <c r="L6" s="107">
        <f t="shared" si="0"/>
        <v>0</v>
      </c>
      <c r="Q6" s="159"/>
      <c r="R6" s="183"/>
    </row>
    <row r="7" spans="1:21" hidden="1" x14ac:dyDescent="0.3">
      <c r="A7" s="140">
        <v>6241169</v>
      </c>
      <c r="B7" s="105">
        <v>41656</v>
      </c>
      <c r="C7" s="106">
        <f>SUMIF(TableauFA1[N° remise chèque 1],'remises de cheques'!$A7,TableauFA1[Montant chèque 1])</f>
        <v>0</v>
      </c>
      <c r="D7" s="106">
        <f>SUMIF(TableauFA1[N° remise chèque 2],'remises de cheques'!$A7,TableauFA1[Montant chèque 2])</f>
        <v>0</v>
      </c>
      <c r="E7" s="106">
        <f>SUMIF(TableauFA1[N° remise chèque 3],'remises de cheques'!$A7,TableauFA1[Montant chèque 3])</f>
        <v>0</v>
      </c>
      <c r="F7" s="106">
        <f>SUMIF(TableauFA2[N° remise chèque 1],'remises de cheques'!$A7,TableauFA2[Montant chèque 1])</f>
        <v>0</v>
      </c>
      <c r="G7" s="106">
        <f>SUMIF(TableauFA2[N° remise chèque 2],'remises de cheques'!$A7,TableauFA2[Montant chèque 2])</f>
        <v>0</v>
      </c>
      <c r="H7" s="106">
        <f>SUMIF(TableauFA2[N° remise chèque 3],'remises de cheques'!$A7,TableauFA2[Montant chèque 3])</f>
        <v>0</v>
      </c>
      <c r="I7" s="106">
        <f>SUMIF(TableauFfinale[N° remise chèque 1],'remises de cheques'!$A7,TableauFfinale[Montant chèque 1])</f>
        <v>0</v>
      </c>
      <c r="J7" s="106">
        <f>SUMIF(TableauFfinale[N° remise chèque 2],'remises de cheques'!$A7,TableauFfinale[Montant chèque 2])</f>
        <v>0</v>
      </c>
      <c r="K7" s="106">
        <f>SUMIF(TableauFfinale[N° remise chèque 3],'remises de cheques'!$A7,TableauFfinale[Montant chèque 3])</f>
        <v>0</v>
      </c>
      <c r="L7" s="107">
        <f t="shared" si="0"/>
        <v>0</v>
      </c>
      <c r="Q7" s="159"/>
      <c r="R7" s="183"/>
    </row>
    <row r="8" spans="1:21" hidden="1" x14ac:dyDescent="0.3">
      <c r="A8" s="140">
        <v>6241170</v>
      </c>
      <c r="B8" s="105">
        <v>41688</v>
      </c>
      <c r="C8" s="106">
        <f>SUMIF(TableauFA1[N° remise chèque 1],'remises de cheques'!$A8,TableauFA1[Montant chèque 1])</f>
        <v>0</v>
      </c>
      <c r="D8" s="106">
        <f>SUMIF(TableauFA1[N° remise chèque 2],'remises de cheques'!$A8,TableauFA1[Montant chèque 2])</f>
        <v>0</v>
      </c>
      <c r="E8" s="106">
        <f>SUMIF(TableauFA1[N° remise chèque 3],'remises de cheques'!$A8,TableauFA1[Montant chèque 3])</f>
        <v>0</v>
      </c>
      <c r="F8" s="106">
        <f>SUMIF(TableauFA2[N° remise chèque 1],'remises de cheques'!$A8,TableauFA2[Montant chèque 1])</f>
        <v>0</v>
      </c>
      <c r="G8" s="106">
        <f>SUMIF(TableauFA2[N° remise chèque 2],'remises de cheques'!$A8,TableauFA2[Montant chèque 2])</f>
        <v>0</v>
      </c>
      <c r="H8" s="106">
        <f>SUMIF(TableauFA2[N° remise chèque 3],'remises de cheques'!$A8,TableauFA2[Montant chèque 3])</f>
        <v>0</v>
      </c>
      <c r="I8" s="106">
        <f>SUMIF(TableauFfinale[N° remise chèque 1],'remises de cheques'!$A8,TableauFfinale[Montant chèque 1])</f>
        <v>0</v>
      </c>
      <c r="J8" s="106">
        <f>SUMIF(TableauFfinale[N° remise chèque 2],'remises de cheques'!$A8,TableauFfinale[Montant chèque 2])</f>
        <v>0</v>
      </c>
      <c r="K8" s="106">
        <f>SUMIF(TableauFfinale[N° remise chèque 3],'remises de cheques'!$A8,TableauFfinale[Montant chèque 3])</f>
        <v>0</v>
      </c>
      <c r="L8" s="107">
        <f t="shared" si="0"/>
        <v>0</v>
      </c>
      <c r="Q8" s="159"/>
      <c r="R8" s="183"/>
    </row>
    <row r="9" spans="1:21" hidden="1" x14ac:dyDescent="0.3">
      <c r="A9" s="140">
        <v>6241171</v>
      </c>
      <c r="B9" s="105">
        <v>41688</v>
      </c>
      <c r="C9" s="106">
        <f>SUMIF(TableauFA1[N° remise chèque 1],'remises de cheques'!$A9,TableauFA1[Montant chèque 1])</f>
        <v>0</v>
      </c>
      <c r="D9" s="106">
        <f>SUMIF(TableauFA1[N° remise chèque 2],'remises de cheques'!$A9,TableauFA1[Montant chèque 2])</f>
        <v>0</v>
      </c>
      <c r="E9" s="106">
        <f>SUMIF(TableauFA1[N° remise chèque 3],'remises de cheques'!$A9,TableauFA1[Montant chèque 3])</f>
        <v>0</v>
      </c>
      <c r="F9" s="106">
        <f>SUMIF(TableauFA2[N° remise chèque 1],'remises de cheques'!$A9,TableauFA2[Montant chèque 1])</f>
        <v>0</v>
      </c>
      <c r="G9" s="106">
        <f>SUMIF(TableauFA2[N° remise chèque 2],'remises de cheques'!$A9,TableauFA2[Montant chèque 2])</f>
        <v>0</v>
      </c>
      <c r="H9" s="106">
        <f>SUMIF(TableauFA2[N° remise chèque 3],'remises de cheques'!$A9,TableauFA2[Montant chèque 3])</f>
        <v>0</v>
      </c>
      <c r="I9" s="106">
        <f>SUMIF(TableauFfinale[N° remise chèque 1],'remises de cheques'!$A9,TableauFfinale[Montant chèque 1])</f>
        <v>0</v>
      </c>
      <c r="J9" s="106">
        <f>SUMIF(TableauFfinale[N° remise chèque 2],'remises de cheques'!$A9,TableauFfinale[Montant chèque 2])</f>
        <v>0</v>
      </c>
      <c r="K9" s="106">
        <f>SUMIF(TableauFfinale[N° remise chèque 3],'remises de cheques'!$A9,TableauFfinale[Montant chèque 3])</f>
        <v>0</v>
      </c>
      <c r="L9" s="107">
        <f t="shared" si="0"/>
        <v>0</v>
      </c>
      <c r="Q9" s="159"/>
      <c r="R9" s="183"/>
    </row>
    <row r="10" spans="1:21" hidden="1" x14ac:dyDescent="0.3">
      <c r="A10" s="140">
        <v>6241172</v>
      </c>
      <c r="B10" s="105">
        <v>41688</v>
      </c>
      <c r="C10" s="106">
        <f>SUMIF(TableauFA1[N° remise chèque 1],'remises de cheques'!$A10,TableauFA1[Montant chèque 1])</f>
        <v>0</v>
      </c>
      <c r="D10" s="106">
        <f>SUMIF(TableauFA1[N° remise chèque 2],'remises de cheques'!$A10,TableauFA1[Montant chèque 2])</f>
        <v>0</v>
      </c>
      <c r="E10" s="106">
        <f>SUMIF(TableauFA1[N° remise chèque 3],'remises de cheques'!$A10,TableauFA1[Montant chèque 3])</f>
        <v>0</v>
      </c>
      <c r="F10" s="106">
        <f>SUMIF(TableauFA2[N° remise chèque 1],'remises de cheques'!$A10,TableauFA2[Montant chèque 1])</f>
        <v>0</v>
      </c>
      <c r="G10" s="106">
        <f>SUMIF(TableauFA2[N° remise chèque 2],'remises de cheques'!$A10,TableauFA2[Montant chèque 2])</f>
        <v>0</v>
      </c>
      <c r="H10" s="106">
        <f>SUMIF(TableauFA2[N° remise chèque 3],'remises de cheques'!$A10,TableauFA2[Montant chèque 3])</f>
        <v>0</v>
      </c>
      <c r="I10" s="106">
        <f>SUMIF(TableauFfinale[N° remise chèque 1],'remises de cheques'!$A10,TableauFfinale[Montant chèque 1])</f>
        <v>0</v>
      </c>
      <c r="J10" s="106">
        <f>SUMIF(TableauFfinale[N° remise chèque 2],'remises de cheques'!$A10,TableauFfinale[Montant chèque 2])</f>
        <v>0</v>
      </c>
      <c r="K10" s="106">
        <f>SUMIF(TableauFfinale[N° remise chèque 3],'remises de cheques'!$A10,TableauFfinale[Montant chèque 3])</f>
        <v>0</v>
      </c>
      <c r="L10" s="107">
        <f t="shared" si="0"/>
        <v>0</v>
      </c>
      <c r="Q10" s="159"/>
      <c r="R10" s="183"/>
    </row>
    <row r="11" spans="1:21" hidden="1" x14ac:dyDescent="0.3">
      <c r="A11" s="140">
        <v>6241173</v>
      </c>
      <c r="B11" s="105">
        <v>41711</v>
      </c>
      <c r="C11" s="106">
        <f>SUMIF(TableauFA1[N° remise chèque 1],'remises de cheques'!$A11,TableauFA1[Montant chèque 1])</f>
        <v>0</v>
      </c>
      <c r="D11" s="106">
        <f>SUMIF(TableauFA1[N° remise chèque 2],'remises de cheques'!$A11,TableauFA1[Montant chèque 2])</f>
        <v>0</v>
      </c>
      <c r="E11" s="106">
        <f>SUMIF(TableauFA1[N° remise chèque 3],'remises de cheques'!$A11,TableauFA1[Montant chèque 3])</f>
        <v>0</v>
      </c>
      <c r="F11" s="106">
        <f>SUMIF(TableauFA2[N° remise chèque 1],'remises de cheques'!$A11,TableauFA2[Montant chèque 1])</f>
        <v>0</v>
      </c>
      <c r="G11" s="106">
        <f>SUMIF(TableauFA2[N° remise chèque 2],'remises de cheques'!$A11,TableauFA2[Montant chèque 2])</f>
        <v>0</v>
      </c>
      <c r="H11" s="106">
        <f>SUMIF(TableauFA2[N° remise chèque 3],'remises de cheques'!$A11,TableauFA2[Montant chèque 3])</f>
        <v>0</v>
      </c>
      <c r="I11" s="106">
        <f>SUMIF(TableauFfinale[N° remise chèque 1],'remises de cheques'!$A11,TableauFfinale[Montant chèque 1])</f>
        <v>0</v>
      </c>
      <c r="J11" s="106">
        <f>SUMIF(TableauFfinale[N° remise chèque 2],'remises de cheques'!$A11,TableauFfinale[Montant chèque 2])</f>
        <v>0</v>
      </c>
      <c r="K11" s="106">
        <f>SUMIF(TableauFfinale[N° remise chèque 3],'remises de cheques'!$A11,TableauFfinale[Montant chèque 3])</f>
        <v>0</v>
      </c>
      <c r="L11" s="107">
        <f t="shared" si="0"/>
        <v>0</v>
      </c>
      <c r="Q11" s="159"/>
      <c r="R11" s="183"/>
    </row>
    <row r="12" spans="1:21" hidden="1" x14ac:dyDescent="0.3">
      <c r="A12" s="140">
        <v>6241174</v>
      </c>
      <c r="B12" s="105">
        <v>41731</v>
      </c>
      <c r="C12" s="106">
        <f>SUMIF(TableauFA1[N° remise chèque 1],'remises de cheques'!$A12,TableauFA1[Montant chèque 1])</f>
        <v>0</v>
      </c>
      <c r="D12" s="106">
        <f>SUMIF(TableauFA1[N° remise chèque 2],'remises de cheques'!$A12,TableauFA1[Montant chèque 2])</f>
        <v>0</v>
      </c>
      <c r="E12" s="106">
        <f>SUMIF(TableauFA1[N° remise chèque 3],'remises de cheques'!$A12,TableauFA1[Montant chèque 3])</f>
        <v>0</v>
      </c>
      <c r="F12" s="106">
        <f>SUMIF(TableauFA2[N° remise chèque 1],'remises de cheques'!$A12,TableauFA2[Montant chèque 1])</f>
        <v>0</v>
      </c>
      <c r="G12" s="106">
        <f>SUMIF(TableauFA2[N° remise chèque 2],'remises de cheques'!$A12,TableauFA2[Montant chèque 2])</f>
        <v>0</v>
      </c>
      <c r="H12" s="106">
        <f>SUMIF(TableauFA2[N° remise chèque 3],'remises de cheques'!$A12,TableauFA2[Montant chèque 3])</f>
        <v>0</v>
      </c>
      <c r="I12" s="106">
        <f>SUMIF(TableauFfinale[N° remise chèque 1],'remises de cheques'!$A12,TableauFfinale[Montant chèque 1])</f>
        <v>0</v>
      </c>
      <c r="J12" s="106">
        <f>SUMIF(TableauFfinale[N° remise chèque 2],'remises de cheques'!$A12,TableauFfinale[Montant chèque 2])</f>
        <v>0</v>
      </c>
      <c r="K12" s="106">
        <f>SUMIF(TableauFfinale[N° remise chèque 3],'remises de cheques'!$A12,TableauFfinale[Montant chèque 3])</f>
        <v>0</v>
      </c>
      <c r="L12" s="107">
        <f t="shared" si="0"/>
        <v>0</v>
      </c>
      <c r="Q12" s="159"/>
      <c r="R12" s="183"/>
    </row>
    <row r="13" spans="1:21" hidden="1" x14ac:dyDescent="0.3">
      <c r="A13" s="140">
        <v>6241175</v>
      </c>
      <c r="B13" s="105">
        <v>41731</v>
      </c>
      <c r="C13" s="106">
        <f>SUMIF(TableauFA1[N° remise chèque 1],'remises de cheques'!$A13,TableauFA1[Montant chèque 1])</f>
        <v>0</v>
      </c>
      <c r="D13" s="106">
        <f>SUMIF(TableauFA1[N° remise chèque 2],'remises de cheques'!$A13,TableauFA1[Montant chèque 2])</f>
        <v>0</v>
      </c>
      <c r="E13" s="106">
        <f>SUMIF(TableauFA1[N° remise chèque 3],'remises de cheques'!$A13,TableauFA1[Montant chèque 3])</f>
        <v>0</v>
      </c>
      <c r="F13" s="106">
        <f>SUMIF(TableauFA2[N° remise chèque 1],'remises de cheques'!$A13,TableauFA2[Montant chèque 1])</f>
        <v>0</v>
      </c>
      <c r="G13" s="106">
        <f>SUMIF(TableauFA2[N° remise chèque 2],'remises de cheques'!$A13,TableauFA2[Montant chèque 2])</f>
        <v>0</v>
      </c>
      <c r="H13" s="106">
        <f>SUMIF(TableauFA2[N° remise chèque 3],'remises de cheques'!$A13,TableauFA2[Montant chèque 3])</f>
        <v>0</v>
      </c>
      <c r="I13" s="106">
        <f>SUMIF(TableauFfinale[N° remise chèque 1],'remises de cheques'!$A13,TableauFfinale[Montant chèque 1])</f>
        <v>0</v>
      </c>
      <c r="J13" s="106">
        <f>SUMIF(TableauFfinale[N° remise chèque 2],'remises de cheques'!$A13,TableauFfinale[Montant chèque 2])</f>
        <v>0</v>
      </c>
      <c r="K13" s="106">
        <f>SUMIF(TableauFfinale[N° remise chèque 3],'remises de cheques'!$A13,TableauFfinale[Montant chèque 3])</f>
        <v>0</v>
      </c>
      <c r="L13" s="107">
        <f t="shared" si="0"/>
        <v>0</v>
      </c>
      <c r="Q13" s="159"/>
      <c r="R13" s="183"/>
    </row>
    <row r="14" spans="1:21" hidden="1" x14ac:dyDescent="0.3">
      <c r="A14" s="140">
        <v>6241176</v>
      </c>
      <c r="B14" s="105">
        <v>41747</v>
      </c>
      <c r="C14" s="106">
        <f>SUMIF(TableauFA1[N° remise chèque 1],'remises de cheques'!$A14,TableauFA1[Montant chèque 1])</f>
        <v>0</v>
      </c>
      <c r="D14" s="106">
        <f>SUMIF(TableauFA1[N° remise chèque 2],'remises de cheques'!$A14,TableauFA1[Montant chèque 2])</f>
        <v>0</v>
      </c>
      <c r="E14" s="106">
        <f>SUMIF(TableauFA1[N° remise chèque 3],'remises de cheques'!$A14,TableauFA1[Montant chèque 3])</f>
        <v>0</v>
      </c>
      <c r="F14" s="106">
        <f>SUMIF(TableauFA2[N° remise chèque 1],'remises de cheques'!$A14,TableauFA2[Montant chèque 1])</f>
        <v>0</v>
      </c>
      <c r="G14" s="106">
        <f>SUMIF(TableauFA2[N° remise chèque 2],'remises de cheques'!$A14,TableauFA2[Montant chèque 2])</f>
        <v>0</v>
      </c>
      <c r="H14" s="106">
        <f>SUMIF(TableauFA2[N° remise chèque 3],'remises de cheques'!$A14,TableauFA2[Montant chèque 3])</f>
        <v>0</v>
      </c>
      <c r="I14" s="106">
        <f>SUMIF(TableauFfinale[N° remise chèque 1],'remises de cheques'!$A14,TableauFfinale[Montant chèque 1])</f>
        <v>0</v>
      </c>
      <c r="J14" s="106">
        <f>SUMIF(TableauFfinale[N° remise chèque 2],'remises de cheques'!$A14,TableauFfinale[Montant chèque 2])</f>
        <v>0</v>
      </c>
      <c r="K14" s="106">
        <f>SUMIF(TableauFfinale[N° remise chèque 3],'remises de cheques'!$A14,TableauFfinale[Montant chèque 3])</f>
        <v>0</v>
      </c>
      <c r="L14" s="107">
        <f t="shared" si="0"/>
        <v>0</v>
      </c>
      <c r="Q14" s="159"/>
      <c r="R14" s="183"/>
    </row>
    <row r="15" spans="1:21" hidden="1" x14ac:dyDescent="0.3">
      <c r="A15" s="140">
        <v>9018093</v>
      </c>
      <c r="B15" s="105">
        <v>41747</v>
      </c>
      <c r="C15" s="106">
        <f>SUMIF(TableauFA1[N° remise chèque 1],'remises de cheques'!$A15,TableauFA1[Montant chèque 1])</f>
        <v>0</v>
      </c>
      <c r="D15" s="106">
        <f>SUMIF(TableauFA1[N° remise chèque 2],'remises de cheques'!$A15,TableauFA1[Montant chèque 2])</f>
        <v>0</v>
      </c>
      <c r="E15" s="106">
        <f>SUMIF(TableauFA1[N° remise chèque 3],'remises de cheques'!$A15,TableauFA1[Montant chèque 3])</f>
        <v>0</v>
      </c>
      <c r="F15" s="106">
        <f>SUMIF(TableauFA2[N° remise chèque 1],'remises de cheques'!$A15,TableauFA2[Montant chèque 1])</f>
        <v>0</v>
      </c>
      <c r="G15" s="106">
        <f>SUMIF(TableauFA2[N° remise chèque 2],'remises de cheques'!$A15,TableauFA2[Montant chèque 2])</f>
        <v>0</v>
      </c>
      <c r="H15" s="106">
        <f>SUMIF(TableauFA2[N° remise chèque 3],'remises de cheques'!$A15,TableauFA2[Montant chèque 3])</f>
        <v>0</v>
      </c>
      <c r="I15" s="106">
        <f>SUMIF(TableauFfinale[N° remise chèque 1],'remises de cheques'!$A15,TableauFfinale[Montant chèque 1])</f>
        <v>0</v>
      </c>
      <c r="J15" s="106">
        <f>SUMIF(TableauFfinale[N° remise chèque 2],'remises de cheques'!$A15,TableauFfinale[Montant chèque 2])</f>
        <v>0</v>
      </c>
      <c r="K15" s="106">
        <f>SUMIF(TableauFfinale[N° remise chèque 3],'remises de cheques'!$A15,TableauFfinale[Montant chèque 3])</f>
        <v>0</v>
      </c>
      <c r="L15" s="107">
        <f t="shared" si="0"/>
        <v>0</v>
      </c>
      <c r="Q15" s="159"/>
      <c r="R15" s="183"/>
    </row>
    <row r="16" spans="1:21" hidden="1" x14ac:dyDescent="0.3">
      <c r="A16" s="140">
        <v>9018094</v>
      </c>
      <c r="B16" s="105">
        <v>41747</v>
      </c>
      <c r="C16" s="106">
        <f>SUMIF(TableauFA1[N° remise chèque 1],'remises de cheques'!$A16,TableauFA1[Montant chèque 1])</f>
        <v>0</v>
      </c>
      <c r="D16" s="106">
        <f>SUMIF(TableauFA1[N° remise chèque 2],'remises de cheques'!$A16,TableauFA1[Montant chèque 2])</f>
        <v>0</v>
      </c>
      <c r="E16" s="106">
        <f>SUMIF(TableauFA1[N° remise chèque 3],'remises de cheques'!$A16,TableauFA1[Montant chèque 3])</f>
        <v>0</v>
      </c>
      <c r="F16" s="106">
        <f>SUMIF(TableauFA2[N° remise chèque 1],'remises de cheques'!$A16,TableauFA2[Montant chèque 1])</f>
        <v>0</v>
      </c>
      <c r="G16" s="106">
        <f>SUMIF(TableauFA2[N° remise chèque 2],'remises de cheques'!$A16,TableauFA2[Montant chèque 2])</f>
        <v>0</v>
      </c>
      <c r="H16" s="106">
        <f>SUMIF(TableauFA2[N° remise chèque 3],'remises de cheques'!$A16,TableauFA2[Montant chèque 3])</f>
        <v>0</v>
      </c>
      <c r="I16" s="106">
        <f>SUMIF(TableauFfinale[N° remise chèque 1],'remises de cheques'!$A16,TableauFfinale[Montant chèque 1])</f>
        <v>0</v>
      </c>
      <c r="J16" s="106">
        <f>SUMIF(TableauFfinale[N° remise chèque 2],'remises de cheques'!$A16,TableauFfinale[Montant chèque 2])</f>
        <v>0</v>
      </c>
      <c r="K16" s="106">
        <f>SUMIF(TableauFfinale[N° remise chèque 3],'remises de cheques'!$A16,TableauFfinale[Montant chèque 3])</f>
        <v>0</v>
      </c>
      <c r="L16" s="107">
        <f t="shared" si="0"/>
        <v>0</v>
      </c>
      <c r="Q16" s="159"/>
      <c r="R16" s="183"/>
    </row>
    <row r="17" spans="1:18" hidden="1" x14ac:dyDescent="0.3">
      <c r="A17" s="140">
        <v>9018095</v>
      </c>
      <c r="B17" s="105">
        <v>41758</v>
      </c>
      <c r="C17" s="106">
        <f>SUMIF(TableauFA1[N° remise chèque 1],'remises de cheques'!$A17,TableauFA1[Montant chèque 1])</f>
        <v>0</v>
      </c>
      <c r="D17" s="106">
        <f>SUMIF(TableauFA1[N° remise chèque 2],'remises de cheques'!$A17,TableauFA1[Montant chèque 2])</f>
        <v>0</v>
      </c>
      <c r="E17" s="106">
        <f>SUMIF(TableauFA1[N° remise chèque 3],'remises de cheques'!$A17,TableauFA1[Montant chèque 3])</f>
        <v>0</v>
      </c>
      <c r="F17" s="106">
        <f>SUMIF(TableauFA2[N° remise chèque 1],'remises de cheques'!$A17,TableauFA2[Montant chèque 1])</f>
        <v>0</v>
      </c>
      <c r="G17" s="106">
        <f>SUMIF(TableauFA2[N° remise chèque 2],'remises de cheques'!$A17,TableauFA2[Montant chèque 2])</f>
        <v>0</v>
      </c>
      <c r="H17" s="106">
        <f>SUMIF(TableauFA2[N° remise chèque 3],'remises de cheques'!$A17,TableauFA2[Montant chèque 3])</f>
        <v>0</v>
      </c>
      <c r="I17" s="106">
        <f>SUMIF(TableauFfinale[N° remise chèque 1],'remises de cheques'!$A17,TableauFfinale[Montant chèque 1])</f>
        <v>0</v>
      </c>
      <c r="J17" s="106">
        <f>SUMIF(TableauFfinale[N° remise chèque 2],'remises de cheques'!$A17,TableauFfinale[Montant chèque 2])</f>
        <v>0</v>
      </c>
      <c r="K17" s="106">
        <f>SUMIF(TableauFfinale[N° remise chèque 3],'remises de cheques'!$A17,TableauFfinale[Montant chèque 3])</f>
        <v>0</v>
      </c>
      <c r="L17" s="107">
        <f t="shared" si="0"/>
        <v>0</v>
      </c>
      <c r="Q17" s="159"/>
      <c r="R17" s="183"/>
    </row>
    <row r="18" spans="1:18" hidden="1" x14ac:dyDescent="0.3">
      <c r="A18" s="140">
        <v>9018096</v>
      </c>
      <c r="B18" s="105">
        <v>41758</v>
      </c>
      <c r="C18" s="106">
        <f>SUMIF(TableauFA1[N° remise chèque 1],'remises de cheques'!$A18,TableauFA1[Montant chèque 1])</f>
        <v>0</v>
      </c>
      <c r="D18" s="106">
        <f>SUMIF(TableauFA1[N° remise chèque 2],'remises de cheques'!$A18,TableauFA1[Montant chèque 2])</f>
        <v>0</v>
      </c>
      <c r="E18" s="106">
        <f>SUMIF(TableauFA1[N° remise chèque 3],'remises de cheques'!$A18,TableauFA1[Montant chèque 3])</f>
        <v>0</v>
      </c>
      <c r="F18" s="106">
        <f>SUMIF(TableauFA2[N° remise chèque 1],'remises de cheques'!$A18,TableauFA2[Montant chèque 1])</f>
        <v>0</v>
      </c>
      <c r="G18" s="106">
        <f>SUMIF(TableauFA2[N° remise chèque 2],'remises de cheques'!$A18,TableauFA2[Montant chèque 2])</f>
        <v>0</v>
      </c>
      <c r="H18" s="106">
        <f>SUMIF(TableauFA2[N° remise chèque 3],'remises de cheques'!$A18,TableauFA2[Montant chèque 3])</f>
        <v>0</v>
      </c>
      <c r="I18" s="106">
        <f>SUMIF(TableauFfinale[N° remise chèque 1],'remises de cheques'!$A18,TableauFfinale[Montant chèque 1])</f>
        <v>0</v>
      </c>
      <c r="J18" s="106">
        <f>SUMIF(TableauFfinale[N° remise chèque 2],'remises de cheques'!$A18,TableauFfinale[Montant chèque 2])</f>
        <v>0</v>
      </c>
      <c r="K18" s="106">
        <f>SUMIF(TableauFfinale[N° remise chèque 3],'remises de cheques'!$A18,TableauFfinale[Montant chèque 3])</f>
        <v>0</v>
      </c>
      <c r="L18" s="107">
        <f t="shared" si="0"/>
        <v>0</v>
      </c>
      <c r="Q18" s="159"/>
      <c r="R18" s="183"/>
    </row>
    <row r="19" spans="1:18" hidden="1" x14ac:dyDescent="0.3">
      <c r="A19" s="140">
        <v>9018097</v>
      </c>
      <c r="B19" s="105">
        <v>41774</v>
      </c>
      <c r="C19" s="106">
        <f>SUMIF(TableauFA1[N° remise chèque 1],'remises de cheques'!$A19,TableauFA1[Montant chèque 1])</f>
        <v>0</v>
      </c>
      <c r="D19" s="106">
        <f>SUMIF(TableauFA1[N° remise chèque 2],'remises de cheques'!$A19,TableauFA1[Montant chèque 2])</f>
        <v>0</v>
      </c>
      <c r="E19" s="106">
        <f>SUMIF(TableauFA1[N° remise chèque 3],'remises de cheques'!$A19,TableauFA1[Montant chèque 3])</f>
        <v>0</v>
      </c>
      <c r="F19" s="106">
        <f>SUMIF(TableauFA2[N° remise chèque 1],'remises de cheques'!$A19,TableauFA2[Montant chèque 1])</f>
        <v>0</v>
      </c>
      <c r="G19" s="106">
        <f>SUMIF(TableauFA2[N° remise chèque 2],'remises de cheques'!$A19,TableauFA2[Montant chèque 2])</f>
        <v>0</v>
      </c>
      <c r="H19" s="106">
        <f>SUMIF(TableauFA2[N° remise chèque 3],'remises de cheques'!$A19,TableauFA2[Montant chèque 3])</f>
        <v>0</v>
      </c>
      <c r="I19" s="106">
        <f>SUMIF(TableauFfinale[N° remise chèque 1],'remises de cheques'!$A19,TableauFfinale[Montant chèque 1])</f>
        <v>0</v>
      </c>
      <c r="J19" s="106">
        <f>SUMIF(TableauFfinale[N° remise chèque 2],'remises de cheques'!$A19,TableauFfinale[Montant chèque 2])</f>
        <v>0</v>
      </c>
      <c r="K19" s="106">
        <f>SUMIF(TableauFfinale[N° remise chèque 3],'remises de cheques'!$A19,TableauFfinale[Montant chèque 3])</f>
        <v>0</v>
      </c>
      <c r="L19" s="107">
        <f t="shared" si="0"/>
        <v>0</v>
      </c>
      <c r="Q19" s="159"/>
      <c r="R19" s="183"/>
    </row>
    <row r="20" spans="1:18" hidden="1" x14ac:dyDescent="0.3">
      <c r="A20" s="140">
        <v>9018098</v>
      </c>
      <c r="B20" s="105">
        <v>41774</v>
      </c>
      <c r="C20" s="106">
        <f>SUMIF(TableauFA1[N° remise chèque 1],'remises de cheques'!$A20,TableauFA1[Montant chèque 1])</f>
        <v>0</v>
      </c>
      <c r="D20" s="106">
        <f>SUMIF(TableauFA1[N° remise chèque 2],'remises de cheques'!$A20,TableauFA1[Montant chèque 2])</f>
        <v>0</v>
      </c>
      <c r="E20" s="106">
        <f>SUMIF(TableauFA1[N° remise chèque 3],'remises de cheques'!$A20,TableauFA1[Montant chèque 3])</f>
        <v>0</v>
      </c>
      <c r="F20" s="106">
        <f>SUMIF(TableauFA2[N° remise chèque 1],'remises de cheques'!$A20,TableauFA2[Montant chèque 1])</f>
        <v>0</v>
      </c>
      <c r="G20" s="106">
        <f>SUMIF(TableauFA2[N° remise chèque 2],'remises de cheques'!$A20,TableauFA2[Montant chèque 2])</f>
        <v>0</v>
      </c>
      <c r="H20" s="106">
        <f>SUMIF(TableauFA2[N° remise chèque 3],'remises de cheques'!$A20,TableauFA2[Montant chèque 3])</f>
        <v>0</v>
      </c>
      <c r="I20" s="106">
        <f>SUMIF(TableauFfinale[N° remise chèque 1],'remises de cheques'!$A20,TableauFfinale[Montant chèque 1])</f>
        <v>0</v>
      </c>
      <c r="J20" s="106">
        <f>SUMIF(TableauFfinale[N° remise chèque 2],'remises de cheques'!$A20,TableauFfinale[Montant chèque 2])</f>
        <v>0</v>
      </c>
      <c r="K20" s="106">
        <f>SUMIF(TableauFfinale[N° remise chèque 3],'remises de cheques'!$A20,TableauFfinale[Montant chèque 3])</f>
        <v>0</v>
      </c>
      <c r="L20" s="107">
        <f t="shared" si="0"/>
        <v>0</v>
      </c>
      <c r="Q20" s="159"/>
      <c r="R20" s="183"/>
    </row>
    <row r="21" spans="1:18" hidden="1" x14ac:dyDescent="0.3">
      <c r="A21" s="140">
        <v>9018099</v>
      </c>
      <c r="B21" s="105">
        <v>42139</v>
      </c>
      <c r="C21" s="106">
        <f>SUMIF(TableauFA1[N° remise chèque 1],'remises de cheques'!$A21,TableauFA1[Montant chèque 1])</f>
        <v>0</v>
      </c>
      <c r="D21" s="106">
        <f>SUMIF(TableauFA1[N° remise chèque 2],'remises de cheques'!$A21,TableauFA1[Montant chèque 2])</f>
        <v>0</v>
      </c>
      <c r="E21" s="106">
        <f>SUMIF(TableauFA1[N° remise chèque 3],'remises de cheques'!$A21,TableauFA1[Montant chèque 3])</f>
        <v>0</v>
      </c>
      <c r="F21" s="106">
        <f>SUMIF(TableauFA2[N° remise chèque 1],'remises de cheques'!$A21,TableauFA2[Montant chèque 1])</f>
        <v>0</v>
      </c>
      <c r="G21" s="106">
        <f>SUMIF(TableauFA2[N° remise chèque 2],'remises de cheques'!$A21,TableauFA2[Montant chèque 2])</f>
        <v>0</v>
      </c>
      <c r="H21" s="106">
        <f>SUMIF(TableauFA2[N° remise chèque 3],'remises de cheques'!$A21,TableauFA2[Montant chèque 3])</f>
        <v>0</v>
      </c>
      <c r="I21" s="106">
        <f>SUMIF(TableauFfinale[N° remise chèque 1],'remises de cheques'!$A21,TableauFfinale[Montant chèque 1])</f>
        <v>0</v>
      </c>
      <c r="J21" s="106">
        <f>SUMIF(TableauFfinale[N° remise chèque 2],'remises de cheques'!$A21,TableauFfinale[Montant chèque 2])</f>
        <v>0</v>
      </c>
      <c r="K21" s="106">
        <f>SUMIF(TableauFfinale[N° remise chèque 3],'remises de cheques'!$A21,TableauFfinale[Montant chèque 3])</f>
        <v>0</v>
      </c>
      <c r="L21" s="107">
        <f t="shared" si="0"/>
        <v>0</v>
      </c>
      <c r="Q21" s="159"/>
      <c r="R21" s="183"/>
    </row>
    <row r="22" spans="1:18" hidden="1" x14ac:dyDescent="0.3">
      <c r="A22" s="140">
        <v>9018100</v>
      </c>
      <c r="B22" s="105">
        <v>41800</v>
      </c>
      <c r="C22" s="106">
        <f>SUMIF(TableauFA1[N° remise chèque 1],'remises de cheques'!$A22,TableauFA1[Montant chèque 1])</f>
        <v>0</v>
      </c>
      <c r="D22" s="106">
        <f>SUMIF(TableauFA1[N° remise chèque 2],'remises de cheques'!$A22,TableauFA1[Montant chèque 2])</f>
        <v>0</v>
      </c>
      <c r="E22" s="106">
        <f>SUMIF(TableauFA1[N° remise chèque 3],'remises de cheques'!$A22,TableauFA1[Montant chèque 3])</f>
        <v>0</v>
      </c>
      <c r="F22" s="106">
        <f>SUMIF(TableauFA2[N° remise chèque 1],'remises de cheques'!$A22,TableauFA2[Montant chèque 1])</f>
        <v>0</v>
      </c>
      <c r="G22" s="106">
        <f>SUMIF(TableauFA2[N° remise chèque 2],'remises de cheques'!$A22,TableauFA2[Montant chèque 2])</f>
        <v>0</v>
      </c>
      <c r="H22" s="106">
        <f>SUMIF(TableauFA2[N° remise chèque 3],'remises de cheques'!$A22,TableauFA2[Montant chèque 3])</f>
        <v>0</v>
      </c>
      <c r="I22" s="106">
        <f>SUMIF(TableauFfinale[N° remise chèque 1],'remises de cheques'!$A22,TableauFfinale[Montant chèque 1])</f>
        <v>0</v>
      </c>
      <c r="J22" s="106">
        <f>SUMIF(TableauFfinale[N° remise chèque 2],'remises de cheques'!$A22,TableauFfinale[Montant chèque 2])</f>
        <v>0</v>
      </c>
      <c r="K22" s="106">
        <f>SUMIF(TableauFfinale[N° remise chèque 3],'remises de cheques'!$A22,TableauFfinale[Montant chèque 3])</f>
        <v>0</v>
      </c>
      <c r="L22" s="107">
        <f t="shared" si="0"/>
        <v>0</v>
      </c>
      <c r="Q22" s="159"/>
      <c r="R22" s="183"/>
    </row>
    <row r="23" spans="1:18" hidden="1" x14ac:dyDescent="0.3">
      <c r="A23" s="140">
        <v>9018101</v>
      </c>
      <c r="B23" s="105">
        <v>41800</v>
      </c>
      <c r="C23" s="106">
        <f>SUMIF(TableauFA1[N° remise chèque 1],'remises de cheques'!$A23,TableauFA1[Montant chèque 1])</f>
        <v>0</v>
      </c>
      <c r="D23" s="106">
        <f>SUMIF(TableauFA1[N° remise chèque 2],'remises de cheques'!$A23,TableauFA1[Montant chèque 2])</f>
        <v>0</v>
      </c>
      <c r="E23" s="106">
        <f>SUMIF(TableauFA1[N° remise chèque 3],'remises de cheques'!$A23,TableauFA1[Montant chèque 3])</f>
        <v>0</v>
      </c>
      <c r="F23" s="106">
        <f>SUMIF(TableauFA2[N° remise chèque 1],'remises de cheques'!$A23,TableauFA2[Montant chèque 1])</f>
        <v>0</v>
      </c>
      <c r="G23" s="106">
        <f>SUMIF(TableauFA2[N° remise chèque 2],'remises de cheques'!$A23,TableauFA2[Montant chèque 2])</f>
        <v>0</v>
      </c>
      <c r="H23" s="106">
        <f>SUMIF(TableauFA2[N° remise chèque 3],'remises de cheques'!$A23,TableauFA2[Montant chèque 3])</f>
        <v>0</v>
      </c>
      <c r="I23" s="106">
        <f>SUMIF(TableauFfinale[N° remise chèque 1],'remises de cheques'!$A23,TableauFfinale[Montant chèque 1])</f>
        <v>0</v>
      </c>
      <c r="J23" s="106">
        <f>SUMIF(TableauFfinale[N° remise chèque 2],'remises de cheques'!$A23,TableauFfinale[Montant chèque 2])</f>
        <v>0</v>
      </c>
      <c r="K23" s="106">
        <f>SUMIF(TableauFfinale[N° remise chèque 3],'remises de cheques'!$A23,TableauFfinale[Montant chèque 3])</f>
        <v>0</v>
      </c>
      <c r="L23" s="107">
        <f t="shared" si="0"/>
        <v>0</v>
      </c>
      <c r="Q23" s="159"/>
      <c r="R23" s="183"/>
    </row>
    <row r="24" spans="1:18" hidden="1" x14ac:dyDescent="0.3">
      <c r="A24" s="140">
        <v>9018102</v>
      </c>
      <c r="B24" s="105">
        <v>41813</v>
      </c>
      <c r="C24" s="106">
        <f>SUMIF(TableauFA1[N° remise chèque 1],'remises de cheques'!$A24,TableauFA1[Montant chèque 1])</f>
        <v>0</v>
      </c>
      <c r="D24" s="106">
        <f>SUMIF(TableauFA1[N° remise chèque 2],'remises de cheques'!$A24,TableauFA1[Montant chèque 2])</f>
        <v>0</v>
      </c>
      <c r="E24" s="106">
        <f>SUMIF(TableauFA1[N° remise chèque 3],'remises de cheques'!$A24,TableauFA1[Montant chèque 3])</f>
        <v>0</v>
      </c>
      <c r="F24" s="106">
        <f>SUMIF(TableauFA2[N° remise chèque 1],'remises de cheques'!$A24,TableauFA2[Montant chèque 1])</f>
        <v>0</v>
      </c>
      <c r="G24" s="106">
        <f>SUMIF(TableauFA2[N° remise chèque 2],'remises de cheques'!$A24,TableauFA2[Montant chèque 2])</f>
        <v>0</v>
      </c>
      <c r="H24" s="106">
        <f>SUMIF(TableauFA2[N° remise chèque 3],'remises de cheques'!$A24,TableauFA2[Montant chèque 3])</f>
        <v>0</v>
      </c>
      <c r="I24" s="106">
        <f>SUMIF(TableauFfinale[N° remise chèque 1],'remises de cheques'!$A24,TableauFfinale[Montant chèque 1])</f>
        <v>0</v>
      </c>
      <c r="J24" s="106">
        <f>SUMIF(TableauFfinale[N° remise chèque 2],'remises de cheques'!$A24,TableauFfinale[Montant chèque 2])</f>
        <v>0</v>
      </c>
      <c r="K24" s="106">
        <f>SUMIF(TableauFfinale[N° remise chèque 3],'remises de cheques'!$A24,TableauFfinale[Montant chèque 3])</f>
        <v>0</v>
      </c>
      <c r="L24" s="107">
        <f t="shared" si="0"/>
        <v>0</v>
      </c>
      <c r="Q24" s="159"/>
      <c r="R24" s="183"/>
    </row>
    <row r="25" spans="1:18" hidden="1" x14ac:dyDescent="0.3">
      <c r="A25" s="140">
        <v>9018103</v>
      </c>
      <c r="B25" s="105">
        <v>41813</v>
      </c>
      <c r="C25" s="106">
        <f>SUMIF(TableauFA1[N° remise chèque 1],'remises de cheques'!$A25,TableauFA1[Montant chèque 1])</f>
        <v>0</v>
      </c>
      <c r="D25" s="106">
        <f>SUMIF(TableauFA1[N° remise chèque 2],'remises de cheques'!$A25,TableauFA1[Montant chèque 2])</f>
        <v>0</v>
      </c>
      <c r="E25" s="106">
        <f>SUMIF(TableauFA1[N° remise chèque 3],'remises de cheques'!$A25,TableauFA1[Montant chèque 3])</f>
        <v>0</v>
      </c>
      <c r="F25" s="106">
        <f>SUMIF(TableauFA2[N° remise chèque 1],'remises de cheques'!$A25,TableauFA2[Montant chèque 1])</f>
        <v>0</v>
      </c>
      <c r="G25" s="106">
        <f>SUMIF(TableauFA2[N° remise chèque 2],'remises de cheques'!$A25,TableauFA2[Montant chèque 2])</f>
        <v>0</v>
      </c>
      <c r="H25" s="106">
        <f>SUMIF(TableauFA2[N° remise chèque 3],'remises de cheques'!$A25,TableauFA2[Montant chèque 3])</f>
        <v>0</v>
      </c>
      <c r="I25" s="106">
        <f>SUMIF(TableauFfinale[N° remise chèque 1],'remises de cheques'!$A25,TableauFfinale[Montant chèque 1])</f>
        <v>0</v>
      </c>
      <c r="J25" s="106">
        <f>SUMIF(TableauFfinale[N° remise chèque 2],'remises de cheques'!$A25,TableauFfinale[Montant chèque 2])</f>
        <v>0</v>
      </c>
      <c r="K25" s="106">
        <f>SUMIF(TableauFfinale[N° remise chèque 3],'remises de cheques'!$A25,TableauFfinale[Montant chèque 3])</f>
        <v>0</v>
      </c>
      <c r="L25" s="107">
        <f t="shared" si="0"/>
        <v>0</v>
      </c>
      <c r="Q25" s="159"/>
      <c r="R25" s="183"/>
    </row>
    <row r="26" spans="1:18" hidden="1" x14ac:dyDescent="0.3">
      <c r="A26" s="140">
        <v>9018104</v>
      </c>
      <c r="B26" s="105">
        <v>41813</v>
      </c>
      <c r="C26" s="106">
        <f>SUMIF(TableauFA1[N° remise chèque 1],'remises de cheques'!$A26,TableauFA1[Montant chèque 1])</f>
        <v>0</v>
      </c>
      <c r="D26" s="106">
        <f>SUMIF(TableauFA1[N° remise chèque 2],'remises de cheques'!$A26,TableauFA1[Montant chèque 2])</f>
        <v>0</v>
      </c>
      <c r="E26" s="106">
        <f>SUMIF(TableauFA1[N° remise chèque 3],'remises de cheques'!$A26,TableauFA1[Montant chèque 3])</f>
        <v>0</v>
      </c>
      <c r="F26" s="106">
        <f>SUMIF(TableauFA2[N° remise chèque 1],'remises de cheques'!$A26,TableauFA2[Montant chèque 1])</f>
        <v>0</v>
      </c>
      <c r="G26" s="106">
        <f>SUMIF(TableauFA2[N° remise chèque 2],'remises de cheques'!$A26,TableauFA2[Montant chèque 2])</f>
        <v>0</v>
      </c>
      <c r="H26" s="106">
        <f>SUMIF(TableauFA2[N° remise chèque 3],'remises de cheques'!$A26,TableauFA2[Montant chèque 3])</f>
        <v>0</v>
      </c>
      <c r="I26" s="106">
        <f>SUMIF(TableauFfinale[N° remise chèque 1],'remises de cheques'!$A26,TableauFfinale[Montant chèque 1])</f>
        <v>0</v>
      </c>
      <c r="J26" s="106">
        <f>SUMIF(TableauFfinale[N° remise chèque 2],'remises de cheques'!$A26,TableauFfinale[Montant chèque 2])</f>
        <v>0</v>
      </c>
      <c r="K26" s="106">
        <f>SUMIF(TableauFfinale[N° remise chèque 3],'remises de cheques'!$A26,TableauFfinale[Montant chèque 3])</f>
        <v>0</v>
      </c>
      <c r="L26" s="107">
        <f t="shared" si="0"/>
        <v>0</v>
      </c>
      <c r="Q26" s="159"/>
      <c r="R26" s="183"/>
    </row>
    <row r="27" spans="1:18" hidden="1" x14ac:dyDescent="0.3">
      <c r="A27" s="140">
        <v>9018105</v>
      </c>
      <c r="B27" s="105">
        <v>41838</v>
      </c>
      <c r="C27" s="106">
        <f>SUMIF(TableauFA1[N° remise chèque 1],'remises de cheques'!$A27,TableauFA1[Montant chèque 1])</f>
        <v>0</v>
      </c>
      <c r="D27" s="106">
        <f>SUMIF(TableauFA1[N° remise chèque 2],'remises de cheques'!$A27,TableauFA1[Montant chèque 2])</f>
        <v>0</v>
      </c>
      <c r="E27" s="106">
        <f>SUMIF(TableauFA1[N° remise chèque 3],'remises de cheques'!$A27,TableauFA1[Montant chèque 3])</f>
        <v>0</v>
      </c>
      <c r="F27" s="106">
        <f>SUMIF(TableauFA2[N° remise chèque 1],'remises de cheques'!$A27,TableauFA2[Montant chèque 1])</f>
        <v>0</v>
      </c>
      <c r="G27" s="106">
        <f>SUMIF(TableauFA2[N° remise chèque 2],'remises de cheques'!$A27,TableauFA2[Montant chèque 2])</f>
        <v>0</v>
      </c>
      <c r="H27" s="106">
        <f>SUMIF(TableauFA2[N° remise chèque 3],'remises de cheques'!$A27,TableauFA2[Montant chèque 3])</f>
        <v>0</v>
      </c>
      <c r="I27" s="106">
        <f>SUMIF(TableauFfinale[N° remise chèque 1],'remises de cheques'!$A27,TableauFfinale[Montant chèque 1])</f>
        <v>0</v>
      </c>
      <c r="J27" s="106">
        <f>SUMIF(TableauFfinale[N° remise chèque 2],'remises de cheques'!$A27,TableauFfinale[Montant chèque 2])</f>
        <v>0</v>
      </c>
      <c r="K27" s="106">
        <f>SUMIF(TableauFfinale[N° remise chèque 3],'remises de cheques'!$A27,TableauFfinale[Montant chèque 3])</f>
        <v>0</v>
      </c>
      <c r="L27" s="107">
        <f t="shared" si="0"/>
        <v>0</v>
      </c>
      <c r="Q27" s="159"/>
      <c r="R27" s="183"/>
    </row>
    <row r="28" spans="1:18" hidden="1" x14ac:dyDescent="0.3">
      <c r="A28" s="140">
        <v>9018106</v>
      </c>
      <c r="B28" s="105">
        <v>41838</v>
      </c>
      <c r="C28" s="106">
        <f>SUMIF(TableauFA1[N° remise chèque 1],'remises de cheques'!$A28,TableauFA1[Montant chèque 1])</f>
        <v>0</v>
      </c>
      <c r="D28" s="106">
        <f>SUMIF(TableauFA1[N° remise chèque 2],'remises de cheques'!$A28,TableauFA1[Montant chèque 2])</f>
        <v>0</v>
      </c>
      <c r="E28" s="106">
        <f>SUMIF(TableauFA1[N° remise chèque 3],'remises de cheques'!$A28,TableauFA1[Montant chèque 3])</f>
        <v>0</v>
      </c>
      <c r="F28" s="106">
        <f>SUMIF(TableauFA2[N° remise chèque 1],'remises de cheques'!$A28,TableauFA2[Montant chèque 1])</f>
        <v>0</v>
      </c>
      <c r="G28" s="106">
        <f>SUMIF(TableauFA2[N° remise chèque 2],'remises de cheques'!$A28,TableauFA2[Montant chèque 2])</f>
        <v>0</v>
      </c>
      <c r="H28" s="106">
        <f>SUMIF(TableauFA2[N° remise chèque 3],'remises de cheques'!$A28,TableauFA2[Montant chèque 3])</f>
        <v>0</v>
      </c>
      <c r="I28" s="106">
        <f>SUMIF(TableauFfinale[N° remise chèque 1],'remises de cheques'!$A28,TableauFfinale[Montant chèque 1])</f>
        <v>0</v>
      </c>
      <c r="J28" s="106">
        <f>SUMIF(TableauFfinale[N° remise chèque 2],'remises de cheques'!$A28,TableauFfinale[Montant chèque 2])</f>
        <v>0</v>
      </c>
      <c r="K28" s="106">
        <f>SUMIF(TableauFfinale[N° remise chèque 3],'remises de cheques'!$A28,TableauFfinale[Montant chèque 3])</f>
        <v>0</v>
      </c>
      <c r="L28" s="107">
        <f t="shared" si="0"/>
        <v>0</v>
      </c>
      <c r="Q28" s="159"/>
      <c r="R28" s="183"/>
    </row>
    <row r="29" spans="1:18" hidden="1" x14ac:dyDescent="0.3">
      <c r="A29" s="140">
        <v>9018107</v>
      </c>
      <c r="B29" s="105">
        <v>41838</v>
      </c>
      <c r="C29" s="106">
        <f>SUMIF(TableauFA1[N° remise chèque 1],'remises de cheques'!$A29,TableauFA1[Montant chèque 1])</f>
        <v>0</v>
      </c>
      <c r="D29" s="106">
        <f>SUMIF(TableauFA1[N° remise chèque 2],'remises de cheques'!$A29,TableauFA1[Montant chèque 2])</f>
        <v>0</v>
      </c>
      <c r="E29" s="106">
        <f>SUMIF(TableauFA1[N° remise chèque 3],'remises de cheques'!$A29,TableauFA1[Montant chèque 3])</f>
        <v>0</v>
      </c>
      <c r="F29" s="106">
        <f>SUMIF(TableauFA2[N° remise chèque 1],'remises de cheques'!$A29,TableauFA2[Montant chèque 1])</f>
        <v>0</v>
      </c>
      <c r="G29" s="106">
        <f>SUMIF(TableauFA2[N° remise chèque 2],'remises de cheques'!$A29,TableauFA2[Montant chèque 2])</f>
        <v>0</v>
      </c>
      <c r="H29" s="106">
        <f>SUMIF(TableauFA2[N° remise chèque 3],'remises de cheques'!$A29,TableauFA2[Montant chèque 3])</f>
        <v>0</v>
      </c>
      <c r="I29" s="106">
        <f>SUMIF(TableauFfinale[N° remise chèque 1],'remises de cheques'!$A29,TableauFfinale[Montant chèque 1])</f>
        <v>0</v>
      </c>
      <c r="J29" s="106">
        <f>SUMIF(TableauFfinale[N° remise chèque 2],'remises de cheques'!$A29,TableauFfinale[Montant chèque 2])</f>
        <v>0</v>
      </c>
      <c r="K29" s="106">
        <f>SUMIF(TableauFfinale[N° remise chèque 3],'remises de cheques'!$A29,TableauFfinale[Montant chèque 3])</f>
        <v>0</v>
      </c>
      <c r="L29" s="107">
        <f t="shared" si="0"/>
        <v>0</v>
      </c>
      <c r="Q29" s="159"/>
      <c r="R29" s="183"/>
    </row>
    <row r="30" spans="1:18" hidden="1" x14ac:dyDescent="0.3">
      <c r="A30" s="140">
        <v>9018108</v>
      </c>
      <c r="B30" s="105">
        <v>41838</v>
      </c>
      <c r="C30" s="106">
        <f>SUMIF(TableauFA1[N° remise chèque 1],'remises de cheques'!$A30,TableauFA1[Montant chèque 1])</f>
        <v>0</v>
      </c>
      <c r="D30" s="106">
        <f>SUMIF(TableauFA1[N° remise chèque 2],'remises de cheques'!$A30,TableauFA1[Montant chèque 2])</f>
        <v>0</v>
      </c>
      <c r="E30" s="106">
        <f>SUMIF(TableauFA1[N° remise chèque 3],'remises de cheques'!$A30,TableauFA1[Montant chèque 3])</f>
        <v>0</v>
      </c>
      <c r="F30" s="106">
        <f>SUMIF(TableauFA2[N° remise chèque 1],'remises de cheques'!$A30,TableauFA2[Montant chèque 1])</f>
        <v>0</v>
      </c>
      <c r="G30" s="106">
        <f>SUMIF(TableauFA2[N° remise chèque 2],'remises de cheques'!$A30,TableauFA2[Montant chèque 2])</f>
        <v>0</v>
      </c>
      <c r="H30" s="106">
        <f>SUMIF(TableauFA2[N° remise chèque 3],'remises de cheques'!$A30,TableauFA2[Montant chèque 3])</f>
        <v>0</v>
      </c>
      <c r="I30" s="106">
        <f>SUMIF(TableauFfinale[N° remise chèque 1],'remises de cheques'!$A30,TableauFfinale[Montant chèque 1])</f>
        <v>0</v>
      </c>
      <c r="J30" s="106">
        <f>SUMIF(TableauFfinale[N° remise chèque 2],'remises de cheques'!$A30,TableauFfinale[Montant chèque 2])</f>
        <v>0</v>
      </c>
      <c r="K30" s="106">
        <f>SUMIF(TableauFfinale[N° remise chèque 3],'remises de cheques'!$A30,TableauFfinale[Montant chèque 3])</f>
        <v>0</v>
      </c>
      <c r="L30" s="107">
        <f t="shared" si="0"/>
        <v>0</v>
      </c>
      <c r="Q30" s="159"/>
      <c r="R30" s="183"/>
    </row>
    <row r="31" spans="1:18" hidden="1" x14ac:dyDescent="0.3">
      <c r="A31" s="140">
        <v>9018109</v>
      </c>
      <c r="B31" s="105">
        <v>41838</v>
      </c>
      <c r="C31" s="106">
        <f>SUMIF(TableauFA1[N° remise chèque 1],'remises de cheques'!$A31,TableauFA1[Montant chèque 1])</f>
        <v>0</v>
      </c>
      <c r="D31" s="106">
        <f>SUMIF(TableauFA1[N° remise chèque 2],'remises de cheques'!$A31,TableauFA1[Montant chèque 2])</f>
        <v>0</v>
      </c>
      <c r="E31" s="106">
        <f>SUMIF(TableauFA1[N° remise chèque 3],'remises de cheques'!$A31,TableauFA1[Montant chèque 3])</f>
        <v>0</v>
      </c>
      <c r="F31" s="106">
        <f>SUMIF(TableauFA2[N° remise chèque 1],'remises de cheques'!$A31,TableauFA2[Montant chèque 1])</f>
        <v>0</v>
      </c>
      <c r="G31" s="106">
        <f>SUMIF(TableauFA2[N° remise chèque 2],'remises de cheques'!$A31,TableauFA2[Montant chèque 2])</f>
        <v>0</v>
      </c>
      <c r="H31" s="106">
        <f>SUMIF(TableauFA2[N° remise chèque 3],'remises de cheques'!$A31,TableauFA2[Montant chèque 3])</f>
        <v>0</v>
      </c>
      <c r="I31" s="106">
        <f>SUMIF(TableauFfinale[N° remise chèque 1],'remises de cheques'!$A31,TableauFfinale[Montant chèque 1])</f>
        <v>0</v>
      </c>
      <c r="J31" s="106">
        <f>SUMIF(TableauFfinale[N° remise chèque 2],'remises de cheques'!$A31,TableauFfinale[Montant chèque 2])</f>
        <v>0</v>
      </c>
      <c r="K31" s="106">
        <f>SUMIF(TableauFfinale[N° remise chèque 3],'remises de cheques'!$A31,TableauFfinale[Montant chèque 3])</f>
        <v>0</v>
      </c>
      <c r="L31" s="107">
        <f t="shared" si="0"/>
        <v>0</v>
      </c>
      <c r="Q31" s="159"/>
      <c r="R31" s="183"/>
    </row>
    <row r="32" spans="1:18" hidden="1" x14ac:dyDescent="0.3">
      <c r="A32" s="140">
        <v>9018110</v>
      </c>
      <c r="B32" s="105">
        <v>41859</v>
      </c>
      <c r="C32" s="106">
        <f>SUMIF(TableauFA1[N° remise chèque 1],'remises de cheques'!$A32,TableauFA1[Montant chèque 1])</f>
        <v>0</v>
      </c>
      <c r="D32" s="106">
        <f>SUMIF(TableauFA1[N° remise chèque 2],'remises de cheques'!$A32,TableauFA1[Montant chèque 2])</f>
        <v>0</v>
      </c>
      <c r="E32" s="106">
        <f>SUMIF(TableauFA1[N° remise chèque 3],'remises de cheques'!$A32,TableauFA1[Montant chèque 3])</f>
        <v>0</v>
      </c>
      <c r="F32" s="106">
        <f>SUMIF(TableauFA2[N° remise chèque 1],'remises de cheques'!$A32,TableauFA2[Montant chèque 1])</f>
        <v>0</v>
      </c>
      <c r="G32" s="106">
        <f>SUMIF(TableauFA2[N° remise chèque 2],'remises de cheques'!$A32,TableauFA2[Montant chèque 2])</f>
        <v>0</v>
      </c>
      <c r="H32" s="106">
        <f>SUMIF(TableauFA2[N° remise chèque 3],'remises de cheques'!$A32,TableauFA2[Montant chèque 3])</f>
        <v>0</v>
      </c>
      <c r="I32" s="106">
        <f>SUMIF(TableauFfinale[N° remise chèque 1],'remises de cheques'!$A32,TableauFfinale[Montant chèque 1])</f>
        <v>0</v>
      </c>
      <c r="J32" s="106">
        <f>SUMIF(TableauFfinale[N° remise chèque 2],'remises de cheques'!$A32,TableauFfinale[Montant chèque 2])</f>
        <v>0</v>
      </c>
      <c r="K32" s="106">
        <f>SUMIF(TableauFfinale[N° remise chèque 3],'remises de cheques'!$A32,TableauFfinale[Montant chèque 3])</f>
        <v>0</v>
      </c>
      <c r="L32" s="107">
        <f t="shared" si="0"/>
        <v>0</v>
      </c>
      <c r="Q32" s="159"/>
      <c r="R32" s="183"/>
    </row>
    <row r="33" spans="1:18" hidden="1" x14ac:dyDescent="0.3">
      <c r="A33" s="140">
        <v>9018111</v>
      </c>
      <c r="B33" s="105">
        <v>41859</v>
      </c>
      <c r="C33" s="106">
        <f>SUMIF(TableauFA1[N° remise chèque 1],'remises de cheques'!$A33,TableauFA1[Montant chèque 1])</f>
        <v>0</v>
      </c>
      <c r="D33" s="106">
        <f>SUMIF(TableauFA1[N° remise chèque 2],'remises de cheques'!$A33,TableauFA1[Montant chèque 2])</f>
        <v>0</v>
      </c>
      <c r="E33" s="106">
        <f>SUMIF(TableauFA1[N° remise chèque 3],'remises de cheques'!$A33,TableauFA1[Montant chèque 3])</f>
        <v>0</v>
      </c>
      <c r="F33" s="106">
        <f>SUMIF(TableauFA2[N° remise chèque 1],'remises de cheques'!$A33,TableauFA2[Montant chèque 1])</f>
        <v>0</v>
      </c>
      <c r="G33" s="106">
        <f>SUMIF(TableauFA2[N° remise chèque 2],'remises de cheques'!$A33,TableauFA2[Montant chèque 2])</f>
        <v>0</v>
      </c>
      <c r="H33" s="106">
        <f>SUMIF(TableauFA2[N° remise chèque 3],'remises de cheques'!$A33,TableauFA2[Montant chèque 3])</f>
        <v>0</v>
      </c>
      <c r="I33" s="106">
        <f>SUMIF(TableauFfinale[N° remise chèque 1],'remises de cheques'!$A33,TableauFfinale[Montant chèque 1])</f>
        <v>0</v>
      </c>
      <c r="J33" s="106">
        <f>SUMIF(TableauFfinale[N° remise chèque 2],'remises de cheques'!$A33,TableauFfinale[Montant chèque 2])</f>
        <v>0</v>
      </c>
      <c r="K33" s="106">
        <f>SUMIF(TableauFfinale[N° remise chèque 3],'remises de cheques'!$A33,TableauFfinale[Montant chèque 3])</f>
        <v>0</v>
      </c>
      <c r="L33" s="107">
        <f t="shared" si="0"/>
        <v>0</v>
      </c>
      <c r="Q33" s="159"/>
      <c r="R33" s="183"/>
    </row>
    <row r="34" spans="1:18" hidden="1" x14ac:dyDescent="0.3">
      <c r="A34" s="140">
        <v>9018112</v>
      </c>
      <c r="B34" s="105">
        <v>41859</v>
      </c>
      <c r="C34" s="106">
        <f>SUMIF(TableauFA1[N° remise chèque 1],'remises de cheques'!$A34,TableauFA1[Montant chèque 1])</f>
        <v>0</v>
      </c>
      <c r="D34" s="106">
        <f>SUMIF(TableauFA1[N° remise chèque 2],'remises de cheques'!$A34,TableauFA1[Montant chèque 2])</f>
        <v>0</v>
      </c>
      <c r="E34" s="106">
        <f>SUMIF(TableauFA1[N° remise chèque 3],'remises de cheques'!$A34,TableauFA1[Montant chèque 3])</f>
        <v>0</v>
      </c>
      <c r="F34" s="106">
        <f>SUMIF(TableauFA2[N° remise chèque 1],'remises de cheques'!$A34,TableauFA2[Montant chèque 1])</f>
        <v>0</v>
      </c>
      <c r="G34" s="106">
        <f>SUMIF(TableauFA2[N° remise chèque 2],'remises de cheques'!$A34,TableauFA2[Montant chèque 2])</f>
        <v>0</v>
      </c>
      <c r="H34" s="106">
        <f>SUMIF(TableauFA2[N° remise chèque 3],'remises de cheques'!$A34,TableauFA2[Montant chèque 3])</f>
        <v>0</v>
      </c>
      <c r="I34" s="106">
        <f>SUMIF(TableauFfinale[N° remise chèque 1],'remises de cheques'!$A34,TableauFfinale[Montant chèque 1])</f>
        <v>0</v>
      </c>
      <c r="J34" s="106">
        <f>SUMIF(TableauFfinale[N° remise chèque 2],'remises de cheques'!$A34,TableauFfinale[Montant chèque 2])</f>
        <v>0</v>
      </c>
      <c r="K34" s="106">
        <f>SUMIF(TableauFfinale[N° remise chèque 3],'remises de cheques'!$A34,TableauFfinale[Montant chèque 3])</f>
        <v>0</v>
      </c>
      <c r="L34" s="107">
        <f t="shared" si="0"/>
        <v>0</v>
      </c>
      <c r="Q34" s="159"/>
      <c r="R34" s="183"/>
    </row>
    <row r="35" spans="1:18" hidden="1" x14ac:dyDescent="0.3">
      <c r="A35" s="140">
        <v>9018113</v>
      </c>
      <c r="B35" s="105">
        <v>41859</v>
      </c>
      <c r="C35" s="106">
        <f>SUMIF(TableauFA1[N° remise chèque 1],'remises de cheques'!$A35,TableauFA1[Montant chèque 1])</f>
        <v>0</v>
      </c>
      <c r="D35" s="106">
        <f>SUMIF(TableauFA1[N° remise chèque 2],'remises de cheques'!$A35,TableauFA1[Montant chèque 2])</f>
        <v>0</v>
      </c>
      <c r="E35" s="106">
        <f>SUMIF(TableauFA1[N° remise chèque 3],'remises de cheques'!$A35,TableauFA1[Montant chèque 3])</f>
        <v>0</v>
      </c>
      <c r="F35" s="106">
        <f>SUMIF(TableauFA2[N° remise chèque 1],'remises de cheques'!$A35,TableauFA2[Montant chèque 1])</f>
        <v>0</v>
      </c>
      <c r="G35" s="106">
        <f>SUMIF(TableauFA2[N° remise chèque 2],'remises de cheques'!$A35,TableauFA2[Montant chèque 2])</f>
        <v>0</v>
      </c>
      <c r="H35" s="106">
        <f>SUMIF(TableauFA2[N° remise chèque 3],'remises de cheques'!$A35,TableauFA2[Montant chèque 3])</f>
        <v>0</v>
      </c>
      <c r="I35" s="106">
        <f>SUMIF(TableauFfinale[N° remise chèque 1],'remises de cheques'!$A35,TableauFfinale[Montant chèque 1])</f>
        <v>0</v>
      </c>
      <c r="J35" s="106">
        <f>SUMIF(TableauFfinale[N° remise chèque 2],'remises de cheques'!$A35,TableauFfinale[Montant chèque 2])</f>
        <v>0</v>
      </c>
      <c r="K35" s="106">
        <f>SUMIF(TableauFfinale[N° remise chèque 3],'remises de cheques'!$A35,TableauFfinale[Montant chèque 3])</f>
        <v>0</v>
      </c>
      <c r="L35" s="107">
        <f t="shared" si="0"/>
        <v>0</v>
      </c>
      <c r="Q35" s="159"/>
      <c r="R35" s="183"/>
    </row>
    <row r="36" spans="1:18" hidden="1" x14ac:dyDescent="0.3">
      <c r="A36" s="140">
        <v>9018114</v>
      </c>
      <c r="B36" s="105">
        <v>41859</v>
      </c>
      <c r="C36" s="106">
        <f>SUMIF(TableauFA1[N° remise chèque 1],'remises de cheques'!$A36,TableauFA1[Montant chèque 1])</f>
        <v>0</v>
      </c>
      <c r="D36" s="106">
        <f>SUMIF(TableauFA1[N° remise chèque 2],'remises de cheques'!$A36,TableauFA1[Montant chèque 2])</f>
        <v>0</v>
      </c>
      <c r="E36" s="106">
        <f>SUMIF(TableauFA1[N° remise chèque 3],'remises de cheques'!$A36,TableauFA1[Montant chèque 3])</f>
        <v>0</v>
      </c>
      <c r="F36" s="106">
        <f>SUMIF(TableauFA2[N° remise chèque 1],'remises de cheques'!$A36,TableauFA2[Montant chèque 1])</f>
        <v>0</v>
      </c>
      <c r="G36" s="106">
        <f>SUMIF(TableauFA2[N° remise chèque 2],'remises de cheques'!$A36,TableauFA2[Montant chèque 2])</f>
        <v>0</v>
      </c>
      <c r="H36" s="106">
        <f>SUMIF(TableauFA2[N° remise chèque 3],'remises de cheques'!$A36,TableauFA2[Montant chèque 3])</f>
        <v>0</v>
      </c>
      <c r="I36" s="106">
        <f>SUMIF(TableauFfinale[N° remise chèque 1],'remises de cheques'!$A36,TableauFfinale[Montant chèque 1])</f>
        <v>0</v>
      </c>
      <c r="J36" s="106">
        <f>SUMIF(TableauFfinale[N° remise chèque 2],'remises de cheques'!$A36,TableauFfinale[Montant chèque 2])</f>
        <v>0</v>
      </c>
      <c r="K36" s="106">
        <f>SUMIF(TableauFfinale[N° remise chèque 3],'remises de cheques'!$A36,TableauFfinale[Montant chèque 3])</f>
        <v>0</v>
      </c>
      <c r="L36" s="107">
        <f t="shared" si="0"/>
        <v>0</v>
      </c>
      <c r="Q36" s="159"/>
      <c r="R36" s="183"/>
    </row>
    <row r="37" spans="1:18" hidden="1" x14ac:dyDescent="0.3">
      <c r="A37" s="140">
        <v>9018115</v>
      </c>
      <c r="B37" s="105">
        <v>41900</v>
      </c>
      <c r="C37" s="106">
        <f>SUMIF(TableauFA1[N° remise chèque 1],'remises de cheques'!$A37,TableauFA1[Montant chèque 1])</f>
        <v>0</v>
      </c>
      <c r="D37" s="106">
        <f>SUMIF(TableauFA1[N° remise chèque 2],'remises de cheques'!$A37,TableauFA1[Montant chèque 2])</f>
        <v>0</v>
      </c>
      <c r="E37" s="106">
        <f>SUMIF(TableauFA1[N° remise chèque 3],'remises de cheques'!$A37,TableauFA1[Montant chèque 3])</f>
        <v>0</v>
      </c>
      <c r="F37" s="106">
        <f>SUMIF(TableauFA2[N° remise chèque 1],'remises de cheques'!$A37,TableauFA2[Montant chèque 1])</f>
        <v>0</v>
      </c>
      <c r="G37" s="106">
        <f>SUMIF(TableauFA2[N° remise chèque 2],'remises de cheques'!$A37,TableauFA2[Montant chèque 2])</f>
        <v>0</v>
      </c>
      <c r="H37" s="106">
        <f>SUMIF(TableauFA2[N° remise chèque 3],'remises de cheques'!$A37,TableauFA2[Montant chèque 3])</f>
        <v>0</v>
      </c>
      <c r="I37" s="106">
        <f>SUMIF(TableauFfinale[N° remise chèque 1],'remises de cheques'!$A37,TableauFfinale[Montant chèque 1])</f>
        <v>0</v>
      </c>
      <c r="J37" s="106">
        <f>SUMIF(TableauFfinale[N° remise chèque 2],'remises de cheques'!$A37,TableauFfinale[Montant chèque 2])</f>
        <v>0</v>
      </c>
      <c r="K37" s="106">
        <f>SUMIF(TableauFfinale[N° remise chèque 3],'remises de cheques'!$A37,TableauFfinale[Montant chèque 3])</f>
        <v>0</v>
      </c>
      <c r="L37" s="107">
        <f t="shared" si="0"/>
        <v>0</v>
      </c>
      <c r="Q37" s="159"/>
      <c r="R37" s="183"/>
    </row>
    <row r="38" spans="1:18" hidden="1" x14ac:dyDescent="0.3">
      <c r="A38" s="140">
        <v>5734071</v>
      </c>
      <c r="B38" s="105">
        <v>41900</v>
      </c>
      <c r="C38" s="106">
        <f>SUMIF(TableauFA1[N° remise chèque 1],'remises de cheques'!$A38,TableauFA1[Montant chèque 1])</f>
        <v>0</v>
      </c>
      <c r="D38" s="106">
        <f>SUMIF(TableauFA1[N° remise chèque 2],'remises de cheques'!$A38,TableauFA1[Montant chèque 2])</f>
        <v>0</v>
      </c>
      <c r="E38" s="106">
        <f>SUMIF(TableauFA1[N° remise chèque 3],'remises de cheques'!$A38,TableauFA1[Montant chèque 3])</f>
        <v>0</v>
      </c>
      <c r="F38" s="106">
        <f>SUMIF(TableauFA2[N° remise chèque 1],'remises de cheques'!$A38,TableauFA2[Montant chèque 1])</f>
        <v>0</v>
      </c>
      <c r="G38" s="106">
        <f>SUMIF(TableauFA2[N° remise chèque 2],'remises de cheques'!$A38,TableauFA2[Montant chèque 2])</f>
        <v>0</v>
      </c>
      <c r="H38" s="106">
        <f>SUMIF(TableauFA2[N° remise chèque 3],'remises de cheques'!$A38,TableauFA2[Montant chèque 3])</f>
        <v>0</v>
      </c>
      <c r="I38" s="106">
        <f>SUMIF(TableauFfinale[N° remise chèque 1],'remises de cheques'!$A38,TableauFfinale[Montant chèque 1])</f>
        <v>0</v>
      </c>
      <c r="J38" s="106">
        <f>SUMIF(TableauFfinale[N° remise chèque 2],'remises de cheques'!$A38,TableauFfinale[Montant chèque 2])</f>
        <v>0</v>
      </c>
      <c r="K38" s="106">
        <f>SUMIF(TableauFfinale[N° remise chèque 3],'remises de cheques'!$A38,TableauFfinale[Montant chèque 3])</f>
        <v>0</v>
      </c>
      <c r="L38" s="107">
        <f t="shared" si="0"/>
        <v>0</v>
      </c>
      <c r="Q38" s="159"/>
      <c r="R38" s="183"/>
    </row>
    <row r="39" spans="1:18" hidden="1" x14ac:dyDescent="0.3">
      <c r="A39" s="140">
        <v>5734072</v>
      </c>
      <c r="B39" s="105">
        <v>41900</v>
      </c>
      <c r="C39" s="106">
        <f>SUMIF(TableauFA1[N° remise chèque 1],'remises de cheques'!$A39,TableauFA1[Montant chèque 1])</f>
        <v>0</v>
      </c>
      <c r="D39" s="106">
        <f>SUMIF(TableauFA1[N° remise chèque 2],'remises de cheques'!$A39,TableauFA1[Montant chèque 2])</f>
        <v>0</v>
      </c>
      <c r="E39" s="106">
        <f>SUMIF(TableauFA1[N° remise chèque 3],'remises de cheques'!$A39,TableauFA1[Montant chèque 3])</f>
        <v>0</v>
      </c>
      <c r="F39" s="106">
        <f>SUMIF(TableauFA2[N° remise chèque 1],'remises de cheques'!$A39,TableauFA2[Montant chèque 1])</f>
        <v>0</v>
      </c>
      <c r="G39" s="106">
        <f>SUMIF(TableauFA2[N° remise chèque 2],'remises de cheques'!$A39,TableauFA2[Montant chèque 2])</f>
        <v>0</v>
      </c>
      <c r="H39" s="106">
        <f>SUMIF(TableauFA2[N° remise chèque 3],'remises de cheques'!$A39,TableauFA2[Montant chèque 3])</f>
        <v>0</v>
      </c>
      <c r="I39" s="106">
        <f>SUMIF(TableauFfinale[N° remise chèque 1],'remises de cheques'!$A39,TableauFfinale[Montant chèque 1])</f>
        <v>0</v>
      </c>
      <c r="J39" s="106">
        <f>SUMIF(TableauFfinale[N° remise chèque 2],'remises de cheques'!$A39,TableauFfinale[Montant chèque 2])</f>
        <v>0</v>
      </c>
      <c r="K39" s="106">
        <f>SUMIF(TableauFfinale[N° remise chèque 3],'remises de cheques'!$A39,TableauFfinale[Montant chèque 3])</f>
        <v>0</v>
      </c>
      <c r="L39" s="107">
        <f t="shared" si="0"/>
        <v>0</v>
      </c>
      <c r="Q39" s="159"/>
      <c r="R39" s="183"/>
    </row>
    <row r="40" spans="1:18" hidden="1" x14ac:dyDescent="0.3">
      <c r="A40" s="140">
        <v>5734073</v>
      </c>
      <c r="B40" s="105">
        <v>41934</v>
      </c>
      <c r="C40" s="106">
        <f>SUMIF(TableauFA1[N° remise chèque 1],'remises de cheques'!$A40,TableauFA1[Montant chèque 1])</f>
        <v>0</v>
      </c>
      <c r="D40" s="106">
        <f>SUMIF(TableauFA1[N° remise chèque 2],'remises de cheques'!$A40,TableauFA1[Montant chèque 2])</f>
        <v>0</v>
      </c>
      <c r="E40" s="106">
        <f>SUMIF(TableauFA1[N° remise chèque 3],'remises de cheques'!$A40,TableauFA1[Montant chèque 3])</f>
        <v>0</v>
      </c>
      <c r="F40" s="106">
        <f>SUMIF(TableauFA2[N° remise chèque 1],'remises de cheques'!$A40,TableauFA2[Montant chèque 1])</f>
        <v>0</v>
      </c>
      <c r="G40" s="106">
        <f>SUMIF(TableauFA2[N° remise chèque 2],'remises de cheques'!$A40,TableauFA2[Montant chèque 2])</f>
        <v>0</v>
      </c>
      <c r="H40" s="106">
        <f>SUMIF(TableauFA2[N° remise chèque 3],'remises de cheques'!$A40,TableauFA2[Montant chèque 3])</f>
        <v>0</v>
      </c>
      <c r="I40" s="106">
        <f>SUMIF(TableauFfinale[N° remise chèque 1],'remises de cheques'!$A40,TableauFfinale[Montant chèque 1])</f>
        <v>0</v>
      </c>
      <c r="J40" s="106">
        <f>SUMIF(TableauFfinale[N° remise chèque 2],'remises de cheques'!$A40,TableauFfinale[Montant chèque 2])</f>
        <v>0</v>
      </c>
      <c r="K40" s="106">
        <f>SUMIF(TableauFfinale[N° remise chèque 3],'remises de cheques'!$A40,TableauFfinale[Montant chèque 3])</f>
        <v>0</v>
      </c>
      <c r="L40" s="107">
        <f t="shared" si="0"/>
        <v>0</v>
      </c>
      <c r="Q40" s="159"/>
      <c r="R40" s="183"/>
    </row>
    <row r="41" spans="1:18" hidden="1" x14ac:dyDescent="0.3">
      <c r="A41" s="140">
        <v>5734074</v>
      </c>
      <c r="B41" s="105">
        <v>41934</v>
      </c>
      <c r="C41" s="106">
        <f>SUMIF(TableauFA1[N° remise chèque 1],'remises de cheques'!$A41,TableauFA1[Montant chèque 1])</f>
        <v>0</v>
      </c>
      <c r="D41" s="106">
        <f>SUMIF(TableauFA1[N° remise chèque 2],'remises de cheques'!$A41,TableauFA1[Montant chèque 2])</f>
        <v>0</v>
      </c>
      <c r="E41" s="106">
        <f>SUMIF(TableauFA1[N° remise chèque 3],'remises de cheques'!$A41,TableauFA1[Montant chèque 3])</f>
        <v>0</v>
      </c>
      <c r="F41" s="106">
        <f>SUMIF(TableauFA2[N° remise chèque 1],'remises de cheques'!$A41,TableauFA2[Montant chèque 1])</f>
        <v>0</v>
      </c>
      <c r="G41" s="106">
        <f>SUMIF(TableauFA2[N° remise chèque 2],'remises de cheques'!$A41,TableauFA2[Montant chèque 2])</f>
        <v>0</v>
      </c>
      <c r="H41" s="106">
        <f>SUMIF(TableauFA2[N° remise chèque 3],'remises de cheques'!$A41,TableauFA2[Montant chèque 3])</f>
        <v>0</v>
      </c>
      <c r="I41" s="106">
        <f>SUMIF(TableauFfinale[N° remise chèque 1],'remises de cheques'!$A41,TableauFfinale[Montant chèque 1])</f>
        <v>0</v>
      </c>
      <c r="J41" s="106">
        <f>SUMIF(TableauFfinale[N° remise chèque 2],'remises de cheques'!$A41,TableauFfinale[Montant chèque 2])</f>
        <v>0</v>
      </c>
      <c r="K41" s="106">
        <f>SUMIF(TableauFfinale[N° remise chèque 3],'remises de cheques'!$A41,TableauFfinale[Montant chèque 3])</f>
        <v>0</v>
      </c>
      <c r="L41" s="107">
        <f t="shared" si="0"/>
        <v>0</v>
      </c>
      <c r="Q41" s="159"/>
      <c r="R41" s="183"/>
    </row>
    <row r="42" spans="1:18" hidden="1" x14ac:dyDescent="0.3">
      <c r="A42" s="140">
        <v>5734075</v>
      </c>
      <c r="B42" s="105">
        <v>41934</v>
      </c>
      <c r="C42" s="106">
        <f>SUMIF(TableauFA1[N° remise chèque 1],'remises de cheques'!$A42,TableauFA1[Montant chèque 1])</f>
        <v>0</v>
      </c>
      <c r="D42" s="106">
        <f>SUMIF(TableauFA1[N° remise chèque 2],'remises de cheques'!$A42,TableauFA1[Montant chèque 2])</f>
        <v>0</v>
      </c>
      <c r="E42" s="106">
        <f>SUMIF(TableauFA1[N° remise chèque 3],'remises de cheques'!$A42,TableauFA1[Montant chèque 3])</f>
        <v>0</v>
      </c>
      <c r="F42" s="106">
        <f>SUMIF(TableauFA2[N° remise chèque 1],'remises de cheques'!$A42,TableauFA2[Montant chèque 1])</f>
        <v>0</v>
      </c>
      <c r="G42" s="106">
        <f>SUMIF(TableauFA2[N° remise chèque 2],'remises de cheques'!$A42,TableauFA2[Montant chèque 2])</f>
        <v>0</v>
      </c>
      <c r="H42" s="106">
        <f>SUMIF(TableauFA2[N° remise chèque 3],'remises de cheques'!$A42,TableauFA2[Montant chèque 3])</f>
        <v>0</v>
      </c>
      <c r="I42" s="106">
        <f>SUMIF(TableauFfinale[N° remise chèque 1],'remises de cheques'!$A42,TableauFfinale[Montant chèque 1])</f>
        <v>0</v>
      </c>
      <c r="J42" s="106">
        <f>SUMIF(TableauFfinale[N° remise chèque 2],'remises de cheques'!$A42,TableauFfinale[Montant chèque 2])</f>
        <v>0</v>
      </c>
      <c r="K42" s="106">
        <f>SUMIF(TableauFfinale[N° remise chèque 3],'remises de cheques'!$A42,TableauFfinale[Montant chèque 3])</f>
        <v>0</v>
      </c>
      <c r="L42" s="107">
        <f t="shared" si="0"/>
        <v>0</v>
      </c>
      <c r="Q42" s="159"/>
      <c r="R42" s="183"/>
    </row>
    <row r="43" spans="1:18" hidden="1" x14ac:dyDescent="0.3">
      <c r="A43" s="140">
        <v>5734076</v>
      </c>
      <c r="B43" s="105">
        <v>41950</v>
      </c>
      <c r="C43" s="106">
        <f>SUMIF(TableauFA1[N° remise chèque 1],'remises de cheques'!$A43,TableauFA1[Montant chèque 1])</f>
        <v>0</v>
      </c>
      <c r="D43" s="106">
        <f>SUMIF(TableauFA1[N° remise chèque 2],'remises de cheques'!$A43,TableauFA1[Montant chèque 2])</f>
        <v>0</v>
      </c>
      <c r="E43" s="106">
        <f>SUMIF(TableauFA1[N° remise chèque 3],'remises de cheques'!$A43,TableauFA1[Montant chèque 3])</f>
        <v>0</v>
      </c>
      <c r="F43" s="106">
        <f>SUMIF(TableauFA2[N° remise chèque 1],'remises de cheques'!$A43,TableauFA2[Montant chèque 1])</f>
        <v>0</v>
      </c>
      <c r="G43" s="106">
        <f>SUMIF(TableauFA2[N° remise chèque 2],'remises de cheques'!$A43,TableauFA2[Montant chèque 2])</f>
        <v>0</v>
      </c>
      <c r="H43" s="106">
        <f>SUMIF(TableauFA2[N° remise chèque 3],'remises de cheques'!$A43,TableauFA2[Montant chèque 3])</f>
        <v>0</v>
      </c>
      <c r="I43" s="106">
        <f>SUMIF(TableauFfinale[N° remise chèque 1],'remises de cheques'!$A43,TableauFfinale[Montant chèque 1])</f>
        <v>0</v>
      </c>
      <c r="J43" s="106">
        <f>SUMIF(TableauFfinale[N° remise chèque 2],'remises de cheques'!$A43,TableauFfinale[Montant chèque 2])</f>
        <v>0</v>
      </c>
      <c r="K43" s="106">
        <f>SUMIF(TableauFfinale[N° remise chèque 3],'remises de cheques'!$A43,TableauFfinale[Montant chèque 3])</f>
        <v>0</v>
      </c>
      <c r="L43" s="107">
        <f t="shared" si="0"/>
        <v>0</v>
      </c>
      <c r="Q43" s="159"/>
      <c r="R43" s="183"/>
    </row>
    <row r="44" spans="1:18" hidden="1" x14ac:dyDescent="0.3">
      <c r="A44" s="140">
        <v>5734077</v>
      </c>
      <c r="B44" s="105">
        <v>41970</v>
      </c>
      <c r="C44" s="106">
        <f>SUMIF(TableauFA1[N° remise chèque 1],'remises de cheques'!$A44,TableauFA1[Montant chèque 1])</f>
        <v>0</v>
      </c>
      <c r="D44" s="106">
        <f>SUMIF(TableauFA1[N° remise chèque 2],'remises de cheques'!$A44,TableauFA1[Montant chèque 2])</f>
        <v>0</v>
      </c>
      <c r="E44" s="106">
        <f>SUMIF(TableauFA1[N° remise chèque 3],'remises de cheques'!$A44,TableauFA1[Montant chèque 3])</f>
        <v>0</v>
      </c>
      <c r="F44" s="106">
        <f>SUMIF(TableauFA2[N° remise chèque 1],'remises de cheques'!$A44,TableauFA2[Montant chèque 1])</f>
        <v>0</v>
      </c>
      <c r="G44" s="106">
        <f>SUMIF(TableauFA2[N° remise chèque 2],'remises de cheques'!$A44,TableauFA2[Montant chèque 2])</f>
        <v>0</v>
      </c>
      <c r="H44" s="106">
        <f>SUMIF(TableauFA2[N° remise chèque 3],'remises de cheques'!$A44,TableauFA2[Montant chèque 3])</f>
        <v>0</v>
      </c>
      <c r="I44" s="106">
        <f>SUMIF(TableauFfinale[N° remise chèque 1],'remises de cheques'!$A44,TableauFfinale[Montant chèque 1])</f>
        <v>0</v>
      </c>
      <c r="J44" s="106">
        <f>SUMIF(TableauFfinale[N° remise chèque 2],'remises de cheques'!$A44,TableauFfinale[Montant chèque 2])</f>
        <v>0</v>
      </c>
      <c r="K44" s="106">
        <f>SUMIF(TableauFfinale[N° remise chèque 3],'remises de cheques'!$A44,TableauFfinale[Montant chèque 3])</f>
        <v>0</v>
      </c>
      <c r="L44" s="107">
        <f t="shared" si="0"/>
        <v>0</v>
      </c>
      <c r="Q44" s="159"/>
      <c r="R44" s="183"/>
    </row>
    <row r="45" spans="1:18" hidden="1" x14ac:dyDescent="0.3">
      <c r="A45" s="140">
        <v>5734078</v>
      </c>
      <c r="B45" s="105">
        <v>41970</v>
      </c>
      <c r="C45" s="106">
        <f>SUMIF(TableauFA1[N° remise chèque 1],'remises de cheques'!$A45,TableauFA1[Montant chèque 1])</f>
        <v>0</v>
      </c>
      <c r="D45" s="106">
        <f>SUMIF(TableauFA1[N° remise chèque 2],'remises de cheques'!$A45,TableauFA1[Montant chèque 2])</f>
        <v>0</v>
      </c>
      <c r="E45" s="106">
        <f>SUMIF(TableauFA1[N° remise chèque 3],'remises de cheques'!$A45,TableauFA1[Montant chèque 3])</f>
        <v>0</v>
      </c>
      <c r="F45" s="106">
        <f>SUMIF(TableauFA2[N° remise chèque 1],'remises de cheques'!$A45,TableauFA2[Montant chèque 1])</f>
        <v>0</v>
      </c>
      <c r="G45" s="106">
        <f>SUMIF(TableauFA2[N° remise chèque 2],'remises de cheques'!$A45,TableauFA2[Montant chèque 2])</f>
        <v>0</v>
      </c>
      <c r="H45" s="106">
        <f>SUMIF(TableauFA2[N° remise chèque 3],'remises de cheques'!$A45,TableauFA2[Montant chèque 3])</f>
        <v>0</v>
      </c>
      <c r="I45" s="106">
        <f>SUMIF(TableauFfinale[N° remise chèque 1],'remises de cheques'!$A45,TableauFfinale[Montant chèque 1])</f>
        <v>0</v>
      </c>
      <c r="J45" s="106">
        <f>SUMIF(TableauFfinale[N° remise chèque 2],'remises de cheques'!$A45,TableauFfinale[Montant chèque 2])</f>
        <v>0</v>
      </c>
      <c r="K45" s="106">
        <f>SUMIF(TableauFfinale[N° remise chèque 3],'remises de cheques'!$A45,TableauFfinale[Montant chèque 3])</f>
        <v>0</v>
      </c>
      <c r="L45" s="107">
        <f t="shared" si="0"/>
        <v>0</v>
      </c>
      <c r="Q45" s="159"/>
      <c r="R45" s="183"/>
    </row>
    <row r="46" spans="1:18" hidden="1" x14ac:dyDescent="0.3">
      <c r="A46" s="140">
        <v>5734079</v>
      </c>
      <c r="B46" s="108">
        <v>42090</v>
      </c>
      <c r="C46" s="106">
        <f>SUMIF(TableauFA1[N° remise chèque 1],'remises de cheques'!$A46,TableauFA1[Montant chèque 1])</f>
        <v>0</v>
      </c>
      <c r="D46" s="106">
        <f>SUMIF(TableauFA1[N° remise chèque 2],'remises de cheques'!$A46,TableauFA1[Montant chèque 2])</f>
        <v>0</v>
      </c>
      <c r="E46" s="106">
        <f>SUMIF(TableauFA1[N° remise chèque 3],'remises de cheques'!$A46,TableauFA1[Montant chèque 3])</f>
        <v>0</v>
      </c>
      <c r="F46" s="106">
        <f>SUMIF(TableauFA2[N° remise chèque 1],'remises de cheques'!$A46,TableauFA2[Montant chèque 1])</f>
        <v>0</v>
      </c>
      <c r="G46" s="106">
        <f>SUMIF(TableauFA2[N° remise chèque 2],'remises de cheques'!$A46,TableauFA2[Montant chèque 2])</f>
        <v>0</v>
      </c>
      <c r="H46" s="106">
        <f>SUMIF(TableauFA2[N° remise chèque 3],'remises de cheques'!$A46,TableauFA2[Montant chèque 3])</f>
        <v>0</v>
      </c>
      <c r="I46" s="106">
        <f>SUMIF(TableauFfinale[N° remise chèque 1],'remises de cheques'!$A46,TableauFfinale[Montant chèque 1])</f>
        <v>0</v>
      </c>
      <c r="J46" s="106">
        <f>SUMIF(TableauFfinale[N° remise chèque 2],'remises de cheques'!$A46,TableauFfinale[Montant chèque 2])</f>
        <v>0</v>
      </c>
      <c r="K46" s="106">
        <f>SUMIF(TableauFfinale[N° remise chèque 3],'remises de cheques'!$A46,TableauFfinale[Montant chèque 3])</f>
        <v>0</v>
      </c>
      <c r="L46" s="107">
        <f t="shared" si="0"/>
        <v>0</v>
      </c>
      <c r="Q46" s="159"/>
      <c r="R46" s="183"/>
    </row>
    <row r="47" spans="1:18" hidden="1" x14ac:dyDescent="0.3">
      <c r="A47" s="140">
        <v>5734080</v>
      </c>
      <c r="B47" s="105">
        <v>41996</v>
      </c>
      <c r="C47" s="106">
        <f>SUMIF(TableauFA1[N° remise chèque 1],'remises de cheques'!$A47,TableauFA1[Montant chèque 1])</f>
        <v>0</v>
      </c>
      <c r="D47" s="106">
        <f>SUMIF(TableauFA1[N° remise chèque 2],'remises de cheques'!$A47,TableauFA1[Montant chèque 2])</f>
        <v>0</v>
      </c>
      <c r="E47" s="106">
        <f>SUMIF(TableauFA1[N° remise chèque 3],'remises de cheques'!$A47,TableauFA1[Montant chèque 3])</f>
        <v>0</v>
      </c>
      <c r="F47" s="106">
        <f>SUMIF(TableauFA2[N° remise chèque 1],'remises de cheques'!$A47,TableauFA2[Montant chèque 1])</f>
        <v>0</v>
      </c>
      <c r="G47" s="106">
        <f>SUMIF(TableauFA2[N° remise chèque 2],'remises de cheques'!$A47,TableauFA2[Montant chèque 2])</f>
        <v>0</v>
      </c>
      <c r="H47" s="106">
        <f>SUMIF(TableauFA2[N° remise chèque 3],'remises de cheques'!$A47,TableauFA2[Montant chèque 3])</f>
        <v>0</v>
      </c>
      <c r="I47" s="106">
        <f>SUMIF(TableauFfinale[N° remise chèque 1],'remises de cheques'!$A47,TableauFfinale[Montant chèque 1])</f>
        <v>0</v>
      </c>
      <c r="J47" s="106">
        <f>SUMIF(TableauFfinale[N° remise chèque 2],'remises de cheques'!$A47,TableauFfinale[Montant chèque 2])</f>
        <v>0</v>
      </c>
      <c r="K47" s="106">
        <f>SUMIF(TableauFfinale[N° remise chèque 3],'remises de cheques'!$A47,TableauFfinale[Montant chèque 3])</f>
        <v>0</v>
      </c>
      <c r="L47" s="107">
        <f t="shared" si="0"/>
        <v>0</v>
      </c>
      <c r="Q47" s="159"/>
      <c r="R47" s="183"/>
    </row>
    <row r="48" spans="1:18" hidden="1" x14ac:dyDescent="0.3">
      <c r="A48" s="140">
        <v>5734081</v>
      </c>
      <c r="B48" s="108">
        <v>42020</v>
      </c>
      <c r="C48" s="106">
        <f>SUMIF(TableauFA1[N° remise chèque 1],'remises de cheques'!$A48,TableauFA1[Montant chèque 1])</f>
        <v>0</v>
      </c>
      <c r="D48" s="106">
        <f>SUMIF(TableauFA1[N° remise chèque 2],'remises de cheques'!$A48,TableauFA1[Montant chèque 2])</f>
        <v>0</v>
      </c>
      <c r="E48" s="106">
        <f>SUMIF(TableauFA1[N° remise chèque 3],'remises de cheques'!$A48,TableauFA1[Montant chèque 3])</f>
        <v>0</v>
      </c>
      <c r="F48" s="106">
        <f>SUMIF(TableauFA2[N° remise chèque 1],'remises de cheques'!$A48,TableauFA2[Montant chèque 1])</f>
        <v>0</v>
      </c>
      <c r="G48" s="106">
        <f>SUMIF(TableauFA2[N° remise chèque 2],'remises de cheques'!$A48,TableauFA2[Montant chèque 2])</f>
        <v>0</v>
      </c>
      <c r="H48" s="106">
        <f>SUMIF(TableauFA2[N° remise chèque 3],'remises de cheques'!$A48,TableauFA2[Montant chèque 3])</f>
        <v>0</v>
      </c>
      <c r="I48" s="106">
        <f>SUMIF(TableauFfinale[N° remise chèque 1],'remises de cheques'!$A48,TableauFfinale[Montant chèque 1])</f>
        <v>0</v>
      </c>
      <c r="J48" s="106">
        <f>SUMIF(TableauFfinale[N° remise chèque 2],'remises de cheques'!$A48,TableauFfinale[Montant chèque 2])</f>
        <v>0</v>
      </c>
      <c r="K48" s="106">
        <f>SUMIF(TableauFfinale[N° remise chèque 3],'remises de cheques'!$A48,TableauFfinale[Montant chèque 3])</f>
        <v>0</v>
      </c>
      <c r="L48" s="107">
        <f t="shared" si="0"/>
        <v>0</v>
      </c>
      <c r="Q48" s="159"/>
      <c r="R48" s="183"/>
    </row>
    <row r="49" spans="1:18" hidden="1" x14ac:dyDescent="0.3">
      <c r="A49" s="140">
        <v>5734082</v>
      </c>
      <c r="B49" s="108">
        <v>42020</v>
      </c>
      <c r="C49" s="106">
        <f>SUMIF(TableauFA1[N° remise chèque 1],'remises de cheques'!$A49,TableauFA1[Montant chèque 1])</f>
        <v>0</v>
      </c>
      <c r="D49" s="106">
        <f>SUMIF(TableauFA1[N° remise chèque 2],'remises de cheques'!$A49,TableauFA1[Montant chèque 2])</f>
        <v>0</v>
      </c>
      <c r="E49" s="106">
        <f>SUMIF(TableauFA1[N° remise chèque 3],'remises de cheques'!$A49,TableauFA1[Montant chèque 3])</f>
        <v>0</v>
      </c>
      <c r="F49" s="106">
        <f>SUMIF(TableauFA2[N° remise chèque 1],'remises de cheques'!$A49,TableauFA2[Montant chèque 1])</f>
        <v>0</v>
      </c>
      <c r="G49" s="106">
        <f>SUMIF(TableauFA2[N° remise chèque 2],'remises de cheques'!$A49,TableauFA2[Montant chèque 2])</f>
        <v>0</v>
      </c>
      <c r="H49" s="106">
        <f>SUMIF(TableauFA2[N° remise chèque 3],'remises de cheques'!$A49,TableauFA2[Montant chèque 3])</f>
        <v>0</v>
      </c>
      <c r="I49" s="106">
        <f>SUMIF(TableauFfinale[N° remise chèque 1],'remises de cheques'!$A49,TableauFfinale[Montant chèque 1])</f>
        <v>0</v>
      </c>
      <c r="J49" s="106">
        <f>SUMIF(TableauFfinale[N° remise chèque 2],'remises de cheques'!$A49,TableauFfinale[Montant chèque 2])</f>
        <v>0</v>
      </c>
      <c r="K49" s="106">
        <f>SUMIF(TableauFfinale[N° remise chèque 3],'remises de cheques'!$A49,TableauFfinale[Montant chèque 3])</f>
        <v>0</v>
      </c>
      <c r="L49" s="107">
        <f t="shared" si="0"/>
        <v>0</v>
      </c>
      <c r="Q49" s="159"/>
      <c r="R49" s="183"/>
    </row>
    <row r="50" spans="1:18" hidden="1" x14ac:dyDescent="0.3">
      <c r="A50" s="140">
        <v>5734083</v>
      </c>
      <c r="B50" s="108">
        <v>42020</v>
      </c>
      <c r="C50" s="106">
        <f>SUMIF(TableauFA1[N° remise chèque 1],'remises de cheques'!$A50,TableauFA1[Montant chèque 1])</f>
        <v>0</v>
      </c>
      <c r="D50" s="106">
        <f>SUMIF(TableauFA1[N° remise chèque 2],'remises de cheques'!$A50,TableauFA1[Montant chèque 2])</f>
        <v>0</v>
      </c>
      <c r="E50" s="106">
        <f>SUMIF(TableauFA1[N° remise chèque 3],'remises de cheques'!$A50,TableauFA1[Montant chèque 3])</f>
        <v>0</v>
      </c>
      <c r="F50" s="106">
        <f>SUMIF(TableauFA2[N° remise chèque 1],'remises de cheques'!$A50,TableauFA2[Montant chèque 1])</f>
        <v>0</v>
      </c>
      <c r="G50" s="106">
        <f>SUMIF(TableauFA2[N° remise chèque 2],'remises de cheques'!$A50,TableauFA2[Montant chèque 2])</f>
        <v>0</v>
      </c>
      <c r="H50" s="106">
        <f>SUMIF(TableauFA2[N° remise chèque 3],'remises de cheques'!$A50,TableauFA2[Montant chèque 3])</f>
        <v>0</v>
      </c>
      <c r="I50" s="106">
        <f>SUMIF(TableauFfinale[N° remise chèque 1],'remises de cheques'!$A50,TableauFfinale[Montant chèque 1])</f>
        <v>0</v>
      </c>
      <c r="J50" s="106">
        <f>SUMIF(TableauFfinale[N° remise chèque 2],'remises de cheques'!$A50,TableauFfinale[Montant chèque 2])</f>
        <v>0</v>
      </c>
      <c r="K50" s="106">
        <f>SUMIF(TableauFfinale[N° remise chèque 3],'remises de cheques'!$A50,TableauFfinale[Montant chèque 3])</f>
        <v>0</v>
      </c>
      <c r="L50" s="107">
        <f t="shared" si="0"/>
        <v>0</v>
      </c>
      <c r="Q50" s="159"/>
      <c r="R50" s="183"/>
    </row>
    <row r="51" spans="1:18" hidden="1" x14ac:dyDescent="0.3">
      <c r="A51" s="140">
        <v>5734084</v>
      </c>
      <c r="B51" s="108">
        <v>42025</v>
      </c>
      <c r="C51" s="106">
        <f>SUMIF(TableauFA1[N° remise chèque 1],'remises de cheques'!$A51,TableauFA1[Montant chèque 1])</f>
        <v>0</v>
      </c>
      <c r="D51" s="106">
        <f>SUMIF(TableauFA1[N° remise chèque 2],'remises de cheques'!$A51,TableauFA1[Montant chèque 2])</f>
        <v>0</v>
      </c>
      <c r="E51" s="106">
        <f>SUMIF(TableauFA1[N° remise chèque 3],'remises de cheques'!$A51,TableauFA1[Montant chèque 3])</f>
        <v>0</v>
      </c>
      <c r="F51" s="106">
        <f>SUMIF(TableauFA2[N° remise chèque 1],'remises de cheques'!$A51,TableauFA2[Montant chèque 1])</f>
        <v>0</v>
      </c>
      <c r="G51" s="106">
        <f>SUMIF(TableauFA2[N° remise chèque 2],'remises de cheques'!$A51,TableauFA2[Montant chèque 2])</f>
        <v>0</v>
      </c>
      <c r="H51" s="106">
        <f>SUMIF(TableauFA2[N° remise chèque 3],'remises de cheques'!$A51,TableauFA2[Montant chèque 3])</f>
        <v>0</v>
      </c>
      <c r="I51" s="106">
        <f>SUMIF(TableauFfinale[N° remise chèque 1],'remises de cheques'!$A51,TableauFfinale[Montant chèque 1])</f>
        <v>0</v>
      </c>
      <c r="J51" s="106">
        <f>SUMIF(TableauFfinale[N° remise chèque 2],'remises de cheques'!$A51,TableauFfinale[Montant chèque 2])</f>
        <v>0</v>
      </c>
      <c r="K51" s="106">
        <f>SUMIF(TableauFfinale[N° remise chèque 3],'remises de cheques'!$A51,TableauFfinale[Montant chèque 3])</f>
        <v>0</v>
      </c>
      <c r="L51" s="107">
        <f t="shared" si="0"/>
        <v>0</v>
      </c>
      <c r="Q51" s="159"/>
      <c r="R51" s="183"/>
    </row>
    <row r="52" spans="1:18" ht="33" hidden="1" x14ac:dyDescent="0.3">
      <c r="A52" s="140" t="s">
        <v>153</v>
      </c>
      <c r="B52" s="108">
        <v>42032</v>
      </c>
      <c r="C52" s="106">
        <f>SUMIF(TableauFA1[N° remise chèque 1],'remises de cheques'!$A52,TableauFA1[Montant chèque 1])</f>
        <v>0</v>
      </c>
      <c r="D52" s="106">
        <f>SUMIF(TableauFA1[N° remise chèque 2],'remises de cheques'!$A52,TableauFA1[Montant chèque 2])</f>
        <v>0</v>
      </c>
      <c r="E52" s="106">
        <f>SUMIF(TableauFA1[N° remise chèque 3],'remises de cheques'!$A52,TableauFA1[Montant chèque 3])</f>
        <v>0</v>
      </c>
      <c r="F52" s="106">
        <f>SUMIF(TableauFA2[N° remise chèque 1],'remises de cheques'!$A52,TableauFA2[Montant chèque 1])</f>
        <v>0</v>
      </c>
      <c r="G52" s="106">
        <f>SUMIF(TableauFA2[N° remise chèque 2],'remises de cheques'!$A52,TableauFA2[Montant chèque 2])</f>
        <v>0</v>
      </c>
      <c r="H52" s="106">
        <f>SUMIF(TableauFA2[N° remise chèque 3],'remises de cheques'!$A52,TableauFA2[Montant chèque 3])</f>
        <v>0</v>
      </c>
      <c r="I52" s="106">
        <f>SUMIF(TableauFfinale[N° remise chèque 1],'remises de cheques'!$A52,TableauFfinale[Montant chèque 1])</f>
        <v>0</v>
      </c>
      <c r="J52" s="106">
        <f>SUMIF(TableauFfinale[N° remise chèque 2],'remises de cheques'!$A52,TableauFfinale[Montant chèque 2])</f>
        <v>0</v>
      </c>
      <c r="K52" s="106">
        <f>SUMIF(TableauFfinale[N° remise chèque 3],'remises de cheques'!$A52,TableauFfinale[Montant chèque 3])</f>
        <v>0</v>
      </c>
      <c r="L52" s="107">
        <f t="shared" ref="L52" si="1">SUM(C52:K52)</f>
        <v>0</v>
      </c>
      <c r="Q52" s="159"/>
      <c r="R52" s="183"/>
    </row>
    <row r="53" spans="1:18" hidden="1" x14ac:dyDescent="0.3">
      <c r="A53" s="140">
        <v>5734085</v>
      </c>
      <c r="B53" s="108">
        <v>42033</v>
      </c>
      <c r="C53" s="106">
        <f>SUMIF(TableauFA1[N° remise chèque 1],'remises de cheques'!$A53,TableauFA1[Montant chèque 1])</f>
        <v>0</v>
      </c>
      <c r="D53" s="106">
        <f>SUMIF(TableauFA1[N° remise chèque 2],'remises de cheques'!$A53,TableauFA1[Montant chèque 2])</f>
        <v>0</v>
      </c>
      <c r="E53" s="106">
        <f>SUMIF(TableauFA1[N° remise chèque 3],'remises de cheques'!$A53,TableauFA1[Montant chèque 3])</f>
        <v>0</v>
      </c>
      <c r="F53" s="106">
        <f>SUMIF(TableauFA2[N° remise chèque 1],'remises de cheques'!$A53,TableauFA2[Montant chèque 1])</f>
        <v>0</v>
      </c>
      <c r="G53" s="106">
        <f>SUMIF(TableauFA2[N° remise chèque 2],'remises de cheques'!$A53,TableauFA2[Montant chèque 2])</f>
        <v>0</v>
      </c>
      <c r="H53" s="106">
        <f>SUMIF(TableauFA2[N° remise chèque 3],'remises de cheques'!$A53,TableauFA2[Montant chèque 3])</f>
        <v>0</v>
      </c>
      <c r="I53" s="106">
        <f>SUMIF(TableauFfinale[N° remise chèque 1],'remises de cheques'!$A53,TableauFfinale[Montant chèque 1])</f>
        <v>0</v>
      </c>
      <c r="J53" s="106">
        <f>SUMIF(TableauFfinale[N° remise chèque 2],'remises de cheques'!$A53,TableauFfinale[Montant chèque 2])</f>
        <v>0</v>
      </c>
      <c r="K53" s="106">
        <f>SUMIF(TableauFfinale[N° remise chèque 3],'remises de cheques'!$A53,TableauFfinale[Montant chèque 3])</f>
        <v>0</v>
      </c>
      <c r="L53" s="107">
        <f t="shared" si="0"/>
        <v>0</v>
      </c>
      <c r="Q53" s="159"/>
      <c r="R53" s="183"/>
    </row>
    <row r="54" spans="1:18" hidden="1" x14ac:dyDescent="0.3">
      <c r="A54" s="140">
        <v>5734086</v>
      </c>
      <c r="B54" s="108">
        <v>42033</v>
      </c>
      <c r="C54" s="106">
        <f>SUMIF(TableauFA1[N° remise chèque 1],'remises de cheques'!$A54,TableauFA1[Montant chèque 1])</f>
        <v>0</v>
      </c>
      <c r="D54" s="106">
        <f>SUMIF(TableauFA1[N° remise chèque 2],'remises de cheques'!$A54,TableauFA1[Montant chèque 2])</f>
        <v>0</v>
      </c>
      <c r="E54" s="106">
        <f>SUMIF(TableauFA1[N° remise chèque 3],'remises de cheques'!$A54,TableauFA1[Montant chèque 3])</f>
        <v>0</v>
      </c>
      <c r="F54" s="106">
        <f>SUMIF(TableauFA2[N° remise chèque 1],'remises de cheques'!$A54,TableauFA2[Montant chèque 1])</f>
        <v>0</v>
      </c>
      <c r="G54" s="106">
        <f>SUMIF(TableauFA2[N° remise chèque 2],'remises de cheques'!$A54,TableauFA2[Montant chèque 2])</f>
        <v>0</v>
      </c>
      <c r="H54" s="106">
        <f>SUMIF(TableauFA2[N° remise chèque 3],'remises de cheques'!$A54,TableauFA2[Montant chèque 3])</f>
        <v>0</v>
      </c>
      <c r="I54" s="106">
        <f>SUMIF(TableauFfinale[N° remise chèque 1],'remises de cheques'!$A54,TableauFfinale[Montant chèque 1])</f>
        <v>0</v>
      </c>
      <c r="J54" s="106">
        <f>SUMIF(TableauFfinale[N° remise chèque 2],'remises de cheques'!$A54,TableauFfinale[Montant chèque 2])</f>
        <v>0</v>
      </c>
      <c r="K54" s="106">
        <f>SUMIF(TableauFfinale[N° remise chèque 3],'remises de cheques'!$A54,TableauFfinale[Montant chèque 3])</f>
        <v>0</v>
      </c>
      <c r="L54" s="107">
        <f t="shared" si="0"/>
        <v>0</v>
      </c>
      <c r="Q54" s="159"/>
      <c r="R54" s="183"/>
    </row>
    <row r="55" spans="1:18" hidden="1" x14ac:dyDescent="0.3">
      <c r="A55" s="140">
        <v>5734087</v>
      </c>
      <c r="B55" s="108">
        <v>42046</v>
      </c>
      <c r="C55" s="106">
        <f>SUMIF(TableauFA1[N° remise chèque 1],'remises de cheques'!$A55,TableauFA1[Montant chèque 1])</f>
        <v>0</v>
      </c>
      <c r="D55" s="106">
        <f>SUMIF(TableauFA1[N° remise chèque 2],'remises de cheques'!$A55,TableauFA1[Montant chèque 2])</f>
        <v>0</v>
      </c>
      <c r="E55" s="106">
        <f>SUMIF(TableauFA1[N° remise chèque 3],'remises de cheques'!$A55,TableauFA1[Montant chèque 3])</f>
        <v>0</v>
      </c>
      <c r="F55" s="106">
        <f>SUMIF(TableauFA2[N° remise chèque 1],'remises de cheques'!$A55,TableauFA2[Montant chèque 1])</f>
        <v>0</v>
      </c>
      <c r="G55" s="106">
        <f>SUMIF(TableauFA2[N° remise chèque 2],'remises de cheques'!$A55,TableauFA2[Montant chèque 2])</f>
        <v>0</v>
      </c>
      <c r="H55" s="106">
        <f>SUMIF(TableauFA2[N° remise chèque 3],'remises de cheques'!$A55,TableauFA2[Montant chèque 3])</f>
        <v>0</v>
      </c>
      <c r="I55" s="106">
        <f>SUMIF(TableauFfinale[N° remise chèque 1],'remises de cheques'!$A55,TableauFfinale[Montant chèque 1])</f>
        <v>0</v>
      </c>
      <c r="J55" s="106">
        <f>SUMIF(TableauFfinale[N° remise chèque 2],'remises de cheques'!$A55,TableauFfinale[Montant chèque 2])</f>
        <v>0</v>
      </c>
      <c r="K55" s="106">
        <f>SUMIF(TableauFfinale[N° remise chèque 3],'remises de cheques'!$A55,TableauFfinale[Montant chèque 3])</f>
        <v>0</v>
      </c>
      <c r="L55" s="107">
        <f t="shared" si="0"/>
        <v>0</v>
      </c>
      <c r="Q55" s="159"/>
      <c r="R55" s="183"/>
    </row>
    <row r="56" spans="1:18" hidden="1" x14ac:dyDescent="0.3">
      <c r="A56" s="140">
        <v>5734088</v>
      </c>
      <c r="B56" s="108">
        <v>42048</v>
      </c>
      <c r="C56" s="106">
        <f>SUMIF(TableauFA1[N° remise chèque 1],'remises de cheques'!$A56,TableauFA1[Montant chèque 1])</f>
        <v>0</v>
      </c>
      <c r="D56" s="106">
        <f>SUMIF(TableauFA1[N° remise chèque 2],'remises de cheques'!$A56,TableauFA1[Montant chèque 2])</f>
        <v>0</v>
      </c>
      <c r="E56" s="106">
        <f>SUMIF(TableauFA1[N° remise chèque 3],'remises de cheques'!$A56,TableauFA1[Montant chèque 3])</f>
        <v>0</v>
      </c>
      <c r="F56" s="106">
        <f>SUMIF(TableauFA2[N° remise chèque 1],'remises de cheques'!$A56,TableauFA2[Montant chèque 1])</f>
        <v>0</v>
      </c>
      <c r="G56" s="106">
        <f>SUMIF(TableauFA2[N° remise chèque 2],'remises de cheques'!$A56,TableauFA2[Montant chèque 2])</f>
        <v>0</v>
      </c>
      <c r="H56" s="106">
        <f>SUMIF(TableauFA2[N° remise chèque 3],'remises de cheques'!$A56,TableauFA2[Montant chèque 3])</f>
        <v>0</v>
      </c>
      <c r="I56" s="106">
        <f>SUMIF(TableauFfinale[N° remise chèque 1],'remises de cheques'!$A56,TableauFfinale[Montant chèque 1])</f>
        <v>0</v>
      </c>
      <c r="J56" s="106">
        <f>SUMIF(TableauFfinale[N° remise chèque 2],'remises de cheques'!$A56,TableauFfinale[Montant chèque 2])</f>
        <v>0</v>
      </c>
      <c r="K56" s="106">
        <f>SUMIF(TableauFfinale[N° remise chèque 3],'remises de cheques'!$A56,TableauFfinale[Montant chèque 3])</f>
        <v>0</v>
      </c>
      <c r="L56" s="107">
        <f t="shared" si="0"/>
        <v>0</v>
      </c>
      <c r="Q56" s="159"/>
      <c r="R56" s="183"/>
    </row>
    <row r="57" spans="1:18" hidden="1" x14ac:dyDescent="0.3">
      <c r="A57" s="140">
        <v>5734089</v>
      </c>
      <c r="B57" s="108">
        <v>42058</v>
      </c>
      <c r="C57" s="106">
        <f>SUMIF(TableauFA1[N° remise chèque 1],'remises de cheques'!$A57,TableauFA1[Montant chèque 1])</f>
        <v>0</v>
      </c>
      <c r="D57" s="106">
        <f>SUMIF(TableauFA1[N° remise chèque 2],'remises de cheques'!$A57,TableauFA1[Montant chèque 2])</f>
        <v>0</v>
      </c>
      <c r="E57" s="106">
        <f>SUMIF(TableauFA1[N° remise chèque 3],'remises de cheques'!$A57,TableauFA1[Montant chèque 3])</f>
        <v>0</v>
      </c>
      <c r="F57" s="106">
        <f>SUMIF(TableauFA2[N° remise chèque 1],'remises de cheques'!$A57,TableauFA2[Montant chèque 1])</f>
        <v>0</v>
      </c>
      <c r="G57" s="106">
        <f>SUMIF(TableauFA2[N° remise chèque 2],'remises de cheques'!$A57,TableauFA2[Montant chèque 2])</f>
        <v>0</v>
      </c>
      <c r="H57" s="106">
        <f>SUMIF(TableauFA2[N° remise chèque 3],'remises de cheques'!$A57,TableauFA2[Montant chèque 3])</f>
        <v>0</v>
      </c>
      <c r="I57" s="106">
        <f>SUMIF(TableauFfinale[N° remise chèque 1],'remises de cheques'!$A57,TableauFfinale[Montant chèque 1])</f>
        <v>0</v>
      </c>
      <c r="J57" s="106">
        <f>SUMIF(TableauFfinale[N° remise chèque 2],'remises de cheques'!$A57,TableauFfinale[Montant chèque 2])</f>
        <v>0</v>
      </c>
      <c r="K57" s="106">
        <f>SUMIF(TableauFfinale[N° remise chèque 3],'remises de cheques'!$A57,TableauFfinale[Montant chèque 3])</f>
        <v>0</v>
      </c>
      <c r="L57" s="107">
        <f t="shared" si="0"/>
        <v>0</v>
      </c>
      <c r="Q57" s="159"/>
      <c r="R57" s="183"/>
    </row>
    <row r="58" spans="1:18" hidden="1" x14ac:dyDescent="0.3">
      <c r="A58" s="140">
        <v>5734090</v>
      </c>
      <c r="B58" s="108">
        <v>42058</v>
      </c>
      <c r="C58" s="106">
        <f>SUMIF(TableauFA1[N° remise chèque 1],'remises de cheques'!$A58,TableauFA1[Montant chèque 1])</f>
        <v>0</v>
      </c>
      <c r="D58" s="106">
        <f>SUMIF(TableauFA1[N° remise chèque 2],'remises de cheques'!$A58,TableauFA1[Montant chèque 2])</f>
        <v>0</v>
      </c>
      <c r="E58" s="106">
        <f>SUMIF(TableauFA1[N° remise chèque 3],'remises de cheques'!$A58,TableauFA1[Montant chèque 3])</f>
        <v>0</v>
      </c>
      <c r="F58" s="106">
        <f>SUMIF(TableauFA2[N° remise chèque 1],'remises de cheques'!$A58,TableauFA2[Montant chèque 1])</f>
        <v>0</v>
      </c>
      <c r="G58" s="106">
        <f>SUMIF(TableauFA2[N° remise chèque 2],'remises de cheques'!$A58,TableauFA2[Montant chèque 2])</f>
        <v>0</v>
      </c>
      <c r="H58" s="106">
        <f>SUMIF(TableauFA2[N° remise chèque 3],'remises de cheques'!$A58,TableauFA2[Montant chèque 3])</f>
        <v>0</v>
      </c>
      <c r="I58" s="106">
        <f>SUMIF(TableauFfinale[N° remise chèque 1],'remises de cheques'!$A58,TableauFfinale[Montant chèque 1])</f>
        <v>0</v>
      </c>
      <c r="J58" s="106">
        <f>SUMIF(TableauFfinale[N° remise chèque 2],'remises de cheques'!$A58,TableauFfinale[Montant chèque 2])</f>
        <v>0</v>
      </c>
      <c r="K58" s="106">
        <f>SUMIF(TableauFfinale[N° remise chèque 3],'remises de cheques'!$A58,TableauFfinale[Montant chèque 3])</f>
        <v>0</v>
      </c>
      <c r="L58" s="107">
        <f t="shared" si="0"/>
        <v>0</v>
      </c>
      <c r="Q58" s="159"/>
      <c r="R58" s="183"/>
    </row>
    <row r="59" spans="1:18" hidden="1" x14ac:dyDescent="0.3">
      <c r="A59" s="140">
        <v>5734091</v>
      </c>
      <c r="B59" s="108">
        <v>42059</v>
      </c>
      <c r="C59" s="106">
        <f>SUMIF(TableauFA1[N° remise chèque 1],'remises de cheques'!$A59,TableauFA1[Montant chèque 1])</f>
        <v>0</v>
      </c>
      <c r="D59" s="106">
        <f>SUMIF(TableauFA1[N° remise chèque 2],'remises de cheques'!$A59,TableauFA1[Montant chèque 2])</f>
        <v>0</v>
      </c>
      <c r="E59" s="106">
        <f>SUMIF(TableauFA1[N° remise chèque 3],'remises de cheques'!$A59,TableauFA1[Montant chèque 3])</f>
        <v>0</v>
      </c>
      <c r="F59" s="106">
        <f>SUMIF(TableauFA2[N° remise chèque 1],'remises de cheques'!$A59,TableauFA2[Montant chèque 1])</f>
        <v>0</v>
      </c>
      <c r="G59" s="106">
        <f>SUMIF(TableauFA2[N° remise chèque 2],'remises de cheques'!$A59,TableauFA2[Montant chèque 2])</f>
        <v>0</v>
      </c>
      <c r="H59" s="106">
        <f>SUMIF(TableauFA2[N° remise chèque 3],'remises de cheques'!$A59,TableauFA2[Montant chèque 3])</f>
        <v>0</v>
      </c>
      <c r="I59" s="106">
        <f>SUMIF(TableauFfinale[N° remise chèque 1],'remises de cheques'!$A59,TableauFfinale[Montant chèque 1])</f>
        <v>0</v>
      </c>
      <c r="J59" s="106">
        <f>SUMIF(TableauFfinale[N° remise chèque 2],'remises de cheques'!$A59,TableauFfinale[Montant chèque 2])</f>
        <v>0</v>
      </c>
      <c r="K59" s="106">
        <f>SUMIF(TableauFfinale[N° remise chèque 3],'remises de cheques'!$A59,TableauFfinale[Montant chèque 3])</f>
        <v>0</v>
      </c>
      <c r="L59" s="107">
        <f t="shared" si="0"/>
        <v>0</v>
      </c>
      <c r="Q59" s="159"/>
      <c r="R59" s="183"/>
    </row>
    <row r="60" spans="1:18" hidden="1" x14ac:dyDescent="0.3">
      <c r="A60" s="140">
        <v>5734092</v>
      </c>
      <c r="B60" s="108">
        <v>42076</v>
      </c>
      <c r="C60" s="106">
        <f>SUMIF(TableauFA1[N° remise chèque 1],'remises de cheques'!$A60,TableauFA1[Montant chèque 1])</f>
        <v>0</v>
      </c>
      <c r="D60" s="106">
        <f>SUMIF(TableauFA1[N° remise chèque 2],'remises de cheques'!$A60,TableauFA1[Montant chèque 2])</f>
        <v>0</v>
      </c>
      <c r="E60" s="106">
        <f>SUMIF(TableauFA1[N° remise chèque 3],'remises de cheques'!$A60,TableauFA1[Montant chèque 3])</f>
        <v>0</v>
      </c>
      <c r="F60" s="106">
        <f>SUMIF(TableauFA2[N° remise chèque 1],'remises de cheques'!$A60,TableauFA2[Montant chèque 1])</f>
        <v>0</v>
      </c>
      <c r="G60" s="106">
        <f>SUMIF(TableauFA2[N° remise chèque 2],'remises de cheques'!$A60,TableauFA2[Montant chèque 2])</f>
        <v>0</v>
      </c>
      <c r="H60" s="106">
        <f>SUMIF(TableauFA2[N° remise chèque 3],'remises de cheques'!$A60,TableauFA2[Montant chèque 3])</f>
        <v>0</v>
      </c>
      <c r="I60" s="106">
        <f>SUMIF(TableauFfinale[N° remise chèque 1],'remises de cheques'!$A60,TableauFfinale[Montant chèque 1])</f>
        <v>0</v>
      </c>
      <c r="J60" s="106">
        <f>SUMIF(TableauFfinale[N° remise chèque 2],'remises de cheques'!$A60,TableauFfinale[Montant chèque 2])</f>
        <v>0</v>
      </c>
      <c r="K60" s="106">
        <f>SUMIF(TableauFfinale[N° remise chèque 3],'remises de cheques'!$A60,TableauFfinale[Montant chèque 3])</f>
        <v>0</v>
      </c>
      <c r="L60" s="107">
        <f t="shared" si="0"/>
        <v>0</v>
      </c>
      <c r="Q60" s="159"/>
      <c r="R60" s="183"/>
    </row>
    <row r="61" spans="1:18" hidden="1" x14ac:dyDescent="0.3">
      <c r="A61" s="140">
        <v>5734093</v>
      </c>
      <c r="B61" s="108">
        <v>42090</v>
      </c>
      <c r="C61" s="106">
        <f>SUMIF(TableauFA1[N° remise chèque 1],'remises de cheques'!$A61,TableauFA1[Montant chèque 1])</f>
        <v>0</v>
      </c>
      <c r="D61" s="106">
        <f>SUMIF(TableauFA1[N° remise chèque 2],'remises de cheques'!$A61,TableauFA1[Montant chèque 2])</f>
        <v>0</v>
      </c>
      <c r="E61" s="106">
        <f>SUMIF(TableauFA1[N° remise chèque 3],'remises de cheques'!$A61,TableauFA1[Montant chèque 3])</f>
        <v>0</v>
      </c>
      <c r="F61" s="106">
        <f>SUMIF(TableauFA2[N° remise chèque 1],'remises de cheques'!$A61,TableauFA2[Montant chèque 1])</f>
        <v>0</v>
      </c>
      <c r="G61" s="106">
        <f>SUMIF(TableauFA2[N° remise chèque 2],'remises de cheques'!$A61,TableauFA2[Montant chèque 2])</f>
        <v>0</v>
      </c>
      <c r="H61" s="106">
        <f>SUMIF(TableauFA2[N° remise chèque 3],'remises de cheques'!$A61,TableauFA2[Montant chèque 3])</f>
        <v>0</v>
      </c>
      <c r="I61" s="106">
        <f>SUMIF(TableauFfinale[N° remise chèque 1],'remises de cheques'!$A61,TableauFfinale[Montant chèque 1])</f>
        <v>0</v>
      </c>
      <c r="J61" s="106">
        <f>SUMIF(TableauFfinale[N° remise chèque 2],'remises de cheques'!$A61,TableauFfinale[Montant chèque 2])</f>
        <v>0</v>
      </c>
      <c r="K61" s="106">
        <f>SUMIF(TableauFfinale[N° remise chèque 3],'remises de cheques'!$A61,TableauFfinale[Montant chèque 3])</f>
        <v>0</v>
      </c>
      <c r="L61" s="107">
        <f t="shared" si="0"/>
        <v>0</v>
      </c>
      <c r="Q61" s="159"/>
      <c r="R61" s="183"/>
    </row>
    <row r="62" spans="1:18" hidden="1" x14ac:dyDescent="0.3">
      <c r="A62" s="140">
        <v>5734094</v>
      </c>
      <c r="B62" s="108">
        <v>42090</v>
      </c>
      <c r="C62" s="106">
        <f>SUMIF(TableauFA1[N° remise chèque 1],'remises de cheques'!$A62,TableauFA1[Montant chèque 1])</f>
        <v>0</v>
      </c>
      <c r="D62" s="106">
        <f>SUMIF(TableauFA1[N° remise chèque 2],'remises de cheques'!$A62,TableauFA1[Montant chèque 2])</f>
        <v>0</v>
      </c>
      <c r="E62" s="106">
        <f>SUMIF(TableauFA1[N° remise chèque 3],'remises de cheques'!$A62,TableauFA1[Montant chèque 3])</f>
        <v>0</v>
      </c>
      <c r="F62" s="106">
        <f>SUMIF(TableauFA2[N° remise chèque 1],'remises de cheques'!$A62,TableauFA2[Montant chèque 1])</f>
        <v>0</v>
      </c>
      <c r="G62" s="106">
        <f>SUMIF(TableauFA2[N° remise chèque 2],'remises de cheques'!$A62,TableauFA2[Montant chèque 2])</f>
        <v>0</v>
      </c>
      <c r="H62" s="106">
        <f>SUMIF(TableauFA2[N° remise chèque 3],'remises de cheques'!$A62,TableauFA2[Montant chèque 3])</f>
        <v>0</v>
      </c>
      <c r="I62" s="106">
        <f>SUMIF(TableauFfinale[N° remise chèque 1],'remises de cheques'!$A62,TableauFfinale[Montant chèque 1])</f>
        <v>0</v>
      </c>
      <c r="J62" s="106">
        <f>SUMIF(TableauFfinale[N° remise chèque 2],'remises de cheques'!$A62,TableauFfinale[Montant chèque 2])</f>
        <v>0</v>
      </c>
      <c r="K62" s="106">
        <f>SUMIF(TableauFfinale[N° remise chèque 3],'remises de cheques'!$A62,TableauFfinale[Montant chèque 3])</f>
        <v>0</v>
      </c>
      <c r="L62" s="107">
        <f t="shared" si="0"/>
        <v>0</v>
      </c>
      <c r="Q62" s="159"/>
      <c r="R62" s="183"/>
    </row>
    <row r="63" spans="1:18" hidden="1" x14ac:dyDescent="0.3">
      <c r="A63" s="140">
        <v>542271</v>
      </c>
      <c r="B63" s="108">
        <v>42129</v>
      </c>
      <c r="C63" s="106">
        <f>SUMIF(TableauFA1[N° remise chèque 1],'remises de cheques'!$A63,TableauFA1[Montant chèque 1])</f>
        <v>0</v>
      </c>
      <c r="D63" s="106">
        <f>SUMIF(TableauFA1[N° remise chèque 2],'remises de cheques'!$A63,TableauFA1[Montant chèque 2])</f>
        <v>0</v>
      </c>
      <c r="E63" s="106">
        <f>SUMIF(TableauFA1[N° remise chèque 3],'remises de cheques'!$A63,TableauFA1[Montant chèque 3])</f>
        <v>0</v>
      </c>
      <c r="F63" s="106">
        <f>SUMIF(TableauFA2[N° remise chèque 1],'remises de cheques'!$A63,TableauFA2[Montant chèque 1])</f>
        <v>0</v>
      </c>
      <c r="G63" s="106">
        <f>SUMIF(TableauFA2[N° remise chèque 2],'remises de cheques'!$A63,TableauFA2[Montant chèque 2])</f>
        <v>0</v>
      </c>
      <c r="H63" s="106">
        <f>SUMIF(TableauFA2[N° remise chèque 3],'remises de cheques'!$A63,TableauFA2[Montant chèque 3])</f>
        <v>0</v>
      </c>
      <c r="I63" s="106">
        <f>SUMIF(TableauFfinale[N° remise chèque 1],'remises de cheques'!$A63,TableauFfinale[Montant chèque 1])</f>
        <v>0</v>
      </c>
      <c r="J63" s="106">
        <f>SUMIF(TableauFfinale[N° remise chèque 2],'remises de cheques'!$A63,TableauFfinale[Montant chèque 2])</f>
        <v>0</v>
      </c>
      <c r="K63" s="106">
        <f>SUMIF(TableauFfinale[N° remise chèque 3],'remises de cheques'!$A63,TableauFfinale[Montant chèque 3])</f>
        <v>0</v>
      </c>
      <c r="L63" s="107">
        <f t="shared" si="0"/>
        <v>0</v>
      </c>
      <c r="Q63" s="159"/>
      <c r="R63" s="183"/>
    </row>
    <row r="64" spans="1:18" hidden="1" x14ac:dyDescent="0.3">
      <c r="A64" s="140">
        <v>542272</v>
      </c>
      <c r="B64" s="108">
        <v>42131</v>
      </c>
      <c r="C64" s="106">
        <f>SUMIF(TableauFA1[N° remise chèque 1],'remises de cheques'!$A64,TableauFA1[Montant chèque 1])</f>
        <v>0</v>
      </c>
      <c r="D64" s="106">
        <f>SUMIF(TableauFA1[N° remise chèque 2],'remises de cheques'!$A64,TableauFA1[Montant chèque 2])</f>
        <v>0</v>
      </c>
      <c r="E64" s="106">
        <f>SUMIF(TableauFA1[N° remise chèque 3],'remises de cheques'!$A64,TableauFA1[Montant chèque 3])</f>
        <v>0</v>
      </c>
      <c r="F64" s="106">
        <f>SUMIF(TableauFA2[N° remise chèque 1],'remises de cheques'!$A64,TableauFA2[Montant chèque 1])</f>
        <v>0</v>
      </c>
      <c r="G64" s="106">
        <f>SUMIF(TableauFA2[N° remise chèque 2],'remises de cheques'!$A64,TableauFA2[Montant chèque 2])</f>
        <v>0</v>
      </c>
      <c r="H64" s="106">
        <f>SUMIF(TableauFA2[N° remise chèque 3],'remises de cheques'!$A64,TableauFA2[Montant chèque 3])</f>
        <v>0</v>
      </c>
      <c r="I64" s="106">
        <f>SUMIF(TableauFfinale[N° remise chèque 1],'remises de cheques'!$A64,TableauFfinale[Montant chèque 1])</f>
        <v>0</v>
      </c>
      <c r="J64" s="106">
        <f>SUMIF(TableauFfinale[N° remise chèque 2],'remises de cheques'!$A64,TableauFfinale[Montant chèque 2])</f>
        <v>0</v>
      </c>
      <c r="K64" s="106">
        <f>SUMIF(TableauFfinale[N° remise chèque 3],'remises de cheques'!$A64,TableauFfinale[Montant chèque 3])</f>
        <v>0</v>
      </c>
      <c r="L64" s="107">
        <f t="shared" si="0"/>
        <v>0</v>
      </c>
      <c r="Q64" s="159"/>
      <c r="R64" s="183"/>
    </row>
    <row r="65" spans="1:18" hidden="1" x14ac:dyDescent="0.3">
      <c r="A65" s="140">
        <v>542273</v>
      </c>
      <c r="B65" s="108">
        <v>42131</v>
      </c>
      <c r="C65" s="106">
        <f>SUMIF(TableauFA1[N° remise chèque 1],'remises de cheques'!$A65,TableauFA1[Montant chèque 1])</f>
        <v>0</v>
      </c>
      <c r="D65" s="106">
        <f>SUMIF(TableauFA1[N° remise chèque 2],'remises de cheques'!$A65,TableauFA1[Montant chèque 2])</f>
        <v>0</v>
      </c>
      <c r="E65" s="106">
        <f>SUMIF(TableauFA1[N° remise chèque 3],'remises de cheques'!$A65,TableauFA1[Montant chèque 3])</f>
        <v>0</v>
      </c>
      <c r="F65" s="106">
        <f>SUMIF(TableauFA2[N° remise chèque 1],'remises de cheques'!$A65,TableauFA2[Montant chèque 1])</f>
        <v>0</v>
      </c>
      <c r="G65" s="106">
        <f>SUMIF(TableauFA2[N° remise chèque 2],'remises de cheques'!$A65,TableauFA2[Montant chèque 2])</f>
        <v>0</v>
      </c>
      <c r="H65" s="106">
        <f>SUMIF(TableauFA2[N° remise chèque 3],'remises de cheques'!$A65,TableauFA2[Montant chèque 3])</f>
        <v>0</v>
      </c>
      <c r="I65" s="106">
        <f>SUMIF(TableauFfinale[N° remise chèque 1],'remises de cheques'!$A65,TableauFfinale[Montant chèque 1])</f>
        <v>0</v>
      </c>
      <c r="J65" s="106">
        <f>SUMIF(TableauFfinale[N° remise chèque 2],'remises de cheques'!$A65,TableauFfinale[Montant chèque 2])</f>
        <v>0</v>
      </c>
      <c r="K65" s="106">
        <f>SUMIF(TableauFfinale[N° remise chèque 3],'remises de cheques'!$A65,TableauFfinale[Montant chèque 3])</f>
        <v>0</v>
      </c>
      <c r="L65" s="107">
        <f t="shared" si="0"/>
        <v>0</v>
      </c>
      <c r="Q65" s="159"/>
      <c r="R65" s="183"/>
    </row>
    <row r="66" spans="1:18" hidden="1" x14ac:dyDescent="0.3">
      <c r="A66" s="140">
        <v>542274</v>
      </c>
      <c r="B66" s="108">
        <v>42164</v>
      </c>
      <c r="C66" s="106">
        <f>SUMIF(TableauFA1[N° remise chèque 1],'remises de cheques'!$A66,TableauFA1[Montant chèque 1])</f>
        <v>0</v>
      </c>
      <c r="D66" s="106">
        <f>SUMIF(TableauFA1[N° remise chèque 2],'remises de cheques'!$A66,TableauFA1[Montant chèque 2])</f>
        <v>0</v>
      </c>
      <c r="E66" s="106">
        <f>SUMIF(TableauFA1[N° remise chèque 3],'remises de cheques'!$A66,TableauFA1[Montant chèque 3])</f>
        <v>0</v>
      </c>
      <c r="F66" s="106">
        <f>SUMIF(TableauFA2[N° remise chèque 1],'remises de cheques'!$A66,TableauFA2[Montant chèque 1])</f>
        <v>0</v>
      </c>
      <c r="G66" s="106">
        <f>SUMIF(TableauFA2[N° remise chèque 2],'remises de cheques'!$A66,TableauFA2[Montant chèque 2])</f>
        <v>0</v>
      </c>
      <c r="H66" s="106">
        <f>SUMIF(TableauFA2[N° remise chèque 3],'remises de cheques'!$A66,TableauFA2[Montant chèque 3])</f>
        <v>0</v>
      </c>
      <c r="I66" s="106">
        <f>SUMIF(TableauFfinale[N° remise chèque 1],'remises de cheques'!$A66,TableauFfinale[Montant chèque 1])</f>
        <v>0</v>
      </c>
      <c r="J66" s="106">
        <f>SUMIF(TableauFfinale[N° remise chèque 2],'remises de cheques'!$A66,TableauFfinale[Montant chèque 2])</f>
        <v>0</v>
      </c>
      <c r="K66" s="106">
        <f>SUMIF(TableauFfinale[N° remise chèque 3],'remises de cheques'!$A66,TableauFfinale[Montant chèque 3])</f>
        <v>0</v>
      </c>
      <c r="L66" s="107">
        <f t="shared" si="0"/>
        <v>0</v>
      </c>
      <c r="Q66" s="159"/>
      <c r="R66" s="183"/>
    </row>
    <row r="67" spans="1:18" ht="22.5" hidden="1" x14ac:dyDescent="0.3">
      <c r="A67" s="140">
        <v>542275</v>
      </c>
      <c r="B67" s="108">
        <v>42289</v>
      </c>
      <c r="C67" s="106">
        <f>SUMIF(TableauFA1[N° remise chèque 1],'remises de cheques'!$A67,TableauFA1[Montant chèque 1])</f>
        <v>0</v>
      </c>
      <c r="D67" s="106">
        <f>SUMIF(TableauFA1[N° remise chèque 2],'remises de cheques'!$A67,TableauFA1[Montant chèque 2])</f>
        <v>0</v>
      </c>
      <c r="E67" s="106">
        <f>SUMIF(TableauFA1[N° remise chèque 3],'remises de cheques'!$A67,TableauFA1[Montant chèque 3])</f>
        <v>0</v>
      </c>
      <c r="F67" s="106">
        <f>SUMIF(TableauFA2[N° remise chèque 1],'remises de cheques'!$A67,TableauFA2[Montant chèque 1])</f>
        <v>0</v>
      </c>
      <c r="G67" s="106">
        <f>SUMIF(TableauFA2[N° remise chèque 2],'remises de cheques'!$A67,TableauFA2[Montant chèque 2])</f>
        <v>0</v>
      </c>
      <c r="H67" s="106">
        <f>SUMIF(TableauFA2[N° remise chèque 3],'remises de cheques'!$A67,TableauFA2[Montant chèque 3])</f>
        <v>0</v>
      </c>
      <c r="I67" s="106">
        <f>SUMIF(TableauFfinale[N° remise chèque 1],'remises de cheques'!$A67,TableauFfinale[Montant chèque 1])</f>
        <v>0</v>
      </c>
      <c r="J67" s="106">
        <f>SUMIF(TableauFfinale[N° remise chèque 2],'remises de cheques'!$A67,TableauFfinale[Montant chèque 2])</f>
        <v>0</v>
      </c>
      <c r="K67" s="106">
        <f>SUMIF(TableauFfinale[N° remise chèque 3],'remises de cheques'!$A67,TableauFfinale[Montant chèque 3])</f>
        <v>0</v>
      </c>
      <c r="L67" s="107">
        <f t="shared" si="0"/>
        <v>0</v>
      </c>
      <c r="N67" s="109" t="s">
        <v>121</v>
      </c>
      <c r="O67" s="145" t="s">
        <v>121</v>
      </c>
      <c r="P67" s="110" t="s">
        <v>122</v>
      </c>
      <c r="Q67" s="160"/>
      <c r="R67" s="184">
        <v>4974.7700000000004</v>
      </c>
    </row>
    <row r="68" spans="1:18" hidden="1" x14ac:dyDescent="0.3">
      <c r="A68" s="140">
        <v>542276</v>
      </c>
      <c r="B68" s="108">
        <v>42164</v>
      </c>
      <c r="C68" s="106">
        <f>SUMIF(TableauFA1[N° remise chèque 1],'remises de cheques'!$A68,TableauFA1[Montant chèque 1])</f>
        <v>0</v>
      </c>
      <c r="D68" s="106">
        <f>SUMIF(TableauFA1[N° remise chèque 2],'remises de cheques'!$A68,TableauFA1[Montant chèque 2])</f>
        <v>0</v>
      </c>
      <c r="E68" s="106">
        <f>SUMIF(TableauFA1[N° remise chèque 3],'remises de cheques'!$A68,TableauFA1[Montant chèque 3])</f>
        <v>0</v>
      </c>
      <c r="F68" s="106">
        <f>SUMIF(TableauFA2[N° remise chèque 1],'remises de cheques'!$A68,TableauFA2[Montant chèque 1])</f>
        <v>0</v>
      </c>
      <c r="G68" s="106">
        <f>SUMIF(TableauFA2[N° remise chèque 2],'remises de cheques'!$A68,TableauFA2[Montant chèque 2])</f>
        <v>0</v>
      </c>
      <c r="H68" s="106">
        <f>SUMIF(TableauFA2[N° remise chèque 3],'remises de cheques'!$A68,TableauFA2[Montant chèque 3])</f>
        <v>0</v>
      </c>
      <c r="I68" s="106">
        <f>SUMIF(TableauFfinale[N° remise chèque 1],'remises de cheques'!$A68,TableauFfinale[Montant chèque 1])</f>
        <v>0</v>
      </c>
      <c r="J68" s="106">
        <f>SUMIF(TableauFfinale[N° remise chèque 2],'remises de cheques'!$A68,TableauFfinale[Montant chèque 2])</f>
        <v>0</v>
      </c>
      <c r="K68" s="106">
        <f>SUMIF(TableauFfinale[N° remise chèque 3],'remises de cheques'!$A68,TableauFfinale[Montant chèque 3])</f>
        <v>0</v>
      </c>
      <c r="L68" s="107">
        <f t="shared" si="0"/>
        <v>0</v>
      </c>
      <c r="Q68" s="159"/>
      <c r="R68" s="183"/>
    </row>
    <row r="69" spans="1:18" hidden="1" x14ac:dyDescent="0.3">
      <c r="A69" s="140">
        <v>542277</v>
      </c>
      <c r="B69" s="108">
        <v>42164</v>
      </c>
      <c r="C69" s="106">
        <f>SUMIF(TableauFA1[N° remise chèque 1],'remises de cheques'!$A69,TableauFA1[Montant chèque 1])</f>
        <v>0</v>
      </c>
      <c r="D69" s="106">
        <f>SUMIF(TableauFA1[N° remise chèque 2],'remises de cheques'!$A69,TableauFA1[Montant chèque 2])</f>
        <v>0</v>
      </c>
      <c r="E69" s="106">
        <f>SUMIF(TableauFA1[N° remise chèque 3],'remises de cheques'!$A69,TableauFA1[Montant chèque 3])</f>
        <v>0</v>
      </c>
      <c r="F69" s="106">
        <f>SUMIF(TableauFA2[N° remise chèque 1],'remises de cheques'!$A69,TableauFA2[Montant chèque 1])</f>
        <v>0</v>
      </c>
      <c r="G69" s="106">
        <f>SUMIF(TableauFA2[N° remise chèque 2],'remises de cheques'!$A69,TableauFA2[Montant chèque 2])</f>
        <v>0</v>
      </c>
      <c r="H69" s="106">
        <f>SUMIF(TableauFA2[N° remise chèque 3],'remises de cheques'!$A69,TableauFA2[Montant chèque 3])</f>
        <v>0</v>
      </c>
      <c r="I69" s="106">
        <f>SUMIF(TableauFfinale[N° remise chèque 1],'remises de cheques'!$A69,TableauFfinale[Montant chèque 1])</f>
        <v>0</v>
      </c>
      <c r="J69" s="106">
        <f>SUMIF(TableauFfinale[N° remise chèque 2],'remises de cheques'!$A69,TableauFfinale[Montant chèque 2])</f>
        <v>0</v>
      </c>
      <c r="K69" s="106">
        <f>SUMIF(TableauFfinale[N° remise chèque 3],'remises de cheques'!$A69,TableauFfinale[Montant chèque 3])</f>
        <v>0</v>
      </c>
      <c r="L69" s="107">
        <f t="shared" si="0"/>
        <v>0</v>
      </c>
      <c r="Q69" s="159"/>
      <c r="R69" s="183"/>
    </row>
    <row r="70" spans="1:18" hidden="1" x14ac:dyDescent="0.3">
      <c r="A70" s="140">
        <v>542278</v>
      </c>
      <c r="B70" s="108">
        <v>42164</v>
      </c>
      <c r="C70" s="106">
        <f>SUMIF(TableauFA1[N° remise chèque 1],'remises de cheques'!$A70,TableauFA1[Montant chèque 1])</f>
        <v>0</v>
      </c>
      <c r="D70" s="106">
        <f>SUMIF(TableauFA1[N° remise chèque 2],'remises de cheques'!$A70,TableauFA1[Montant chèque 2])</f>
        <v>0</v>
      </c>
      <c r="E70" s="106">
        <f>SUMIF(TableauFA1[N° remise chèque 3],'remises de cheques'!$A70,TableauFA1[Montant chèque 3])</f>
        <v>0</v>
      </c>
      <c r="F70" s="106">
        <f>SUMIF(TableauFA2[N° remise chèque 1],'remises de cheques'!$A70,TableauFA2[Montant chèque 1])</f>
        <v>0</v>
      </c>
      <c r="G70" s="106">
        <f>SUMIF(TableauFA2[N° remise chèque 2],'remises de cheques'!$A70,TableauFA2[Montant chèque 2])</f>
        <v>0</v>
      </c>
      <c r="H70" s="106">
        <f>SUMIF(TableauFA2[N° remise chèque 3],'remises de cheques'!$A70,TableauFA2[Montant chèque 3])</f>
        <v>0</v>
      </c>
      <c r="I70" s="106">
        <f>SUMIF(TableauFfinale[N° remise chèque 1],'remises de cheques'!$A70,TableauFfinale[Montant chèque 1])</f>
        <v>0</v>
      </c>
      <c r="J70" s="106">
        <f>SUMIF(TableauFfinale[N° remise chèque 2],'remises de cheques'!$A70,TableauFfinale[Montant chèque 2])</f>
        <v>0</v>
      </c>
      <c r="K70" s="106">
        <f>SUMIF(TableauFfinale[N° remise chèque 3],'remises de cheques'!$A70,TableauFfinale[Montant chèque 3])</f>
        <v>0</v>
      </c>
      <c r="L70" s="107">
        <f t="shared" ref="L70:L77" si="2">SUM(C70:K70)</f>
        <v>0</v>
      </c>
      <c r="Q70" s="159"/>
      <c r="R70" s="183"/>
    </row>
    <row r="71" spans="1:18" hidden="1" x14ac:dyDescent="0.3">
      <c r="A71" s="140">
        <v>542279</v>
      </c>
      <c r="B71" s="108">
        <v>42164</v>
      </c>
      <c r="C71" s="106">
        <f>SUMIF(TableauFA1[N° remise chèque 1],'remises de cheques'!$A71,TableauFA1[Montant chèque 1])</f>
        <v>0</v>
      </c>
      <c r="D71" s="106">
        <f>SUMIF(TableauFA1[N° remise chèque 2],'remises de cheques'!$A71,TableauFA1[Montant chèque 2])</f>
        <v>0</v>
      </c>
      <c r="E71" s="106">
        <f>SUMIF(TableauFA1[N° remise chèque 3],'remises de cheques'!$A71,TableauFA1[Montant chèque 3])</f>
        <v>0</v>
      </c>
      <c r="F71" s="106">
        <f>SUMIF(TableauFA2[N° remise chèque 1],'remises de cheques'!$A71,TableauFA2[Montant chèque 1])</f>
        <v>0</v>
      </c>
      <c r="G71" s="106">
        <f>SUMIF(TableauFA2[N° remise chèque 2],'remises de cheques'!$A71,TableauFA2[Montant chèque 2])</f>
        <v>0</v>
      </c>
      <c r="H71" s="106">
        <f>SUMIF(TableauFA2[N° remise chèque 3],'remises de cheques'!$A71,TableauFA2[Montant chèque 3])</f>
        <v>0</v>
      </c>
      <c r="I71" s="106">
        <f>SUMIF(TableauFfinale[N° remise chèque 1],'remises de cheques'!$A71,TableauFfinale[Montant chèque 1])</f>
        <v>0</v>
      </c>
      <c r="J71" s="106">
        <f>SUMIF(TableauFfinale[N° remise chèque 2],'remises de cheques'!$A71,TableauFfinale[Montant chèque 2])</f>
        <v>0</v>
      </c>
      <c r="K71" s="106">
        <f>SUMIF(TableauFfinale[N° remise chèque 3],'remises de cheques'!$A71,TableauFfinale[Montant chèque 3])</f>
        <v>0</v>
      </c>
      <c r="L71" s="107">
        <f t="shared" si="2"/>
        <v>0</v>
      </c>
      <c r="Q71" s="159"/>
      <c r="R71" s="183"/>
    </row>
    <row r="72" spans="1:18" hidden="1" x14ac:dyDescent="0.3">
      <c r="A72" s="140">
        <v>542280</v>
      </c>
      <c r="B72" s="108">
        <v>42171</v>
      </c>
      <c r="C72" s="106">
        <f>SUMIF(TableauFA1[N° remise chèque 1],'remises de cheques'!$A72,TableauFA1[Montant chèque 1])</f>
        <v>0</v>
      </c>
      <c r="D72" s="106">
        <f>SUMIF(TableauFA1[N° remise chèque 2],'remises de cheques'!$A72,TableauFA1[Montant chèque 2])</f>
        <v>0</v>
      </c>
      <c r="E72" s="106">
        <f>SUMIF(TableauFA1[N° remise chèque 3],'remises de cheques'!$A72,TableauFA1[Montant chèque 3])</f>
        <v>0</v>
      </c>
      <c r="F72" s="106">
        <f>SUMIF(TableauFA2[N° remise chèque 1],'remises de cheques'!$A72,TableauFA2[Montant chèque 1])</f>
        <v>0</v>
      </c>
      <c r="G72" s="106">
        <f>SUMIF(TableauFA2[N° remise chèque 2],'remises de cheques'!$A72,TableauFA2[Montant chèque 2])</f>
        <v>0</v>
      </c>
      <c r="H72" s="106">
        <f>SUMIF(TableauFA2[N° remise chèque 3],'remises de cheques'!$A72,TableauFA2[Montant chèque 3])</f>
        <v>0</v>
      </c>
      <c r="I72" s="106">
        <f>SUMIF(TableauFfinale[N° remise chèque 1],'remises de cheques'!$A72,TableauFfinale[Montant chèque 1])</f>
        <v>0</v>
      </c>
      <c r="J72" s="106">
        <f>SUMIF(TableauFfinale[N° remise chèque 2],'remises de cheques'!$A72,TableauFfinale[Montant chèque 2])</f>
        <v>0</v>
      </c>
      <c r="K72" s="106">
        <f>SUMIF(TableauFfinale[N° remise chèque 3],'remises de cheques'!$A72,TableauFfinale[Montant chèque 3])</f>
        <v>0</v>
      </c>
      <c r="L72" s="107">
        <f t="shared" si="2"/>
        <v>0</v>
      </c>
      <c r="Q72" s="159"/>
      <c r="R72" s="183"/>
    </row>
    <row r="73" spans="1:18" hidden="1" x14ac:dyDescent="0.3">
      <c r="A73" s="140">
        <v>542281</v>
      </c>
      <c r="B73" s="108">
        <v>42181</v>
      </c>
      <c r="C73" s="106">
        <f>SUMIF(TableauFA1[N° remise chèque 1],'remises de cheques'!$A73,TableauFA1[Montant chèque 1])</f>
        <v>0</v>
      </c>
      <c r="D73" s="106">
        <f>SUMIF(TableauFA1[N° remise chèque 2],'remises de cheques'!$A73,TableauFA1[Montant chèque 2])</f>
        <v>0</v>
      </c>
      <c r="E73" s="106">
        <f>SUMIF(TableauFA1[N° remise chèque 3],'remises de cheques'!$A73,TableauFA1[Montant chèque 3])</f>
        <v>0</v>
      </c>
      <c r="F73" s="106">
        <f>SUMIF(TableauFA2[N° remise chèque 1],'remises de cheques'!$A73,TableauFA2[Montant chèque 1])</f>
        <v>0</v>
      </c>
      <c r="G73" s="106">
        <f>SUMIF(TableauFA2[N° remise chèque 2],'remises de cheques'!$A73,TableauFA2[Montant chèque 2])</f>
        <v>0</v>
      </c>
      <c r="H73" s="106">
        <f>SUMIF(TableauFA2[N° remise chèque 3],'remises de cheques'!$A73,TableauFA2[Montant chèque 3])</f>
        <v>0</v>
      </c>
      <c r="I73" s="106">
        <f>SUMIF(TableauFfinale[N° remise chèque 1],'remises de cheques'!$A73,TableauFfinale[Montant chèque 1])</f>
        <v>0</v>
      </c>
      <c r="J73" s="106">
        <f>SUMIF(TableauFfinale[N° remise chèque 2],'remises de cheques'!$A73,TableauFfinale[Montant chèque 2])</f>
        <v>0</v>
      </c>
      <c r="K73" s="106">
        <f>SUMIF(TableauFfinale[N° remise chèque 3],'remises de cheques'!$A73,TableauFfinale[Montant chèque 3])</f>
        <v>0</v>
      </c>
      <c r="L73" s="107">
        <f t="shared" si="2"/>
        <v>0</v>
      </c>
      <c r="Q73" s="159"/>
      <c r="R73" s="183"/>
    </row>
    <row r="74" spans="1:18" hidden="1" x14ac:dyDescent="0.3">
      <c r="A74" s="140">
        <v>542282</v>
      </c>
      <c r="B74" s="108">
        <v>42171</v>
      </c>
      <c r="C74" s="106">
        <f>SUMIF(TableauFA1[N° remise chèque 1],'remises de cheques'!$A74,TableauFA1[Montant chèque 1])</f>
        <v>0</v>
      </c>
      <c r="D74" s="106">
        <f>SUMIF(TableauFA1[N° remise chèque 2],'remises de cheques'!$A74,TableauFA1[Montant chèque 2])</f>
        <v>0</v>
      </c>
      <c r="E74" s="106">
        <f>SUMIF(TableauFA1[N° remise chèque 3],'remises de cheques'!$A74,TableauFA1[Montant chèque 3])</f>
        <v>0</v>
      </c>
      <c r="F74" s="106">
        <f>SUMIF(TableauFA2[N° remise chèque 1],'remises de cheques'!$A74,TableauFA2[Montant chèque 1])</f>
        <v>0</v>
      </c>
      <c r="G74" s="106">
        <f>SUMIF(TableauFA2[N° remise chèque 2],'remises de cheques'!$A74,TableauFA2[Montant chèque 2])</f>
        <v>0</v>
      </c>
      <c r="H74" s="106">
        <f>SUMIF(TableauFA2[N° remise chèque 3],'remises de cheques'!$A74,TableauFA2[Montant chèque 3])</f>
        <v>0</v>
      </c>
      <c r="I74" s="106">
        <f>SUMIF(TableauFfinale[N° remise chèque 1],'remises de cheques'!$A74,TableauFfinale[Montant chèque 1])</f>
        <v>0</v>
      </c>
      <c r="J74" s="106">
        <f>SUMIF(TableauFfinale[N° remise chèque 2],'remises de cheques'!$A74,TableauFfinale[Montant chèque 2])</f>
        <v>0</v>
      </c>
      <c r="K74" s="106">
        <f>SUMIF(TableauFfinale[N° remise chèque 3],'remises de cheques'!$A74,TableauFfinale[Montant chèque 3])</f>
        <v>0</v>
      </c>
      <c r="L74" s="107">
        <f t="shared" si="2"/>
        <v>0</v>
      </c>
      <c r="Q74" s="159"/>
      <c r="R74" s="183"/>
    </row>
    <row r="75" spans="1:18" hidden="1" x14ac:dyDescent="0.3">
      <c r="A75" s="140">
        <v>542283</v>
      </c>
      <c r="B75" s="108">
        <v>42181</v>
      </c>
      <c r="C75" s="106">
        <f>SUMIF(TableauFA1[N° remise chèque 1],'remises de cheques'!$A75,TableauFA1[Montant chèque 1])</f>
        <v>0</v>
      </c>
      <c r="D75" s="106">
        <f>SUMIF(TableauFA1[N° remise chèque 2],'remises de cheques'!$A75,TableauFA1[Montant chèque 2])</f>
        <v>0</v>
      </c>
      <c r="E75" s="106">
        <f>SUMIF(TableauFA1[N° remise chèque 3],'remises de cheques'!$A75,TableauFA1[Montant chèque 3])</f>
        <v>0</v>
      </c>
      <c r="F75" s="106">
        <f>SUMIF(TableauFA2[N° remise chèque 1],'remises de cheques'!$A75,TableauFA2[Montant chèque 1])</f>
        <v>0</v>
      </c>
      <c r="G75" s="106">
        <f>SUMIF(TableauFA2[N° remise chèque 2],'remises de cheques'!$A75,TableauFA2[Montant chèque 2])</f>
        <v>0</v>
      </c>
      <c r="H75" s="106">
        <f>SUMIF(TableauFA2[N° remise chèque 3],'remises de cheques'!$A75,TableauFA2[Montant chèque 3])</f>
        <v>0</v>
      </c>
      <c r="I75" s="106">
        <f>SUMIF(TableauFfinale[N° remise chèque 1],'remises de cheques'!$A75,TableauFfinale[Montant chèque 1])</f>
        <v>0</v>
      </c>
      <c r="J75" s="106">
        <f>SUMIF(TableauFfinale[N° remise chèque 2],'remises de cheques'!$A75,TableauFfinale[Montant chèque 2])</f>
        <v>0</v>
      </c>
      <c r="K75" s="106">
        <f>SUMIF(TableauFfinale[N° remise chèque 3],'remises de cheques'!$A75,TableauFfinale[Montant chèque 3])</f>
        <v>0</v>
      </c>
      <c r="L75" s="107">
        <f t="shared" si="2"/>
        <v>0</v>
      </c>
      <c r="Q75" s="159"/>
      <c r="R75" s="183"/>
    </row>
    <row r="76" spans="1:18" hidden="1" x14ac:dyDescent="0.3">
      <c r="A76" s="140">
        <v>542284</v>
      </c>
      <c r="B76" s="108">
        <v>42181</v>
      </c>
      <c r="C76" s="106">
        <f>SUMIF(TableauFA1[N° remise chèque 1],'remises de cheques'!$A76,TableauFA1[Montant chèque 1])</f>
        <v>0</v>
      </c>
      <c r="D76" s="106">
        <f>SUMIF(TableauFA1[N° remise chèque 2],'remises de cheques'!$A76,TableauFA1[Montant chèque 2])</f>
        <v>0</v>
      </c>
      <c r="E76" s="106">
        <f>SUMIF(TableauFA1[N° remise chèque 3],'remises de cheques'!$A76,TableauFA1[Montant chèque 3])</f>
        <v>0</v>
      </c>
      <c r="F76" s="106">
        <f>SUMIF(TableauFA2[N° remise chèque 1],'remises de cheques'!$A76,TableauFA2[Montant chèque 1])</f>
        <v>0</v>
      </c>
      <c r="G76" s="106">
        <f>SUMIF(TableauFA2[N° remise chèque 2],'remises de cheques'!$A76,TableauFA2[Montant chèque 2])</f>
        <v>0</v>
      </c>
      <c r="H76" s="106">
        <f>SUMIF(TableauFA2[N° remise chèque 3],'remises de cheques'!$A76,TableauFA2[Montant chèque 3])</f>
        <v>0</v>
      </c>
      <c r="I76" s="106">
        <f>SUMIF(TableauFfinale[N° remise chèque 1],'remises de cheques'!$A76,TableauFfinale[Montant chèque 1])</f>
        <v>0</v>
      </c>
      <c r="J76" s="106">
        <f>SUMIF(TableauFfinale[N° remise chèque 2],'remises de cheques'!$A76,TableauFfinale[Montant chèque 2])</f>
        <v>0</v>
      </c>
      <c r="K76" s="106">
        <f>SUMIF(TableauFfinale[N° remise chèque 3],'remises de cheques'!$A76,TableauFfinale[Montant chèque 3])</f>
        <v>0</v>
      </c>
      <c r="L76" s="107">
        <f t="shared" si="2"/>
        <v>0</v>
      </c>
      <c r="Q76" s="159"/>
      <c r="R76" s="183"/>
    </row>
    <row r="77" spans="1:18" hidden="1" x14ac:dyDescent="0.3">
      <c r="A77" s="140">
        <v>542285</v>
      </c>
      <c r="B77" s="108">
        <v>42181</v>
      </c>
      <c r="C77" s="106">
        <f>SUMIF(TableauFA1[N° remise chèque 1],'remises de cheques'!$A77,TableauFA1[Montant chèque 1])</f>
        <v>0</v>
      </c>
      <c r="D77" s="106">
        <f>SUMIF(TableauFA1[N° remise chèque 2],'remises de cheques'!$A77,TableauFA1[Montant chèque 2])</f>
        <v>0</v>
      </c>
      <c r="E77" s="106">
        <f>SUMIF(TableauFA1[N° remise chèque 3],'remises de cheques'!$A77,TableauFA1[Montant chèque 3])</f>
        <v>0</v>
      </c>
      <c r="F77" s="106">
        <f>SUMIF(TableauFA2[N° remise chèque 1],'remises de cheques'!$A77,TableauFA2[Montant chèque 1])</f>
        <v>0</v>
      </c>
      <c r="G77" s="106">
        <f>SUMIF(TableauFA2[N° remise chèque 2],'remises de cheques'!$A77,TableauFA2[Montant chèque 2])</f>
        <v>0</v>
      </c>
      <c r="H77" s="106">
        <f>SUMIF(TableauFA2[N° remise chèque 3],'remises de cheques'!$A77,TableauFA2[Montant chèque 3])</f>
        <v>0</v>
      </c>
      <c r="I77" s="106">
        <f>SUMIF(TableauFfinale[N° remise chèque 1],'remises de cheques'!$A77,TableauFfinale[Montant chèque 1])</f>
        <v>0</v>
      </c>
      <c r="J77" s="106">
        <f>SUMIF(TableauFfinale[N° remise chèque 2],'remises de cheques'!$A77,TableauFfinale[Montant chèque 2])</f>
        <v>0</v>
      </c>
      <c r="K77" s="106">
        <f>SUMIF(TableauFfinale[N° remise chèque 3],'remises de cheques'!$A77,TableauFfinale[Montant chèque 3])</f>
        <v>0</v>
      </c>
      <c r="L77" s="107">
        <f t="shared" si="2"/>
        <v>0</v>
      </c>
      <c r="Q77" s="159"/>
      <c r="R77" s="183"/>
    </row>
    <row r="78" spans="1:18" hidden="1" x14ac:dyDescent="0.3">
      <c r="A78" s="140">
        <v>542286</v>
      </c>
      <c r="B78" s="108">
        <v>42181</v>
      </c>
      <c r="C78" s="106">
        <f>SUMIF(TableauFA1[N° remise chèque 1],'remises de cheques'!$A78,TableauFA1[Montant chèque 1])</f>
        <v>0</v>
      </c>
      <c r="D78" s="106">
        <f>SUMIF(TableauFA1[N° remise chèque 2],'remises de cheques'!$A78,TableauFA1[Montant chèque 2])</f>
        <v>0</v>
      </c>
      <c r="E78" s="106">
        <f>SUMIF(TableauFA1[N° remise chèque 3],'remises de cheques'!$A78,TableauFA1[Montant chèque 3])</f>
        <v>0</v>
      </c>
      <c r="F78" s="106">
        <f>SUMIF(TableauFA2[N° remise chèque 1],'remises de cheques'!$A78,TableauFA2[Montant chèque 1])</f>
        <v>0</v>
      </c>
      <c r="G78" s="106">
        <f>SUMIF(TableauFA2[N° remise chèque 2],'remises de cheques'!$A78,TableauFA2[Montant chèque 2])</f>
        <v>0</v>
      </c>
      <c r="H78" s="106">
        <f>SUMIF(TableauFA2[N° remise chèque 3],'remises de cheques'!$A78,TableauFA2[Montant chèque 3])</f>
        <v>0</v>
      </c>
      <c r="I78" s="106">
        <f>SUMIF(TableauFfinale[N° remise chèque 1],'remises de cheques'!$A78,TableauFfinale[Montant chèque 1])</f>
        <v>0</v>
      </c>
      <c r="J78" s="106">
        <f>SUMIF(TableauFfinale[N° remise chèque 2],'remises de cheques'!$A78,TableauFfinale[Montant chèque 2])</f>
        <v>0</v>
      </c>
      <c r="K78" s="106">
        <f>SUMIF(TableauFfinale[N° remise chèque 3],'remises de cheques'!$A78,TableauFfinale[Montant chèque 3])</f>
        <v>0</v>
      </c>
      <c r="L78" s="107">
        <f>SUM(C78:K78)</f>
        <v>0</v>
      </c>
      <c r="Q78" s="159"/>
      <c r="R78" s="183"/>
    </row>
    <row r="79" spans="1:18" hidden="1" x14ac:dyDescent="0.3">
      <c r="A79" s="140">
        <v>542287</v>
      </c>
      <c r="B79" s="108">
        <v>42181</v>
      </c>
      <c r="C79" s="106">
        <f>SUMIF(TableauFA1[N° remise chèque 1],'remises de cheques'!$A79,TableauFA1[Montant chèque 1])</f>
        <v>0</v>
      </c>
      <c r="D79" s="106">
        <f>SUMIF(TableauFA1[N° remise chèque 2],'remises de cheques'!$A79,TableauFA1[Montant chèque 2])</f>
        <v>0</v>
      </c>
      <c r="E79" s="106">
        <f>SUMIF(TableauFA1[N° remise chèque 3],'remises de cheques'!$A79,TableauFA1[Montant chèque 3])</f>
        <v>0</v>
      </c>
      <c r="F79" s="106">
        <f>SUMIF(TableauFA2[N° remise chèque 1],'remises de cheques'!$A79,TableauFA2[Montant chèque 1])</f>
        <v>0</v>
      </c>
      <c r="G79" s="106">
        <f>SUMIF(TableauFA2[N° remise chèque 2],'remises de cheques'!$A79,TableauFA2[Montant chèque 2])</f>
        <v>0</v>
      </c>
      <c r="H79" s="106">
        <f>SUMIF(TableauFA2[N° remise chèque 3],'remises de cheques'!$A79,TableauFA2[Montant chèque 3])</f>
        <v>0</v>
      </c>
      <c r="I79" s="106">
        <f>SUMIF(TableauFfinale[N° remise chèque 1],'remises de cheques'!$A79,TableauFfinale[Montant chèque 1])</f>
        <v>0</v>
      </c>
      <c r="J79" s="106">
        <f>SUMIF(TableauFfinale[N° remise chèque 2],'remises de cheques'!$A79,TableauFfinale[Montant chèque 2])</f>
        <v>0</v>
      </c>
      <c r="K79" s="106">
        <f>SUMIF(TableauFfinale[N° remise chèque 3],'remises de cheques'!$A79,TableauFfinale[Montant chèque 3])</f>
        <v>0</v>
      </c>
      <c r="L79" s="107">
        <f t="shared" ref="L79:L150" si="3">SUM(C79:K79)</f>
        <v>0</v>
      </c>
      <c r="Q79" s="159"/>
      <c r="R79" s="183"/>
    </row>
    <row r="80" spans="1:18" hidden="1" x14ac:dyDescent="0.3">
      <c r="A80" s="140">
        <v>542288</v>
      </c>
      <c r="B80" s="108">
        <v>42181</v>
      </c>
      <c r="C80" s="106">
        <f>SUMIF(TableauFA1[N° remise chèque 1],'remises de cheques'!$A80,TableauFA1[Montant chèque 1])</f>
        <v>0</v>
      </c>
      <c r="D80" s="106">
        <f>SUMIF(TableauFA1[N° remise chèque 2],'remises de cheques'!$A80,TableauFA1[Montant chèque 2])</f>
        <v>0</v>
      </c>
      <c r="E80" s="106">
        <f>SUMIF(TableauFA1[N° remise chèque 3],'remises de cheques'!$A80,TableauFA1[Montant chèque 3])</f>
        <v>0</v>
      </c>
      <c r="F80" s="106">
        <f>SUMIF(TableauFA2[N° remise chèque 1],'remises de cheques'!$A80,TableauFA2[Montant chèque 1])</f>
        <v>0</v>
      </c>
      <c r="G80" s="106">
        <f>SUMIF(TableauFA2[N° remise chèque 2],'remises de cheques'!$A80,TableauFA2[Montant chèque 2])</f>
        <v>0</v>
      </c>
      <c r="H80" s="106">
        <f>SUMIF(TableauFA2[N° remise chèque 3],'remises de cheques'!$A80,TableauFA2[Montant chèque 3])</f>
        <v>0</v>
      </c>
      <c r="I80" s="106">
        <f>SUMIF(TableauFfinale[N° remise chèque 1],'remises de cheques'!$A80,TableauFfinale[Montant chèque 1])</f>
        <v>0</v>
      </c>
      <c r="J80" s="106">
        <f>SUMIF(TableauFfinale[N° remise chèque 2],'remises de cheques'!$A80,TableauFfinale[Montant chèque 2])</f>
        <v>0</v>
      </c>
      <c r="K80" s="106">
        <f>SUMIF(TableauFfinale[N° remise chèque 3],'remises de cheques'!$A80,TableauFfinale[Montant chèque 3])</f>
        <v>0</v>
      </c>
      <c r="L80" s="107">
        <f t="shared" si="3"/>
        <v>0</v>
      </c>
      <c r="Q80" s="159"/>
      <c r="R80" s="183"/>
    </row>
    <row r="81" spans="1:19" hidden="1" x14ac:dyDescent="0.3">
      <c r="A81" s="140">
        <v>542289</v>
      </c>
      <c r="B81" s="108">
        <v>42198</v>
      </c>
      <c r="C81" s="106">
        <f>SUMIF(TableauFA1[N° remise chèque 1],'remises de cheques'!$A81,TableauFA1[Montant chèque 1])</f>
        <v>0</v>
      </c>
      <c r="D81" s="106">
        <f>SUMIF(TableauFA1[N° remise chèque 2],'remises de cheques'!$A81,TableauFA1[Montant chèque 2])</f>
        <v>0</v>
      </c>
      <c r="E81" s="106">
        <f>SUMIF(TableauFA1[N° remise chèque 3],'remises de cheques'!$A81,TableauFA1[Montant chèque 3])</f>
        <v>0</v>
      </c>
      <c r="F81" s="106">
        <f>SUMIF(TableauFA2[N° remise chèque 1],'remises de cheques'!$A81,TableauFA2[Montant chèque 1])</f>
        <v>0</v>
      </c>
      <c r="G81" s="106">
        <f>SUMIF(TableauFA2[N° remise chèque 2],'remises de cheques'!$A81,TableauFA2[Montant chèque 2])</f>
        <v>0</v>
      </c>
      <c r="H81" s="106">
        <f>SUMIF(TableauFA2[N° remise chèque 3],'remises de cheques'!$A81,TableauFA2[Montant chèque 3])</f>
        <v>0</v>
      </c>
      <c r="I81" s="106">
        <f>SUMIF(TableauFfinale[N° remise chèque 1],'remises de cheques'!$A81,TableauFfinale[Montant chèque 1])</f>
        <v>0</v>
      </c>
      <c r="J81" s="106">
        <f>SUMIF(TableauFfinale[N° remise chèque 2],'remises de cheques'!$A81,TableauFfinale[Montant chèque 2])</f>
        <v>0</v>
      </c>
      <c r="K81" s="106">
        <f>SUMIF(TableauFfinale[N° remise chèque 3],'remises de cheques'!$A81,TableauFfinale[Montant chèque 3])</f>
        <v>0</v>
      </c>
      <c r="L81" s="107">
        <f t="shared" si="3"/>
        <v>0</v>
      </c>
      <c r="Q81" s="159"/>
      <c r="R81" s="183"/>
    </row>
    <row r="82" spans="1:19" hidden="1" x14ac:dyDescent="0.3">
      <c r="A82" s="140">
        <v>542290</v>
      </c>
      <c r="B82" s="108">
        <v>42181</v>
      </c>
      <c r="C82" s="106">
        <f>SUMIF(TableauFA1[N° remise chèque 1],'remises de cheques'!$A82,TableauFA1[Montant chèque 1])</f>
        <v>0</v>
      </c>
      <c r="D82" s="106">
        <f>SUMIF(TableauFA1[N° remise chèque 2],'remises de cheques'!$A82,TableauFA1[Montant chèque 2])</f>
        <v>0</v>
      </c>
      <c r="E82" s="106">
        <f>SUMIF(TableauFA1[N° remise chèque 3],'remises de cheques'!$A82,TableauFA1[Montant chèque 3])</f>
        <v>0</v>
      </c>
      <c r="F82" s="106">
        <f>SUMIF(TableauFA2[N° remise chèque 1],'remises de cheques'!$A82,TableauFA2[Montant chèque 1])</f>
        <v>0</v>
      </c>
      <c r="G82" s="106">
        <f>SUMIF(TableauFA2[N° remise chèque 2],'remises de cheques'!$A82,TableauFA2[Montant chèque 2])</f>
        <v>0</v>
      </c>
      <c r="H82" s="106">
        <f>SUMIF(TableauFA2[N° remise chèque 3],'remises de cheques'!$A82,TableauFA2[Montant chèque 3])</f>
        <v>0</v>
      </c>
      <c r="I82" s="106">
        <f>SUMIF(TableauFfinale[N° remise chèque 1],'remises de cheques'!$A82,TableauFfinale[Montant chèque 1])</f>
        <v>0</v>
      </c>
      <c r="J82" s="106">
        <f>SUMIF(TableauFfinale[N° remise chèque 2],'remises de cheques'!$A82,TableauFfinale[Montant chèque 2])</f>
        <v>0</v>
      </c>
      <c r="K82" s="106">
        <f>SUMIF(TableauFfinale[N° remise chèque 3],'remises de cheques'!$A82,TableauFfinale[Montant chèque 3])</f>
        <v>0</v>
      </c>
      <c r="L82" s="107">
        <f t="shared" si="3"/>
        <v>0</v>
      </c>
      <c r="Q82" s="159"/>
      <c r="R82" s="183"/>
    </row>
    <row r="83" spans="1:19" hidden="1" x14ac:dyDescent="0.3">
      <c r="A83" s="140">
        <v>542291</v>
      </c>
      <c r="B83" s="108">
        <v>42181</v>
      </c>
      <c r="C83" s="106">
        <f>SUMIF(TableauFA1[N° remise chèque 1],'remises de cheques'!$A83,TableauFA1[Montant chèque 1])</f>
        <v>0</v>
      </c>
      <c r="D83" s="106">
        <f>SUMIF(TableauFA1[N° remise chèque 2],'remises de cheques'!$A83,TableauFA1[Montant chèque 2])</f>
        <v>0</v>
      </c>
      <c r="E83" s="106">
        <f>SUMIF(TableauFA1[N° remise chèque 3],'remises de cheques'!$A83,TableauFA1[Montant chèque 3])</f>
        <v>0</v>
      </c>
      <c r="F83" s="106">
        <f>SUMIF(TableauFA2[N° remise chèque 1],'remises de cheques'!$A83,TableauFA2[Montant chèque 1])</f>
        <v>0</v>
      </c>
      <c r="G83" s="106">
        <f>SUMIF(TableauFA2[N° remise chèque 2],'remises de cheques'!$A83,TableauFA2[Montant chèque 2])</f>
        <v>0</v>
      </c>
      <c r="H83" s="106">
        <f>SUMIF(TableauFA2[N° remise chèque 3],'remises de cheques'!$A83,TableauFA2[Montant chèque 3])</f>
        <v>0</v>
      </c>
      <c r="I83" s="106">
        <f>SUMIF(TableauFfinale[N° remise chèque 1],'remises de cheques'!$A83,TableauFfinale[Montant chèque 1])</f>
        <v>0</v>
      </c>
      <c r="J83" s="106">
        <f>SUMIF(TableauFfinale[N° remise chèque 2],'remises de cheques'!$A83,TableauFfinale[Montant chèque 2])</f>
        <v>0</v>
      </c>
      <c r="K83" s="106">
        <f>SUMIF(TableauFfinale[N° remise chèque 3],'remises de cheques'!$A83,TableauFfinale[Montant chèque 3])</f>
        <v>0</v>
      </c>
      <c r="L83" s="107">
        <f t="shared" si="3"/>
        <v>0</v>
      </c>
      <c r="Q83" s="159"/>
      <c r="R83" s="183"/>
    </row>
    <row r="84" spans="1:19" hidden="1" x14ac:dyDescent="0.3">
      <c r="A84" s="140">
        <v>542292</v>
      </c>
      <c r="B84" s="108">
        <v>42181</v>
      </c>
      <c r="C84" s="106">
        <f>SUMIF(TableauFA1[N° remise chèque 1],'remises de cheques'!$A84,TableauFA1[Montant chèque 1])</f>
        <v>0</v>
      </c>
      <c r="D84" s="106">
        <f>SUMIF(TableauFA1[N° remise chèque 2],'remises de cheques'!$A84,TableauFA1[Montant chèque 2])</f>
        <v>0</v>
      </c>
      <c r="E84" s="106">
        <f>SUMIF(TableauFA1[N° remise chèque 3],'remises de cheques'!$A84,TableauFA1[Montant chèque 3])</f>
        <v>0</v>
      </c>
      <c r="F84" s="106">
        <f>SUMIF(TableauFA2[N° remise chèque 1],'remises de cheques'!$A84,TableauFA2[Montant chèque 1])</f>
        <v>0</v>
      </c>
      <c r="G84" s="106">
        <f>SUMIF(TableauFA2[N° remise chèque 2],'remises de cheques'!$A84,TableauFA2[Montant chèque 2])</f>
        <v>0</v>
      </c>
      <c r="H84" s="106">
        <f>SUMIF(TableauFA2[N° remise chèque 3],'remises de cheques'!$A84,TableauFA2[Montant chèque 3])</f>
        <v>0</v>
      </c>
      <c r="I84" s="106">
        <f>SUMIF(TableauFfinale[N° remise chèque 1],'remises de cheques'!$A84,TableauFfinale[Montant chèque 1])</f>
        <v>0</v>
      </c>
      <c r="J84" s="106">
        <f>SUMIF(TableauFfinale[N° remise chèque 2],'remises de cheques'!$A84,TableauFfinale[Montant chèque 2])</f>
        <v>0</v>
      </c>
      <c r="K84" s="106">
        <f>SUMIF(TableauFfinale[N° remise chèque 3],'remises de cheques'!$A84,TableauFfinale[Montant chèque 3])</f>
        <v>0</v>
      </c>
      <c r="L84" s="107">
        <f t="shared" si="3"/>
        <v>0</v>
      </c>
      <c r="Q84" s="159"/>
      <c r="R84" s="183"/>
    </row>
    <row r="85" spans="1:19" hidden="1" x14ac:dyDescent="0.3">
      <c r="A85" s="140">
        <v>542293</v>
      </c>
      <c r="B85" s="108">
        <v>42198</v>
      </c>
      <c r="C85" s="106">
        <f>SUMIF(TableauFA1[N° remise chèque 1],'remises de cheques'!$A85,TableauFA1[Montant chèque 1])</f>
        <v>0</v>
      </c>
      <c r="D85" s="106">
        <f>SUMIF(TableauFA1[N° remise chèque 2],'remises de cheques'!$A85,TableauFA1[Montant chèque 2])</f>
        <v>0</v>
      </c>
      <c r="E85" s="106">
        <f>SUMIF(TableauFA1[N° remise chèque 3],'remises de cheques'!$A85,TableauFA1[Montant chèque 3])</f>
        <v>0</v>
      </c>
      <c r="F85" s="106">
        <f>SUMIF(TableauFA2[N° remise chèque 1],'remises de cheques'!$A85,TableauFA2[Montant chèque 1])</f>
        <v>0</v>
      </c>
      <c r="G85" s="106">
        <f>SUMIF(TableauFA2[N° remise chèque 2],'remises de cheques'!$A85,TableauFA2[Montant chèque 2])</f>
        <v>0</v>
      </c>
      <c r="H85" s="106">
        <f>SUMIF(TableauFA2[N° remise chèque 3],'remises de cheques'!$A85,TableauFA2[Montant chèque 3])</f>
        <v>0</v>
      </c>
      <c r="I85" s="106">
        <f>SUMIF(TableauFfinale[N° remise chèque 1],'remises de cheques'!$A85,TableauFfinale[Montant chèque 1])</f>
        <v>0</v>
      </c>
      <c r="J85" s="106">
        <f>SUMIF(TableauFfinale[N° remise chèque 2],'remises de cheques'!$A85,TableauFfinale[Montant chèque 2])</f>
        <v>0</v>
      </c>
      <c r="K85" s="106">
        <f>SUMIF(TableauFfinale[N° remise chèque 3],'remises de cheques'!$A85,TableauFfinale[Montant chèque 3])</f>
        <v>0</v>
      </c>
      <c r="L85" s="107">
        <f t="shared" si="3"/>
        <v>0</v>
      </c>
      <c r="Q85" s="159"/>
      <c r="R85" s="183"/>
    </row>
    <row r="86" spans="1:19" hidden="1" x14ac:dyDescent="0.3">
      <c r="A86" s="140">
        <v>542294</v>
      </c>
      <c r="B86" s="108">
        <v>42198</v>
      </c>
      <c r="C86" s="106">
        <f>SUMIF(TableauFA1[N° remise chèque 1],'remises de cheques'!$A86,TableauFA1[Montant chèque 1])</f>
        <v>0</v>
      </c>
      <c r="D86" s="106">
        <f>SUMIF(TableauFA1[N° remise chèque 2],'remises de cheques'!$A86,TableauFA1[Montant chèque 2])</f>
        <v>0</v>
      </c>
      <c r="E86" s="106">
        <f>SUMIF(TableauFA1[N° remise chèque 3],'remises de cheques'!$A86,TableauFA1[Montant chèque 3])</f>
        <v>0</v>
      </c>
      <c r="F86" s="106">
        <f>SUMIF(TableauFA2[N° remise chèque 1],'remises de cheques'!$A86,TableauFA2[Montant chèque 1])</f>
        <v>0</v>
      </c>
      <c r="G86" s="106">
        <f>SUMIF(TableauFA2[N° remise chèque 2],'remises de cheques'!$A86,TableauFA2[Montant chèque 2])</f>
        <v>0</v>
      </c>
      <c r="H86" s="106">
        <f>SUMIF(TableauFA2[N° remise chèque 3],'remises de cheques'!$A86,TableauFA2[Montant chèque 3])</f>
        <v>0</v>
      </c>
      <c r="I86" s="106">
        <f>SUMIF(TableauFfinale[N° remise chèque 1],'remises de cheques'!$A86,TableauFfinale[Montant chèque 1])</f>
        <v>0</v>
      </c>
      <c r="J86" s="106">
        <f>SUMIF(TableauFfinale[N° remise chèque 2],'remises de cheques'!$A86,TableauFfinale[Montant chèque 2])</f>
        <v>0</v>
      </c>
      <c r="K86" s="106">
        <f>SUMIF(TableauFfinale[N° remise chèque 3],'remises de cheques'!$A86,TableauFfinale[Montant chèque 3])</f>
        <v>0</v>
      </c>
      <c r="L86" s="107">
        <f t="shared" si="3"/>
        <v>0</v>
      </c>
      <c r="Q86" s="159"/>
      <c r="R86" s="183"/>
    </row>
    <row r="87" spans="1:19" ht="33" hidden="1" x14ac:dyDescent="0.3">
      <c r="A87" s="140" t="s">
        <v>225</v>
      </c>
      <c r="B87" s="108">
        <v>42230</v>
      </c>
      <c r="C87" s="106"/>
      <c r="D87" s="106"/>
      <c r="E87" s="106"/>
      <c r="F87" s="106"/>
      <c r="G87" s="106"/>
      <c r="H87" s="106"/>
      <c r="I87" s="106"/>
      <c r="J87" s="106"/>
      <c r="K87" s="106"/>
      <c r="L87" s="107">
        <v>1500</v>
      </c>
      <c r="Q87" s="159"/>
      <c r="R87" s="183"/>
    </row>
    <row r="88" spans="1:19" ht="114" hidden="1" x14ac:dyDescent="0.3">
      <c r="A88" s="140" t="s">
        <v>226</v>
      </c>
      <c r="B88" s="108">
        <v>42263</v>
      </c>
      <c r="C88" s="106"/>
      <c r="D88" s="106"/>
      <c r="E88" s="106"/>
      <c r="F88" s="106"/>
      <c r="G88" s="106"/>
      <c r="H88" s="106"/>
      <c r="I88" s="106"/>
      <c r="J88" s="106"/>
      <c r="K88" s="106"/>
      <c r="L88" s="107">
        <v>1500</v>
      </c>
      <c r="N88" s="138" t="s">
        <v>210</v>
      </c>
      <c r="O88" s="146" t="s">
        <v>210</v>
      </c>
      <c r="P88" s="139" t="s">
        <v>211</v>
      </c>
      <c r="Q88" s="161"/>
      <c r="R88" s="185">
        <v>1500</v>
      </c>
    </row>
    <row r="89" spans="1:19" ht="114" hidden="1" x14ac:dyDescent="0.3">
      <c r="A89" s="140" t="s">
        <v>219</v>
      </c>
      <c r="B89" s="108">
        <v>42270</v>
      </c>
      <c r="C89" s="106"/>
      <c r="D89" s="106"/>
      <c r="E89" s="106"/>
      <c r="F89" s="106"/>
      <c r="G89" s="106"/>
      <c r="H89" s="106"/>
      <c r="I89" s="106"/>
      <c r="J89" s="106"/>
      <c r="K89" s="106"/>
      <c r="L89" s="107">
        <v>1500</v>
      </c>
      <c r="N89" s="138" t="s">
        <v>202</v>
      </c>
      <c r="O89" s="146" t="s">
        <v>202</v>
      </c>
      <c r="P89" s="139" t="s">
        <v>207</v>
      </c>
      <c r="Q89" s="161"/>
      <c r="R89" s="185">
        <v>1500</v>
      </c>
    </row>
    <row r="90" spans="1:19" ht="114" hidden="1" x14ac:dyDescent="0.3">
      <c r="A90" s="140" t="s">
        <v>224</v>
      </c>
      <c r="B90" s="108">
        <v>42272</v>
      </c>
      <c r="C90" s="106"/>
      <c r="D90" s="106"/>
      <c r="E90" s="106"/>
      <c r="F90" s="106"/>
      <c r="G90" s="106"/>
      <c r="H90" s="106"/>
      <c r="I90" s="106"/>
      <c r="J90" s="106"/>
      <c r="K90" s="106"/>
      <c r="L90" s="107">
        <v>1500</v>
      </c>
      <c r="N90" s="138" t="s">
        <v>200</v>
      </c>
      <c r="O90" s="146" t="s">
        <v>200</v>
      </c>
      <c r="P90" s="139" t="s">
        <v>201</v>
      </c>
      <c r="Q90" s="161"/>
      <c r="R90" s="185">
        <v>1500</v>
      </c>
    </row>
    <row r="91" spans="1:19" hidden="1" x14ac:dyDescent="0.3">
      <c r="A91" s="140" t="s">
        <v>114</v>
      </c>
      <c r="B91" s="108">
        <v>42207</v>
      </c>
      <c r="C91" s="106"/>
      <c r="D91" s="106"/>
      <c r="E91" s="106"/>
      <c r="F91" s="106"/>
      <c r="G91" s="106"/>
      <c r="H91" s="106"/>
      <c r="I91" s="106"/>
      <c r="J91" s="106"/>
      <c r="K91" s="106"/>
      <c r="L91" s="107">
        <v>4000</v>
      </c>
      <c r="Q91" s="159"/>
      <c r="R91" s="183"/>
    </row>
    <row r="92" spans="1:19" ht="33" hidden="1" x14ac:dyDescent="0.3">
      <c r="A92" s="140" t="s">
        <v>115</v>
      </c>
      <c r="B92" s="108">
        <v>42200</v>
      </c>
      <c r="C92" s="106"/>
      <c r="D92" s="106"/>
      <c r="E92" s="106"/>
      <c r="F92" s="106"/>
      <c r="G92" s="106"/>
      <c r="H92" s="106"/>
      <c r="I92" s="106"/>
      <c r="J92" s="106"/>
      <c r="K92" s="106"/>
      <c r="L92" s="107">
        <v>3049</v>
      </c>
      <c r="Q92" s="159"/>
      <c r="R92" s="183"/>
    </row>
    <row r="93" spans="1:19" ht="114" hidden="1" x14ac:dyDescent="0.3">
      <c r="A93" s="140" t="s">
        <v>220</v>
      </c>
      <c r="B93" s="108">
        <v>42348</v>
      </c>
      <c r="C93" s="106"/>
      <c r="D93" s="106"/>
      <c r="E93" s="106"/>
      <c r="F93" s="106"/>
      <c r="G93" s="106"/>
      <c r="H93" s="106"/>
      <c r="I93" s="106"/>
      <c r="J93" s="106"/>
      <c r="K93" s="106"/>
      <c r="L93" s="107">
        <v>1500</v>
      </c>
      <c r="N93" s="132" t="s">
        <v>183</v>
      </c>
      <c r="O93" s="147" t="s">
        <v>183</v>
      </c>
      <c r="P93" s="133" t="s">
        <v>185</v>
      </c>
      <c r="Q93" s="162"/>
      <c r="R93" s="186">
        <v>1500</v>
      </c>
      <c r="S93" s="111" t="s">
        <v>186</v>
      </c>
    </row>
    <row r="94" spans="1:19" hidden="1" x14ac:dyDescent="0.3">
      <c r="A94" s="140">
        <v>3476154</v>
      </c>
      <c r="B94" s="108">
        <v>42198</v>
      </c>
      <c r="C94" s="106">
        <f>SUMIF(TableauFA1[N° remise chèque 1],'remises de cheques'!$A94,TableauFA1[Montant chèque 1])</f>
        <v>0</v>
      </c>
      <c r="D94" s="106">
        <f>SUMIF(TableauFA1[N° remise chèque 2],'remises de cheques'!$A94,TableauFA1[Montant chèque 2])</f>
        <v>0</v>
      </c>
      <c r="E94" s="106">
        <f>SUMIF(TableauFA1[N° remise chèque 3],'remises de cheques'!$A94,TableauFA1[Montant chèque 3])</f>
        <v>0</v>
      </c>
      <c r="F94" s="106">
        <f>SUMIF(TableauFA2[N° remise chèque 1],'remises de cheques'!$A94,TableauFA2[Montant chèque 1])</f>
        <v>0</v>
      </c>
      <c r="G94" s="106">
        <f>SUMIF(TableauFA2[N° remise chèque 2],'remises de cheques'!$A94,TableauFA2[Montant chèque 2])</f>
        <v>0</v>
      </c>
      <c r="H94" s="106">
        <f>SUMIF(TableauFA2[N° remise chèque 3],'remises de cheques'!$A94,TableauFA2[Montant chèque 3])</f>
        <v>0</v>
      </c>
      <c r="I94" s="106">
        <f>SUMIF(TableauFfinale[N° remise chèque 1],'remises de cheques'!$A94,TableauFfinale[Montant chèque 1])</f>
        <v>0</v>
      </c>
      <c r="J94" s="106">
        <f>SUMIF(TableauFfinale[N° remise chèque 2],'remises de cheques'!$A94,TableauFfinale[Montant chèque 2])</f>
        <v>0</v>
      </c>
      <c r="K94" s="106">
        <f>SUMIF(TableauFfinale[N° remise chèque 3],'remises de cheques'!$A94,TableauFfinale[Montant chèque 3])</f>
        <v>0</v>
      </c>
      <c r="L94" s="107">
        <f t="shared" si="3"/>
        <v>0</v>
      </c>
      <c r="Q94" s="159"/>
      <c r="R94" s="183"/>
    </row>
    <row r="95" spans="1:19" hidden="1" x14ac:dyDescent="0.3">
      <c r="A95" s="140">
        <v>3476155</v>
      </c>
      <c r="B95" s="108">
        <v>42198</v>
      </c>
      <c r="C95" s="106">
        <f>SUMIF(TableauFA1[N° remise chèque 1],'remises de cheques'!$A95,TableauFA1[Montant chèque 1])</f>
        <v>0</v>
      </c>
      <c r="D95" s="106">
        <f>SUMIF(TableauFA1[N° remise chèque 2],'remises de cheques'!$A95,TableauFA1[Montant chèque 2])</f>
        <v>0</v>
      </c>
      <c r="E95" s="106">
        <f>SUMIF(TableauFA1[N° remise chèque 3],'remises de cheques'!$A95,TableauFA1[Montant chèque 3])</f>
        <v>0</v>
      </c>
      <c r="F95" s="106">
        <f>SUMIF(TableauFA2[N° remise chèque 1],'remises de cheques'!$A95,TableauFA2[Montant chèque 1])</f>
        <v>0</v>
      </c>
      <c r="G95" s="106">
        <f>SUMIF(TableauFA2[N° remise chèque 2],'remises de cheques'!$A95,TableauFA2[Montant chèque 2])</f>
        <v>0</v>
      </c>
      <c r="H95" s="106">
        <f>SUMIF(TableauFA2[N° remise chèque 3],'remises de cheques'!$A95,TableauFA2[Montant chèque 3])</f>
        <v>0</v>
      </c>
      <c r="I95" s="106">
        <f>SUMIF(TableauFfinale[N° remise chèque 1],'remises de cheques'!$A95,TableauFfinale[Montant chèque 1])</f>
        <v>0</v>
      </c>
      <c r="J95" s="106">
        <f>SUMIF(TableauFfinale[N° remise chèque 2],'remises de cheques'!$A95,TableauFfinale[Montant chèque 2])</f>
        <v>0</v>
      </c>
      <c r="K95" s="106">
        <f>SUMIF(TableauFfinale[N° remise chèque 3],'remises de cheques'!$A95,TableauFfinale[Montant chèque 3])</f>
        <v>0</v>
      </c>
      <c r="L95" s="107">
        <f t="shared" si="3"/>
        <v>0</v>
      </c>
      <c r="Q95" s="159"/>
      <c r="R95" s="183"/>
    </row>
    <row r="96" spans="1:19" hidden="1" x14ac:dyDescent="0.3">
      <c r="A96" s="140">
        <v>3476156</v>
      </c>
      <c r="B96" s="108">
        <v>42198</v>
      </c>
      <c r="C96" s="106">
        <f>SUMIF(TableauFA1[N° remise chèque 1],'remises de cheques'!$A96,TableauFA1[Montant chèque 1])</f>
        <v>0</v>
      </c>
      <c r="D96" s="106">
        <f>SUMIF(TableauFA1[N° remise chèque 2],'remises de cheques'!$A96,TableauFA1[Montant chèque 2])</f>
        <v>0</v>
      </c>
      <c r="E96" s="106">
        <f>SUMIF(TableauFA1[N° remise chèque 3],'remises de cheques'!$A96,TableauFA1[Montant chèque 3])</f>
        <v>0</v>
      </c>
      <c r="F96" s="106">
        <f>SUMIF(TableauFA2[N° remise chèque 1],'remises de cheques'!$A96,TableauFA2[Montant chèque 1])</f>
        <v>0</v>
      </c>
      <c r="G96" s="106">
        <f>SUMIF(TableauFA2[N° remise chèque 2],'remises de cheques'!$A96,TableauFA2[Montant chèque 2])</f>
        <v>0</v>
      </c>
      <c r="H96" s="106">
        <f>SUMIF(TableauFA2[N° remise chèque 3],'remises de cheques'!$A96,TableauFA2[Montant chèque 3])</f>
        <v>0</v>
      </c>
      <c r="I96" s="106">
        <f>SUMIF(TableauFfinale[N° remise chèque 1],'remises de cheques'!$A96,TableauFfinale[Montant chèque 1])</f>
        <v>0</v>
      </c>
      <c r="J96" s="106">
        <f>SUMIF(TableauFfinale[N° remise chèque 2],'remises de cheques'!$A96,TableauFfinale[Montant chèque 2])</f>
        <v>0</v>
      </c>
      <c r="K96" s="106">
        <f>SUMIF(TableauFfinale[N° remise chèque 3],'remises de cheques'!$A96,TableauFfinale[Montant chèque 3])</f>
        <v>0</v>
      </c>
      <c r="L96" s="107">
        <f t="shared" si="3"/>
        <v>0</v>
      </c>
      <c r="Q96" s="159"/>
      <c r="R96" s="183"/>
    </row>
    <row r="97" spans="1:18" hidden="1" x14ac:dyDescent="0.3">
      <c r="A97" s="140">
        <v>3476157</v>
      </c>
      <c r="B97" s="108">
        <v>42219</v>
      </c>
      <c r="C97" s="106">
        <f>SUMIF(TableauFA1[N° remise chèque 1],'remises de cheques'!$A97,TableauFA1[Montant chèque 1])</f>
        <v>0</v>
      </c>
      <c r="D97" s="106">
        <f>SUMIF(TableauFA1[N° remise chèque 2],'remises de cheques'!$A97,TableauFA1[Montant chèque 2])</f>
        <v>0</v>
      </c>
      <c r="E97" s="106">
        <f>SUMIF(TableauFA1[N° remise chèque 3],'remises de cheques'!$A97,TableauFA1[Montant chèque 3])</f>
        <v>0</v>
      </c>
      <c r="F97" s="106">
        <f>SUMIF(TableauFA2[N° remise chèque 1],'remises de cheques'!$A97,TableauFA2[Montant chèque 1])</f>
        <v>0</v>
      </c>
      <c r="G97" s="106">
        <f>SUMIF(TableauFA2[N° remise chèque 2],'remises de cheques'!$A97,TableauFA2[Montant chèque 2])</f>
        <v>0</v>
      </c>
      <c r="H97" s="106">
        <f>SUMIF(TableauFA2[N° remise chèque 3],'remises de cheques'!$A97,TableauFA2[Montant chèque 3])</f>
        <v>0</v>
      </c>
      <c r="I97" s="106">
        <f>SUMIF(TableauFfinale[N° remise chèque 1],'remises de cheques'!$A97,TableauFfinale[Montant chèque 1])</f>
        <v>0</v>
      </c>
      <c r="J97" s="106">
        <f>SUMIF(TableauFfinale[N° remise chèque 2],'remises de cheques'!$A97,TableauFfinale[Montant chèque 2])</f>
        <v>0</v>
      </c>
      <c r="K97" s="106">
        <f>SUMIF(TableauFfinale[N° remise chèque 3],'remises de cheques'!$A97,TableauFfinale[Montant chèque 3])</f>
        <v>0</v>
      </c>
      <c r="L97" s="107">
        <f t="shared" si="3"/>
        <v>0</v>
      </c>
      <c r="Q97" s="159"/>
      <c r="R97" s="183"/>
    </row>
    <row r="98" spans="1:18" hidden="1" x14ac:dyDescent="0.3">
      <c r="A98" s="140">
        <v>3476158</v>
      </c>
      <c r="B98" s="108">
        <v>42219</v>
      </c>
      <c r="C98" s="106">
        <f>SUMIF(TableauFA1[N° remise chèque 1],'remises de cheques'!$A98,TableauFA1[Montant chèque 1])</f>
        <v>0</v>
      </c>
      <c r="D98" s="106">
        <f>SUMIF(TableauFA1[N° remise chèque 2],'remises de cheques'!$A98,TableauFA1[Montant chèque 2])</f>
        <v>0</v>
      </c>
      <c r="E98" s="106">
        <f>SUMIF(TableauFA1[N° remise chèque 3],'remises de cheques'!$A98,TableauFA1[Montant chèque 3])</f>
        <v>0</v>
      </c>
      <c r="F98" s="106">
        <f>SUMIF(TableauFA2[N° remise chèque 1],'remises de cheques'!$A98,TableauFA2[Montant chèque 1])</f>
        <v>0</v>
      </c>
      <c r="G98" s="106">
        <f>SUMIF(TableauFA2[N° remise chèque 2],'remises de cheques'!$A98,TableauFA2[Montant chèque 2])</f>
        <v>0</v>
      </c>
      <c r="H98" s="106">
        <f>SUMIF(TableauFA2[N° remise chèque 3],'remises de cheques'!$A98,TableauFA2[Montant chèque 3])</f>
        <v>0</v>
      </c>
      <c r="I98" s="106">
        <f>SUMIF(TableauFfinale[N° remise chèque 1],'remises de cheques'!$A98,TableauFfinale[Montant chèque 1])</f>
        <v>0</v>
      </c>
      <c r="J98" s="106">
        <f>SUMIF(TableauFfinale[N° remise chèque 2],'remises de cheques'!$A98,TableauFfinale[Montant chèque 2])</f>
        <v>0</v>
      </c>
      <c r="K98" s="106">
        <f>SUMIF(TableauFfinale[N° remise chèque 3],'remises de cheques'!$A98,TableauFfinale[Montant chèque 3])</f>
        <v>0</v>
      </c>
      <c r="L98" s="107">
        <f t="shared" si="3"/>
        <v>0</v>
      </c>
      <c r="Q98" s="159"/>
      <c r="R98" s="183"/>
    </row>
    <row r="99" spans="1:18" hidden="1" x14ac:dyDescent="0.3">
      <c r="A99" s="140">
        <v>3476159</v>
      </c>
      <c r="B99" s="108">
        <v>42219</v>
      </c>
      <c r="C99" s="106">
        <f>SUMIF(TableauFA1[N° remise chèque 1],'remises de cheques'!$A99,TableauFA1[Montant chèque 1])</f>
        <v>0</v>
      </c>
      <c r="D99" s="106">
        <f>SUMIF(TableauFA1[N° remise chèque 2],'remises de cheques'!$A99,TableauFA1[Montant chèque 2])</f>
        <v>0</v>
      </c>
      <c r="E99" s="106">
        <f>SUMIF(TableauFA1[N° remise chèque 3],'remises de cheques'!$A99,TableauFA1[Montant chèque 3])</f>
        <v>0</v>
      </c>
      <c r="F99" s="106">
        <f>SUMIF(TableauFA2[N° remise chèque 1],'remises de cheques'!$A99,TableauFA2[Montant chèque 1])</f>
        <v>0</v>
      </c>
      <c r="G99" s="106">
        <f>SUMIF(TableauFA2[N° remise chèque 2],'remises de cheques'!$A99,TableauFA2[Montant chèque 2])</f>
        <v>0</v>
      </c>
      <c r="H99" s="106">
        <f>SUMIF(TableauFA2[N° remise chèque 3],'remises de cheques'!$A99,TableauFA2[Montant chèque 3])</f>
        <v>0</v>
      </c>
      <c r="I99" s="106">
        <f>SUMIF(TableauFfinale[N° remise chèque 1],'remises de cheques'!$A99,TableauFfinale[Montant chèque 1])</f>
        <v>0</v>
      </c>
      <c r="J99" s="106">
        <f>SUMIF(TableauFfinale[N° remise chèque 2],'remises de cheques'!$A99,TableauFfinale[Montant chèque 2])</f>
        <v>0</v>
      </c>
      <c r="K99" s="106">
        <f>SUMIF(TableauFfinale[N° remise chèque 3],'remises de cheques'!$A99,TableauFfinale[Montant chèque 3])</f>
        <v>0</v>
      </c>
      <c r="L99" s="107">
        <f t="shared" si="3"/>
        <v>0</v>
      </c>
      <c r="Q99" s="159"/>
      <c r="R99" s="183"/>
    </row>
    <row r="100" spans="1:18" hidden="1" x14ac:dyDescent="0.3">
      <c r="A100" s="140">
        <v>3476160</v>
      </c>
      <c r="B100" s="108">
        <v>42219</v>
      </c>
      <c r="C100" s="106">
        <f>SUMIF(TableauFA1[N° remise chèque 1],'remises de cheques'!$A100,TableauFA1[Montant chèque 1])</f>
        <v>0</v>
      </c>
      <c r="D100" s="106">
        <f>SUMIF(TableauFA1[N° remise chèque 2],'remises de cheques'!$A100,TableauFA1[Montant chèque 2])</f>
        <v>0</v>
      </c>
      <c r="E100" s="106">
        <f>SUMIF(TableauFA1[N° remise chèque 3],'remises de cheques'!$A100,TableauFA1[Montant chèque 3])</f>
        <v>0</v>
      </c>
      <c r="F100" s="106">
        <f>SUMIF(TableauFA2[N° remise chèque 1],'remises de cheques'!$A100,TableauFA2[Montant chèque 1])</f>
        <v>0</v>
      </c>
      <c r="G100" s="106">
        <f>SUMIF(TableauFA2[N° remise chèque 2],'remises de cheques'!$A100,TableauFA2[Montant chèque 2])</f>
        <v>0</v>
      </c>
      <c r="H100" s="106">
        <f>SUMIF(TableauFA2[N° remise chèque 3],'remises de cheques'!$A100,TableauFA2[Montant chèque 3])</f>
        <v>0</v>
      </c>
      <c r="I100" s="106">
        <f>SUMIF(TableauFfinale[N° remise chèque 1],'remises de cheques'!$A100,TableauFfinale[Montant chèque 1])</f>
        <v>0</v>
      </c>
      <c r="J100" s="106">
        <f>SUMIF(TableauFfinale[N° remise chèque 2],'remises de cheques'!$A100,TableauFfinale[Montant chèque 2])</f>
        <v>0</v>
      </c>
      <c r="K100" s="106">
        <f>SUMIF(TableauFfinale[N° remise chèque 3],'remises de cheques'!$A100,TableauFfinale[Montant chèque 3])</f>
        <v>0</v>
      </c>
      <c r="L100" s="107">
        <f t="shared" si="3"/>
        <v>0</v>
      </c>
      <c r="Q100" s="159"/>
      <c r="R100" s="183"/>
    </row>
    <row r="101" spans="1:18" ht="24" hidden="1" x14ac:dyDescent="0.3">
      <c r="A101" s="140">
        <v>3476161</v>
      </c>
      <c r="B101" s="108">
        <v>42254</v>
      </c>
      <c r="C101" s="106">
        <f>SUMIF(TableauFA1[N° remise chèque 1],'remises de cheques'!$A101,TableauFA1[Montant chèque 1])</f>
        <v>0</v>
      </c>
      <c r="D101" s="106">
        <f>SUMIF(TableauFA1[N° remise chèque 2],'remises de cheques'!$A101,TableauFA1[Montant chèque 2])</f>
        <v>0</v>
      </c>
      <c r="E101" s="106">
        <f>SUMIF(TableauFA1[N° remise chèque 3],'remises de cheques'!$A101,TableauFA1[Montant chèque 3])</f>
        <v>0</v>
      </c>
      <c r="F101" s="106">
        <f>SUMIF(TableauFA2[N° remise chèque 1],'remises de cheques'!$A101,TableauFA2[Montant chèque 1])</f>
        <v>0</v>
      </c>
      <c r="G101" s="106">
        <f>SUMIF(TableauFA2[N° remise chèque 2],'remises de cheques'!$A101,TableauFA2[Montant chèque 2])</f>
        <v>0</v>
      </c>
      <c r="H101" s="106">
        <f>SUMIF(TableauFA2[N° remise chèque 3],'remises de cheques'!$A101,TableauFA2[Montant chèque 3])</f>
        <v>0</v>
      </c>
      <c r="I101" s="106">
        <f>SUMIF(TableauFfinale[N° remise chèque 1],'remises de cheques'!$A101,TableauFfinale[Montant chèque 1])</f>
        <v>0</v>
      </c>
      <c r="J101" s="106">
        <f>SUMIF(TableauFfinale[N° remise chèque 2],'remises de cheques'!$A101,TableauFfinale[Montant chèque 2])</f>
        <v>0</v>
      </c>
      <c r="K101" s="106">
        <f>SUMIF(TableauFfinale[N° remise chèque 3],'remises de cheques'!$A101,TableauFfinale[Montant chèque 3])</f>
        <v>0</v>
      </c>
      <c r="L101" s="107">
        <f t="shared" si="3"/>
        <v>0</v>
      </c>
      <c r="N101" s="138" t="s">
        <v>214</v>
      </c>
      <c r="O101" s="146" t="s">
        <v>214</v>
      </c>
      <c r="P101" s="139" t="s">
        <v>216</v>
      </c>
      <c r="Q101" s="161"/>
      <c r="R101" s="185">
        <v>1500</v>
      </c>
    </row>
    <row r="102" spans="1:18" hidden="1" x14ac:dyDescent="0.3">
      <c r="A102" s="140">
        <v>3476162</v>
      </c>
      <c r="B102" s="108">
        <v>42226</v>
      </c>
      <c r="C102" s="106">
        <f>SUMIF(TableauFA1[N° remise chèque 1],'remises de cheques'!$A102,TableauFA1[Montant chèque 1])</f>
        <v>0</v>
      </c>
      <c r="D102" s="106">
        <f>SUMIF(TableauFA1[N° remise chèque 2],'remises de cheques'!$A102,TableauFA1[Montant chèque 2])</f>
        <v>0</v>
      </c>
      <c r="E102" s="106">
        <f>SUMIF(TableauFA1[N° remise chèque 3],'remises de cheques'!$A102,TableauFA1[Montant chèque 3])</f>
        <v>0</v>
      </c>
      <c r="F102" s="106">
        <f>SUMIF(TableauFA2[N° remise chèque 1],'remises de cheques'!$A102,TableauFA2[Montant chèque 1])</f>
        <v>0</v>
      </c>
      <c r="G102" s="106">
        <f>SUMIF(TableauFA2[N° remise chèque 2],'remises de cheques'!$A102,TableauFA2[Montant chèque 2])</f>
        <v>0</v>
      </c>
      <c r="H102" s="106">
        <f>SUMIF(TableauFA2[N° remise chèque 3],'remises de cheques'!$A102,TableauFA2[Montant chèque 3])</f>
        <v>0</v>
      </c>
      <c r="I102" s="106">
        <f>SUMIF(TableauFfinale[N° remise chèque 1],'remises de cheques'!$A102,TableauFfinale[Montant chèque 1])</f>
        <v>0</v>
      </c>
      <c r="J102" s="106">
        <f>SUMIF(TableauFfinale[N° remise chèque 2],'remises de cheques'!$A102,TableauFfinale[Montant chèque 2])</f>
        <v>0</v>
      </c>
      <c r="K102" s="106">
        <f>SUMIF(TableauFfinale[N° remise chèque 3],'remises de cheques'!$A102,TableauFfinale[Montant chèque 3])</f>
        <v>0</v>
      </c>
      <c r="L102" s="107">
        <f t="shared" si="3"/>
        <v>0</v>
      </c>
      <c r="Q102" s="159"/>
      <c r="R102" s="183"/>
    </row>
    <row r="103" spans="1:18" hidden="1" x14ac:dyDescent="0.3">
      <c r="A103" s="140">
        <v>3476163</v>
      </c>
      <c r="B103" s="108">
        <v>42226</v>
      </c>
      <c r="C103" s="106">
        <f>SUMIF(TableauFA1[N° remise chèque 1],'remises de cheques'!$A103,TableauFA1[Montant chèque 1])</f>
        <v>0</v>
      </c>
      <c r="D103" s="106">
        <f>SUMIF(TableauFA1[N° remise chèque 2],'remises de cheques'!$A103,TableauFA1[Montant chèque 2])</f>
        <v>0</v>
      </c>
      <c r="E103" s="106">
        <f>SUMIF(TableauFA1[N° remise chèque 3],'remises de cheques'!$A103,TableauFA1[Montant chèque 3])</f>
        <v>0</v>
      </c>
      <c r="F103" s="106">
        <f>SUMIF(TableauFA2[N° remise chèque 1],'remises de cheques'!$A103,TableauFA2[Montant chèque 1])</f>
        <v>0</v>
      </c>
      <c r="G103" s="106">
        <f>SUMIF(TableauFA2[N° remise chèque 2],'remises de cheques'!$A103,TableauFA2[Montant chèque 2])</f>
        <v>0</v>
      </c>
      <c r="H103" s="106">
        <f>SUMIF(TableauFA2[N° remise chèque 3],'remises de cheques'!$A103,TableauFA2[Montant chèque 3])</f>
        <v>0</v>
      </c>
      <c r="I103" s="106">
        <f>SUMIF(TableauFfinale[N° remise chèque 1],'remises de cheques'!$A103,TableauFfinale[Montant chèque 1])</f>
        <v>0</v>
      </c>
      <c r="J103" s="106">
        <f>SUMIF(TableauFfinale[N° remise chèque 2],'remises de cheques'!$A103,TableauFfinale[Montant chèque 2])</f>
        <v>0</v>
      </c>
      <c r="K103" s="106">
        <f>SUMIF(TableauFfinale[N° remise chèque 3],'remises de cheques'!$A103,TableauFfinale[Montant chèque 3])</f>
        <v>0</v>
      </c>
      <c r="L103" s="107">
        <f t="shared" si="3"/>
        <v>0</v>
      </c>
      <c r="Q103" s="159"/>
      <c r="R103" s="183"/>
    </row>
    <row r="104" spans="1:18" ht="24" hidden="1" x14ac:dyDescent="0.3">
      <c r="A104" s="140">
        <v>3476164</v>
      </c>
      <c r="B104" s="108">
        <v>42254</v>
      </c>
      <c r="C104" s="106">
        <f>SUMIF(TableauFA1[N° remise chèque 1],'remises de cheques'!$A104,TableauFA1[Montant chèque 1])</f>
        <v>0</v>
      </c>
      <c r="D104" s="106">
        <f>SUMIF(TableauFA1[N° remise chèque 2],'remises de cheques'!$A104,TableauFA1[Montant chèque 2])</f>
        <v>0</v>
      </c>
      <c r="E104" s="106">
        <f>SUMIF(TableauFA1[N° remise chèque 3],'remises de cheques'!$A104,TableauFA1[Montant chèque 3])</f>
        <v>0</v>
      </c>
      <c r="F104" s="106">
        <f>SUMIF(TableauFA2[N° remise chèque 1],'remises de cheques'!$A104,TableauFA2[Montant chèque 1])</f>
        <v>0</v>
      </c>
      <c r="G104" s="106">
        <f>SUMIF(TableauFA2[N° remise chèque 2],'remises de cheques'!$A104,TableauFA2[Montant chèque 2])</f>
        <v>0</v>
      </c>
      <c r="H104" s="106">
        <f>SUMIF(TableauFA2[N° remise chèque 3],'remises de cheques'!$A104,TableauFA2[Montant chèque 3])</f>
        <v>0</v>
      </c>
      <c r="I104" s="106">
        <f>SUMIF(TableauFfinale[N° remise chèque 1],'remises de cheques'!$A104,TableauFfinale[Montant chèque 1])</f>
        <v>0</v>
      </c>
      <c r="J104" s="106">
        <f>SUMIF(TableauFfinale[N° remise chèque 2],'remises de cheques'!$A104,TableauFfinale[Montant chèque 2])</f>
        <v>0</v>
      </c>
      <c r="K104" s="106">
        <f>SUMIF(TableauFfinale[N° remise chèque 3],'remises de cheques'!$A104,TableauFfinale[Montant chèque 3])</f>
        <v>0</v>
      </c>
      <c r="L104" s="107">
        <f t="shared" si="3"/>
        <v>0</v>
      </c>
      <c r="N104" s="138" t="s">
        <v>214</v>
      </c>
      <c r="O104" s="146" t="s">
        <v>214</v>
      </c>
      <c r="P104" s="139" t="s">
        <v>217</v>
      </c>
      <c r="Q104" s="161"/>
      <c r="R104" s="185">
        <v>914.19</v>
      </c>
    </row>
    <row r="105" spans="1:18" ht="22.5" hidden="1" x14ac:dyDescent="0.3">
      <c r="A105" s="140">
        <v>3476165</v>
      </c>
      <c r="B105" s="108">
        <v>42289</v>
      </c>
      <c r="C105" s="106">
        <f>SUMIF(TableauFA1[N° remise chèque 1],'remises de cheques'!$A105,TableauFA1[Montant chèque 1])</f>
        <v>0</v>
      </c>
      <c r="D105" s="106">
        <f>SUMIF(TableauFA1[N° remise chèque 2],'remises de cheques'!$A105,TableauFA1[Montant chèque 2])</f>
        <v>0</v>
      </c>
      <c r="E105" s="106">
        <f>SUMIF(TableauFA1[N° remise chèque 3],'remises de cheques'!$A105,TableauFA1[Montant chèque 3])</f>
        <v>0</v>
      </c>
      <c r="F105" s="106">
        <f>SUMIF(TableauFA2[N° remise chèque 1],'remises de cheques'!$A105,TableauFA2[Montant chèque 1])</f>
        <v>0</v>
      </c>
      <c r="G105" s="106">
        <f>SUMIF(TableauFA2[N° remise chèque 2],'remises de cheques'!$A105,TableauFA2[Montant chèque 2])</f>
        <v>0</v>
      </c>
      <c r="H105" s="106">
        <f>SUMIF(TableauFA2[N° remise chèque 3],'remises de cheques'!$A105,TableauFA2[Montant chèque 3])</f>
        <v>0</v>
      </c>
      <c r="I105" s="106">
        <f>SUMIF(TableauFfinale[N° remise chèque 1],'remises de cheques'!$A105,TableauFfinale[Montant chèque 1])</f>
        <v>0</v>
      </c>
      <c r="J105" s="106">
        <f>SUMIF(TableauFfinale[N° remise chèque 2],'remises de cheques'!$A105,TableauFfinale[Montant chèque 2])</f>
        <v>0</v>
      </c>
      <c r="K105" s="106">
        <f>SUMIF(TableauFfinale[N° remise chèque 3],'remises de cheques'!$A105,TableauFfinale[Montant chèque 3])</f>
        <v>0</v>
      </c>
      <c r="L105" s="107">
        <f t="shared" si="3"/>
        <v>0</v>
      </c>
      <c r="N105" s="109" t="s">
        <v>121</v>
      </c>
      <c r="O105" s="145" t="s">
        <v>121</v>
      </c>
      <c r="P105" s="110" t="s">
        <v>129</v>
      </c>
      <c r="Q105" s="160"/>
      <c r="R105" s="184">
        <v>1130</v>
      </c>
    </row>
    <row r="106" spans="1:18" ht="24" hidden="1" x14ac:dyDescent="0.3">
      <c r="A106" s="140">
        <v>3476166</v>
      </c>
      <c r="B106" s="108">
        <v>42254</v>
      </c>
      <c r="C106" s="106">
        <f>SUMIF(TableauFA1[N° remise chèque 1],'remises de cheques'!$A106,TableauFA1[Montant chèque 1])</f>
        <v>0</v>
      </c>
      <c r="D106" s="106">
        <f>SUMIF(TableauFA1[N° remise chèque 2],'remises de cheques'!$A106,TableauFA1[Montant chèque 2])</f>
        <v>0</v>
      </c>
      <c r="E106" s="106">
        <f>SUMIF(TableauFA1[N° remise chèque 3],'remises de cheques'!$A106,TableauFA1[Montant chèque 3])</f>
        <v>0</v>
      </c>
      <c r="F106" s="106">
        <f>SUMIF(TableauFA2[N° remise chèque 1],'remises de cheques'!$A106,TableauFA2[Montant chèque 1])</f>
        <v>0</v>
      </c>
      <c r="G106" s="106">
        <f>SUMIF(TableauFA2[N° remise chèque 2],'remises de cheques'!$A106,TableauFA2[Montant chèque 2])</f>
        <v>0</v>
      </c>
      <c r="H106" s="106">
        <f>SUMIF(TableauFA2[N° remise chèque 3],'remises de cheques'!$A106,TableauFA2[Montant chèque 3])</f>
        <v>0</v>
      </c>
      <c r="I106" s="106">
        <f>SUMIF(TableauFfinale[N° remise chèque 1],'remises de cheques'!$A106,TableauFfinale[Montant chèque 1])</f>
        <v>0</v>
      </c>
      <c r="J106" s="106">
        <f>SUMIF(TableauFfinale[N° remise chèque 2],'remises de cheques'!$A106,TableauFfinale[Montant chèque 2])</f>
        <v>0</v>
      </c>
      <c r="K106" s="106">
        <f>SUMIF(TableauFfinale[N° remise chèque 3],'remises de cheques'!$A106,TableauFfinale[Montant chèque 3])</f>
        <v>0</v>
      </c>
      <c r="L106" s="107">
        <f t="shared" si="3"/>
        <v>0</v>
      </c>
      <c r="N106" s="138" t="s">
        <v>214</v>
      </c>
      <c r="O106" s="146" t="s">
        <v>214</v>
      </c>
      <c r="P106" s="139" t="s">
        <v>215</v>
      </c>
      <c r="Q106" s="161"/>
      <c r="R106" s="185">
        <v>9467.31</v>
      </c>
    </row>
    <row r="107" spans="1:18" ht="24" hidden="1" x14ac:dyDescent="0.3">
      <c r="A107" s="140">
        <v>3476167</v>
      </c>
      <c r="B107" s="108">
        <v>42257</v>
      </c>
      <c r="C107" s="106">
        <f>SUMIF(TableauFA1[N° remise chèque 1],'remises de cheques'!$A107,TableauFA1[Montant chèque 1])</f>
        <v>0</v>
      </c>
      <c r="D107" s="106">
        <f>SUMIF(TableauFA1[N° remise chèque 2],'remises de cheques'!$A107,TableauFA1[Montant chèque 2])</f>
        <v>0</v>
      </c>
      <c r="E107" s="106">
        <f>SUMIF(TableauFA1[N° remise chèque 3],'remises de cheques'!$A107,TableauFA1[Montant chèque 3])</f>
        <v>0</v>
      </c>
      <c r="F107" s="106">
        <f>SUMIF(TableauFA2[N° remise chèque 1],'remises de cheques'!$A107,TableauFA2[Montant chèque 1])</f>
        <v>0</v>
      </c>
      <c r="G107" s="106">
        <f>SUMIF(TableauFA2[N° remise chèque 2],'remises de cheques'!$A107,TableauFA2[Montant chèque 2])</f>
        <v>0</v>
      </c>
      <c r="H107" s="106">
        <f>SUMIF(TableauFA2[N° remise chèque 3],'remises de cheques'!$A107,TableauFA2[Montant chèque 3])</f>
        <v>0</v>
      </c>
      <c r="I107" s="106">
        <f>SUMIF(TableauFfinale[N° remise chèque 1],'remises de cheques'!$A107,TableauFfinale[Montant chèque 1])</f>
        <v>0</v>
      </c>
      <c r="J107" s="106">
        <f>SUMIF(TableauFfinale[N° remise chèque 2],'remises de cheques'!$A107,TableauFfinale[Montant chèque 2])</f>
        <v>0</v>
      </c>
      <c r="K107" s="106">
        <f>SUMIF(TableauFfinale[N° remise chèque 3],'remises de cheques'!$A107,TableauFfinale[Montant chèque 3])</f>
        <v>0</v>
      </c>
      <c r="L107" s="107">
        <f t="shared" si="3"/>
        <v>0</v>
      </c>
      <c r="N107" s="138" t="s">
        <v>212</v>
      </c>
      <c r="O107" s="146" t="s">
        <v>212</v>
      </c>
      <c r="P107" s="139" t="s">
        <v>213</v>
      </c>
      <c r="Q107" s="161"/>
      <c r="R107" s="185">
        <v>15619.31</v>
      </c>
    </row>
    <row r="108" spans="1:18" ht="22.5" hidden="1" x14ac:dyDescent="0.3">
      <c r="A108" s="140">
        <v>3476168</v>
      </c>
      <c r="B108" s="108">
        <v>42289</v>
      </c>
      <c r="C108" s="106">
        <f>SUMIF(TableauFA1[N° remise chèque 1],'remises de cheques'!$A108,TableauFA1[Montant chèque 1])</f>
        <v>0</v>
      </c>
      <c r="D108" s="106">
        <f>SUMIF(TableauFA1[N° remise chèque 2],'remises de cheques'!$A108,TableauFA1[Montant chèque 2])</f>
        <v>0</v>
      </c>
      <c r="E108" s="106">
        <f>SUMIF(TableauFA1[N° remise chèque 3],'remises de cheques'!$A108,TableauFA1[Montant chèque 3])</f>
        <v>0</v>
      </c>
      <c r="F108" s="106">
        <f>SUMIF(TableauFA2[N° remise chèque 1],'remises de cheques'!$A108,TableauFA2[Montant chèque 1])</f>
        <v>0</v>
      </c>
      <c r="G108" s="106">
        <f>SUMIF(TableauFA2[N° remise chèque 2],'remises de cheques'!$A108,TableauFA2[Montant chèque 2])</f>
        <v>0</v>
      </c>
      <c r="H108" s="106">
        <f>SUMIF(TableauFA2[N° remise chèque 3],'remises de cheques'!$A108,TableauFA2[Montant chèque 3])</f>
        <v>0</v>
      </c>
      <c r="I108" s="106">
        <f>SUMIF(TableauFfinale[N° remise chèque 1],'remises de cheques'!$A108,TableauFfinale[Montant chèque 1])</f>
        <v>0</v>
      </c>
      <c r="J108" s="106">
        <f>SUMIF(TableauFfinale[N° remise chèque 2],'remises de cheques'!$A108,TableauFfinale[Montant chèque 2])</f>
        <v>0</v>
      </c>
      <c r="K108" s="106">
        <f>SUMIF(TableauFfinale[N° remise chèque 3],'remises de cheques'!$A108,TableauFfinale[Montant chèque 3])</f>
        <v>0</v>
      </c>
      <c r="L108" s="107">
        <f t="shared" si="3"/>
        <v>0</v>
      </c>
      <c r="N108" s="109" t="s">
        <v>121</v>
      </c>
      <c r="O108" s="145" t="s">
        <v>121</v>
      </c>
      <c r="P108" s="110" t="s">
        <v>125</v>
      </c>
      <c r="Q108" s="160"/>
      <c r="R108" s="184">
        <v>2000</v>
      </c>
    </row>
    <row r="109" spans="1:18" ht="22.5" hidden="1" x14ac:dyDescent="0.3">
      <c r="A109" s="140">
        <v>3476169</v>
      </c>
      <c r="B109" s="108">
        <v>42289</v>
      </c>
      <c r="C109" s="106">
        <f>SUMIF(TableauFA1[N° remise chèque 1],'remises de cheques'!$A109,TableauFA1[Montant chèque 1])</f>
        <v>0</v>
      </c>
      <c r="D109" s="106">
        <f>SUMIF(TableauFA1[N° remise chèque 2],'remises de cheques'!$A109,TableauFA1[Montant chèque 2])</f>
        <v>0</v>
      </c>
      <c r="E109" s="106">
        <f>SUMIF(TableauFA1[N° remise chèque 3],'remises de cheques'!$A109,TableauFA1[Montant chèque 3])</f>
        <v>0</v>
      </c>
      <c r="F109" s="106">
        <f>SUMIF(TableauFA2[N° remise chèque 1],'remises de cheques'!$A109,TableauFA2[Montant chèque 1])</f>
        <v>0</v>
      </c>
      <c r="G109" s="106">
        <f>SUMIF(TableauFA2[N° remise chèque 2],'remises de cheques'!$A109,TableauFA2[Montant chèque 2])</f>
        <v>0</v>
      </c>
      <c r="H109" s="106">
        <f>SUMIF(TableauFA2[N° remise chèque 3],'remises de cheques'!$A109,TableauFA2[Montant chèque 3])</f>
        <v>0</v>
      </c>
      <c r="I109" s="106">
        <f>SUMIF(TableauFfinale[N° remise chèque 1],'remises de cheques'!$A109,TableauFfinale[Montant chèque 1])</f>
        <v>0</v>
      </c>
      <c r="J109" s="106">
        <f>SUMIF(TableauFfinale[N° remise chèque 2],'remises de cheques'!$A109,TableauFfinale[Montant chèque 2])</f>
        <v>0</v>
      </c>
      <c r="K109" s="106">
        <f>SUMIF(TableauFfinale[N° remise chèque 3],'remises de cheques'!$A109,TableauFfinale[Montant chèque 3])</f>
        <v>0</v>
      </c>
      <c r="L109" s="107">
        <f t="shared" si="3"/>
        <v>0</v>
      </c>
      <c r="N109" s="109" t="s">
        <v>121</v>
      </c>
      <c r="O109" s="145" t="s">
        <v>121</v>
      </c>
      <c r="P109" s="110" t="s">
        <v>130</v>
      </c>
      <c r="Q109" s="160"/>
      <c r="R109" s="184">
        <v>1060.24</v>
      </c>
    </row>
    <row r="110" spans="1:18" ht="22.5" hidden="1" x14ac:dyDescent="0.3">
      <c r="A110" s="140">
        <v>3476170</v>
      </c>
      <c r="B110" s="108">
        <v>42289</v>
      </c>
      <c r="C110" s="106">
        <f>SUMIF(TableauFA1[N° remise chèque 1],'remises de cheques'!$A110,TableauFA1[Montant chèque 1])</f>
        <v>0</v>
      </c>
      <c r="D110" s="106">
        <f>SUMIF(TableauFA1[N° remise chèque 2],'remises de cheques'!$A110,TableauFA1[Montant chèque 2])</f>
        <v>0</v>
      </c>
      <c r="E110" s="106">
        <f>SUMIF(TableauFA1[N° remise chèque 3],'remises de cheques'!$A110,TableauFA1[Montant chèque 3])</f>
        <v>0</v>
      </c>
      <c r="F110" s="106">
        <f>SUMIF(TableauFA2[N° remise chèque 1],'remises de cheques'!$A110,TableauFA2[Montant chèque 1])</f>
        <v>0</v>
      </c>
      <c r="G110" s="106">
        <f>SUMIF(TableauFA2[N° remise chèque 2],'remises de cheques'!$A110,TableauFA2[Montant chèque 2])</f>
        <v>0</v>
      </c>
      <c r="H110" s="106">
        <f>SUMIF(TableauFA2[N° remise chèque 3],'remises de cheques'!$A110,TableauFA2[Montant chèque 3])</f>
        <v>0</v>
      </c>
      <c r="I110" s="106">
        <f>SUMIF(TableauFfinale[N° remise chèque 1],'remises de cheques'!$A110,TableauFfinale[Montant chèque 1])</f>
        <v>0</v>
      </c>
      <c r="J110" s="106">
        <f>SUMIF(TableauFfinale[N° remise chèque 2],'remises de cheques'!$A110,TableauFfinale[Montant chèque 2])</f>
        <v>0</v>
      </c>
      <c r="K110" s="106">
        <f>SUMIF(TableauFfinale[N° remise chèque 3],'remises de cheques'!$A110,TableauFfinale[Montant chèque 3])</f>
        <v>0</v>
      </c>
      <c r="L110" s="107">
        <f t="shared" si="3"/>
        <v>0</v>
      </c>
      <c r="N110" s="109" t="s">
        <v>121</v>
      </c>
      <c r="O110" s="145" t="s">
        <v>121</v>
      </c>
      <c r="P110" s="110" t="s">
        <v>128</v>
      </c>
      <c r="Q110" s="160"/>
      <c r="R110" s="184">
        <v>1300</v>
      </c>
    </row>
    <row r="111" spans="1:18" ht="24" hidden="1" x14ac:dyDescent="0.3">
      <c r="A111" s="140">
        <v>3476171</v>
      </c>
      <c r="B111" s="108">
        <v>42270</v>
      </c>
      <c r="C111" s="106">
        <f>SUMIF(TableauFA1[N° remise chèque 1],'remises de cheques'!$A111,TableauFA1[Montant chèque 1])</f>
        <v>0</v>
      </c>
      <c r="D111" s="106">
        <f>SUMIF(TableauFA1[N° remise chèque 2],'remises de cheques'!$A111,TableauFA1[Montant chèque 2])</f>
        <v>0</v>
      </c>
      <c r="E111" s="106">
        <f>SUMIF(TableauFA1[N° remise chèque 3],'remises de cheques'!$A111,TableauFA1[Montant chèque 3])</f>
        <v>0</v>
      </c>
      <c r="F111" s="106">
        <f>SUMIF(TableauFA2[N° remise chèque 1],'remises de cheques'!$A111,TableauFA2[Montant chèque 1])</f>
        <v>0</v>
      </c>
      <c r="G111" s="106">
        <f>SUMIF(TableauFA2[N° remise chèque 2],'remises de cheques'!$A111,TableauFA2[Montant chèque 2])</f>
        <v>0</v>
      </c>
      <c r="H111" s="106">
        <f>SUMIF(TableauFA2[N° remise chèque 3],'remises de cheques'!$A111,TableauFA2[Montant chèque 3])</f>
        <v>0</v>
      </c>
      <c r="I111" s="106">
        <f>SUMIF(TableauFfinale[N° remise chèque 1],'remises de cheques'!$A111,TableauFfinale[Montant chèque 1])</f>
        <v>0</v>
      </c>
      <c r="J111" s="106">
        <f>SUMIF(TableauFfinale[N° remise chèque 2],'remises de cheques'!$A111,TableauFfinale[Montant chèque 2])</f>
        <v>0</v>
      </c>
      <c r="K111" s="106">
        <f>SUMIF(TableauFfinale[N° remise chèque 3],'remises de cheques'!$A111,TableauFfinale[Montant chèque 3])</f>
        <v>0</v>
      </c>
      <c r="L111" s="107">
        <f t="shared" si="3"/>
        <v>0</v>
      </c>
      <c r="N111" s="138" t="s">
        <v>202</v>
      </c>
      <c r="O111" s="146" t="s">
        <v>202</v>
      </c>
      <c r="P111" s="139" t="s">
        <v>204</v>
      </c>
      <c r="Q111" s="161"/>
      <c r="R111" s="185">
        <v>11736.97</v>
      </c>
    </row>
    <row r="112" spans="1:18" ht="24" hidden="1" x14ac:dyDescent="0.3">
      <c r="A112" s="140">
        <v>3476172</v>
      </c>
      <c r="B112" s="108">
        <v>42270</v>
      </c>
      <c r="C112" s="106">
        <f>SUMIF(TableauFA1[N° remise chèque 1],'remises de cheques'!$A112,TableauFA1[Montant chèque 1])</f>
        <v>0</v>
      </c>
      <c r="D112" s="106">
        <f>SUMIF(TableauFA1[N° remise chèque 2],'remises de cheques'!$A112,TableauFA1[Montant chèque 2])</f>
        <v>0</v>
      </c>
      <c r="E112" s="106">
        <f>SUMIF(TableauFA1[N° remise chèque 3],'remises de cheques'!$A112,TableauFA1[Montant chèque 3])</f>
        <v>0</v>
      </c>
      <c r="F112" s="106">
        <f>SUMIF(TableauFA2[N° remise chèque 1],'remises de cheques'!$A112,TableauFA2[Montant chèque 1])</f>
        <v>0</v>
      </c>
      <c r="G112" s="106">
        <f>SUMIF(TableauFA2[N° remise chèque 2],'remises de cheques'!$A112,TableauFA2[Montant chèque 2])</f>
        <v>0</v>
      </c>
      <c r="H112" s="106">
        <f>SUMIF(TableauFA2[N° remise chèque 3],'remises de cheques'!$A112,TableauFA2[Montant chèque 3])</f>
        <v>0</v>
      </c>
      <c r="I112" s="106">
        <f>SUMIF(TableauFfinale[N° remise chèque 1],'remises de cheques'!$A112,TableauFfinale[Montant chèque 1])</f>
        <v>0</v>
      </c>
      <c r="J112" s="106">
        <f>SUMIF(TableauFfinale[N° remise chèque 2],'remises de cheques'!$A112,TableauFfinale[Montant chèque 2])</f>
        <v>0</v>
      </c>
      <c r="K112" s="106">
        <f>SUMIF(TableauFfinale[N° remise chèque 3],'remises de cheques'!$A112,TableauFfinale[Montant chèque 3])</f>
        <v>0</v>
      </c>
      <c r="L112" s="107">
        <f t="shared" si="3"/>
        <v>0</v>
      </c>
      <c r="N112" s="138" t="s">
        <v>202</v>
      </c>
      <c r="O112" s="146" t="s">
        <v>202</v>
      </c>
      <c r="P112" s="139" t="s">
        <v>203</v>
      </c>
      <c r="Q112" s="161"/>
      <c r="R112" s="185">
        <v>13500.91</v>
      </c>
    </row>
    <row r="113" spans="1:18" ht="24" hidden="1" x14ac:dyDescent="0.3">
      <c r="A113" s="140">
        <v>3476173</v>
      </c>
      <c r="B113" s="108">
        <v>42270</v>
      </c>
      <c r="C113" s="106">
        <f>SUMIF(TableauFA1[N° remise chèque 1],'remises de cheques'!$A113,TableauFA1[Montant chèque 1])</f>
        <v>0</v>
      </c>
      <c r="D113" s="106">
        <f>SUMIF(TableauFA1[N° remise chèque 2],'remises de cheques'!$A113,TableauFA1[Montant chèque 2])</f>
        <v>0</v>
      </c>
      <c r="E113" s="106">
        <f>SUMIF(TableauFA1[N° remise chèque 3],'remises de cheques'!$A113,TableauFA1[Montant chèque 3])</f>
        <v>0</v>
      </c>
      <c r="F113" s="106">
        <f>SUMIF(TableauFA2[N° remise chèque 1],'remises de cheques'!$A113,TableauFA2[Montant chèque 1])</f>
        <v>0</v>
      </c>
      <c r="G113" s="106">
        <f>SUMIF(TableauFA2[N° remise chèque 2],'remises de cheques'!$A113,TableauFA2[Montant chèque 2])</f>
        <v>0</v>
      </c>
      <c r="H113" s="106">
        <f>SUMIF(TableauFA2[N° remise chèque 3],'remises de cheques'!$A113,TableauFA2[Montant chèque 3])</f>
        <v>0</v>
      </c>
      <c r="I113" s="106">
        <f>SUMIF(TableauFfinale[N° remise chèque 1],'remises de cheques'!$A113,TableauFfinale[Montant chèque 1])</f>
        <v>0</v>
      </c>
      <c r="J113" s="106">
        <f>SUMIF(TableauFfinale[N° remise chèque 2],'remises de cheques'!$A113,TableauFfinale[Montant chèque 2])</f>
        <v>0</v>
      </c>
      <c r="K113" s="106">
        <f>SUMIF(TableauFfinale[N° remise chèque 3],'remises de cheques'!$A113,TableauFfinale[Montant chèque 3])</f>
        <v>0</v>
      </c>
      <c r="L113" s="107">
        <f t="shared" si="3"/>
        <v>0</v>
      </c>
      <c r="N113" s="138" t="s">
        <v>202</v>
      </c>
      <c r="O113" s="146" t="s">
        <v>202</v>
      </c>
      <c r="P113" s="139" t="s">
        <v>206</v>
      </c>
      <c r="Q113" s="161"/>
      <c r="R113" s="185">
        <v>363.68</v>
      </c>
    </row>
    <row r="114" spans="1:18" ht="24" hidden="1" x14ac:dyDescent="0.3">
      <c r="A114" s="140">
        <v>3476174</v>
      </c>
      <c r="B114" s="108">
        <v>42270</v>
      </c>
      <c r="C114" s="106">
        <f>SUMIF(TableauFA1[N° remise chèque 1],'remises de cheques'!$A114,TableauFA1[Montant chèque 1])</f>
        <v>0</v>
      </c>
      <c r="D114" s="106">
        <f>SUMIF(TableauFA1[N° remise chèque 2],'remises de cheques'!$A114,TableauFA1[Montant chèque 2])</f>
        <v>0</v>
      </c>
      <c r="E114" s="106">
        <f>SUMIF(TableauFA1[N° remise chèque 3],'remises de cheques'!$A114,TableauFA1[Montant chèque 3])</f>
        <v>0</v>
      </c>
      <c r="F114" s="106">
        <f>SUMIF(TableauFA2[N° remise chèque 1],'remises de cheques'!$A114,TableauFA2[Montant chèque 1])</f>
        <v>0</v>
      </c>
      <c r="G114" s="106">
        <f>SUMIF(TableauFA2[N° remise chèque 2],'remises de cheques'!$A114,TableauFA2[Montant chèque 2])</f>
        <v>0</v>
      </c>
      <c r="H114" s="106">
        <f>SUMIF(TableauFA2[N° remise chèque 3],'remises de cheques'!$A114,TableauFA2[Montant chèque 3])</f>
        <v>0</v>
      </c>
      <c r="I114" s="106">
        <f>SUMIF(TableauFfinale[N° remise chèque 1],'remises de cheques'!$A114,TableauFfinale[Montant chèque 1])</f>
        <v>0</v>
      </c>
      <c r="J114" s="106">
        <f>SUMIF(TableauFfinale[N° remise chèque 2],'remises de cheques'!$A114,TableauFfinale[Montant chèque 2])</f>
        <v>0</v>
      </c>
      <c r="K114" s="106">
        <f>SUMIF(TableauFfinale[N° remise chèque 3],'remises de cheques'!$A114,TableauFfinale[Montant chèque 3])</f>
        <v>0</v>
      </c>
      <c r="L114" s="107">
        <f t="shared" si="3"/>
        <v>0</v>
      </c>
      <c r="N114" s="138" t="s">
        <v>202</v>
      </c>
      <c r="O114" s="146" t="s">
        <v>202</v>
      </c>
      <c r="P114" s="139" t="s">
        <v>205</v>
      </c>
      <c r="Q114" s="161"/>
      <c r="R114" s="185">
        <v>9014.2999999999993</v>
      </c>
    </row>
    <row r="115" spans="1:18" ht="22.5" hidden="1" x14ac:dyDescent="0.3">
      <c r="A115" s="140">
        <v>3476175</v>
      </c>
      <c r="B115" s="108">
        <v>42289</v>
      </c>
      <c r="C115" s="106">
        <f>SUMIF(TableauFA1[N° remise chèque 1],'remises de cheques'!$A115,TableauFA1[Montant chèque 1])</f>
        <v>0</v>
      </c>
      <c r="D115" s="106">
        <f>SUMIF(TableauFA1[N° remise chèque 2],'remises de cheques'!$A115,TableauFA1[Montant chèque 2])</f>
        <v>0</v>
      </c>
      <c r="E115" s="106">
        <f>SUMIF(TableauFA1[N° remise chèque 3],'remises de cheques'!$A115,TableauFA1[Montant chèque 3])</f>
        <v>0</v>
      </c>
      <c r="F115" s="106">
        <f>SUMIF(TableauFA2[N° remise chèque 1],'remises de cheques'!$A115,TableauFA2[Montant chèque 1])</f>
        <v>0</v>
      </c>
      <c r="G115" s="106">
        <f>SUMIF(TableauFA2[N° remise chèque 2],'remises de cheques'!$A115,TableauFA2[Montant chèque 2])</f>
        <v>0</v>
      </c>
      <c r="H115" s="106">
        <f>SUMIF(TableauFA2[N° remise chèque 3],'remises de cheques'!$A115,TableauFA2[Montant chèque 3])</f>
        <v>0</v>
      </c>
      <c r="I115" s="106">
        <f>SUMIF(TableauFfinale[N° remise chèque 1],'remises de cheques'!$A115,TableauFfinale[Montant chèque 1])</f>
        <v>0</v>
      </c>
      <c r="J115" s="106">
        <f>SUMIF(TableauFfinale[N° remise chèque 2],'remises de cheques'!$A115,TableauFfinale[Montant chèque 2])</f>
        <v>0</v>
      </c>
      <c r="K115" s="106">
        <f>SUMIF(TableauFfinale[N° remise chèque 3],'remises de cheques'!$A115,TableauFfinale[Montant chèque 3])</f>
        <v>0</v>
      </c>
      <c r="L115" s="107">
        <f t="shared" si="3"/>
        <v>0</v>
      </c>
      <c r="N115" s="109" t="s">
        <v>121</v>
      </c>
      <c r="O115" s="145" t="s">
        <v>121</v>
      </c>
      <c r="P115" s="110" t="s">
        <v>134</v>
      </c>
      <c r="Q115" s="160"/>
      <c r="R115" s="184">
        <v>143.76</v>
      </c>
    </row>
    <row r="116" spans="1:18" ht="22.5" hidden="1" x14ac:dyDescent="0.3">
      <c r="A116" s="140">
        <v>3476176</v>
      </c>
      <c r="B116" s="108">
        <v>42289</v>
      </c>
      <c r="C116" s="106">
        <f>SUMIF(TableauFA1[N° remise chèque 1],'remises de cheques'!$A116,TableauFA1[Montant chèque 1])</f>
        <v>0</v>
      </c>
      <c r="D116" s="106">
        <f>SUMIF(TableauFA1[N° remise chèque 2],'remises de cheques'!$A116,TableauFA1[Montant chèque 2])</f>
        <v>0</v>
      </c>
      <c r="E116" s="106">
        <f>SUMIF(TableauFA1[N° remise chèque 3],'remises de cheques'!$A116,TableauFA1[Montant chèque 3])</f>
        <v>0</v>
      </c>
      <c r="F116" s="106">
        <f>SUMIF(TableauFA2[N° remise chèque 1],'remises de cheques'!$A116,TableauFA2[Montant chèque 1])</f>
        <v>0</v>
      </c>
      <c r="G116" s="106">
        <f>SUMIF(TableauFA2[N° remise chèque 2],'remises de cheques'!$A116,TableauFA2[Montant chèque 2])</f>
        <v>0</v>
      </c>
      <c r="H116" s="106">
        <f>SUMIF(TableauFA2[N° remise chèque 3],'remises de cheques'!$A116,TableauFA2[Montant chèque 3])</f>
        <v>0</v>
      </c>
      <c r="I116" s="106">
        <f>SUMIF(TableauFfinale[N° remise chèque 1],'remises de cheques'!$A116,TableauFfinale[Montant chèque 1])</f>
        <v>0</v>
      </c>
      <c r="J116" s="106">
        <f>SUMIF(TableauFfinale[N° remise chèque 2],'remises de cheques'!$A116,TableauFfinale[Montant chèque 2])</f>
        <v>0</v>
      </c>
      <c r="K116" s="106">
        <f>SUMIF(TableauFfinale[N° remise chèque 3],'remises de cheques'!$A116,TableauFfinale[Montant chèque 3])</f>
        <v>0</v>
      </c>
      <c r="L116" s="107">
        <f t="shared" si="3"/>
        <v>0</v>
      </c>
      <c r="N116" s="109" t="s">
        <v>121</v>
      </c>
      <c r="O116" s="145" t="s">
        <v>121</v>
      </c>
      <c r="P116" s="110" t="s">
        <v>127</v>
      </c>
      <c r="Q116" s="160"/>
      <c r="R116" s="184">
        <v>1492.8</v>
      </c>
    </row>
    <row r="117" spans="1:18" hidden="1" x14ac:dyDescent="0.3">
      <c r="A117" s="140">
        <v>3476177</v>
      </c>
      <c r="B117" s="108"/>
      <c r="C117" s="106">
        <f>SUMIF(TableauFA1[N° remise chèque 1],'remises de cheques'!$A117,TableauFA1[Montant chèque 1])</f>
        <v>0</v>
      </c>
      <c r="D117" s="106">
        <f>SUMIF(TableauFA1[N° remise chèque 2],'remises de cheques'!$A117,TableauFA1[Montant chèque 2])</f>
        <v>0</v>
      </c>
      <c r="E117" s="106">
        <f>SUMIF(TableauFA1[N° remise chèque 3],'remises de cheques'!$A117,TableauFA1[Montant chèque 3])</f>
        <v>0</v>
      </c>
      <c r="F117" s="106">
        <f>SUMIF(TableauFA2[N° remise chèque 1],'remises de cheques'!$A117,TableauFA2[Montant chèque 1])</f>
        <v>0</v>
      </c>
      <c r="G117" s="106">
        <f>SUMIF(TableauFA2[N° remise chèque 2],'remises de cheques'!$A117,TableauFA2[Montant chèque 2])</f>
        <v>0</v>
      </c>
      <c r="H117" s="106">
        <f>SUMIF(TableauFA2[N° remise chèque 3],'remises de cheques'!$A117,TableauFA2[Montant chèque 3])</f>
        <v>0</v>
      </c>
      <c r="I117" s="106">
        <f>SUMIF(TableauFfinale[N° remise chèque 1],'remises de cheques'!$A117,TableauFfinale[Montant chèque 1])</f>
        <v>0</v>
      </c>
      <c r="J117" s="106">
        <f>SUMIF(TableauFfinale[N° remise chèque 2],'remises de cheques'!$A117,TableauFfinale[Montant chèque 2])</f>
        <v>0</v>
      </c>
      <c r="K117" s="106">
        <f>SUMIF(TableauFfinale[N° remise chèque 3],'remises de cheques'!$A117,TableauFfinale[Montant chèque 3])</f>
        <v>0</v>
      </c>
      <c r="L117" s="107">
        <f t="shared" si="3"/>
        <v>0</v>
      </c>
      <c r="N117" s="111" t="s">
        <v>218</v>
      </c>
      <c r="Q117" s="159"/>
      <c r="R117" s="183"/>
    </row>
    <row r="118" spans="1:18" ht="56.25" hidden="1" x14ac:dyDescent="0.3">
      <c r="A118" s="140" t="s">
        <v>137</v>
      </c>
      <c r="B118" s="108">
        <v>42278</v>
      </c>
      <c r="C118" s="106">
        <f>SUMIF(TableauFA1[N° remise chèque 1],'remises de cheques'!$A118,TableauFA1[Montant chèque 1])</f>
        <v>0</v>
      </c>
      <c r="D118" s="106">
        <f>SUMIF(TableauFA1[N° remise chèque 2],'remises de cheques'!$A118,TableauFA1[Montant chèque 2])</f>
        <v>0</v>
      </c>
      <c r="E118" s="106">
        <f>SUMIF(TableauFA1[N° remise chèque 3],'remises de cheques'!$A118,TableauFA1[Montant chèque 3])</f>
        <v>0</v>
      </c>
      <c r="F118" s="106">
        <f>SUMIF(TableauFA2[N° remise chèque 1],'remises de cheques'!$A118,TableauFA2[Montant chèque 1])</f>
        <v>0</v>
      </c>
      <c r="G118" s="106">
        <f>SUMIF(TableauFA2[N° remise chèque 2],'remises de cheques'!$A118,TableauFA2[Montant chèque 2])</f>
        <v>0</v>
      </c>
      <c r="H118" s="106">
        <f>SUMIF(TableauFA2[N° remise chèque 3],'remises de cheques'!$A118,TableauFA2[Montant chèque 3])</f>
        <v>0</v>
      </c>
      <c r="I118" s="106">
        <f>SUMIF(TableauFfinale[N° remise chèque 1],'remises de cheques'!$A118,TableauFfinale[Montant chèque 1])</f>
        <v>0</v>
      </c>
      <c r="J118" s="106">
        <f>SUMIF(TableauFfinale[N° remise chèque 2],'remises de cheques'!$A118,TableauFfinale[Montant chèque 2])</f>
        <v>0</v>
      </c>
      <c r="K118" s="106">
        <f>SUMIF(TableauFfinale[N° remise chèque 3],'remises de cheques'!$A118,TableauFfinale[Montant chèque 3])</f>
        <v>0</v>
      </c>
      <c r="L118" s="107">
        <f t="shared" si="3"/>
        <v>0</v>
      </c>
      <c r="N118" s="109" t="s">
        <v>138</v>
      </c>
      <c r="O118" s="145" t="s">
        <v>138</v>
      </c>
      <c r="P118" s="110" t="s">
        <v>139</v>
      </c>
      <c r="Q118" s="160"/>
      <c r="R118" s="184">
        <v>243.6</v>
      </c>
    </row>
    <row r="119" spans="1:18" ht="56.25" hidden="1" x14ac:dyDescent="0.3">
      <c r="A119" s="140" t="s">
        <v>136</v>
      </c>
      <c r="B119" s="108">
        <v>42278</v>
      </c>
      <c r="C119" s="106">
        <f>SUMIF(TableauFA1[N° remise chèque 1],'remises de cheques'!$A119,TableauFA1[Montant chèque 1])</f>
        <v>0</v>
      </c>
      <c r="D119" s="106">
        <f>SUMIF(TableauFA1[N° remise chèque 2],'remises de cheques'!$A119,TableauFA1[Montant chèque 2])</f>
        <v>0</v>
      </c>
      <c r="E119" s="106">
        <f>SUMIF(TableauFA1[N° remise chèque 3],'remises de cheques'!$A119,TableauFA1[Montant chèque 3])</f>
        <v>0</v>
      </c>
      <c r="F119" s="106">
        <f>SUMIF(TableauFA2[N° remise chèque 1],'remises de cheques'!$A119,TableauFA2[Montant chèque 1])</f>
        <v>0</v>
      </c>
      <c r="G119" s="106">
        <f>SUMIF(TableauFA2[N° remise chèque 2],'remises de cheques'!$A119,TableauFA2[Montant chèque 2])</f>
        <v>0</v>
      </c>
      <c r="H119" s="106">
        <f>SUMIF(TableauFA2[N° remise chèque 3],'remises de cheques'!$A119,TableauFA2[Montant chèque 3])</f>
        <v>0</v>
      </c>
      <c r="I119" s="106">
        <f>SUMIF(TableauFfinale[N° remise chèque 1],'remises de cheques'!$A119,TableauFfinale[Montant chèque 1])</f>
        <v>0</v>
      </c>
      <c r="J119" s="106">
        <f>SUMIF(TableauFfinale[N° remise chèque 2],'remises de cheques'!$A119,TableauFfinale[Montant chèque 2])</f>
        <v>0</v>
      </c>
      <c r="K119" s="106">
        <f>SUMIF(TableauFfinale[N° remise chèque 3],'remises de cheques'!$A119,TableauFfinale[Montant chèque 3])</f>
        <v>0</v>
      </c>
      <c r="L119" s="107">
        <f t="shared" si="3"/>
        <v>0</v>
      </c>
      <c r="N119" s="109" t="s">
        <v>138</v>
      </c>
      <c r="O119" s="145" t="s">
        <v>138</v>
      </c>
      <c r="P119" s="110" t="s">
        <v>139</v>
      </c>
      <c r="Q119" s="160"/>
      <c r="R119" s="184">
        <v>628.79999999999995</v>
      </c>
    </row>
    <row r="120" spans="1:18" ht="91.5" hidden="1" x14ac:dyDescent="0.3">
      <c r="A120" s="140" t="s">
        <v>116</v>
      </c>
      <c r="B120" s="108">
        <v>42276</v>
      </c>
      <c r="C120" s="106">
        <f>SUMIF(TableauFA1[N° remise chèque 1],'remises de cheques'!$A120,TableauFA1[Montant chèque 1])</f>
        <v>0</v>
      </c>
      <c r="D120" s="106">
        <f>SUMIF(TableauFA1[N° remise chèque 2],'remises de cheques'!$A120,TableauFA1[Montant chèque 2])</f>
        <v>0</v>
      </c>
      <c r="E120" s="106">
        <f>SUMIF(TableauFA1[N° remise chèque 3],'remises de cheques'!$A120,TableauFA1[Montant chèque 3])</f>
        <v>0</v>
      </c>
      <c r="F120" s="106">
        <f>SUMIF(TableauFA2[N° remise chèque 1],'remises de cheques'!$A120,TableauFA2[Montant chèque 1])</f>
        <v>0</v>
      </c>
      <c r="G120" s="106">
        <f>SUMIF(TableauFA2[N° remise chèque 2],'remises de cheques'!$A120,TableauFA2[Montant chèque 2])</f>
        <v>0</v>
      </c>
      <c r="H120" s="106">
        <f>SUMIF(TableauFA2[N° remise chèque 3],'remises de cheques'!$A120,TableauFA2[Montant chèque 3])</f>
        <v>0</v>
      </c>
      <c r="I120" s="106">
        <f>SUMIF(TableauFfinale[N° remise chèque 1],'remises de cheques'!$A120,TableauFfinale[Montant chèque 1])</f>
        <v>0</v>
      </c>
      <c r="J120" s="106">
        <f>SUMIF(TableauFfinale[N° remise chèque 2],'remises de cheques'!$A120,TableauFfinale[Montant chèque 2])</f>
        <v>0</v>
      </c>
      <c r="K120" s="106">
        <f>SUMIF(TableauFfinale[N° remise chèque 3],'remises de cheques'!$A120,TableauFfinale[Montant chèque 3])</f>
        <v>0</v>
      </c>
      <c r="L120" s="107">
        <v>3318.46</v>
      </c>
      <c r="N120" s="132" t="s">
        <v>198</v>
      </c>
      <c r="O120" s="147" t="s">
        <v>198</v>
      </c>
      <c r="P120" s="133" t="s">
        <v>199</v>
      </c>
      <c r="Q120" s="162"/>
      <c r="R120" s="185">
        <v>3318.46</v>
      </c>
    </row>
    <row r="121" spans="1:18" ht="57.75" hidden="1" x14ac:dyDescent="0.3">
      <c r="A121" s="140" t="s">
        <v>221</v>
      </c>
      <c r="B121" s="108">
        <v>42264</v>
      </c>
      <c r="C121" s="106">
        <f>SUMIF(TableauFA1[N° remise chèque 1],'remises de cheques'!$A121,TableauFA1[Montant chèque 1])</f>
        <v>0</v>
      </c>
      <c r="D121" s="106">
        <f>SUMIF(TableauFA1[N° remise chèque 2],'remises de cheques'!$A121,TableauFA1[Montant chèque 2])</f>
        <v>0</v>
      </c>
      <c r="E121" s="106">
        <f>SUMIF(TableauFA1[N° remise chèque 3],'remises de cheques'!$A121,TableauFA1[Montant chèque 3])</f>
        <v>0</v>
      </c>
      <c r="F121" s="106">
        <f>SUMIF(TableauFA2[N° remise chèque 1],'remises de cheques'!$A121,TableauFA2[Montant chèque 1])</f>
        <v>0</v>
      </c>
      <c r="G121" s="106">
        <f>SUMIF(TableauFA2[N° remise chèque 2],'remises de cheques'!$A121,TableauFA2[Montant chèque 2])</f>
        <v>0</v>
      </c>
      <c r="H121" s="106">
        <f>SUMIF(TableauFA2[N° remise chèque 3],'remises de cheques'!$A121,TableauFA2[Montant chèque 3])</f>
        <v>0</v>
      </c>
      <c r="I121" s="106">
        <f>SUMIF(TableauFfinale[N° remise chèque 1],'remises de cheques'!$A121,TableauFfinale[Montant chèque 1])</f>
        <v>0</v>
      </c>
      <c r="J121" s="106">
        <f>SUMIF(TableauFfinale[N° remise chèque 2],'remises de cheques'!$A121,TableauFfinale[Montant chèque 2])</f>
        <v>0</v>
      </c>
      <c r="K121" s="106">
        <f>SUMIF(TableauFfinale[N° remise chèque 3],'remises de cheques'!$A121,TableauFfinale[Montant chèque 3])</f>
        <v>0</v>
      </c>
      <c r="L121" s="107">
        <v>80.72</v>
      </c>
      <c r="N121" s="138" t="s">
        <v>208</v>
      </c>
      <c r="O121" s="146" t="s">
        <v>208</v>
      </c>
      <c r="P121" s="139" t="s">
        <v>209</v>
      </c>
      <c r="Q121" s="161"/>
      <c r="R121" s="185">
        <v>80.72</v>
      </c>
    </row>
    <row r="122" spans="1:18" ht="22.5" hidden="1" x14ac:dyDescent="0.3">
      <c r="A122" s="141">
        <v>8612239</v>
      </c>
      <c r="B122" s="108">
        <v>42289</v>
      </c>
      <c r="C122" s="106">
        <f>SUMIF(TableauFA1[N° remise chèque 1],'remises de cheques'!$A122,TableauFA1[Montant chèque 1])</f>
        <v>0</v>
      </c>
      <c r="D122" s="106">
        <f>SUMIF(TableauFA1[N° remise chèque 2],'remises de cheques'!$A122,TableauFA1[Montant chèque 2])</f>
        <v>0</v>
      </c>
      <c r="E122" s="106">
        <f>SUMIF(TableauFA1[N° remise chèque 3],'remises de cheques'!$A122,TableauFA1[Montant chèque 3])</f>
        <v>0</v>
      </c>
      <c r="F122" s="106">
        <f>SUMIF(TableauFA2[N° remise chèque 1],'remises de cheques'!$A122,TableauFA2[Montant chèque 1])</f>
        <v>0</v>
      </c>
      <c r="G122" s="106">
        <f>SUMIF(TableauFA2[N° remise chèque 2],'remises de cheques'!$A122,TableauFA2[Montant chèque 2])</f>
        <v>0</v>
      </c>
      <c r="H122" s="106">
        <f>SUMIF(TableauFA2[N° remise chèque 3],'remises de cheques'!$A122,TableauFA2[Montant chèque 3])</f>
        <v>0</v>
      </c>
      <c r="I122" s="106">
        <f>SUMIF(TableauFfinale[N° remise chèque 1],'remises de cheques'!$A122,TableauFfinale[Montant chèque 1])</f>
        <v>0</v>
      </c>
      <c r="J122" s="106">
        <f>SUMIF(TableauFfinale[N° remise chèque 2],'remises de cheques'!$A122,TableauFfinale[Montant chèque 2])</f>
        <v>0</v>
      </c>
      <c r="K122" s="106">
        <f>SUMIF(TableauFfinale[N° remise chèque 3],'remises de cheques'!$A122,TableauFfinale[Montant chèque 3])</f>
        <v>0</v>
      </c>
      <c r="L122" s="107">
        <f t="shared" si="3"/>
        <v>0</v>
      </c>
      <c r="N122" s="109" t="s">
        <v>121</v>
      </c>
      <c r="O122" s="145" t="s">
        <v>121</v>
      </c>
      <c r="P122" s="110" t="s">
        <v>133</v>
      </c>
      <c r="Q122" s="160"/>
      <c r="R122" s="184">
        <v>420.12</v>
      </c>
    </row>
    <row r="123" spans="1:18" ht="22.5" hidden="1" x14ac:dyDescent="0.3">
      <c r="A123" s="141">
        <v>8612240</v>
      </c>
      <c r="B123" s="108">
        <v>42289</v>
      </c>
      <c r="C123" s="106">
        <f>SUMIF(TableauFA1[N° remise chèque 1],'remises de cheques'!$A123,TableauFA1[Montant chèque 1])</f>
        <v>0</v>
      </c>
      <c r="D123" s="106">
        <f>SUMIF(TableauFA1[N° remise chèque 2],'remises de cheques'!$A123,TableauFA1[Montant chèque 2])</f>
        <v>0</v>
      </c>
      <c r="E123" s="106">
        <f>SUMIF(TableauFA1[N° remise chèque 3],'remises de cheques'!$A123,TableauFA1[Montant chèque 3])</f>
        <v>0</v>
      </c>
      <c r="F123" s="106">
        <f>SUMIF(TableauFA2[N° remise chèque 1],'remises de cheques'!$A123,TableauFA2[Montant chèque 1])</f>
        <v>0</v>
      </c>
      <c r="G123" s="106">
        <f>SUMIF(TableauFA2[N° remise chèque 2],'remises de cheques'!$A123,TableauFA2[Montant chèque 2])</f>
        <v>0</v>
      </c>
      <c r="H123" s="106">
        <f>SUMIF(TableauFA2[N° remise chèque 3],'remises de cheques'!$A123,TableauFA2[Montant chèque 3])</f>
        <v>0</v>
      </c>
      <c r="I123" s="106">
        <f>SUMIF(TableauFfinale[N° remise chèque 1],'remises de cheques'!$A123,TableauFfinale[Montant chèque 1])</f>
        <v>0</v>
      </c>
      <c r="J123" s="106">
        <f>SUMIF(TableauFfinale[N° remise chèque 2],'remises de cheques'!$A123,TableauFfinale[Montant chèque 2])</f>
        <v>0</v>
      </c>
      <c r="K123" s="106">
        <f>SUMIF(TableauFfinale[N° remise chèque 3],'remises de cheques'!$A123,TableauFfinale[Montant chèque 3])</f>
        <v>0</v>
      </c>
      <c r="L123" s="107">
        <f t="shared" si="3"/>
        <v>0</v>
      </c>
      <c r="N123" s="109" t="s">
        <v>121</v>
      </c>
      <c r="O123" s="145" t="s">
        <v>121</v>
      </c>
      <c r="P123" s="110" t="s">
        <v>132</v>
      </c>
      <c r="Q123" s="160"/>
      <c r="R123" s="184">
        <v>705</v>
      </c>
    </row>
    <row r="124" spans="1:18" ht="22.5" hidden="1" x14ac:dyDescent="0.3">
      <c r="A124" s="141">
        <v>8612241</v>
      </c>
      <c r="B124" s="108">
        <v>42289</v>
      </c>
      <c r="C124" s="106">
        <f>SUMIF(TableauFA1[N° remise chèque 1],'remises de cheques'!$A124,TableauFA1[Montant chèque 1])</f>
        <v>0</v>
      </c>
      <c r="D124" s="106">
        <f>SUMIF(TableauFA1[N° remise chèque 2],'remises de cheques'!$A124,TableauFA1[Montant chèque 2])</f>
        <v>0</v>
      </c>
      <c r="E124" s="106">
        <f>SUMIF(TableauFA1[N° remise chèque 3],'remises de cheques'!$A124,TableauFA1[Montant chèque 3])</f>
        <v>0</v>
      </c>
      <c r="F124" s="106">
        <f>SUMIF(TableauFA2[N° remise chèque 1],'remises de cheques'!$A124,TableauFA2[Montant chèque 1])</f>
        <v>0</v>
      </c>
      <c r="G124" s="106">
        <f>SUMIF(TableauFA2[N° remise chèque 2],'remises de cheques'!$A124,TableauFA2[Montant chèque 2])</f>
        <v>0</v>
      </c>
      <c r="H124" s="106">
        <f>SUMIF(TableauFA2[N° remise chèque 3],'remises de cheques'!$A124,TableauFA2[Montant chèque 3])</f>
        <v>0</v>
      </c>
      <c r="I124" s="106">
        <f>SUMIF(TableauFfinale[N° remise chèque 1],'remises de cheques'!$A124,TableauFfinale[Montant chèque 1])</f>
        <v>0</v>
      </c>
      <c r="J124" s="106">
        <f>SUMIF(TableauFfinale[N° remise chèque 2],'remises de cheques'!$A124,TableauFfinale[Montant chèque 2])</f>
        <v>0</v>
      </c>
      <c r="K124" s="106">
        <f>SUMIF(TableauFfinale[N° remise chèque 3],'remises de cheques'!$A124,TableauFfinale[Montant chèque 3])</f>
        <v>0</v>
      </c>
      <c r="L124" s="107">
        <f t="shared" si="3"/>
        <v>0</v>
      </c>
      <c r="N124" s="109" t="s">
        <v>121</v>
      </c>
      <c r="O124" s="145" t="s">
        <v>121</v>
      </c>
      <c r="P124" s="110" t="s">
        <v>124</v>
      </c>
      <c r="Q124" s="160"/>
      <c r="R124" s="184">
        <v>2402</v>
      </c>
    </row>
    <row r="125" spans="1:18" ht="22.5" hidden="1" x14ac:dyDescent="0.3">
      <c r="A125" s="141">
        <v>8612242</v>
      </c>
      <c r="B125" s="108">
        <v>42289</v>
      </c>
      <c r="C125" s="106">
        <f>SUMIF(TableauFA1[N° remise chèque 1],'remises de cheques'!$A125,TableauFA1[Montant chèque 1])</f>
        <v>0</v>
      </c>
      <c r="D125" s="106">
        <f>SUMIF(TableauFA1[N° remise chèque 2],'remises de cheques'!$A125,TableauFA1[Montant chèque 2])</f>
        <v>0</v>
      </c>
      <c r="E125" s="106">
        <f>SUMIF(TableauFA1[N° remise chèque 3],'remises de cheques'!$A125,TableauFA1[Montant chèque 3])</f>
        <v>0</v>
      </c>
      <c r="F125" s="106">
        <f>SUMIF(TableauFA2[N° remise chèque 1],'remises de cheques'!$A125,TableauFA2[Montant chèque 1])</f>
        <v>0</v>
      </c>
      <c r="G125" s="106">
        <f>SUMIF(TableauFA2[N° remise chèque 2],'remises de cheques'!$A125,TableauFA2[Montant chèque 2])</f>
        <v>0</v>
      </c>
      <c r="H125" s="106">
        <f>SUMIF(TableauFA2[N° remise chèque 3],'remises de cheques'!$A125,TableauFA2[Montant chèque 3])</f>
        <v>0</v>
      </c>
      <c r="I125" s="106">
        <f>SUMIF(TableauFfinale[N° remise chèque 1],'remises de cheques'!$A125,TableauFfinale[Montant chèque 1])</f>
        <v>0</v>
      </c>
      <c r="J125" s="106">
        <f>SUMIF(TableauFfinale[N° remise chèque 2],'remises de cheques'!$A125,TableauFfinale[Montant chèque 2])</f>
        <v>0</v>
      </c>
      <c r="K125" s="106">
        <f>SUMIF(TableauFfinale[N° remise chèque 3],'remises de cheques'!$A125,TableauFfinale[Montant chèque 3])</f>
        <v>0</v>
      </c>
      <c r="L125" s="107">
        <f t="shared" si="3"/>
        <v>0</v>
      </c>
      <c r="N125" s="109" t="s">
        <v>121</v>
      </c>
      <c r="O125" s="145" t="s">
        <v>121</v>
      </c>
      <c r="P125" s="110" t="s">
        <v>131</v>
      </c>
      <c r="Q125" s="160"/>
      <c r="R125" s="184">
        <v>902.66</v>
      </c>
    </row>
    <row r="126" spans="1:18" ht="22.5" hidden="1" x14ac:dyDescent="0.3">
      <c r="A126" s="141">
        <v>8612243</v>
      </c>
      <c r="B126" s="108">
        <v>42289</v>
      </c>
      <c r="C126" s="106">
        <f>SUMIF(TableauFA1[N° remise chèque 1],'remises de cheques'!$A126,TableauFA1[Montant chèque 1])</f>
        <v>0</v>
      </c>
      <c r="D126" s="106">
        <f>SUMIF(TableauFA1[N° remise chèque 2],'remises de cheques'!$A126,TableauFA1[Montant chèque 2])</f>
        <v>0</v>
      </c>
      <c r="E126" s="106">
        <f>SUMIF(TableauFA1[N° remise chèque 3],'remises de cheques'!$A126,TableauFA1[Montant chèque 3])</f>
        <v>0</v>
      </c>
      <c r="F126" s="106">
        <f>SUMIF(TableauFA2[N° remise chèque 1],'remises de cheques'!$A126,TableauFA2[Montant chèque 1])</f>
        <v>0</v>
      </c>
      <c r="G126" s="106">
        <f>SUMIF(TableauFA2[N° remise chèque 2],'remises de cheques'!$A126,TableauFA2[Montant chèque 2])</f>
        <v>0</v>
      </c>
      <c r="H126" s="106">
        <f>SUMIF(TableauFA2[N° remise chèque 3],'remises de cheques'!$A126,TableauFA2[Montant chèque 3])</f>
        <v>0</v>
      </c>
      <c r="I126" s="106">
        <f>SUMIF(TableauFfinale[N° remise chèque 1],'remises de cheques'!$A126,TableauFfinale[Montant chèque 1])</f>
        <v>0</v>
      </c>
      <c r="J126" s="106">
        <f>SUMIF(TableauFfinale[N° remise chèque 2],'remises de cheques'!$A126,TableauFfinale[Montant chèque 2])</f>
        <v>0</v>
      </c>
      <c r="K126" s="106">
        <f>SUMIF(TableauFfinale[N° remise chèque 3],'remises de cheques'!$A126,TableauFfinale[Montant chèque 3])</f>
        <v>0</v>
      </c>
      <c r="L126" s="107">
        <f t="shared" si="3"/>
        <v>0</v>
      </c>
      <c r="N126" s="109" t="s">
        <v>121</v>
      </c>
      <c r="O126" s="145" t="s">
        <v>121</v>
      </c>
      <c r="P126" s="110" t="s">
        <v>126</v>
      </c>
      <c r="Q126" s="160"/>
      <c r="R126" s="184">
        <v>1791.36</v>
      </c>
    </row>
    <row r="127" spans="1:18" ht="22.5" hidden="1" x14ac:dyDescent="0.3">
      <c r="A127" s="141">
        <v>8612244</v>
      </c>
      <c r="B127" s="108">
        <v>42289</v>
      </c>
      <c r="C127" s="106">
        <f>SUMIF(TableauFA1[N° remise chèque 1],'remises de cheques'!$A127,TableauFA1[Montant chèque 1])</f>
        <v>0</v>
      </c>
      <c r="D127" s="106">
        <f>SUMIF(TableauFA1[N° remise chèque 2],'remises de cheques'!$A127,TableauFA1[Montant chèque 2])</f>
        <v>0</v>
      </c>
      <c r="E127" s="106">
        <f>SUMIF(TableauFA1[N° remise chèque 3],'remises de cheques'!$A127,TableauFA1[Montant chèque 3])</f>
        <v>0</v>
      </c>
      <c r="F127" s="106">
        <f>SUMIF(TableauFA2[N° remise chèque 1],'remises de cheques'!$A127,TableauFA2[Montant chèque 1])</f>
        <v>0</v>
      </c>
      <c r="G127" s="106">
        <f>SUMIF(TableauFA2[N° remise chèque 2],'remises de cheques'!$A127,TableauFA2[Montant chèque 2])</f>
        <v>0</v>
      </c>
      <c r="H127" s="106">
        <f>SUMIF(TableauFA2[N° remise chèque 3],'remises de cheques'!$A127,TableauFA2[Montant chèque 3])</f>
        <v>0</v>
      </c>
      <c r="I127" s="106">
        <f>SUMIF(TableauFfinale[N° remise chèque 1],'remises de cheques'!$A127,TableauFfinale[Montant chèque 1])</f>
        <v>0</v>
      </c>
      <c r="J127" s="106">
        <f>SUMIF(TableauFfinale[N° remise chèque 2],'remises de cheques'!$A127,TableauFfinale[Montant chèque 2])</f>
        <v>0</v>
      </c>
      <c r="K127" s="106">
        <f>SUMIF(TableauFfinale[N° remise chèque 3],'remises de cheques'!$A127,TableauFfinale[Montant chèque 3])</f>
        <v>0</v>
      </c>
      <c r="L127" s="107">
        <f t="shared" si="3"/>
        <v>0</v>
      </c>
      <c r="N127" s="109" t="s">
        <v>121</v>
      </c>
      <c r="O127" s="145" t="s">
        <v>121</v>
      </c>
      <c r="P127" s="110" t="s">
        <v>123</v>
      </c>
      <c r="Q127" s="160"/>
      <c r="R127" s="184">
        <v>2482.87</v>
      </c>
    </row>
    <row r="128" spans="1:18" ht="22.5" hidden="1" x14ac:dyDescent="0.2">
      <c r="A128" s="141">
        <v>8612245</v>
      </c>
      <c r="B128" s="108">
        <v>42300</v>
      </c>
      <c r="C128" s="106">
        <f>SUMIF(TableauFA1[N° remise chèque 1],'remises de cheques'!$A128,TableauFA1[Montant chèque 1])</f>
        <v>0</v>
      </c>
      <c r="D128" s="106">
        <f>SUMIF(TableauFA1[N° remise chèque 2],'remises de cheques'!$A128,TableauFA1[Montant chèque 2])</f>
        <v>0</v>
      </c>
      <c r="E128" s="106">
        <f>SUMIF(TableauFA1[N° remise chèque 3],'remises de cheques'!$A128,TableauFA1[Montant chèque 3])</f>
        <v>0</v>
      </c>
      <c r="F128" s="106">
        <f>SUMIF(TableauFA2[N° remise chèque 1],'remises de cheques'!$A128,TableauFA2[Montant chèque 1])</f>
        <v>0</v>
      </c>
      <c r="G128" s="106">
        <f>SUMIF(TableauFA2[N° remise chèque 2],'remises de cheques'!$A128,TableauFA2[Montant chèque 2])</f>
        <v>0</v>
      </c>
      <c r="H128" s="106">
        <f>SUMIF(TableauFA2[N° remise chèque 3],'remises de cheques'!$A128,TableauFA2[Montant chèque 3])</f>
        <v>0</v>
      </c>
      <c r="I128" s="106">
        <f>SUMIF(TableauFfinale[N° remise chèque 1],'remises de cheques'!$A128,TableauFfinale[Montant chèque 1])</f>
        <v>0</v>
      </c>
      <c r="J128" s="106">
        <f>SUMIF(TableauFfinale[N° remise chèque 2],'remises de cheques'!$A128,TableauFfinale[Montant chèque 2])</f>
        <v>0</v>
      </c>
      <c r="K128" s="106">
        <f>SUMIF(TableauFfinale[N° remise chèque 3],'remises de cheques'!$A128,TableauFfinale[Montant chèque 3])</f>
        <v>0</v>
      </c>
      <c r="L128" s="107">
        <f t="shared" si="3"/>
        <v>0</v>
      </c>
      <c r="N128" s="125" t="s">
        <v>144</v>
      </c>
      <c r="O128" s="148" t="s">
        <v>144</v>
      </c>
      <c r="P128" s="126" t="s">
        <v>149</v>
      </c>
      <c r="Q128" s="163"/>
      <c r="R128" s="187">
        <v>162.24</v>
      </c>
    </row>
    <row r="129" spans="1:18" ht="22.5" hidden="1" x14ac:dyDescent="0.2">
      <c r="A129" s="141">
        <v>8612246</v>
      </c>
      <c r="B129" s="108">
        <v>42300</v>
      </c>
      <c r="C129" s="106">
        <f>SUMIF(TableauFA1[N° remise chèque 1],'remises de cheques'!$A129,TableauFA1[Montant chèque 1])</f>
        <v>0</v>
      </c>
      <c r="D129" s="106">
        <f>SUMIF(TableauFA1[N° remise chèque 2],'remises de cheques'!$A129,TableauFA1[Montant chèque 2])</f>
        <v>0</v>
      </c>
      <c r="E129" s="106">
        <f>SUMIF(TableauFA1[N° remise chèque 3],'remises de cheques'!$A129,TableauFA1[Montant chèque 3])</f>
        <v>0</v>
      </c>
      <c r="F129" s="106">
        <f>SUMIF(TableauFA2[N° remise chèque 1],'remises de cheques'!$A129,TableauFA2[Montant chèque 1])</f>
        <v>0</v>
      </c>
      <c r="G129" s="106">
        <f>SUMIF(TableauFA2[N° remise chèque 2],'remises de cheques'!$A129,TableauFA2[Montant chèque 2])</f>
        <v>0</v>
      </c>
      <c r="H129" s="106">
        <f>SUMIF(TableauFA2[N° remise chèque 3],'remises de cheques'!$A129,TableauFA2[Montant chèque 3])</f>
        <v>0</v>
      </c>
      <c r="I129" s="106">
        <f>SUMIF(TableauFfinale[N° remise chèque 1],'remises de cheques'!$A129,TableauFfinale[Montant chèque 1])</f>
        <v>0</v>
      </c>
      <c r="J129" s="106">
        <f>SUMIF(TableauFfinale[N° remise chèque 2],'remises de cheques'!$A129,TableauFfinale[Montant chèque 2])</f>
        <v>0</v>
      </c>
      <c r="K129" s="106">
        <f>SUMIF(TableauFfinale[N° remise chèque 3],'remises de cheques'!$A129,TableauFfinale[Montant chèque 3])</f>
        <v>0</v>
      </c>
      <c r="L129" s="107">
        <f t="shared" si="3"/>
        <v>0</v>
      </c>
      <c r="N129" s="123" t="s">
        <v>144</v>
      </c>
      <c r="O129" s="148" t="s">
        <v>144</v>
      </c>
      <c r="P129" s="124" t="s">
        <v>148</v>
      </c>
      <c r="Q129" s="163"/>
      <c r="R129" s="187">
        <v>3300</v>
      </c>
    </row>
    <row r="130" spans="1:18" ht="22.5" hidden="1" x14ac:dyDescent="0.2">
      <c r="A130" s="141">
        <v>8612247</v>
      </c>
      <c r="B130" s="108">
        <v>42300</v>
      </c>
      <c r="C130" s="106">
        <f>SUMIF(TableauFA1[N° remise chèque 1],'remises de cheques'!$A130,TableauFA1[Montant chèque 1])</f>
        <v>0</v>
      </c>
      <c r="D130" s="106">
        <f>SUMIF(TableauFA1[N° remise chèque 2],'remises de cheques'!$A130,TableauFA1[Montant chèque 2])</f>
        <v>0</v>
      </c>
      <c r="E130" s="106">
        <f>SUMIF(TableauFA1[N° remise chèque 3],'remises de cheques'!$A130,TableauFA1[Montant chèque 3])</f>
        <v>0</v>
      </c>
      <c r="F130" s="106">
        <f>SUMIF(TableauFA2[N° remise chèque 1],'remises de cheques'!$A130,TableauFA2[Montant chèque 1])</f>
        <v>0</v>
      </c>
      <c r="G130" s="106">
        <f>SUMIF(TableauFA2[N° remise chèque 2],'remises de cheques'!$A130,TableauFA2[Montant chèque 2])</f>
        <v>0</v>
      </c>
      <c r="H130" s="106">
        <f>SUMIF(TableauFA2[N° remise chèque 3],'remises de cheques'!$A130,TableauFA2[Montant chèque 3])</f>
        <v>0</v>
      </c>
      <c r="I130" s="106">
        <f>SUMIF(TableauFfinale[N° remise chèque 1],'remises de cheques'!$A130,TableauFfinale[Montant chèque 1])</f>
        <v>0</v>
      </c>
      <c r="J130" s="106">
        <f>SUMIF(TableauFfinale[N° remise chèque 2],'remises de cheques'!$A130,TableauFfinale[Montant chèque 2])</f>
        <v>0</v>
      </c>
      <c r="K130" s="106">
        <f>SUMIF(TableauFfinale[N° remise chèque 3],'remises de cheques'!$A130,TableauFfinale[Montant chèque 3])</f>
        <v>0</v>
      </c>
      <c r="L130" s="107">
        <f t="shared" si="3"/>
        <v>0</v>
      </c>
      <c r="N130" s="117" t="s">
        <v>144</v>
      </c>
      <c r="O130" s="148" t="s">
        <v>144</v>
      </c>
      <c r="P130" s="118" t="s">
        <v>145</v>
      </c>
      <c r="Q130" s="163"/>
      <c r="R130" s="187">
        <v>9383.48</v>
      </c>
    </row>
    <row r="131" spans="1:18" ht="22.5" hidden="1" x14ac:dyDescent="0.2">
      <c r="A131" s="141">
        <v>8612248</v>
      </c>
      <c r="B131" s="108">
        <v>42300</v>
      </c>
      <c r="C131" s="106">
        <f>SUMIF(TableauFA1[N° remise chèque 1],'remises de cheques'!$A131,TableauFA1[Montant chèque 1])</f>
        <v>0</v>
      </c>
      <c r="D131" s="106">
        <f>SUMIF(TableauFA1[N° remise chèque 2],'remises de cheques'!$A131,TableauFA1[Montant chèque 2])</f>
        <v>0</v>
      </c>
      <c r="E131" s="106">
        <f>SUMIF(TableauFA1[N° remise chèque 3],'remises de cheques'!$A131,TableauFA1[Montant chèque 3])</f>
        <v>0</v>
      </c>
      <c r="F131" s="106">
        <f>SUMIF(TableauFA2[N° remise chèque 1],'remises de cheques'!$A131,TableauFA2[Montant chèque 1])</f>
        <v>0</v>
      </c>
      <c r="G131" s="106">
        <f>SUMIF(TableauFA2[N° remise chèque 2],'remises de cheques'!$A131,TableauFA2[Montant chèque 2])</f>
        <v>0</v>
      </c>
      <c r="H131" s="106">
        <f>SUMIF(TableauFA2[N° remise chèque 3],'remises de cheques'!$A131,TableauFA2[Montant chèque 3])</f>
        <v>0</v>
      </c>
      <c r="I131" s="106">
        <f>SUMIF(TableauFfinale[N° remise chèque 1],'remises de cheques'!$A131,TableauFfinale[Montant chèque 1])</f>
        <v>0</v>
      </c>
      <c r="J131" s="106">
        <f>SUMIF(TableauFfinale[N° remise chèque 2],'remises de cheques'!$A131,TableauFfinale[Montant chèque 2])</f>
        <v>0</v>
      </c>
      <c r="K131" s="106">
        <f>SUMIF(TableauFfinale[N° remise chèque 3],'remises de cheques'!$A131,TableauFfinale[Montant chèque 3])</f>
        <v>0</v>
      </c>
      <c r="L131" s="107">
        <f t="shared" si="3"/>
        <v>0</v>
      </c>
      <c r="N131" s="121" t="s">
        <v>144</v>
      </c>
      <c r="O131" s="148" t="s">
        <v>144</v>
      </c>
      <c r="P131" s="122" t="s">
        <v>147</v>
      </c>
      <c r="Q131" s="163"/>
      <c r="R131" s="187">
        <v>6000</v>
      </c>
    </row>
    <row r="132" spans="1:18" ht="78.75" hidden="1" x14ac:dyDescent="0.2">
      <c r="A132" s="141" t="s">
        <v>120</v>
      </c>
      <c r="B132" s="108">
        <v>42305</v>
      </c>
      <c r="C132" s="106">
        <f>SUMIF(TableauFA1[N° remise chèque 1],'remises de cheques'!$A132,TableauFA1[Montant chèque 1])</f>
        <v>0</v>
      </c>
      <c r="D132" s="106">
        <f>SUMIF(TableauFA1[N° remise chèque 2],'remises de cheques'!$A132,TableauFA1[Montant chèque 2])</f>
        <v>0</v>
      </c>
      <c r="E132" s="106">
        <f>SUMIF(TableauFA1[N° remise chèque 3],'remises de cheques'!$A132,TableauFA1[Montant chèque 3])</f>
        <v>0</v>
      </c>
      <c r="F132" s="106">
        <f>SUMIF(TableauFA2[N° remise chèque 1],'remises de cheques'!$A132,TableauFA2[Montant chèque 1])</f>
        <v>0</v>
      </c>
      <c r="G132" s="106">
        <f>SUMIF(TableauFA2[N° remise chèque 2],'remises de cheques'!$A132,TableauFA2[Montant chèque 2])</f>
        <v>0</v>
      </c>
      <c r="H132" s="106">
        <f>SUMIF(TableauFA2[N° remise chèque 3],'remises de cheques'!$A132,TableauFA2[Montant chèque 3])</f>
        <v>0</v>
      </c>
      <c r="I132" s="106">
        <f>SUMIF(TableauFfinale[N° remise chèque 1],'remises de cheques'!$A132,TableauFfinale[Montant chèque 1])</f>
        <v>0</v>
      </c>
      <c r="J132" s="106">
        <f>SUMIF(TableauFfinale[N° remise chèque 2],'remises de cheques'!$A132,TableauFfinale[Montant chèque 2])</f>
        <v>0</v>
      </c>
      <c r="K132" s="106">
        <f>SUMIF(TableauFfinale[N° remise chèque 3],'remises de cheques'!$A132,TableauFfinale[Montant chèque 3])</f>
        <v>0</v>
      </c>
      <c r="L132" s="107">
        <f t="shared" si="3"/>
        <v>0</v>
      </c>
      <c r="N132" s="115" t="s">
        <v>142</v>
      </c>
      <c r="O132" s="148" t="s">
        <v>142</v>
      </c>
      <c r="P132" s="116" t="s">
        <v>143</v>
      </c>
      <c r="Q132" s="163"/>
      <c r="R132" s="187">
        <v>3000</v>
      </c>
    </row>
    <row r="133" spans="1:18" ht="101.25" hidden="1" x14ac:dyDescent="0.3">
      <c r="A133" s="141" t="s">
        <v>222</v>
      </c>
      <c r="B133" s="108">
        <v>42289</v>
      </c>
      <c r="C133" s="106">
        <f>SUMIF(TableauFA1[N° remise chèque 1],'remises de cheques'!$A133,TableauFA1[Montant chèque 1])</f>
        <v>0</v>
      </c>
      <c r="D133" s="106">
        <f>SUMIF(TableauFA1[N° remise chèque 2],'remises de cheques'!$A133,TableauFA1[Montant chèque 2])</f>
        <v>0</v>
      </c>
      <c r="E133" s="106">
        <f>SUMIF(TableauFA1[N° remise chèque 3],'remises de cheques'!$A133,TableauFA1[Montant chèque 3])</f>
        <v>0</v>
      </c>
      <c r="F133" s="106">
        <f>SUMIF(TableauFA2[N° remise chèque 1],'remises de cheques'!$A133,TableauFA2[Montant chèque 1])</f>
        <v>0</v>
      </c>
      <c r="G133" s="106">
        <f>SUMIF(TableauFA2[N° remise chèque 2],'remises de cheques'!$A133,TableauFA2[Montant chèque 2])</f>
        <v>0</v>
      </c>
      <c r="H133" s="106">
        <f>SUMIF(TableauFA2[N° remise chèque 3],'remises de cheques'!$A133,TableauFA2[Montant chèque 3])</f>
        <v>0</v>
      </c>
      <c r="I133" s="106">
        <f>SUMIF(TableauFfinale[N° remise chèque 1],'remises de cheques'!$A133,TableauFfinale[Montant chèque 1])</f>
        <v>0</v>
      </c>
      <c r="J133" s="106">
        <f>SUMIF(TableauFfinale[N° remise chèque 2],'remises de cheques'!$A133,TableauFfinale[Montant chèque 2])</f>
        <v>0</v>
      </c>
      <c r="K133" s="106">
        <f>SUMIF(TableauFfinale[N° remise chèque 3],'remises de cheques'!$A133,TableauFfinale[Montant chèque 3])</f>
        <v>0</v>
      </c>
      <c r="L133" s="107">
        <v>2535.6</v>
      </c>
      <c r="N133" s="112" t="s">
        <v>121</v>
      </c>
      <c r="O133" s="149" t="s">
        <v>121</v>
      </c>
      <c r="P133" s="113" t="s">
        <v>135</v>
      </c>
      <c r="Q133" s="164"/>
      <c r="R133" s="188">
        <v>2535.6</v>
      </c>
    </row>
    <row r="134" spans="1:18" ht="80.25" hidden="1" x14ac:dyDescent="0.3">
      <c r="A134" s="141" t="s">
        <v>140</v>
      </c>
      <c r="B134" s="108">
        <v>42327</v>
      </c>
      <c r="C134" s="106">
        <f>SUMIF(TableauFA1[N° remise chèque 1],'remises de cheques'!$A134,TableauFA1[Montant chèque 1])</f>
        <v>0</v>
      </c>
      <c r="D134" s="106">
        <f>SUMIF(TableauFA1[N° remise chèque 2],'remises de cheques'!$A134,TableauFA1[Montant chèque 2])</f>
        <v>0</v>
      </c>
      <c r="E134" s="106">
        <f>SUMIF(TableauFA1[N° remise chèque 3],'remises de cheques'!$A134,TableauFA1[Montant chèque 3])</f>
        <v>0</v>
      </c>
      <c r="F134" s="106">
        <f>SUMIF(TableauFA2[N° remise chèque 1],'remises de cheques'!$A134,TableauFA2[Montant chèque 1])</f>
        <v>0</v>
      </c>
      <c r="G134" s="106">
        <f>SUMIF(TableauFA2[N° remise chèque 2],'remises de cheques'!$A134,TableauFA2[Montant chèque 2])</f>
        <v>0</v>
      </c>
      <c r="H134" s="106">
        <f>SUMIF(TableauFA2[N° remise chèque 3],'remises de cheques'!$A134,TableauFA2[Montant chèque 3])</f>
        <v>0</v>
      </c>
      <c r="I134" s="106">
        <f>SUMIF(TableauFfinale[N° remise chèque 1],'remises de cheques'!$A134,TableauFfinale[Montant chèque 1])</f>
        <v>0</v>
      </c>
      <c r="J134" s="106">
        <f>SUMIF(TableauFfinale[N° remise chèque 2],'remises de cheques'!$A134,TableauFfinale[Montant chèque 2])</f>
        <v>0</v>
      </c>
      <c r="K134" s="106">
        <f>SUMIF(TableauFfinale[N° remise chèque 3],'remises de cheques'!$A134,TableauFfinale[Montant chèque 3])</f>
        <v>0</v>
      </c>
      <c r="L134" s="107">
        <f t="shared" ref="L134" si="4">SUM(C134:K134)</f>
        <v>0</v>
      </c>
      <c r="N134" s="132" t="s">
        <v>154</v>
      </c>
      <c r="O134" s="147" t="s">
        <v>154</v>
      </c>
      <c r="P134" s="133" t="s">
        <v>155</v>
      </c>
      <c r="Q134" s="162"/>
      <c r="R134" s="186">
        <v>3541</v>
      </c>
    </row>
    <row r="135" spans="1:18" ht="80.25" hidden="1" x14ac:dyDescent="0.3">
      <c r="A135" s="141" t="s">
        <v>141</v>
      </c>
      <c r="B135" s="108">
        <v>42310</v>
      </c>
      <c r="C135" s="106">
        <f>SUMIF(TableauFA1[N° remise chèque 1],'remises de cheques'!$A135,TableauFA1[Montant chèque 1])</f>
        <v>0</v>
      </c>
      <c r="D135" s="106">
        <f>SUMIF(TableauFA1[N° remise chèque 2],'remises de cheques'!$A135,TableauFA1[Montant chèque 2])</f>
        <v>0</v>
      </c>
      <c r="E135" s="106">
        <f>SUMIF(TableauFA1[N° remise chèque 3],'remises de cheques'!$A135,TableauFA1[Montant chèque 3])</f>
        <v>0</v>
      </c>
      <c r="F135" s="106">
        <f>SUMIF(TableauFA2[N° remise chèque 1],'remises de cheques'!$A135,TableauFA2[Montant chèque 1])</f>
        <v>0</v>
      </c>
      <c r="G135" s="106">
        <f>SUMIF(TableauFA2[N° remise chèque 2],'remises de cheques'!$A135,TableauFA2[Montant chèque 2])</f>
        <v>0</v>
      </c>
      <c r="H135" s="106">
        <f>SUMIF(TableauFA2[N° remise chèque 3],'remises de cheques'!$A135,TableauFA2[Montant chèque 3])</f>
        <v>0</v>
      </c>
      <c r="I135" s="106">
        <f>SUMIF(TableauFfinale[N° remise chèque 1],'remises de cheques'!$A135,TableauFfinale[Montant chèque 1])</f>
        <v>0</v>
      </c>
      <c r="J135" s="106">
        <f>SUMIF(TableauFfinale[N° remise chèque 2],'remises de cheques'!$A135,TableauFfinale[Montant chèque 2])</f>
        <v>0</v>
      </c>
      <c r="K135" s="106">
        <f>SUMIF(TableauFfinale[N° remise chèque 3],'remises de cheques'!$A135,TableauFfinale[Montant chèque 3])</f>
        <v>0</v>
      </c>
      <c r="L135" s="107">
        <f t="shared" ref="L135" si="5">SUM(C135:K135)</f>
        <v>0</v>
      </c>
      <c r="N135" s="132" t="s">
        <v>167</v>
      </c>
      <c r="O135" s="147" t="s">
        <v>167</v>
      </c>
      <c r="P135" s="133" t="s">
        <v>168</v>
      </c>
      <c r="Q135" s="162"/>
      <c r="R135" s="186">
        <v>4000</v>
      </c>
    </row>
    <row r="136" spans="1:18" ht="57.75" hidden="1" x14ac:dyDescent="0.3">
      <c r="A136" s="141" t="s">
        <v>194</v>
      </c>
      <c r="B136" s="108">
        <v>42339</v>
      </c>
      <c r="C136" s="106">
        <f>SUMIF(TableauFA1[N° remise chèque 1],'remises de cheques'!$A136,TableauFA1[Montant chèque 1])</f>
        <v>0</v>
      </c>
      <c r="D136" s="106">
        <f>SUMIF(TableauFA1[N° remise chèque 2],'remises de cheques'!$A136,TableauFA1[Montant chèque 2])</f>
        <v>0</v>
      </c>
      <c r="E136" s="106">
        <f>SUMIF(TableauFA1[N° remise chèque 3],'remises de cheques'!$A136,TableauFA1[Montant chèque 3])</f>
        <v>0</v>
      </c>
      <c r="F136" s="106">
        <f>SUMIF(TableauFA2[N° remise chèque 1],'remises de cheques'!$A136,TableauFA2[Montant chèque 1])</f>
        <v>0</v>
      </c>
      <c r="G136" s="106">
        <f>SUMIF(TableauFA2[N° remise chèque 2],'remises de cheques'!$A136,TableauFA2[Montant chèque 2])</f>
        <v>0</v>
      </c>
      <c r="H136" s="106">
        <f>SUMIF(TableauFA2[N° remise chèque 3],'remises de cheques'!$A136,TableauFA2[Montant chèque 3])</f>
        <v>0</v>
      </c>
      <c r="I136" s="106">
        <f>SUMIF(TableauFfinale[N° remise chèque 1],'remises de cheques'!$A136,TableauFfinale[Montant chèque 1])</f>
        <v>0</v>
      </c>
      <c r="J136" s="106">
        <f>SUMIF(TableauFfinale[N° remise chèque 2],'remises de cheques'!$A136,TableauFfinale[Montant chèque 2])</f>
        <v>0</v>
      </c>
      <c r="K136" s="106">
        <f>SUMIF(TableauFfinale[N° remise chèque 3],'remises de cheques'!$A136,TableauFfinale[Montant chèque 3])</f>
        <v>0</v>
      </c>
      <c r="L136" s="107">
        <f t="shared" ref="L136" si="6">SUM(C136:K136)</f>
        <v>0</v>
      </c>
      <c r="N136" s="132" t="s">
        <v>197</v>
      </c>
      <c r="O136" s="147" t="s">
        <v>197</v>
      </c>
      <c r="P136" s="133" t="s">
        <v>139</v>
      </c>
      <c r="Q136" s="162"/>
      <c r="R136" s="186">
        <v>392.4</v>
      </c>
    </row>
    <row r="137" spans="1:18" ht="22.5" hidden="1" x14ac:dyDescent="0.2">
      <c r="A137" s="141">
        <v>8612249</v>
      </c>
      <c r="B137" s="108">
        <v>42300</v>
      </c>
      <c r="C137" s="106">
        <f>SUMIF(TableauFA1[N° remise chèque 1],'remises de cheques'!$A137,TableauFA1[Montant chèque 1])</f>
        <v>0</v>
      </c>
      <c r="D137" s="106">
        <f>SUMIF(TableauFA1[N° remise chèque 2],'remises de cheques'!$A137,TableauFA1[Montant chèque 2])</f>
        <v>0</v>
      </c>
      <c r="E137" s="106">
        <f>SUMIF(TableauFA1[N° remise chèque 3],'remises de cheques'!$A137,TableauFA1[Montant chèque 3])</f>
        <v>0</v>
      </c>
      <c r="F137" s="106">
        <f>SUMIF(TableauFA2[N° remise chèque 1],'remises de cheques'!$A137,TableauFA2[Montant chèque 1])</f>
        <v>0</v>
      </c>
      <c r="G137" s="106">
        <f>SUMIF(TableauFA2[N° remise chèque 2],'remises de cheques'!$A137,TableauFA2[Montant chèque 2])</f>
        <v>0</v>
      </c>
      <c r="H137" s="106">
        <f>SUMIF(TableauFA2[N° remise chèque 3],'remises de cheques'!$A137,TableauFA2[Montant chèque 3])</f>
        <v>0</v>
      </c>
      <c r="I137" s="106">
        <f>SUMIF(TableauFfinale[N° remise chèque 1],'remises de cheques'!$A137,TableauFfinale[Montant chèque 1])</f>
        <v>0</v>
      </c>
      <c r="J137" s="106">
        <f>SUMIF(TableauFfinale[N° remise chèque 2],'remises de cheques'!$A137,TableauFfinale[Montant chèque 2])</f>
        <v>0</v>
      </c>
      <c r="K137" s="106">
        <f>SUMIF(TableauFfinale[N° remise chèque 3],'remises de cheques'!$A137,TableauFfinale[Montant chèque 3])</f>
        <v>0</v>
      </c>
      <c r="L137" s="107">
        <f t="shared" si="3"/>
        <v>0</v>
      </c>
      <c r="N137" s="119" t="s">
        <v>144</v>
      </c>
      <c r="O137" s="148" t="s">
        <v>144</v>
      </c>
      <c r="P137" s="120" t="s">
        <v>146</v>
      </c>
      <c r="Q137" s="163"/>
      <c r="R137" s="187">
        <v>8689.9699999999993</v>
      </c>
    </row>
    <row r="138" spans="1:18" ht="24" hidden="1" x14ac:dyDescent="0.3">
      <c r="A138" s="141">
        <v>8612250</v>
      </c>
      <c r="B138" s="108">
        <v>42312</v>
      </c>
      <c r="C138" s="106">
        <f>SUMIF(TableauFA1[N° remise chèque 1],'remises de cheques'!$A138,TableauFA1[Montant chèque 1])</f>
        <v>0</v>
      </c>
      <c r="D138" s="106">
        <f>SUMIF(TableauFA1[N° remise chèque 2],'remises de cheques'!$A138,TableauFA1[Montant chèque 2])</f>
        <v>0</v>
      </c>
      <c r="E138" s="106">
        <f>SUMIF(TableauFA1[N° remise chèque 3],'remises de cheques'!$A138,TableauFA1[Montant chèque 3])</f>
        <v>0</v>
      </c>
      <c r="F138" s="106">
        <f>SUMIF(TableauFA2[N° remise chèque 1],'remises de cheques'!$A138,TableauFA2[Montant chèque 1])</f>
        <v>0</v>
      </c>
      <c r="G138" s="106">
        <f>SUMIF(TableauFA2[N° remise chèque 2],'remises de cheques'!$A138,TableauFA2[Montant chèque 2])</f>
        <v>0</v>
      </c>
      <c r="H138" s="106">
        <f>SUMIF(TableauFA2[N° remise chèque 3],'remises de cheques'!$A138,TableauFA2[Montant chèque 3])</f>
        <v>0</v>
      </c>
      <c r="I138" s="106">
        <f>SUMIF(TableauFfinale[N° remise chèque 1],'remises de cheques'!$A138,TableauFfinale[Montant chèque 1])</f>
        <v>0</v>
      </c>
      <c r="J138" s="106">
        <f>SUMIF(TableauFfinale[N° remise chèque 2],'remises de cheques'!$A138,TableauFfinale[Montant chèque 2])</f>
        <v>0</v>
      </c>
      <c r="K138" s="106">
        <f>SUMIF(TableauFfinale[N° remise chèque 3],'remises de cheques'!$A138,TableauFfinale[Montant chèque 3])</f>
        <v>0</v>
      </c>
      <c r="L138" s="107">
        <f t="shared" si="3"/>
        <v>0</v>
      </c>
      <c r="N138" s="132" t="s">
        <v>163</v>
      </c>
      <c r="O138" s="147" t="s">
        <v>163</v>
      </c>
      <c r="P138" s="133" t="s">
        <v>165</v>
      </c>
      <c r="Q138" s="162"/>
      <c r="R138" s="186">
        <v>1273.9100000000001</v>
      </c>
    </row>
    <row r="139" spans="1:18" ht="24" hidden="1" x14ac:dyDescent="0.3">
      <c r="A139" s="141">
        <v>8612251</v>
      </c>
      <c r="B139" s="108">
        <v>42312</v>
      </c>
      <c r="C139" s="106">
        <f>SUMIF(TableauFA1[N° remise chèque 1],'remises de cheques'!$A139,TableauFA1[Montant chèque 1])</f>
        <v>0</v>
      </c>
      <c r="D139" s="106">
        <f>SUMIF(TableauFA1[N° remise chèque 2],'remises de cheques'!$A139,TableauFA1[Montant chèque 2])</f>
        <v>0</v>
      </c>
      <c r="E139" s="106">
        <f>SUMIF(TableauFA1[N° remise chèque 3],'remises de cheques'!$A139,TableauFA1[Montant chèque 3])</f>
        <v>0</v>
      </c>
      <c r="F139" s="106">
        <f>SUMIF(TableauFA2[N° remise chèque 1],'remises de cheques'!$A139,TableauFA2[Montant chèque 1])</f>
        <v>0</v>
      </c>
      <c r="G139" s="106">
        <f>SUMIF(TableauFA2[N° remise chèque 2],'remises de cheques'!$A139,TableauFA2[Montant chèque 2])</f>
        <v>0</v>
      </c>
      <c r="H139" s="106">
        <f>SUMIF(TableauFA2[N° remise chèque 3],'remises de cheques'!$A139,TableauFA2[Montant chèque 3])</f>
        <v>0</v>
      </c>
      <c r="I139" s="106">
        <f>SUMIF(TableauFfinale[N° remise chèque 1],'remises de cheques'!$A139,TableauFfinale[Montant chèque 1])</f>
        <v>0</v>
      </c>
      <c r="J139" s="106">
        <f>SUMIF(TableauFfinale[N° remise chèque 2],'remises de cheques'!$A139,TableauFfinale[Montant chèque 2])</f>
        <v>0</v>
      </c>
      <c r="K139" s="106">
        <f>SUMIF(TableauFfinale[N° remise chèque 3],'remises de cheques'!$A139,TableauFfinale[Montant chèque 3])</f>
        <v>0</v>
      </c>
      <c r="L139" s="107">
        <f t="shared" si="3"/>
        <v>0</v>
      </c>
      <c r="N139" s="132" t="s">
        <v>163</v>
      </c>
      <c r="O139" s="147" t="s">
        <v>163</v>
      </c>
      <c r="P139" s="133" t="s">
        <v>166</v>
      </c>
      <c r="Q139" s="162"/>
      <c r="R139" s="186">
        <v>1009</v>
      </c>
    </row>
    <row r="140" spans="1:18" ht="24" hidden="1" x14ac:dyDescent="0.3">
      <c r="A140" s="141">
        <v>8612252</v>
      </c>
      <c r="B140" s="108">
        <v>42312</v>
      </c>
      <c r="C140" s="106">
        <f>SUMIF(TableauFA1[N° remise chèque 1],'remises de cheques'!$A140,TableauFA1[Montant chèque 1])</f>
        <v>0</v>
      </c>
      <c r="D140" s="106">
        <f>SUMIF(TableauFA1[N° remise chèque 2],'remises de cheques'!$A140,TableauFA1[Montant chèque 2])</f>
        <v>0</v>
      </c>
      <c r="E140" s="106">
        <f>SUMIF(TableauFA1[N° remise chèque 3],'remises de cheques'!$A140,TableauFA1[Montant chèque 3])</f>
        <v>0</v>
      </c>
      <c r="F140" s="106">
        <f>SUMIF(TableauFA2[N° remise chèque 1],'remises de cheques'!$A140,TableauFA2[Montant chèque 1])</f>
        <v>0</v>
      </c>
      <c r="G140" s="106">
        <f>SUMIF(TableauFA2[N° remise chèque 2],'remises de cheques'!$A140,TableauFA2[Montant chèque 2])</f>
        <v>0</v>
      </c>
      <c r="H140" s="106">
        <f>SUMIF(TableauFA2[N° remise chèque 3],'remises de cheques'!$A140,TableauFA2[Montant chèque 3])</f>
        <v>0</v>
      </c>
      <c r="I140" s="106">
        <f>SUMIF(TableauFfinale[N° remise chèque 1],'remises de cheques'!$A140,TableauFfinale[Montant chèque 1])</f>
        <v>0</v>
      </c>
      <c r="J140" s="106">
        <f>SUMIF(TableauFfinale[N° remise chèque 2],'remises de cheques'!$A140,TableauFfinale[Montant chèque 2])</f>
        <v>0</v>
      </c>
      <c r="K140" s="106">
        <f>SUMIF(TableauFfinale[N° remise chèque 3],'remises de cheques'!$A140,TableauFfinale[Montant chèque 3])</f>
        <v>0</v>
      </c>
      <c r="L140" s="107">
        <f t="shared" si="3"/>
        <v>0</v>
      </c>
      <c r="N140" s="132" t="s">
        <v>163</v>
      </c>
      <c r="O140" s="147" t="s">
        <v>163</v>
      </c>
      <c r="P140" s="133" t="s">
        <v>164</v>
      </c>
      <c r="Q140" s="162"/>
      <c r="R140" s="186">
        <v>1377.76</v>
      </c>
    </row>
    <row r="141" spans="1:18" hidden="1" x14ac:dyDescent="0.3">
      <c r="A141" s="142">
        <v>8612253</v>
      </c>
      <c r="B141" s="127"/>
      <c r="C141" s="128">
        <f>SUMIF(TableauFA1[N° remise chèque 1],'remises de cheques'!$A141,TableauFA1[Montant chèque 1])</f>
        <v>0</v>
      </c>
      <c r="D141" s="128">
        <f>SUMIF(TableauFA1[N° remise chèque 2],'remises de cheques'!$A141,TableauFA1[Montant chèque 2])</f>
        <v>0</v>
      </c>
      <c r="E141" s="128">
        <f>SUMIF(TableauFA1[N° remise chèque 3],'remises de cheques'!$A141,TableauFA1[Montant chèque 3])</f>
        <v>0</v>
      </c>
      <c r="F141" s="128">
        <f>SUMIF(TableauFA2[N° remise chèque 1],'remises de cheques'!$A141,TableauFA2[Montant chèque 1])</f>
        <v>0</v>
      </c>
      <c r="G141" s="128">
        <f>SUMIF(TableauFA2[N° remise chèque 2],'remises de cheques'!$A141,TableauFA2[Montant chèque 2])</f>
        <v>0</v>
      </c>
      <c r="H141" s="128">
        <f>SUMIF(TableauFA2[N° remise chèque 3],'remises de cheques'!$A141,TableauFA2[Montant chèque 3])</f>
        <v>0</v>
      </c>
      <c r="I141" s="128">
        <f>SUMIF(TableauFfinale[N° remise chèque 1],'remises de cheques'!$A141,TableauFfinale[Montant chèque 1])</f>
        <v>0</v>
      </c>
      <c r="J141" s="128">
        <f>SUMIF(TableauFfinale[N° remise chèque 2],'remises de cheques'!$A141,TableauFfinale[Montant chèque 2])</f>
        <v>0</v>
      </c>
      <c r="K141" s="128">
        <f>SUMIF(TableauFfinale[N° remise chèque 3],'remises de cheques'!$A141,TableauFfinale[Montant chèque 3])</f>
        <v>0</v>
      </c>
      <c r="L141" s="129">
        <f t="shared" si="3"/>
        <v>0</v>
      </c>
      <c r="M141" s="134" t="s">
        <v>150</v>
      </c>
      <c r="N141" s="134"/>
      <c r="Q141" s="159"/>
      <c r="R141" s="183"/>
    </row>
    <row r="142" spans="1:18" ht="24" hidden="1" x14ac:dyDescent="0.3">
      <c r="A142" s="141">
        <v>8612254</v>
      </c>
      <c r="B142" s="108">
        <v>42324</v>
      </c>
      <c r="C142" s="106">
        <f>SUMIF(TableauFA1[N° remise chèque 1],'remises de cheques'!$A142,TableauFA1[Montant chèque 1])</f>
        <v>0</v>
      </c>
      <c r="D142" s="106">
        <f>SUMIF(TableauFA1[N° remise chèque 2],'remises de cheques'!$A142,TableauFA1[Montant chèque 2])</f>
        <v>0</v>
      </c>
      <c r="E142" s="106">
        <f>SUMIF(TableauFA1[N° remise chèque 3],'remises de cheques'!$A142,TableauFA1[Montant chèque 3])</f>
        <v>0</v>
      </c>
      <c r="F142" s="106">
        <f>SUMIF(TableauFA2[N° remise chèque 1],'remises de cheques'!$A142,TableauFA2[Montant chèque 1])</f>
        <v>0</v>
      </c>
      <c r="G142" s="106">
        <f>SUMIF(TableauFA2[N° remise chèque 2],'remises de cheques'!$A142,TableauFA2[Montant chèque 2])</f>
        <v>0</v>
      </c>
      <c r="H142" s="106">
        <f>SUMIF(TableauFA2[N° remise chèque 3],'remises de cheques'!$A142,TableauFA2[Montant chèque 3])</f>
        <v>0</v>
      </c>
      <c r="I142" s="106">
        <f>SUMIF(TableauFfinale[N° remise chèque 1],'remises de cheques'!$A142,TableauFfinale[Montant chèque 1])</f>
        <v>0</v>
      </c>
      <c r="J142" s="106">
        <f>SUMIF(TableauFfinale[N° remise chèque 2],'remises de cheques'!$A142,TableauFfinale[Montant chèque 2])</f>
        <v>0</v>
      </c>
      <c r="K142" s="106">
        <f>SUMIF(TableauFfinale[N° remise chèque 3],'remises de cheques'!$A142,TableauFfinale[Montant chèque 3])</f>
        <v>0</v>
      </c>
      <c r="L142" s="107">
        <f t="shared" si="3"/>
        <v>0</v>
      </c>
      <c r="N142" s="132" t="s">
        <v>156</v>
      </c>
      <c r="O142" s="147" t="s">
        <v>156</v>
      </c>
      <c r="P142" s="133" t="s">
        <v>159</v>
      </c>
      <c r="Q142" s="162"/>
      <c r="R142" s="186">
        <v>3230.15</v>
      </c>
    </row>
    <row r="143" spans="1:18" ht="24" hidden="1" x14ac:dyDescent="0.3">
      <c r="A143" s="141">
        <v>8612255</v>
      </c>
      <c r="B143" s="108">
        <v>42324</v>
      </c>
      <c r="C143" s="106">
        <f>SUMIF(TableauFA1[N° remise chèque 1],'remises de cheques'!$A143,TableauFA1[Montant chèque 1])</f>
        <v>0</v>
      </c>
      <c r="D143" s="106">
        <f>SUMIF(TableauFA1[N° remise chèque 2],'remises de cheques'!$A143,TableauFA1[Montant chèque 2])</f>
        <v>0</v>
      </c>
      <c r="E143" s="106">
        <f>SUMIF(TableauFA1[N° remise chèque 3],'remises de cheques'!$A143,TableauFA1[Montant chèque 3])</f>
        <v>0</v>
      </c>
      <c r="F143" s="106">
        <f>SUMIF(TableauFA2[N° remise chèque 1],'remises de cheques'!$A143,TableauFA2[Montant chèque 1])</f>
        <v>0</v>
      </c>
      <c r="G143" s="106">
        <f>SUMIF(TableauFA2[N° remise chèque 2],'remises de cheques'!$A143,TableauFA2[Montant chèque 2])</f>
        <v>0</v>
      </c>
      <c r="H143" s="106">
        <f>SUMIF(TableauFA2[N° remise chèque 3],'remises de cheques'!$A143,TableauFA2[Montant chèque 3])</f>
        <v>0</v>
      </c>
      <c r="I143" s="106">
        <f>SUMIF(TableauFfinale[N° remise chèque 1],'remises de cheques'!$A143,TableauFfinale[Montant chèque 1])</f>
        <v>0</v>
      </c>
      <c r="J143" s="106">
        <f>SUMIF(TableauFfinale[N° remise chèque 2],'remises de cheques'!$A143,TableauFfinale[Montant chèque 2])</f>
        <v>0</v>
      </c>
      <c r="K143" s="106">
        <f>SUMIF(TableauFfinale[N° remise chèque 3],'remises de cheques'!$A143,TableauFfinale[Montant chèque 3])</f>
        <v>0</v>
      </c>
      <c r="L143" s="107">
        <f t="shared" si="3"/>
        <v>0</v>
      </c>
      <c r="N143" s="132" t="s">
        <v>156</v>
      </c>
      <c r="O143" s="147" t="s">
        <v>156</v>
      </c>
      <c r="P143" s="133" t="s">
        <v>160</v>
      </c>
      <c r="Q143" s="162"/>
      <c r="R143" s="186">
        <v>1364.75</v>
      </c>
    </row>
    <row r="144" spans="1:18" ht="24" hidden="1" x14ac:dyDescent="0.3">
      <c r="A144" s="141">
        <v>8612256</v>
      </c>
      <c r="B144" s="108">
        <v>42324</v>
      </c>
      <c r="C144" s="106">
        <f>SUMIF(TableauFA1[N° remise chèque 1],'remises de cheques'!$A144,TableauFA1[Montant chèque 1])</f>
        <v>0</v>
      </c>
      <c r="D144" s="106">
        <f>SUMIF(TableauFA1[N° remise chèque 2],'remises de cheques'!$A144,TableauFA1[Montant chèque 2])</f>
        <v>0</v>
      </c>
      <c r="E144" s="106">
        <f>SUMIF(TableauFA1[N° remise chèque 3],'remises de cheques'!$A144,TableauFA1[Montant chèque 3])</f>
        <v>0</v>
      </c>
      <c r="F144" s="106">
        <f>SUMIF(TableauFA2[N° remise chèque 1],'remises de cheques'!$A144,TableauFA2[Montant chèque 1])</f>
        <v>0</v>
      </c>
      <c r="G144" s="106">
        <f>SUMIF(TableauFA2[N° remise chèque 2],'remises de cheques'!$A144,TableauFA2[Montant chèque 2])</f>
        <v>0</v>
      </c>
      <c r="H144" s="106">
        <f>SUMIF(TableauFA2[N° remise chèque 3],'remises de cheques'!$A144,TableauFA2[Montant chèque 3])</f>
        <v>0</v>
      </c>
      <c r="I144" s="106">
        <f>SUMIF(TableauFfinale[N° remise chèque 1],'remises de cheques'!$A144,TableauFfinale[Montant chèque 1])</f>
        <v>0</v>
      </c>
      <c r="J144" s="106">
        <f>SUMIF(TableauFfinale[N° remise chèque 2],'remises de cheques'!$A144,TableauFfinale[Montant chèque 2])</f>
        <v>0</v>
      </c>
      <c r="K144" s="106">
        <f>SUMIF(TableauFfinale[N° remise chèque 3],'remises de cheques'!$A144,TableauFfinale[Montant chèque 3])</f>
        <v>0</v>
      </c>
      <c r="L144" s="107">
        <f t="shared" si="3"/>
        <v>0</v>
      </c>
      <c r="N144" s="132" t="s">
        <v>156</v>
      </c>
      <c r="O144" s="147" t="s">
        <v>156</v>
      </c>
      <c r="P144" s="133" t="s">
        <v>161</v>
      </c>
      <c r="Q144" s="162"/>
      <c r="R144" s="186">
        <v>1263.69</v>
      </c>
    </row>
    <row r="145" spans="1:19" ht="24" hidden="1" x14ac:dyDescent="0.3">
      <c r="A145" s="141">
        <v>8612257</v>
      </c>
      <c r="B145" s="108">
        <v>42324</v>
      </c>
      <c r="C145" s="106">
        <f>SUMIF(TableauFA1[N° remise chèque 1],'remises de cheques'!$A145,TableauFA1[Montant chèque 1])</f>
        <v>0</v>
      </c>
      <c r="D145" s="106">
        <f>SUMIF(TableauFA1[N° remise chèque 2],'remises de cheques'!$A145,TableauFA1[Montant chèque 2])</f>
        <v>0</v>
      </c>
      <c r="E145" s="106">
        <f>SUMIF(TableauFA1[N° remise chèque 3],'remises de cheques'!$A145,TableauFA1[Montant chèque 3])</f>
        <v>0</v>
      </c>
      <c r="F145" s="106">
        <f>SUMIF(TableauFA2[N° remise chèque 1],'remises de cheques'!$A145,TableauFA2[Montant chèque 1])</f>
        <v>0</v>
      </c>
      <c r="G145" s="106">
        <f>SUMIF(TableauFA2[N° remise chèque 2],'remises de cheques'!$A145,TableauFA2[Montant chèque 2])</f>
        <v>0</v>
      </c>
      <c r="H145" s="106">
        <f>SUMIF(TableauFA2[N° remise chèque 3],'remises de cheques'!$A145,TableauFA2[Montant chèque 3])</f>
        <v>0</v>
      </c>
      <c r="I145" s="106">
        <f>SUMIF(TableauFfinale[N° remise chèque 1],'remises de cheques'!$A145,TableauFfinale[Montant chèque 1])</f>
        <v>0</v>
      </c>
      <c r="J145" s="106">
        <f>SUMIF(TableauFfinale[N° remise chèque 2],'remises de cheques'!$A145,TableauFfinale[Montant chèque 2])</f>
        <v>0</v>
      </c>
      <c r="K145" s="106">
        <f>SUMIF(TableauFfinale[N° remise chèque 3],'remises de cheques'!$A145,TableauFfinale[Montant chèque 3])</f>
        <v>0</v>
      </c>
      <c r="L145" s="107">
        <f t="shared" si="3"/>
        <v>0</v>
      </c>
      <c r="N145" s="132" t="s">
        <v>156</v>
      </c>
      <c r="O145" s="147" t="s">
        <v>156</v>
      </c>
      <c r="P145" s="133" t="s">
        <v>157</v>
      </c>
      <c r="Q145" s="162"/>
      <c r="R145" s="186">
        <v>6646.33</v>
      </c>
    </row>
    <row r="146" spans="1:19" ht="24" hidden="1" x14ac:dyDescent="0.3">
      <c r="A146" s="141">
        <v>8612258</v>
      </c>
      <c r="B146" s="108">
        <v>42324</v>
      </c>
      <c r="C146" s="106">
        <f>SUMIF(TableauFA1[N° remise chèque 1],'remises de cheques'!$A146,TableauFA1[Montant chèque 1])</f>
        <v>0</v>
      </c>
      <c r="D146" s="106">
        <f>SUMIF(TableauFA1[N° remise chèque 2],'remises de cheques'!$A146,TableauFA1[Montant chèque 2])</f>
        <v>0</v>
      </c>
      <c r="E146" s="106">
        <f>SUMIF(TableauFA1[N° remise chèque 3],'remises de cheques'!$A146,TableauFA1[Montant chèque 3])</f>
        <v>0</v>
      </c>
      <c r="F146" s="106">
        <f>SUMIF(TableauFA2[N° remise chèque 1],'remises de cheques'!$A146,TableauFA2[Montant chèque 1])</f>
        <v>0</v>
      </c>
      <c r="G146" s="106">
        <f>SUMIF(TableauFA2[N° remise chèque 2],'remises de cheques'!$A146,TableauFA2[Montant chèque 2])</f>
        <v>0</v>
      </c>
      <c r="H146" s="106">
        <f>SUMIF(TableauFA2[N° remise chèque 3],'remises de cheques'!$A146,TableauFA2[Montant chèque 3])</f>
        <v>0</v>
      </c>
      <c r="I146" s="106">
        <f>SUMIF(TableauFfinale[N° remise chèque 1],'remises de cheques'!$A146,TableauFfinale[Montant chèque 1])</f>
        <v>0</v>
      </c>
      <c r="J146" s="106">
        <f>SUMIF(TableauFfinale[N° remise chèque 2],'remises de cheques'!$A146,TableauFfinale[Montant chèque 2])</f>
        <v>0</v>
      </c>
      <c r="K146" s="106">
        <f>SUMIF(TableauFfinale[N° remise chèque 3],'remises de cheques'!$A146,TableauFfinale[Montant chèque 3])</f>
        <v>0</v>
      </c>
      <c r="L146" s="107">
        <f t="shared" si="3"/>
        <v>0</v>
      </c>
      <c r="N146" s="132" t="s">
        <v>156</v>
      </c>
      <c r="O146" s="147" t="s">
        <v>156</v>
      </c>
      <c r="P146" s="133" t="s">
        <v>162</v>
      </c>
      <c r="Q146" s="162"/>
      <c r="R146" s="186">
        <v>540</v>
      </c>
    </row>
    <row r="147" spans="1:19" ht="24" hidden="1" x14ac:dyDescent="0.3">
      <c r="A147" s="141">
        <v>8612259</v>
      </c>
      <c r="B147" s="108">
        <v>42324</v>
      </c>
      <c r="C147" s="106">
        <f>SUMIF(TableauFA1[N° remise chèque 1],'remises de cheques'!$A147,TableauFA1[Montant chèque 1])</f>
        <v>0</v>
      </c>
      <c r="D147" s="106">
        <f>SUMIF(TableauFA1[N° remise chèque 2],'remises de cheques'!$A147,TableauFA1[Montant chèque 2])</f>
        <v>0</v>
      </c>
      <c r="E147" s="106">
        <f>SUMIF(TableauFA1[N° remise chèque 3],'remises de cheques'!$A147,TableauFA1[Montant chèque 3])</f>
        <v>0</v>
      </c>
      <c r="F147" s="106">
        <f>SUMIF(TableauFA2[N° remise chèque 1],'remises de cheques'!$A147,TableauFA2[Montant chèque 1])</f>
        <v>0</v>
      </c>
      <c r="G147" s="106">
        <f>SUMIF(TableauFA2[N° remise chèque 2],'remises de cheques'!$A147,TableauFA2[Montant chèque 2])</f>
        <v>0</v>
      </c>
      <c r="H147" s="106">
        <f>SUMIF(TableauFA2[N° remise chèque 3],'remises de cheques'!$A147,TableauFA2[Montant chèque 3])</f>
        <v>0</v>
      </c>
      <c r="I147" s="106">
        <f>SUMIF(TableauFfinale[N° remise chèque 1],'remises de cheques'!$A147,TableauFfinale[Montant chèque 1])</f>
        <v>0</v>
      </c>
      <c r="J147" s="106">
        <f>SUMIF(TableauFfinale[N° remise chèque 2],'remises de cheques'!$A147,TableauFfinale[Montant chèque 2])</f>
        <v>0</v>
      </c>
      <c r="K147" s="106">
        <f>SUMIF(TableauFfinale[N° remise chèque 3],'remises de cheques'!$A147,TableauFfinale[Montant chèque 3])</f>
        <v>0</v>
      </c>
      <c r="L147" s="107">
        <f t="shared" si="3"/>
        <v>0</v>
      </c>
      <c r="N147" s="132" t="s">
        <v>156</v>
      </c>
      <c r="O147" s="147" t="s">
        <v>156</v>
      </c>
      <c r="P147" s="133" t="s">
        <v>158</v>
      </c>
      <c r="Q147" s="162"/>
      <c r="R147" s="186">
        <v>5673.7</v>
      </c>
    </row>
    <row r="148" spans="1:19" ht="24" hidden="1" x14ac:dyDescent="0.3">
      <c r="A148" s="141">
        <v>8612260</v>
      </c>
      <c r="B148" s="108">
        <v>42341</v>
      </c>
      <c r="C148" s="106">
        <f>SUMIF(TableauFA1[N° remise chèque 1],'remises de cheques'!$A148,TableauFA1[Montant chèque 1])</f>
        <v>0</v>
      </c>
      <c r="D148" s="106">
        <f>SUMIF(TableauFA1[N° remise chèque 2],'remises de cheques'!$A148,TableauFA1[Montant chèque 2])</f>
        <v>0</v>
      </c>
      <c r="E148" s="106">
        <f>SUMIF(TableauFA1[N° remise chèque 3],'remises de cheques'!$A148,TableauFA1[Montant chèque 3])</f>
        <v>0</v>
      </c>
      <c r="F148" s="106">
        <f>SUMIF(TableauFA2[N° remise chèque 1],'remises de cheques'!$A148,TableauFA2[Montant chèque 1])</f>
        <v>0</v>
      </c>
      <c r="G148" s="106">
        <f>SUMIF(TableauFA2[N° remise chèque 2],'remises de cheques'!$A148,TableauFA2[Montant chèque 2])</f>
        <v>0</v>
      </c>
      <c r="H148" s="106">
        <f>SUMIF(TableauFA2[N° remise chèque 3],'remises de cheques'!$A148,TableauFA2[Montant chèque 3])</f>
        <v>0</v>
      </c>
      <c r="I148" s="106">
        <f>SUMIF(TableauFfinale[N° remise chèque 1],'remises de cheques'!$A148,TableauFfinale[Montant chèque 1])</f>
        <v>0</v>
      </c>
      <c r="J148" s="106">
        <f>SUMIF(TableauFfinale[N° remise chèque 2],'remises de cheques'!$A148,TableauFfinale[Montant chèque 2])</f>
        <v>0</v>
      </c>
      <c r="K148" s="106">
        <f>SUMIF(TableauFfinale[N° remise chèque 3],'remises de cheques'!$A148,TableauFfinale[Montant chèque 3])</f>
        <v>0</v>
      </c>
      <c r="L148" s="107">
        <f t="shared" si="3"/>
        <v>0</v>
      </c>
      <c r="N148" s="132" t="s">
        <v>187</v>
      </c>
      <c r="O148" s="147" t="s">
        <v>187</v>
      </c>
      <c r="P148" s="133" t="s">
        <v>190</v>
      </c>
      <c r="Q148" s="162"/>
      <c r="R148" s="186">
        <v>1451.18</v>
      </c>
    </row>
    <row r="149" spans="1:19" ht="24" hidden="1" x14ac:dyDescent="0.3">
      <c r="A149" s="141">
        <v>8612261</v>
      </c>
      <c r="B149" s="108">
        <v>42341</v>
      </c>
      <c r="C149" s="106">
        <f>SUMIF(TableauFA1[N° remise chèque 1],'remises de cheques'!$A149,TableauFA1[Montant chèque 1])</f>
        <v>0</v>
      </c>
      <c r="D149" s="106">
        <f>SUMIF(TableauFA1[N° remise chèque 2],'remises de cheques'!$A149,TableauFA1[Montant chèque 2])</f>
        <v>0</v>
      </c>
      <c r="E149" s="106">
        <f>SUMIF(TableauFA1[N° remise chèque 3],'remises de cheques'!$A149,TableauFA1[Montant chèque 3])</f>
        <v>0</v>
      </c>
      <c r="F149" s="106">
        <f>SUMIF(TableauFA2[N° remise chèque 1],'remises de cheques'!$A149,TableauFA2[Montant chèque 1])</f>
        <v>0</v>
      </c>
      <c r="G149" s="106">
        <f>SUMIF(TableauFA2[N° remise chèque 2],'remises de cheques'!$A149,TableauFA2[Montant chèque 2])</f>
        <v>0</v>
      </c>
      <c r="H149" s="106">
        <f>SUMIF(TableauFA2[N° remise chèque 3],'remises de cheques'!$A149,TableauFA2[Montant chèque 3])</f>
        <v>0</v>
      </c>
      <c r="I149" s="106">
        <f>SUMIF(TableauFfinale[N° remise chèque 1],'remises de cheques'!$A149,TableauFfinale[Montant chèque 1])</f>
        <v>0</v>
      </c>
      <c r="J149" s="106">
        <f>SUMIF(TableauFfinale[N° remise chèque 2],'remises de cheques'!$A149,TableauFfinale[Montant chèque 2])</f>
        <v>0</v>
      </c>
      <c r="K149" s="106">
        <f>SUMIF(TableauFfinale[N° remise chèque 3],'remises de cheques'!$A149,TableauFfinale[Montant chèque 3])</f>
        <v>0</v>
      </c>
      <c r="L149" s="107">
        <f t="shared" si="3"/>
        <v>0</v>
      </c>
      <c r="N149" s="132" t="s">
        <v>187</v>
      </c>
      <c r="O149" s="147" t="s">
        <v>187</v>
      </c>
      <c r="P149" s="133" t="s">
        <v>193</v>
      </c>
      <c r="Q149" s="162"/>
      <c r="R149" s="186">
        <v>800</v>
      </c>
    </row>
    <row r="150" spans="1:19" ht="24" hidden="1" x14ac:dyDescent="0.3">
      <c r="A150" s="141">
        <v>8612262</v>
      </c>
      <c r="B150" s="108">
        <v>42341</v>
      </c>
      <c r="C150" s="106">
        <f>SUMIF(TableauFA1[N° remise chèque 1],'remises de cheques'!$A150,TableauFA1[Montant chèque 1])</f>
        <v>0</v>
      </c>
      <c r="D150" s="106">
        <f>SUMIF(TableauFA1[N° remise chèque 2],'remises de cheques'!$A150,TableauFA1[Montant chèque 2])</f>
        <v>0</v>
      </c>
      <c r="E150" s="106">
        <f>SUMIF(TableauFA1[N° remise chèque 3],'remises de cheques'!$A150,TableauFA1[Montant chèque 3])</f>
        <v>0</v>
      </c>
      <c r="F150" s="106">
        <f>SUMIF(TableauFA2[N° remise chèque 1],'remises de cheques'!$A150,TableauFA2[Montant chèque 1])</f>
        <v>0</v>
      </c>
      <c r="G150" s="106">
        <f>SUMIF(TableauFA2[N° remise chèque 2],'remises de cheques'!$A150,TableauFA2[Montant chèque 2])</f>
        <v>0</v>
      </c>
      <c r="H150" s="106">
        <f>SUMIF(TableauFA2[N° remise chèque 3],'remises de cheques'!$A150,TableauFA2[Montant chèque 3])</f>
        <v>0</v>
      </c>
      <c r="I150" s="106">
        <f>SUMIF(TableauFfinale[N° remise chèque 1],'remises de cheques'!$A150,TableauFfinale[Montant chèque 1])</f>
        <v>0</v>
      </c>
      <c r="J150" s="106">
        <f>SUMIF(TableauFfinale[N° remise chèque 2],'remises de cheques'!$A150,TableauFfinale[Montant chèque 2])</f>
        <v>0</v>
      </c>
      <c r="K150" s="106">
        <f>SUMIF(TableauFfinale[N° remise chèque 3],'remises de cheques'!$A150,TableauFfinale[Montant chèque 3])</f>
        <v>0</v>
      </c>
      <c r="L150" s="107">
        <f t="shared" si="3"/>
        <v>0</v>
      </c>
      <c r="N150" s="132" t="s">
        <v>187</v>
      </c>
      <c r="O150" s="147" t="s">
        <v>187</v>
      </c>
      <c r="P150" s="133" t="s">
        <v>192</v>
      </c>
      <c r="Q150" s="162"/>
      <c r="R150" s="186">
        <v>1000</v>
      </c>
    </row>
    <row r="151" spans="1:19" ht="24" hidden="1" x14ac:dyDescent="0.3">
      <c r="A151" s="141">
        <v>5340254</v>
      </c>
      <c r="B151" s="108">
        <v>42341</v>
      </c>
      <c r="C151" s="106">
        <f>SUMIF(TableauFA1[N° remise chèque 1],'remises de cheques'!$A151,TableauFA1[Montant chèque 1])</f>
        <v>0</v>
      </c>
      <c r="D151" s="106">
        <f>SUMIF(TableauFA1[N° remise chèque 2],'remises de cheques'!$A151,TableauFA1[Montant chèque 2])</f>
        <v>0</v>
      </c>
      <c r="E151" s="106">
        <f>SUMIF(TableauFA1[N° remise chèque 3],'remises de cheques'!$A151,TableauFA1[Montant chèque 3])</f>
        <v>0</v>
      </c>
      <c r="F151" s="106">
        <f>SUMIF(TableauFA2[N° remise chèque 1],'remises de cheques'!$A151,TableauFA2[Montant chèque 1])</f>
        <v>0</v>
      </c>
      <c r="G151" s="106">
        <f>SUMIF(TableauFA2[N° remise chèque 2],'remises de cheques'!$A151,TableauFA2[Montant chèque 2])</f>
        <v>0</v>
      </c>
      <c r="H151" s="106">
        <f>SUMIF(TableauFA2[N° remise chèque 3],'remises de cheques'!$A151,TableauFA2[Montant chèque 3])</f>
        <v>0</v>
      </c>
      <c r="I151" s="106">
        <f>SUMIF(TableauFfinale[N° remise chèque 1],'remises de cheques'!$A151,TableauFfinale[Montant chèque 1])</f>
        <v>0</v>
      </c>
      <c r="J151" s="106">
        <f>SUMIF(TableauFfinale[N° remise chèque 2],'remises de cheques'!$A151,TableauFfinale[Montant chèque 2])</f>
        <v>0</v>
      </c>
      <c r="K151" s="106">
        <f>SUMIF(TableauFfinale[N° remise chèque 3],'remises de cheques'!$A151,TableauFfinale[Montant chèque 3])</f>
        <v>0</v>
      </c>
      <c r="L151" s="107">
        <f t="shared" ref="L151" si="7">SUM(C151:K151)</f>
        <v>0</v>
      </c>
      <c r="N151" s="132" t="s">
        <v>187</v>
      </c>
      <c r="O151" s="147" t="s">
        <v>187</v>
      </c>
      <c r="P151" s="133" t="s">
        <v>189</v>
      </c>
      <c r="Q151" s="162"/>
      <c r="R151" s="186">
        <v>2613.5</v>
      </c>
    </row>
    <row r="152" spans="1:19" ht="24" hidden="1" x14ac:dyDescent="0.3">
      <c r="A152" s="141">
        <v>5340255</v>
      </c>
      <c r="B152" s="108">
        <v>42367</v>
      </c>
      <c r="C152" s="106">
        <f>SUMIF(TableauFA1[N° remise chèque 1],'remises de cheques'!$A152,TableauFA1[Montant chèque 1])</f>
        <v>0</v>
      </c>
      <c r="D152" s="106">
        <f>SUMIF(TableauFA1[N° remise chèque 2],'remises de cheques'!$A152,TableauFA1[Montant chèque 2])</f>
        <v>0</v>
      </c>
      <c r="E152" s="106">
        <f>SUMIF(TableauFA1[N° remise chèque 3],'remises de cheques'!$A152,TableauFA1[Montant chèque 3])</f>
        <v>0</v>
      </c>
      <c r="F152" s="106">
        <f>SUMIF(TableauFA2[N° remise chèque 1],'remises de cheques'!$A152,TableauFA2[Montant chèque 1])</f>
        <v>0</v>
      </c>
      <c r="G152" s="106">
        <f>SUMIF(TableauFA2[N° remise chèque 2],'remises de cheques'!$A152,TableauFA2[Montant chèque 2])</f>
        <v>0</v>
      </c>
      <c r="H152" s="106">
        <f>SUMIF(TableauFA2[N° remise chèque 3],'remises de cheques'!$A152,TableauFA2[Montant chèque 3])</f>
        <v>0</v>
      </c>
      <c r="I152" s="106">
        <f>SUMIF(TableauFfinale[N° remise chèque 1],'remises de cheques'!$A152,TableauFfinale[Montant chèque 1])</f>
        <v>0</v>
      </c>
      <c r="J152" s="106">
        <f>SUMIF(TableauFfinale[N° remise chèque 2],'remises de cheques'!$A152,TableauFfinale[Montant chèque 2])</f>
        <v>0</v>
      </c>
      <c r="K152" s="106">
        <f>SUMIF(TableauFfinale[N° remise chèque 3],'remises de cheques'!$A152,TableauFfinale[Montant chèque 3])</f>
        <v>0</v>
      </c>
      <c r="L152" s="107">
        <f t="shared" ref="L152:L186" si="8">SUM(C152:K152)</f>
        <v>0</v>
      </c>
      <c r="N152" s="132" t="s">
        <v>240</v>
      </c>
      <c r="O152" s="132" t="s">
        <v>240</v>
      </c>
      <c r="P152" s="133" t="s">
        <v>242</v>
      </c>
      <c r="Q152" s="162"/>
      <c r="R152" s="186">
        <v>6624.1</v>
      </c>
    </row>
    <row r="153" spans="1:19" ht="24" hidden="1" x14ac:dyDescent="0.3">
      <c r="A153" s="141">
        <v>5340256</v>
      </c>
      <c r="B153" s="108">
        <v>42341</v>
      </c>
      <c r="C153" s="106">
        <f>SUMIF(TableauFA1[N° remise chèque 1],'remises de cheques'!$A153,TableauFA1[Montant chèque 1])</f>
        <v>0</v>
      </c>
      <c r="D153" s="106">
        <f>SUMIF(TableauFA1[N° remise chèque 2],'remises de cheques'!$A153,TableauFA1[Montant chèque 2])</f>
        <v>0</v>
      </c>
      <c r="E153" s="106">
        <f>SUMIF(TableauFA1[N° remise chèque 3],'remises de cheques'!$A153,TableauFA1[Montant chèque 3])</f>
        <v>0</v>
      </c>
      <c r="F153" s="106">
        <f>SUMIF(TableauFA2[N° remise chèque 1],'remises de cheques'!$A153,TableauFA2[Montant chèque 1])</f>
        <v>0</v>
      </c>
      <c r="G153" s="106">
        <f>SUMIF(TableauFA2[N° remise chèque 2],'remises de cheques'!$A153,TableauFA2[Montant chèque 2])</f>
        <v>0</v>
      </c>
      <c r="H153" s="106">
        <f>SUMIF(TableauFA2[N° remise chèque 3],'remises de cheques'!$A153,TableauFA2[Montant chèque 3])</f>
        <v>0</v>
      </c>
      <c r="I153" s="106">
        <f>SUMIF(TableauFfinale[N° remise chèque 1],'remises de cheques'!$A153,TableauFfinale[Montant chèque 1])</f>
        <v>0</v>
      </c>
      <c r="J153" s="106">
        <f>SUMIF(TableauFfinale[N° remise chèque 2],'remises de cheques'!$A153,TableauFfinale[Montant chèque 2])</f>
        <v>0</v>
      </c>
      <c r="K153" s="106">
        <f>SUMIF(TableauFfinale[N° remise chèque 3],'remises de cheques'!$A153,TableauFfinale[Montant chèque 3])</f>
        <v>0</v>
      </c>
      <c r="L153" s="107">
        <f t="shared" si="8"/>
        <v>0</v>
      </c>
      <c r="N153" s="132" t="s">
        <v>187</v>
      </c>
      <c r="O153" s="147" t="s">
        <v>187</v>
      </c>
      <c r="P153" s="133" t="s">
        <v>188</v>
      </c>
      <c r="Q153" s="162"/>
      <c r="R153" s="186">
        <v>4893.2299999999996</v>
      </c>
    </row>
    <row r="154" spans="1:19" ht="24" hidden="1" x14ac:dyDescent="0.3">
      <c r="A154" s="141">
        <v>5340257</v>
      </c>
      <c r="B154" s="108">
        <v>42401</v>
      </c>
      <c r="C154" s="106">
        <f>SUMIF(TableauFA1[N° remise chèque 1],'remises de cheques'!$A154,TableauFA1[Montant chèque 1])</f>
        <v>0</v>
      </c>
      <c r="D154" s="106">
        <f>SUMIF(TableauFA1[N° remise chèque 2],'remises de cheques'!$A154,TableauFA1[Montant chèque 2])</f>
        <v>0</v>
      </c>
      <c r="E154" s="106">
        <f>SUMIF(TableauFA1[N° remise chèque 3],'remises de cheques'!$A154,TableauFA1[Montant chèque 3])</f>
        <v>0</v>
      </c>
      <c r="F154" s="106">
        <f>SUMIF(TableauFA2[N° remise chèque 1],'remises de cheques'!$A154,TableauFA2[Montant chèque 1])</f>
        <v>0</v>
      </c>
      <c r="G154" s="106">
        <f>SUMIF(TableauFA2[N° remise chèque 2],'remises de cheques'!$A154,TableauFA2[Montant chèque 2])</f>
        <v>0</v>
      </c>
      <c r="H154" s="106">
        <f>SUMIF(TableauFA2[N° remise chèque 3],'remises de cheques'!$A154,TableauFA2[Montant chèque 3])</f>
        <v>0</v>
      </c>
      <c r="I154" s="106">
        <f>SUMIF(TableauFfinale[N° remise chèque 1],'remises de cheques'!$A154,TableauFfinale[Montant chèque 1])</f>
        <v>0</v>
      </c>
      <c r="J154" s="106">
        <f>SUMIF(TableauFfinale[N° remise chèque 2],'remises de cheques'!$A154,TableauFfinale[Montant chèque 2])</f>
        <v>0</v>
      </c>
      <c r="K154" s="106">
        <f>SUMIF(TableauFfinale[N° remise chèque 3],'remises de cheques'!$A154,TableauFfinale[Montant chèque 3])</f>
        <v>0</v>
      </c>
      <c r="L154" s="107">
        <f t="shared" si="8"/>
        <v>0</v>
      </c>
      <c r="N154" s="132" t="s">
        <v>270</v>
      </c>
      <c r="O154" s="132" t="s">
        <v>270</v>
      </c>
      <c r="P154" s="133" t="s">
        <v>282</v>
      </c>
      <c r="Q154" s="70"/>
      <c r="R154" s="191">
        <v>2457.37</v>
      </c>
      <c r="S154" s="97" t="s">
        <v>283</v>
      </c>
    </row>
    <row r="155" spans="1:19" ht="24" hidden="1" x14ac:dyDescent="0.3">
      <c r="A155" s="141">
        <v>5340258</v>
      </c>
      <c r="B155" s="108">
        <v>42341</v>
      </c>
      <c r="C155" s="106">
        <f>SUMIF(TableauFA1[N° remise chèque 1],'remises de cheques'!$A155,TableauFA1[Montant chèque 1])</f>
        <v>0</v>
      </c>
      <c r="D155" s="106">
        <f>SUMIF(TableauFA1[N° remise chèque 2],'remises de cheques'!$A155,TableauFA1[Montant chèque 2])</f>
        <v>0</v>
      </c>
      <c r="E155" s="106">
        <f>SUMIF(TableauFA1[N° remise chèque 3],'remises de cheques'!$A155,TableauFA1[Montant chèque 3])</f>
        <v>0</v>
      </c>
      <c r="F155" s="106">
        <f>SUMIF(TableauFA2[N° remise chèque 1],'remises de cheques'!$A155,TableauFA2[Montant chèque 1])</f>
        <v>0</v>
      </c>
      <c r="G155" s="106">
        <f>SUMIF(TableauFA2[N° remise chèque 2],'remises de cheques'!$A155,TableauFA2[Montant chèque 2])</f>
        <v>0</v>
      </c>
      <c r="H155" s="106">
        <f>SUMIF(TableauFA2[N° remise chèque 3],'remises de cheques'!$A155,TableauFA2[Montant chèque 3])</f>
        <v>0</v>
      </c>
      <c r="I155" s="106">
        <f>SUMIF(TableauFfinale[N° remise chèque 1],'remises de cheques'!$A155,TableauFfinale[Montant chèque 1])</f>
        <v>0</v>
      </c>
      <c r="J155" s="106">
        <f>SUMIF(TableauFfinale[N° remise chèque 2],'remises de cheques'!$A155,TableauFfinale[Montant chèque 2])</f>
        <v>0</v>
      </c>
      <c r="K155" s="106">
        <f>SUMIF(TableauFfinale[N° remise chèque 3],'remises de cheques'!$A155,TableauFfinale[Montant chèque 3])</f>
        <v>0</v>
      </c>
      <c r="L155" s="107">
        <f t="shared" si="8"/>
        <v>0</v>
      </c>
      <c r="N155" s="132" t="s">
        <v>187</v>
      </c>
      <c r="O155" s="147" t="s">
        <v>187</v>
      </c>
      <c r="P155" s="133" t="s">
        <v>191</v>
      </c>
      <c r="Q155" s="162"/>
      <c r="R155" s="186">
        <v>1056.99</v>
      </c>
    </row>
    <row r="156" spans="1:19" hidden="1" x14ac:dyDescent="0.3">
      <c r="A156" s="151">
        <v>5340259</v>
      </c>
      <c r="B156" s="152"/>
      <c r="C156" s="153">
        <f>SUMIF(TableauFA1[N° remise chèque 1],'remises de cheques'!$A156,TableauFA1[Montant chèque 1])</f>
        <v>0</v>
      </c>
      <c r="D156" s="153">
        <f>SUMIF(TableauFA1[N° remise chèque 2],'remises de cheques'!$A156,TableauFA1[Montant chèque 2])</f>
        <v>0</v>
      </c>
      <c r="E156" s="153">
        <f>SUMIF(TableauFA1[N° remise chèque 3],'remises de cheques'!$A156,TableauFA1[Montant chèque 3])</f>
        <v>0</v>
      </c>
      <c r="F156" s="153">
        <f>SUMIF(TableauFA2[N° remise chèque 1],'remises de cheques'!$A156,TableauFA2[Montant chèque 1])</f>
        <v>0</v>
      </c>
      <c r="G156" s="153">
        <f>SUMIF(TableauFA2[N° remise chèque 2],'remises de cheques'!$A156,TableauFA2[Montant chèque 2])</f>
        <v>0</v>
      </c>
      <c r="H156" s="153">
        <f>SUMIF(TableauFA2[N° remise chèque 3],'remises de cheques'!$A156,TableauFA2[Montant chèque 3])</f>
        <v>0</v>
      </c>
      <c r="I156" s="153">
        <f>SUMIF(TableauFfinale[N° remise chèque 1],'remises de cheques'!$A156,TableauFfinale[Montant chèque 1])</f>
        <v>0</v>
      </c>
      <c r="J156" s="153">
        <f>SUMIF(TableauFfinale[N° remise chèque 2],'remises de cheques'!$A156,TableauFfinale[Montant chèque 2])</f>
        <v>0</v>
      </c>
      <c r="K156" s="153">
        <f>SUMIF(TableauFfinale[N° remise chèque 3],'remises de cheques'!$A156,TableauFfinale[Montant chèque 3])</f>
        <v>0</v>
      </c>
      <c r="L156" s="154">
        <f t="shared" si="8"/>
        <v>0</v>
      </c>
      <c r="M156" s="97" t="s">
        <v>171</v>
      </c>
      <c r="Q156" s="159"/>
      <c r="R156" s="183"/>
    </row>
    <row r="157" spans="1:19" ht="57.75" hidden="1" x14ac:dyDescent="0.3">
      <c r="A157" s="141" t="s">
        <v>195</v>
      </c>
      <c r="B157" s="108">
        <v>42339</v>
      </c>
      <c r="C157" s="106">
        <f>SUMIF(TableauFA1[N° remise chèque 1],'remises de cheques'!$A157,TableauFA1[Montant chèque 1])</f>
        <v>0</v>
      </c>
      <c r="D157" s="106">
        <f>SUMIF(TableauFA1[N° remise chèque 2],'remises de cheques'!$A157,TableauFA1[Montant chèque 2])</f>
        <v>0</v>
      </c>
      <c r="E157" s="106">
        <f>SUMIF(TableauFA1[N° remise chèque 3],'remises de cheques'!$A157,TableauFA1[Montant chèque 3])</f>
        <v>0</v>
      </c>
      <c r="F157" s="106">
        <f>SUMIF(TableauFA2[N° remise chèque 1],'remises de cheques'!$A157,TableauFA2[Montant chèque 1])</f>
        <v>0</v>
      </c>
      <c r="G157" s="106">
        <f>SUMIF(TableauFA2[N° remise chèque 2],'remises de cheques'!$A157,TableauFA2[Montant chèque 2])</f>
        <v>0</v>
      </c>
      <c r="H157" s="106">
        <f>SUMIF(TableauFA2[N° remise chèque 3],'remises de cheques'!$A157,TableauFA2[Montant chèque 3])</f>
        <v>0</v>
      </c>
      <c r="I157" s="106">
        <f>SUMIF(TableauFfinale[N° remise chèque 1],'remises de cheques'!$A157,TableauFfinale[Montant chèque 1])</f>
        <v>0</v>
      </c>
      <c r="J157" s="106">
        <f>SUMIF(TableauFfinale[N° remise chèque 2],'remises de cheques'!$A157,TableauFfinale[Montant chèque 2])</f>
        <v>0</v>
      </c>
      <c r="K157" s="106">
        <f>SUMIF(TableauFfinale[N° remise chèque 3],'remises de cheques'!$A157,TableauFfinale[Montant chèque 3])</f>
        <v>0</v>
      </c>
      <c r="L157" s="107">
        <f t="shared" ref="L157" si="9">SUM(C157:K157)</f>
        <v>0</v>
      </c>
      <c r="N157" s="132" t="s">
        <v>197</v>
      </c>
      <c r="O157" s="147" t="s">
        <v>197</v>
      </c>
      <c r="P157" s="133" t="s">
        <v>139</v>
      </c>
      <c r="Q157" s="162"/>
      <c r="R157" s="186">
        <v>93.6</v>
      </c>
    </row>
    <row r="158" spans="1:19" ht="57.75" hidden="1" x14ac:dyDescent="0.3">
      <c r="A158" s="141" t="s">
        <v>196</v>
      </c>
      <c r="B158" s="108">
        <v>42373</v>
      </c>
      <c r="C158" s="106">
        <f>SUMIF(TableauFA1[N° remise chèque 1],'remises de cheques'!$A158,TableauFA1[Montant chèque 1])</f>
        <v>0</v>
      </c>
      <c r="D158" s="106">
        <f>SUMIF(TableauFA1[N° remise chèque 2],'remises de cheques'!$A158,TableauFA1[Montant chèque 2])</f>
        <v>0</v>
      </c>
      <c r="E158" s="106">
        <f>SUMIF(TableauFA1[N° remise chèque 3],'remises de cheques'!$A158,TableauFA1[Montant chèque 3])</f>
        <v>0</v>
      </c>
      <c r="F158" s="106">
        <f>SUMIF(TableauFA2[N° remise chèque 1],'remises de cheques'!$A158,TableauFA2[Montant chèque 1])</f>
        <v>0</v>
      </c>
      <c r="G158" s="106">
        <f>SUMIF(TableauFA2[N° remise chèque 2],'remises de cheques'!$A158,TableauFA2[Montant chèque 2])</f>
        <v>0</v>
      </c>
      <c r="H158" s="106">
        <f>SUMIF(TableauFA2[N° remise chèque 3],'remises de cheques'!$A158,TableauFA2[Montant chèque 3])</f>
        <v>0</v>
      </c>
      <c r="I158" s="106">
        <f>SUMIF(TableauFfinale[N° remise chèque 1],'remises de cheques'!$A158,TableauFfinale[Montant chèque 1])</f>
        <v>0</v>
      </c>
      <c r="J158" s="106">
        <f>SUMIF(TableauFfinale[N° remise chèque 2],'remises de cheques'!$A158,TableauFfinale[Montant chèque 2])</f>
        <v>0</v>
      </c>
      <c r="K158" s="106">
        <f>SUMIF(TableauFfinale[N° remise chèque 3],'remises de cheques'!$A158,TableauFfinale[Montant chèque 3])</f>
        <v>0</v>
      </c>
      <c r="L158" s="107">
        <f t="shared" ref="L158" si="10">SUM(C158:K158)</f>
        <v>0</v>
      </c>
      <c r="N158" s="132" t="s">
        <v>268</v>
      </c>
      <c r="O158" s="132" t="s">
        <v>268</v>
      </c>
      <c r="P158" s="133" t="s">
        <v>139</v>
      </c>
      <c r="Q158" s="70"/>
      <c r="R158" s="189">
        <v>133.19999999999999</v>
      </c>
    </row>
    <row r="159" spans="1:19" ht="57.75" hidden="1" x14ac:dyDescent="0.3">
      <c r="A159" s="141" t="s">
        <v>253</v>
      </c>
      <c r="B159" s="108">
        <v>42373</v>
      </c>
      <c r="C159" s="106">
        <f>SUMIF(TableauFA1[N° remise chèque 1],'remises de cheques'!$A159,TableauFA1[Montant chèque 1])</f>
        <v>0</v>
      </c>
      <c r="D159" s="106">
        <f>SUMIF(TableauFA1[N° remise chèque 2],'remises de cheques'!$A159,TableauFA1[Montant chèque 2])</f>
        <v>0</v>
      </c>
      <c r="E159" s="106">
        <f>SUMIF(TableauFA1[N° remise chèque 3],'remises de cheques'!$A159,TableauFA1[Montant chèque 3])</f>
        <v>0</v>
      </c>
      <c r="F159" s="106">
        <f>SUMIF(TableauFA2[N° remise chèque 1],'remises de cheques'!$A159,TableauFA2[Montant chèque 1])</f>
        <v>0</v>
      </c>
      <c r="G159" s="106">
        <f>SUMIF(TableauFA2[N° remise chèque 2],'remises de cheques'!$A159,TableauFA2[Montant chèque 2])</f>
        <v>0</v>
      </c>
      <c r="H159" s="106">
        <f>SUMIF(TableauFA2[N° remise chèque 3],'remises de cheques'!$A159,TableauFA2[Montant chèque 3])</f>
        <v>0</v>
      </c>
      <c r="I159" s="106">
        <f>SUMIF(TableauFfinale[N° remise chèque 1],'remises de cheques'!$A159,TableauFfinale[Montant chèque 1])</f>
        <v>0</v>
      </c>
      <c r="J159" s="106">
        <f>SUMIF(TableauFfinale[N° remise chèque 2],'remises de cheques'!$A159,TableauFfinale[Montant chèque 2])</f>
        <v>0</v>
      </c>
      <c r="K159" s="106">
        <f>SUMIF(TableauFfinale[N° remise chèque 3],'remises de cheques'!$A159,TableauFfinale[Montant chèque 3])</f>
        <v>0</v>
      </c>
      <c r="L159" s="107">
        <f t="shared" ref="L159" si="11">SUM(C159:K159)</f>
        <v>0</v>
      </c>
      <c r="N159" s="132" t="s">
        <v>268</v>
      </c>
      <c r="O159" s="132" t="s">
        <v>268</v>
      </c>
      <c r="P159" s="133" t="s">
        <v>139</v>
      </c>
      <c r="Q159" s="70"/>
      <c r="R159" s="189">
        <v>238.8</v>
      </c>
    </row>
    <row r="160" spans="1:19" ht="114" hidden="1" x14ac:dyDescent="0.3">
      <c r="A160" s="141" t="s">
        <v>223</v>
      </c>
      <c r="B160" s="108">
        <v>42429</v>
      </c>
      <c r="C160" s="106">
        <f>SUMIF(TableauFA1[N° remise chèque 1],'remises de cheques'!$A160,TableauFA1[Montant chèque 1])</f>
        <v>0</v>
      </c>
      <c r="D160" s="106">
        <f>SUMIF(TableauFA1[N° remise chèque 2],'remises de cheques'!$A160,TableauFA1[Montant chèque 2])</f>
        <v>0</v>
      </c>
      <c r="E160" s="106">
        <f>SUMIF(TableauFA1[N° remise chèque 3],'remises de cheques'!$A160,TableauFA1[Montant chèque 3])</f>
        <v>0</v>
      </c>
      <c r="F160" s="106">
        <f>SUMIF(TableauFA2[N° remise chèque 1],'remises de cheques'!$A160,TableauFA2[Montant chèque 1])</f>
        <v>0</v>
      </c>
      <c r="G160" s="106">
        <f>SUMIF(TableauFA2[N° remise chèque 2],'remises de cheques'!$A160,TableauFA2[Montant chèque 2])</f>
        <v>0</v>
      </c>
      <c r="H160" s="106">
        <f>SUMIF(TableauFA2[N° remise chèque 3],'remises de cheques'!$A160,TableauFA2[Montant chèque 3])</f>
        <v>0</v>
      </c>
      <c r="I160" s="106">
        <f>SUMIF(TableauFfinale[N° remise chèque 1],'remises de cheques'!$A160,TableauFfinale[Montant chèque 1])</f>
        <v>0</v>
      </c>
      <c r="J160" s="106">
        <f>SUMIF(TableauFfinale[N° remise chèque 2],'remises de cheques'!$A160,TableauFfinale[Montant chèque 2])</f>
        <v>0</v>
      </c>
      <c r="K160" s="106">
        <f>SUMIF(TableauFfinale[N° remise chèque 3],'remises de cheques'!$A160,TableauFfinale[Montant chèque 3])</f>
        <v>0</v>
      </c>
      <c r="L160" s="107">
        <f t="shared" ref="L160" si="12">SUM(C160:K160)</f>
        <v>0</v>
      </c>
      <c r="N160" s="132" t="s">
        <v>298</v>
      </c>
      <c r="O160" s="132" t="s">
        <v>298</v>
      </c>
      <c r="P160" s="133" t="s">
        <v>306</v>
      </c>
      <c r="Q160" s="70"/>
      <c r="R160" s="191">
        <v>1500</v>
      </c>
    </row>
    <row r="161" spans="1:19" ht="80.25" hidden="1" x14ac:dyDescent="0.3">
      <c r="A161" s="141" t="s">
        <v>170</v>
      </c>
      <c r="B161" s="108">
        <v>42348</v>
      </c>
      <c r="C161" s="106">
        <f>SUMIF(TableauFA1[N° remise chèque 1],'remises de cheques'!$A161,TableauFA1[Montant chèque 1])</f>
        <v>0</v>
      </c>
      <c r="D161" s="106">
        <f>SUMIF(TableauFA1[N° remise chèque 2],'remises de cheques'!$A161,TableauFA1[Montant chèque 2])</f>
        <v>0</v>
      </c>
      <c r="E161" s="106">
        <f>SUMIF(TableauFA1[N° remise chèque 3],'remises de cheques'!$A161,TableauFA1[Montant chèque 3])</f>
        <v>0</v>
      </c>
      <c r="F161" s="106">
        <f>SUMIF(TableauFA2[N° remise chèque 1],'remises de cheques'!$A161,TableauFA2[Montant chèque 1])</f>
        <v>0</v>
      </c>
      <c r="G161" s="106">
        <f>SUMIF(TableauFA2[N° remise chèque 2],'remises de cheques'!$A161,TableauFA2[Montant chèque 2])</f>
        <v>0</v>
      </c>
      <c r="H161" s="106">
        <f>SUMIF(TableauFA2[N° remise chèque 3],'remises de cheques'!$A161,TableauFA2[Montant chèque 3])</f>
        <v>0</v>
      </c>
      <c r="I161" s="106">
        <f>SUMIF(TableauFfinale[N° remise chèque 1],'remises de cheques'!$A161,TableauFfinale[Montant chèque 1])</f>
        <v>0</v>
      </c>
      <c r="J161" s="106">
        <f>SUMIF(TableauFfinale[N° remise chèque 2],'remises de cheques'!$A161,TableauFfinale[Montant chèque 2])</f>
        <v>0</v>
      </c>
      <c r="K161" s="106">
        <f>SUMIF(TableauFfinale[N° remise chèque 3],'remises de cheques'!$A161,TableauFfinale[Montant chèque 3])</f>
        <v>0</v>
      </c>
      <c r="L161" s="107">
        <f t="shared" ref="L161" si="13">SUM(C161:K161)</f>
        <v>0</v>
      </c>
      <c r="N161" s="132" t="s">
        <v>183</v>
      </c>
      <c r="O161" s="147" t="s">
        <v>183</v>
      </c>
      <c r="P161" s="133" t="s">
        <v>184</v>
      </c>
      <c r="Q161" s="162"/>
      <c r="R161" s="186">
        <v>6335</v>
      </c>
    </row>
    <row r="162" spans="1:19" ht="24" hidden="1" x14ac:dyDescent="0.3">
      <c r="A162" s="141">
        <v>5340260</v>
      </c>
      <c r="B162" s="108">
        <v>42352</v>
      </c>
      <c r="C162" s="106">
        <f>SUMIF(TableauFA1[N° remise chèque 1],'remises de cheques'!$A162,TableauFA1[Montant chèque 1])</f>
        <v>0</v>
      </c>
      <c r="D162" s="106">
        <f>SUMIF(TableauFA1[N° remise chèque 2],'remises de cheques'!$A162,TableauFA1[Montant chèque 2])</f>
        <v>0</v>
      </c>
      <c r="E162" s="106">
        <f>SUMIF(TableauFA1[N° remise chèque 3],'remises de cheques'!$A162,TableauFA1[Montant chèque 3])</f>
        <v>0</v>
      </c>
      <c r="F162" s="106">
        <f>SUMIF(TableauFA2[N° remise chèque 1],'remises de cheques'!$A162,TableauFA2[Montant chèque 1])</f>
        <v>0</v>
      </c>
      <c r="G162" s="106">
        <f>SUMIF(TableauFA2[N° remise chèque 2],'remises de cheques'!$A162,TableauFA2[Montant chèque 2])</f>
        <v>0</v>
      </c>
      <c r="H162" s="106">
        <f>SUMIF(TableauFA2[N° remise chèque 3],'remises de cheques'!$A162,TableauFA2[Montant chèque 3])</f>
        <v>0</v>
      </c>
      <c r="I162" s="106">
        <f>SUMIF(TableauFfinale[N° remise chèque 1],'remises de cheques'!$A162,TableauFfinale[Montant chèque 1])</f>
        <v>0</v>
      </c>
      <c r="J162" s="106">
        <f>SUMIF(TableauFfinale[N° remise chèque 2],'remises de cheques'!$A162,TableauFfinale[Montant chèque 2])</f>
        <v>0</v>
      </c>
      <c r="K162" s="106">
        <f>SUMIF(TableauFfinale[N° remise chèque 3],'remises de cheques'!$A162,TableauFfinale[Montant chèque 3])</f>
        <v>0</v>
      </c>
      <c r="L162" s="107">
        <f t="shared" si="8"/>
        <v>0</v>
      </c>
      <c r="N162" s="132" t="s">
        <v>180</v>
      </c>
      <c r="O162" s="147" t="s">
        <v>180</v>
      </c>
      <c r="P162" s="133" t="s">
        <v>181</v>
      </c>
      <c r="Q162" s="162"/>
      <c r="R162" s="186">
        <v>6600.54</v>
      </c>
    </row>
    <row r="163" spans="1:19" ht="24" hidden="1" x14ac:dyDescent="0.3">
      <c r="A163" s="141">
        <v>5340261</v>
      </c>
      <c r="B163" s="108">
        <v>42352</v>
      </c>
      <c r="C163" s="106">
        <f>SUMIF(TableauFA1[N° remise chèque 1],'remises de cheques'!$A163,TableauFA1[Montant chèque 1])</f>
        <v>0</v>
      </c>
      <c r="D163" s="106">
        <f>SUMIF(TableauFA1[N° remise chèque 2],'remises de cheques'!$A163,TableauFA1[Montant chèque 2])</f>
        <v>0</v>
      </c>
      <c r="E163" s="106">
        <f>SUMIF(TableauFA1[N° remise chèque 3],'remises de cheques'!$A163,TableauFA1[Montant chèque 3])</f>
        <v>0</v>
      </c>
      <c r="F163" s="106">
        <f>SUMIF(TableauFA2[N° remise chèque 1],'remises de cheques'!$A163,TableauFA2[Montant chèque 1])</f>
        <v>0</v>
      </c>
      <c r="G163" s="106">
        <f>SUMIF(TableauFA2[N° remise chèque 2],'remises de cheques'!$A163,TableauFA2[Montant chèque 2])</f>
        <v>0</v>
      </c>
      <c r="H163" s="106">
        <f>SUMIF(TableauFA2[N° remise chèque 3],'remises de cheques'!$A163,TableauFA2[Montant chèque 3])</f>
        <v>0</v>
      </c>
      <c r="I163" s="106">
        <f>SUMIF(TableauFfinale[N° remise chèque 1],'remises de cheques'!$A163,TableauFfinale[Montant chèque 1])</f>
        <v>0</v>
      </c>
      <c r="J163" s="106">
        <f>SUMIF(TableauFfinale[N° remise chèque 2],'remises de cheques'!$A163,TableauFfinale[Montant chèque 2])</f>
        <v>0</v>
      </c>
      <c r="K163" s="106">
        <f>SUMIF(TableauFfinale[N° remise chèque 3],'remises de cheques'!$A163,TableauFfinale[Montant chèque 3])</f>
        <v>0</v>
      </c>
      <c r="L163" s="107">
        <f t="shared" si="8"/>
        <v>0</v>
      </c>
      <c r="N163" s="132" t="s">
        <v>180</v>
      </c>
      <c r="O163" s="147" t="s">
        <v>180</v>
      </c>
      <c r="P163" s="133" t="s">
        <v>182</v>
      </c>
      <c r="Q163" s="162"/>
      <c r="R163" s="186">
        <v>2270.12</v>
      </c>
    </row>
    <row r="164" spans="1:19" ht="33" hidden="1" x14ac:dyDescent="0.3">
      <c r="A164" s="141" t="s">
        <v>312</v>
      </c>
      <c r="B164" s="108">
        <v>42353</v>
      </c>
      <c r="C164" s="106">
        <f>SUMIF(TableauFA1[N° remise chèque 1],'remises de cheques'!$A164,TableauFA1[Montant chèque 1])</f>
        <v>0</v>
      </c>
      <c r="D164" s="106">
        <f>SUMIF(TableauFA1[N° remise chèque 2],'remises de cheques'!$A164,TableauFA1[Montant chèque 2])</f>
        <v>0</v>
      </c>
      <c r="E164" s="106">
        <f>SUMIF(TableauFA1[N° remise chèque 3],'remises de cheques'!$A164,TableauFA1[Montant chèque 3])</f>
        <v>0</v>
      </c>
      <c r="F164" s="106">
        <f>SUMIF(TableauFA2[N° remise chèque 1],'remises de cheques'!$A164,TableauFA2[Montant chèque 1])</f>
        <v>0</v>
      </c>
      <c r="G164" s="106">
        <f>SUMIF(TableauFA2[N° remise chèque 2],'remises de cheques'!$A164,TableauFA2[Montant chèque 2])</f>
        <v>0</v>
      </c>
      <c r="H164" s="106">
        <f>SUMIF(TableauFA2[N° remise chèque 3],'remises de cheques'!$A164,TableauFA2[Montant chèque 3])</f>
        <v>0</v>
      </c>
      <c r="I164" s="106">
        <f>SUMIF(TableauFfinale[N° remise chèque 1],'remises de cheques'!$A164,TableauFfinale[Montant chèque 1])</f>
        <v>0</v>
      </c>
      <c r="J164" s="106">
        <f>SUMIF(TableauFfinale[N° remise chèque 2],'remises de cheques'!$A164,TableauFfinale[Montant chèque 2])</f>
        <v>0</v>
      </c>
      <c r="K164" s="106">
        <f>SUMIF(TableauFfinale[N° remise chèque 3],'remises de cheques'!$A164,TableauFfinale[Montant chèque 3])</f>
        <v>0</v>
      </c>
      <c r="L164" s="107">
        <f t="shared" ref="L164" si="14">SUM(C164:K164)</f>
        <v>0</v>
      </c>
      <c r="N164" s="143">
        <v>42353</v>
      </c>
      <c r="Q164" s="159"/>
      <c r="R164" s="183">
        <v>5343.11</v>
      </c>
    </row>
    <row r="165" spans="1:19" ht="33" hidden="1" x14ac:dyDescent="0.3">
      <c r="A165" s="141" t="s">
        <v>227</v>
      </c>
      <c r="B165" s="108">
        <v>42354</v>
      </c>
      <c r="C165" s="106">
        <f>SUMIF(TableauFA1[N° remise chèque 1],'remises de cheques'!$A165,TableauFA1[Montant chèque 1])</f>
        <v>0</v>
      </c>
      <c r="D165" s="106">
        <f>SUMIF(TableauFA1[N° remise chèque 2],'remises de cheques'!$A165,TableauFA1[Montant chèque 2])</f>
        <v>0</v>
      </c>
      <c r="E165" s="106">
        <f>SUMIF(TableauFA1[N° remise chèque 3],'remises de cheques'!$A165,TableauFA1[Montant chèque 3])</f>
        <v>0</v>
      </c>
      <c r="F165" s="106">
        <f>SUMIF(TableauFA2[N° remise chèque 1],'remises de cheques'!$A165,TableauFA2[Montant chèque 1])</f>
        <v>0</v>
      </c>
      <c r="G165" s="106">
        <f>SUMIF(TableauFA2[N° remise chèque 2],'remises de cheques'!$A165,TableauFA2[Montant chèque 2])</f>
        <v>0</v>
      </c>
      <c r="H165" s="106">
        <f>SUMIF(TableauFA2[N° remise chèque 3],'remises de cheques'!$A165,TableauFA2[Montant chèque 3])</f>
        <v>0</v>
      </c>
      <c r="I165" s="106">
        <f>SUMIF(TableauFfinale[N° remise chèque 1],'remises de cheques'!$A165,TableauFfinale[Montant chèque 1])</f>
        <v>0</v>
      </c>
      <c r="J165" s="106">
        <f>SUMIF(TableauFfinale[N° remise chèque 2],'remises de cheques'!$A165,TableauFfinale[Montant chèque 2])</f>
        <v>0</v>
      </c>
      <c r="K165" s="106">
        <f>SUMIF(TableauFfinale[N° remise chèque 3],'remises de cheques'!$A165,TableauFfinale[Montant chèque 3])</f>
        <v>0</v>
      </c>
      <c r="L165" s="107">
        <f t="shared" ref="L165" si="15">SUM(C165:K165)</f>
        <v>0</v>
      </c>
      <c r="N165" s="143">
        <v>42354</v>
      </c>
      <c r="Q165" s="159"/>
      <c r="R165" s="183">
        <v>2949</v>
      </c>
    </row>
    <row r="166" spans="1:19" ht="114" hidden="1" x14ac:dyDescent="0.3">
      <c r="A166" s="141" t="s">
        <v>229</v>
      </c>
      <c r="B166" s="108">
        <v>42366</v>
      </c>
      <c r="C166" s="106">
        <f>SUMIF(TableauFA1[N° remise chèque 1],'remises de cheques'!$A166,TableauFA1[Montant chèque 1])</f>
        <v>0</v>
      </c>
      <c r="D166" s="106">
        <f>SUMIF(TableauFA1[N° remise chèque 2],'remises de cheques'!$A166,TableauFA1[Montant chèque 2])</f>
        <v>0</v>
      </c>
      <c r="E166" s="106">
        <f>SUMIF(TableauFA1[N° remise chèque 3],'remises de cheques'!$A166,TableauFA1[Montant chèque 3])</f>
        <v>0</v>
      </c>
      <c r="F166" s="106">
        <f>SUMIF(TableauFA2[N° remise chèque 1],'remises de cheques'!$A166,TableauFA2[Montant chèque 1])</f>
        <v>0</v>
      </c>
      <c r="G166" s="106">
        <f>SUMIF(TableauFA2[N° remise chèque 2],'remises de cheques'!$A166,TableauFA2[Montant chèque 2])</f>
        <v>0</v>
      </c>
      <c r="H166" s="106">
        <f>SUMIF(TableauFA2[N° remise chèque 3],'remises de cheques'!$A166,TableauFA2[Montant chèque 3])</f>
        <v>0</v>
      </c>
      <c r="I166" s="106">
        <f>SUMIF(TableauFfinale[N° remise chèque 1],'remises de cheques'!$A166,TableauFfinale[Montant chèque 1])</f>
        <v>0</v>
      </c>
      <c r="J166" s="106">
        <f>SUMIF(TableauFfinale[N° remise chèque 2],'remises de cheques'!$A166,TableauFfinale[Montant chèque 2])</f>
        <v>0</v>
      </c>
      <c r="K166" s="106">
        <f>SUMIF(TableauFfinale[N° remise chèque 3],'remises de cheques'!$A166,TableauFfinale[Montant chèque 3])</f>
        <v>0</v>
      </c>
      <c r="L166" s="107">
        <f t="shared" ref="L166" si="16">SUM(C166:K166)</f>
        <v>0</v>
      </c>
      <c r="N166" s="132">
        <v>42366</v>
      </c>
      <c r="O166" s="147"/>
      <c r="P166" s="133" t="s">
        <v>230</v>
      </c>
      <c r="Q166" s="162"/>
      <c r="R166" s="186">
        <v>2356.66</v>
      </c>
    </row>
    <row r="167" spans="1:19" ht="24" hidden="1" x14ac:dyDescent="0.3">
      <c r="A167" s="141">
        <v>5340262</v>
      </c>
      <c r="B167" s="192">
        <v>42400</v>
      </c>
      <c r="C167" s="106">
        <f>SUMIF(TableauFA1[N° remise chèque 1],'remises de cheques'!$A167,TableauFA1[Montant chèque 1])</f>
        <v>0</v>
      </c>
      <c r="D167" s="106">
        <f>SUMIF(TableauFA1[N° remise chèque 2],'remises de cheques'!$A167,TableauFA1[Montant chèque 2])</f>
        <v>0</v>
      </c>
      <c r="E167" s="106">
        <f>SUMIF(TableauFA1[N° remise chèque 3],'remises de cheques'!$A167,TableauFA1[Montant chèque 3])</f>
        <v>0</v>
      </c>
      <c r="F167" s="106">
        <f>SUMIF(TableauFA2[N° remise chèque 1],'remises de cheques'!$A167,TableauFA2[Montant chèque 1])</f>
        <v>0</v>
      </c>
      <c r="G167" s="106">
        <f>SUMIF(TableauFA2[N° remise chèque 2],'remises de cheques'!$A167,TableauFA2[Montant chèque 2])</f>
        <v>0</v>
      </c>
      <c r="H167" s="106">
        <f>SUMIF(TableauFA2[N° remise chèque 3],'remises de cheques'!$A167,TableauFA2[Montant chèque 3])</f>
        <v>0</v>
      </c>
      <c r="I167" s="106">
        <f>SUMIF(TableauFfinale[N° remise chèque 1],'remises de cheques'!$A167,TableauFfinale[Montant chèque 1])</f>
        <v>0</v>
      </c>
      <c r="J167" s="106">
        <f>SUMIF(TableauFfinale[N° remise chèque 2],'remises de cheques'!$A167,TableauFfinale[Montant chèque 2])</f>
        <v>0</v>
      </c>
      <c r="K167" s="106">
        <f>SUMIF(TableauFfinale[N° remise chèque 3],'remises de cheques'!$A167,TableauFfinale[Montant chèque 3])</f>
        <v>0</v>
      </c>
      <c r="L167" s="107">
        <f t="shared" si="8"/>
        <v>0</v>
      </c>
      <c r="N167" s="132" t="s">
        <v>270</v>
      </c>
      <c r="O167" s="132" t="s">
        <v>270</v>
      </c>
      <c r="P167" s="133" t="s">
        <v>292</v>
      </c>
      <c r="Q167" s="70"/>
      <c r="R167" s="191">
        <v>500</v>
      </c>
      <c r="S167" s="144" t="s">
        <v>293</v>
      </c>
    </row>
    <row r="168" spans="1:19" ht="24" hidden="1" x14ac:dyDescent="0.3">
      <c r="A168" s="141">
        <v>5340263</v>
      </c>
      <c r="B168" s="108">
        <v>42359</v>
      </c>
      <c r="C168" s="106">
        <f>SUMIF(TableauFA1[N° remise chèque 1],'remises de cheques'!$A168,TableauFA1[Montant chèque 1])</f>
        <v>0</v>
      </c>
      <c r="D168" s="106">
        <f>SUMIF(TableauFA1[N° remise chèque 2],'remises de cheques'!$A168,TableauFA1[Montant chèque 2])</f>
        <v>0</v>
      </c>
      <c r="E168" s="106">
        <f>SUMIF(TableauFA1[N° remise chèque 3],'remises de cheques'!$A168,TableauFA1[Montant chèque 3])</f>
        <v>0</v>
      </c>
      <c r="F168" s="106">
        <f>SUMIF(TableauFA2[N° remise chèque 1],'remises de cheques'!$A168,TableauFA2[Montant chèque 1])</f>
        <v>0</v>
      </c>
      <c r="G168" s="106">
        <f>SUMIF(TableauFA2[N° remise chèque 2],'remises de cheques'!$A168,TableauFA2[Montant chèque 2])</f>
        <v>0</v>
      </c>
      <c r="H168" s="106">
        <f>SUMIF(TableauFA2[N° remise chèque 3],'remises de cheques'!$A168,TableauFA2[Montant chèque 3])</f>
        <v>0</v>
      </c>
      <c r="I168" s="106">
        <f>SUMIF(TableauFfinale[N° remise chèque 1],'remises de cheques'!$A168,TableauFfinale[Montant chèque 1])</f>
        <v>0</v>
      </c>
      <c r="J168" s="106">
        <f>SUMIF(TableauFfinale[N° remise chèque 2],'remises de cheques'!$A168,TableauFfinale[Montant chèque 2])</f>
        <v>0</v>
      </c>
      <c r="K168" s="106">
        <f>SUMIF(TableauFfinale[N° remise chèque 3],'remises de cheques'!$A168,TableauFfinale[Montant chèque 3])</f>
        <v>0</v>
      </c>
      <c r="L168" s="107">
        <f t="shared" si="8"/>
        <v>0</v>
      </c>
      <c r="N168" s="132" t="s">
        <v>234</v>
      </c>
      <c r="O168" s="132" t="s">
        <v>234</v>
      </c>
      <c r="P168" s="133" t="s">
        <v>236</v>
      </c>
      <c r="Q168" s="162"/>
      <c r="R168" s="186">
        <v>4179.83</v>
      </c>
    </row>
    <row r="169" spans="1:19" ht="24" hidden="1" x14ac:dyDescent="0.3">
      <c r="A169" s="141">
        <v>5340264</v>
      </c>
      <c r="B169" s="108">
        <v>42359</v>
      </c>
      <c r="C169" s="106">
        <f>SUMIF(TableauFA1[N° remise chèque 1],'remises de cheques'!$A169,TableauFA1[Montant chèque 1])</f>
        <v>0</v>
      </c>
      <c r="D169" s="106">
        <f>SUMIF(TableauFA1[N° remise chèque 2],'remises de cheques'!$A169,TableauFA1[Montant chèque 2])</f>
        <v>0</v>
      </c>
      <c r="E169" s="106">
        <f>SUMIF(TableauFA1[N° remise chèque 3],'remises de cheques'!$A169,TableauFA1[Montant chèque 3])</f>
        <v>0</v>
      </c>
      <c r="F169" s="106">
        <f>SUMIF(TableauFA2[N° remise chèque 1],'remises de cheques'!$A169,TableauFA2[Montant chèque 1])</f>
        <v>0</v>
      </c>
      <c r="G169" s="106">
        <f>SUMIF(TableauFA2[N° remise chèque 2],'remises de cheques'!$A169,TableauFA2[Montant chèque 2])</f>
        <v>0</v>
      </c>
      <c r="H169" s="106">
        <f>SUMIF(TableauFA2[N° remise chèque 3],'remises de cheques'!$A169,TableauFA2[Montant chèque 3])</f>
        <v>0</v>
      </c>
      <c r="I169" s="106">
        <f>SUMIF(TableauFfinale[N° remise chèque 1],'remises de cheques'!$A169,TableauFfinale[Montant chèque 1])</f>
        <v>0</v>
      </c>
      <c r="J169" s="106">
        <f>SUMIF(TableauFfinale[N° remise chèque 2],'remises de cheques'!$A169,TableauFfinale[Montant chèque 2])</f>
        <v>0</v>
      </c>
      <c r="K169" s="106">
        <f>SUMIF(TableauFfinale[N° remise chèque 3],'remises de cheques'!$A169,TableauFfinale[Montant chèque 3])</f>
        <v>0</v>
      </c>
      <c r="L169" s="107">
        <f t="shared" si="8"/>
        <v>0</v>
      </c>
      <c r="N169" s="132" t="s">
        <v>234</v>
      </c>
      <c r="O169" s="132" t="s">
        <v>234</v>
      </c>
      <c r="P169" s="133" t="s">
        <v>235</v>
      </c>
      <c r="Q169" s="162"/>
      <c r="R169" s="186">
        <v>9513.8799999999992</v>
      </c>
    </row>
    <row r="170" spans="1:19" ht="24" hidden="1" x14ac:dyDescent="0.3">
      <c r="A170" s="141">
        <v>5340265</v>
      </c>
      <c r="B170" s="108">
        <v>42367</v>
      </c>
      <c r="C170" s="106">
        <f>SUMIF(TableauFA1[N° remise chèque 1],'remises de cheques'!$A170,TableauFA1[Montant chèque 1])</f>
        <v>0</v>
      </c>
      <c r="D170" s="106">
        <f>SUMIF(TableauFA1[N° remise chèque 2],'remises de cheques'!$A170,TableauFA1[Montant chèque 2])</f>
        <v>0</v>
      </c>
      <c r="E170" s="106">
        <f>SUMIF(TableauFA1[N° remise chèque 3],'remises de cheques'!$A170,TableauFA1[Montant chèque 3])</f>
        <v>0</v>
      </c>
      <c r="F170" s="106">
        <f>SUMIF(TableauFA2[N° remise chèque 1],'remises de cheques'!$A170,TableauFA2[Montant chèque 1])</f>
        <v>0</v>
      </c>
      <c r="G170" s="106">
        <f>SUMIF(TableauFA2[N° remise chèque 2],'remises de cheques'!$A170,TableauFA2[Montant chèque 2])</f>
        <v>0</v>
      </c>
      <c r="H170" s="106">
        <f>SUMIF(TableauFA2[N° remise chèque 3],'remises de cheques'!$A170,TableauFA2[Montant chèque 3])</f>
        <v>0</v>
      </c>
      <c r="I170" s="106">
        <f>SUMIF(TableauFfinale[N° remise chèque 1],'remises de cheques'!$A170,TableauFfinale[Montant chèque 1])</f>
        <v>0</v>
      </c>
      <c r="J170" s="106">
        <f>SUMIF(TableauFfinale[N° remise chèque 2],'remises de cheques'!$A170,TableauFfinale[Montant chèque 2])</f>
        <v>0</v>
      </c>
      <c r="K170" s="106">
        <f>SUMIF(TableauFfinale[N° remise chèque 3],'remises de cheques'!$A170,TableauFfinale[Montant chèque 3])</f>
        <v>0</v>
      </c>
      <c r="L170" s="107">
        <f t="shared" si="8"/>
        <v>0</v>
      </c>
      <c r="N170" s="132" t="s">
        <v>240</v>
      </c>
      <c r="O170" s="132" t="s">
        <v>240</v>
      </c>
      <c r="P170" s="133" t="s">
        <v>247</v>
      </c>
      <c r="Q170" s="162"/>
      <c r="R170" s="186">
        <v>500</v>
      </c>
    </row>
    <row r="171" spans="1:19" ht="24" hidden="1" x14ac:dyDescent="0.3">
      <c r="A171" s="141">
        <v>5340266</v>
      </c>
      <c r="B171" s="108">
        <v>42359</v>
      </c>
      <c r="C171" s="106">
        <f>SUMIF(TableauFA1[N° remise chèque 1],'remises de cheques'!$A171,TableauFA1[Montant chèque 1])</f>
        <v>0</v>
      </c>
      <c r="D171" s="106">
        <f>SUMIF(TableauFA1[N° remise chèque 2],'remises de cheques'!$A171,TableauFA1[Montant chèque 2])</f>
        <v>0</v>
      </c>
      <c r="E171" s="106">
        <f>SUMIF(TableauFA1[N° remise chèque 3],'remises de cheques'!$A171,TableauFA1[Montant chèque 3])</f>
        <v>0</v>
      </c>
      <c r="F171" s="106">
        <f>SUMIF(TableauFA2[N° remise chèque 1],'remises de cheques'!$A171,TableauFA2[Montant chèque 1])</f>
        <v>0</v>
      </c>
      <c r="G171" s="106">
        <f>SUMIF(TableauFA2[N° remise chèque 2],'remises de cheques'!$A171,TableauFA2[Montant chèque 2])</f>
        <v>0</v>
      </c>
      <c r="H171" s="106">
        <f>SUMIF(TableauFA2[N° remise chèque 3],'remises de cheques'!$A171,TableauFA2[Montant chèque 3])</f>
        <v>0</v>
      </c>
      <c r="I171" s="106">
        <f>SUMIF(TableauFfinale[N° remise chèque 1],'remises de cheques'!$A171,TableauFfinale[Montant chèque 1])</f>
        <v>0</v>
      </c>
      <c r="J171" s="106">
        <f>SUMIF(TableauFfinale[N° remise chèque 2],'remises de cheques'!$A171,TableauFfinale[Montant chèque 2])</f>
        <v>0</v>
      </c>
      <c r="K171" s="106">
        <f>SUMIF(TableauFfinale[N° remise chèque 3],'remises de cheques'!$A171,TableauFfinale[Montant chèque 3])</f>
        <v>0</v>
      </c>
      <c r="L171" s="107">
        <f t="shared" si="8"/>
        <v>0</v>
      </c>
      <c r="N171" s="132" t="s">
        <v>234</v>
      </c>
      <c r="O171" s="132" t="s">
        <v>234</v>
      </c>
      <c r="P171" s="133" t="s">
        <v>238</v>
      </c>
      <c r="Q171" s="162"/>
      <c r="R171" s="186">
        <v>214.5</v>
      </c>
    </row>
    <row r="172" spans="1:19" ht="24" hidden="1" x14ac:dyDescent="0.3">
      <c r="A172" s="141">
        <v>5340267</v>
      </c>
      <c r="B172" s="108">
        <v>42359</v>
      </c>
      <c r="C172" s="106">
        <f>SUMIF(TableauFA1[N° remise chèque 1],'remises de cheques'!$A172,TableauFA1[Montant chèque 1])</f>
        <v>0</v>
      </c>
      <c r="D172" s="106">
        <f>SUMIF(TableauFA1[N° remise chèque 2],'remises de cheques'!$A172,TableauFA1[Montant chèque 2])</f>
        <v>0</v>
      </c>
      <c r="E172" s="106">
        <f>SUMIF(TableauFA1[N° remise chèque 3],'remises de cheques'!$A172,TableauFA1[Montant chèque 3])</f>
        <v>0</v>
      </c>
      <c r="F172" s="106">
        <f>SUMIF(TableauFA2[N° remise chèque 1],'remises de cheques'!$A172,TableauFA2[Montant chèque 1])</f>
        <v>0</v>
      </c>
      <c r="G172" s="106">
        <f>SUMIF(TableauFA2[N° remise chèque 2],'remises de cheques'!$A172,TableauFA2[Montant chèque 2])</f>
        <v>0</v>
      </c>
      <c r="H172" s="106">
        <f>SUMIF(TableauFA2[N° remise chèque 3],'remises de cheques'!$A172,TableauFA2[Montant chèque 3])</f>
        <v>0</v>
      </c>
      <c r="I172" s="106">
        <f>SUMIF(TableauFfinale[N° remise chèque 1],'remises de cheques'!$A172,TableauFfinale[Montant chèque 1])</f>
        <v>0</v>
      </c>
      <c r="J172" s="106">
        <f>SUMIF(TableauFfinale[N° remise chèque 2],'remises de cheques'!$A172,TableauFfinale[Montant chèque 2])</f>
        <v>0</v>
      </c>
      <c r="K172" s="106">
        <f>SUMIF(TableauFfinale[N° remise chèque 3],'remises de cheques'!$A172,TableauFfinale[Montant chèque 3])</f>
        <v>0</v>
      </c>
      <c r="L172" s="107">
        <f t="shared" si="8"/>
        <v>0</v>
      </c>
      <c r="N172" s="132" t="s">
        <v>234</v>
      </c>
      <c r="O172" s="132" t="s">
        <v>234</v>
      </c>
      <c r="P172" s="133" t="s">
        <v>237</v>
      </c>
      <c r="Q172" s="162"/>
      <c r="R172" s="186">
        <v>1645.28</v>
      </c>
    </row>
    <row r="173" spans="1:19" ht="24" hidden="1" x14ac:dyDescent="0.3">
      <c r="A173" s="141">
        <v>5340268</v>
      </c>
      <c r="B173" s="108">
        <v>42367</v>
      </c>
      <c r="C173" s="106">
        <f>SUMIF(TableauFA1[N° remise chèque 1],'remises de cheques'!$A173,TableauFA1[Montant chèque 1])</f>
        <v>0</v>
      </c>
      <c r="D173" s="106">
        <f>SUMIF(TableauFA1[N° remise chèque 2],'remises de cheques'!$A173,TableauFA1[Montant chèque 2])</f>
        <v>0</v>
      </c>
      <c r="E173" s="106">
        <f>SUMIF(TableauFA1[N° remise chèque 3],'remises de cheques'!$A173,TableauFA1[Montant chèque 3])</f>
        <v>0</v>
      </c>
      <c r="F173" s="106">
        <f>SUMIF(TableauFA2[N° remise chèque 1],'remises de cheques'!$A173,TableauFA2[Montant chèque 1])</f>
        <v>0</v>
      </c>
      <c r="G173" s="106">
        <f>SUMIF(TableauFA2[N° remise chèque 2],'remises de cheques'!$A173,TableauFA2[Montant chèque 2])</f>
        <v>0</v>
      </c>
      <c r="H173" s="106">
        <f>SUMIF(TableauFA2[N° remise chèque 3],'remises de cheques'!$A173,TableauFA2[Montant chèque 3])</f>
        <v>0</v>
      </c>
      <c r="I173" s="106">
        <f>SUMIF(TableauFfinale[N° remise chèque 1],'remises de cheques'!$A173,TableauFfinale[Montant chèque 1])</f>
        <v>0</v>
      </c>
      <c r="J173" s="106">
        <f>SUMIF(TableauFfinale[N° remise chèque 2],'remises de cheques'!$A173,TableauFfinale[Montant chèque 2])</f>
        <v>0</v>
      </c>
      <c r="K173" s="106">
        <f>SUMIF(TableauFfinale[N° remise chèque 3],'remises de cheques'!$A173,TableauFfinale[Montant chèque 3])</f>
        <v>0</v>
      </c>
      <c r="L173" s="107">
        <f t="shared" si="8"/>
        <v>0</v>
      </c>
      <c r="N173" s="132" t="s">
        <v>240</v>
      </c>
      <c r="O173" s="132" t="s">
        <v>240</v>
      </c>
      <c r="P173" s="133" t="s">
        <v>243</v>
      </c>
      <c r="Q173" s="162"/>
      <c r="R173" s="186">
        <v>3221.19</v>
      </c>
    </row>
    <row r="174" spans="1:19" ht="80.25" hidden="1" x14ac:dyDescent="0.3">
      <c r="A174" s="141" t="s">
        <v>239</v>
      </c>
      <c r="B174" s="108">
        <v>42373</v>
      </c>
      <c r="C174" s="106">
        <f>SUMIF(TableauFA1[N° remise chèque 1],'remises de cheques'!$A174,TableauFA1[Montant chèque 1])</f>
        <v>0</v>
      </c>
      <c r="D174" s="106">
        <f>SUMIF(TableauFA1[N° remise chèque 2],'remises de cheques'!$A174,TableauFA1[Montant chèque 2])</f>
        <v>0</v>
      </c>
      <c r="E174" s="106">
        <f>SUMIF(TableauFA1[N° remise chèque 3],'remises de cheques'!$A174,TableauFA1[Montant chèque 3])</f>
        <v>0</v>
      </c>
      <c r="F174" s="106">
        <f>SUMIF(TableauFA2[N° remise chèque 1],'remises de cheques'!$A174,TableauFA2[Montant chèque 1])</f>
        <v>0</v>
      </c>
      <c r="G174" s="106">
        <f>SUMIF(TableauFA2[N° remise chèque 2],'remises de cheques'!$A174,TableauFA2[Montant chèque 2])</f>
        <v>0</v>
      </c>
      <c r="H174" s="106">
        <f>SUMIF(TableauFA2[N° remise chèque 3],'remises de cheques'!$A174,TableauFA2[Montant chèque 3])</f>
        <v>0</v>
      </c>
      <c r="I174" s="106">
        <f>SUMIF(TableauFfinale[N° remise chèque 1],'remises de cheques'!$A174,TableauFfinale[Montant chèque 1])</f>
        <v>0</v>
      </c>
      <c r="J174" s="106">
        <f>SUMIF(TableauFfinale[N° remise chèque 2],'remises de cheques'!$A174,TableauFfinale[Montant chèque 2])</f>
        <v>0</v>
      </c>
      <c r="K174" s="106">
        <f>SUMIF(TableauFfinale[N° remise chèque 3],'remises de cheques'!$A174,TableauFfinale[Montant chèque 3])</f>
        <v>0</v>
      </c>
      <c r="L174" s="107">
        <f t="shared" si="8"/>
        <v>0</v>
      </c>
      <c r="N174" s="132" t="s">
        <v>268</v>
      </c>
      <c r="O174" s="132" t="s">
        <v>268</v>
      </c>
      <c r="P174" s="133" t="s">
        <v>269</v>
      </c>
      <c r="Q174" s="70"/>
      <c r="R174" s="189">
        <v>637.20000000000005</v>
      </c>
    </row>
    <row r="175" spans="1:19" ht="24" hidden="1" x14ac:dyDescent="0.3">
      <c r="A175" s="141">
        <v>5340269</v>
      </c>
      <c r="B175" s="108">
        <v>42367</v>
      </c>
      <c r="C175" s="106">
        <f>SUMIF(TableauFA1[N° remise chèque 1],'remises de cheques'!$A175,TableauFA1[Montant chèque 1])</f>
        <v>0</v>
      </c>
      <c r="D175" s="106">
        <f>SUMIF(TableauFA1[N° remise chèque 2],'remises de cheques'!$A175,TableauFA1[Montant chèque 2])</f>
        <v>0</v>
      </c>
      <c r="E175" s="106">
        <f>SUMIF(TableauFA1[N° remise chèque 3],'remises de cheques'!$A175,TableauFA1[Montant chèque 3])</f>
        <v>0</v>
      </c>
      <c r="F175" s="106">
        <f>SUMIF(TableauFA2[N° remise chèque 1],'remises de cheques'!$A175,TableauFA2[Montant chèque 1])</f>
        <v>0</v>
      </c>
      <c r="G175" s="106">
        <f>SUMIF(TableauFA2[N° remise chèque 2],'remises de cheques'!$A175,TableauFA2[Montant chèque 2])</f>
        <v>0</v>
      </c>
      <c r="H175" s="106">
        <f>SUMIF(TableauFA2[N° remise chèque 3],'remises de cheques'!$A175,TableauFA2[Montant chèque 3])</f>
        <v>0</v>
      </c>
      <c r="I175" s="106">
        <f>SUMIF(TableauFfinale[N° remise chèque 1],'remises de cheques'!$A175,TableauFfinale[Montant chèque 1])</f>
        <v>0</v>
      </c>
      <c r="J175" s="106">
        <f>SUMIF(TableauFfinale[N° remise chèque 2],'remises de cheques'!$A175,TableauFfinale[Montant chèque 2])</f>
        <v>0</v>
      </c>
      <c r="K175" s="106">
        <f>SUMIF(TableauFfinale[N° remise chèque 3],'remises de cheques'!$A175,TableauFfinale[Montant chèque 3])</f>
        <v>0</v>
      </c>
      <c r="L175" s="107">
        <f t="shared" si="8"/>
        <v>0</v>
      </c>
      <c r="N175" s="132" t="s">
        <v>240</v>
      </c>
      <c r="O175" s="132" t="s">
        <v>240</v>
      </c>
      <c r="P175" s="133" t="s">
        <v>241</v>
      </c>
      <c r="Q175" s="162"/>
      <c r="R175" s="186">
        <v>13381.46</v>
      </c>
    </row>
    <row r="176" spans="1:19" ht="24" hidden="1" x14ac:dyDescent="0.3">
      <c r="A176" s="141">
        <v>5340270</v>
      </c>
      <c r="B176" s="108">
        <v>42367</v>
      </c>
      <c r="C176" s="106">
        <f>SUMIF(TableauFA1[N° remise chèque 1],'remises de cheques'!$A176,TableauFA1[Montant chèque 1])</f>
        <v>0</v>
      </c>
      <c r="D176" s="106">
        <f>SUMIF(TableauFA1[N° remise chèque 2],'remises de cheques'!$A176,TableauFA1[Montant chèque 2])</f>
        <v>0</v>
      </c>
      <c r="E176" s="106">
        <f>SUMIF(TableauFA1[N° remise chèque 3],'remises de cheques'!$A176,TableauFA1[Montant chèque 3])</f>
        <v>0</v>
      </c>
      <c r="F176" s="106">
        <f>SUMIF(TableauFA2[N° remise chèque 1],'remises de cheques'!$A176,TableauFA2[Montant chèque 1])</f>
        <v>0</v>
      </c>
      <c r="G176" s="106">
        <f>SUMIF(TableauFA2[N° remise chèque 2],'remises de cheques'!$A176,TableauFA2[Montant chèque 2])</f>
        <v>0</v>
      </c>
      <c r="H176" s="106">
        <f>SUMIF(TableauFA2[N° remise chèque 3],'remises de cheques'!$A176,TableauFA2[Montant chèque 3])</f>
        <v>0</v>
      </c>
      <c r="I176" s="106">
        <f>SUMIF(TableauFfinale[N° remise chèque 1],'remises de cheques'!$A176,TableauFfinale[Montant chèque 1])</f>
        <v>0</v>
      </c>
      <c r="J176" s="106">
        <f>SUMIF(TableauFfinale[N° remise chèque 2],'remises de cheques'!$A176,TableauFfinale[Montant chèque 2])</f>
        <v>0</v>
      </c>
      <c r="K176" s="106">
        <f>SUMIF(TableauFfinale[N° remise chèque 3],'remises de cheques'!$A176,TableauFfinale[Montant chèque 3])</f>
        <v>0</v>
      </c>
      <c r="L176" s="107">
        <f t="shared" si="8"/>
        <v>0</v>
      </c>
      <c r="N176" s="132" t="s">
        <v>240</v>
      </c>
      <c r="O176" s="132" t="s">
        <v>240</v>
      </c>
      <c r="P176" s="133" t="s">
        <v>244</v>
      </c>
      <c r="Q176" s="162"/>
      <c r="R176" s="186">
        <v>2739.79</v>
      </c>
    </row>
    <row r="177" spans="1:19" ht="26.25" hidden="1" x14ac:dyDescent="0.3">
      <c r="A177" s="151">
        <v>5340271</v>
      </c>
      <c r="B177" s="152">
        <v>42367</v>
      </c>
      <c r="C177" s="153">
        <f>SUMIF(TableauFA1[N° remise chèque 1],'remises de cheques'!$A177,TableauFA1[Montant chèque 1])</f>
        <v>0</v>
      </c>
      <c r="D177" s="153">
        <f>SUMIF(TableauFA1[N° remise chèque 2],'remises de cheques'!$A177,TableauFA1[Montant chèque 2])</f>
        <v>0</v>
      </c>
      <c r="E177" s="153">
        <f>SUMIF(TableauFA1[N° remise chèque 3],'remises de cheques'!$A177,TableauFA1[Montant chèque 3])</f>
        <v>0</v>
      </c>
      <c r="F177" s="153">
        <f>SUMIF(TableauFA2[N° remise chèque 1],'remises de cheques'!$A177,TableauFA2[Montant chèque 1])</f>
        <v>0</v>
      </c>
      <c r="G177" s="153">
        <f>SUMIF(TableauFA2[N° remise chèque 2],'remises de cheques'!$A177,TableauFA2[Montant chèque 2])</f>
        <v>0</v>
      </c>
      <c r="H177" s="153">
        <f>SUMIF(TableauFA2[N° remise chèque 3],'remises de cheques'!$A177,TableauFA2[Montant chèque 3])</f>
        <v>0</v>
      </c>
      <c r="I177" s="153">
        <f>SUMIF(TableauFfinale[N° remise chèque 1],'remises de cheques'!$A177,TableauFfinale[Montant chèque 1])</f>
        <v>0</v>
      </c>
      <c r="J177" s="153">
        <f>SUMIF(TableauFfinale[N° remise chèque 2],'remises de cheques'!$A177,TableauFfinale[Montant chèque 2])</f>
        <v>0</v>
      </c>
      <c r="K177" s="153">
        <f>SUMIF(TableauFfinale[N° remise chèque 3],'remises de cheques'!$A177,TableauFfinale[Montant chèque 3])</f>
        <v>0</v>
      </c>
      <c r="L177" s="154">
        <f t="shared" si="8"/>
        <v>0</v>
      </c>
      <c r="N177" s="132" t="s">
        <v>240</v>
      </c>
      <c r="O177" s="132" t="s">
        <v>240</v>
      </c>
      <c r="P177" s="133" t="s">
        <v>245</v>
      </c>
      <c r="Q177" s="162"/>
      <c r="R177" s="186">
        <v>1460.02</v>
      </c>
      <c r="S177" s="150" t="s">
        <v>246</v>
      </c>
    </row>
    <row r="178" spans="1:19" ht="114" hidden="1" x14ac:dyDescent="0.3">
      <c r="A178" s="141" t="s">
        <v>248</v>
      </c>
      <c r="B178" s="108">
        <v>42431</v>
      </c>
      <c r="C178" s="106">
        <f>SUMIF(TableauFA1[N° remise chèque 1],'remises de cheques'!$A178,TableauFA1[Montant chèque 1])</f>
        <v>0</v>
      </c>
      <c r="D178" s="106">
        <f>SUMIF(TableauFA1[N° remise chèque 2],'remises de cheques'!$A178,TableauFA1[Montant chèque 2])</f>
        <v>0</v>
      </c>
      <c r="E178" s="106">
        <f>SUMIF(TableauFA1[N° remise chèque 3],'remises de cheques'!$A178,TableauFA1[Montant chèque 3])</f>
        <v>0</v>
      </c>
      <c r="F178" s="106">
        <f>SUMIF(TableauFA2[N° remise chèque 1],'remises de cheques'!$A178,TableauFA2[Montant chèque 1])</f>
        <v>0</v>
      </c>
      <c r="G178" s="106">
        <f>SUMIF(TableauFA2[N° remise chèque 2],'remises de cheques'!$A178,TableauFA2[Montant chèque 2])</f>
        <v>0</v>
      </c>
      <c r="H178" s="106">
        <f>SUMIF(TableauFA2[N° remise chèque 3],'remises de cheques'!$A178,TableauFA2[Montant chèque 3])</f>
        <v>0</v>
      </c>
      <c r="I178" s="106">
        <f>SUMIF(TableauFfinale[N° remise chèque 1],'remises de cheques'!$A178,TableauFfinale[Montant chèque 1])</f>
        <v>0</v>
      </c>
      <c r="J178" s="106">
        <f>SUMIF(TableauFfinale[N° remise chèque 2],'remises de cheques'!$A178,TableauFfinale[Montant chèque 2])</f>
        <v>0</v>
      </c>
      <c r="K178" s="106">
        <f>SUMIF(TableauFfinale[N° remise chèque 3],'remises de cheques'!$A178,TableauFfinale[Montant chèque 3])</f>
        <v>0</v>
      </c>
      <c r="L178" s="107">
        <f t="shared" si="8"/>
        <v>0</v>
      </c>
      <c r="N178" s="132" t="s">
        <v>325</v>
      </c>
      <c r="O178" s="132" t="s">
        <v>325</v>
      </c>
      <c r="P178" s="133" t="s">
        <v>326</v>
      </c>
      <c r="Q178" s="70"/>
      <c r="R178" s="191">
        <v>1500</v>
      </c>
    </row>
    <row r="179" spans="1:19" ht="80.25" hidden="1" x14ac:dyDescent="0.3">
      <c r="A179" s="141" t="s">
        <v>251</v>
      </c>
      <c r="B179" s="108">
        <v>42380</v>
      </c>
      <c r="C179" s="106">
        <f>SUMIF(TableauFA1[N° remise chèque 1],'remises de cheques'!$A179,TableauFA1[Montant chèque 1])</f>
        <v>0</v>
      </c>
      <c r="D179" s="106">
        <f>SUMIF(TableauFA1[N° remise chèque 2],'remises de cheques'!$A179,TableauFA1[Montant chèque 2])</f>
        <v>0</v>
      </c>
      <c r="E179" s="106">
        <f>SUMIF(TableauFA1[N° remise chèque 3],'remises de cheques'!$A179,TableauFA1[Montant chèque 3])</f>
        <v>0</v>
      </c>
      <c r="F179" s="106">
        <f>SUMIF(TableauFA2[N° remise chèque 1],'remises de cheques'!$A179,TableauFA2[Montant chèque 1])</f>
        <v>0</v>
      </c>
      <c r="G179" s="106">
        <f>SUMIF(TableauFA2[N° remise chèque 2],'remises de cheques'!$A179,TableauFA2[Montant chèque 2])</f>
        <v>0</v>
      </c>
      <c r="H179" s="106">
        <f>SUMIF(TableauFA2[N° remise chèque 3],'remises de cheques'!$A179,TableauFA2[Montant chèque 3])</f>
        <v>0</v>
      </c>
      <c r="I179" s="106">
        <f>SUMIF(TableauFfinale[N° remise chèque 1],'remises de cheques'!$A179,TableauFfinale[Montant chèque 1])</f>
        <v>0</v>
      </c>
      <c r="J179" s="106">
        <f>SUMIF(TableauFfinale[N° remise chèque 2],'remises de cheques'!$A179,TableauFfinale[Montant chèque 2])</f>
        <v>0</v>
      </c>
      <c r="K179" s="106">
        <f>SUMIF(TableauFfinale[N° remise chèque 3],'remises de cheques'!$A179,TableauFfinale[Montant chèque 3])</f>
        <v>0</v>
      </c>
      <c r="L179" s="107">
        <f t="shared" ref="L179" si="17">SUM(C179:K179)</f>
        <v>0</v>
      </c>
      <c r="N179" s="132" t="s">
        <v>266</v>
      </c>
      <c r="O179" s="132" t="s">
        <v>266</v>
      </c>
      <c r="P179" s="133" t="s">
        <v>267</v>
      </c>
      <c r="Q179" s="70"/>
      <c r="R179" s="190">
        <v>3700</v>
      </c>
    </row>
    <row r="180" spans="1:19" ht="24" hidden="1" x14ac:dyDescent="0.3">
      <c r="A180" s="141">
        <v>5340272</v>
      </c>
      <c r="B180" s="108">
        <v>42401</v>
      </c>
      <c r="C180" s="106">
        <f>SUMIF(TableauFA1[N° remise chèque 1],'remises de cheques'!$A180,TableauFA1[Montant chèque 1])</f>
        <v>0</v>
      </c>
      <c r="D180" s="106">
        <f>SUMIF(TableauFA1[N° remise chèque 2],'remises de cheques'!$A180,TableauFA1[Montant chèque 2])</f>
        <v>0</v>
      </c>
      <c r="E180" s="106">
        <f>SUMIF(TableauFA1[N° remise chèque 3],'remises de cheques'!$A180,TableauFA1[Montant chèque 3])</f>
        <v>0</v>
      </c>
      <c r="F180" s="106">
        <f>SUMIF(TableauFA2[N° remise chèque 1],'remises de cheques'!$A180,TableauFA2[Montant chèque 1])</f>
        <v>0</v>
      </c>
      <c r="G180" s="106">
        <f>SUMIF(TableauFA2[N° remise chèque 2],'remises de cheques'!$A180,TableauFA2[Montant chèque 2])</f>
        <v>0</v>
      </c>
      <c r="H180" s="106">
        <f>SUMIF(TableauFA2[N° remise chèque 3],'remises de cheques'!$A180,TableauFA2[Montant chèque 3])</f>
        <v>0</v>
      </c>
      <c r="I180" s="106">
        <f>SUMIF(TableauFfinale[N° remise chèque 1],'remises de cheques'!$A180,TableauFfinale[Montant chèque 1])</f>
        <v>0</v>
      </c>
      <c r="J180" s="106">
        <f>SUMIF(TableauFfinale[N° remise chèque 2],'remises de cheques'!$A180,TableauFfinale[Montant chèque 2])</f>
        <v>0</v>
      </c>
      <c r="K180" s="106">
        <f>SUMIF(TableauFfinale[N° remise chèque 3],'remises de cheques'!$A180,TableauFfinale[Montant chèque 3])</f>
        <v>0</v>
      </c>
      <c r="L180" s="107">
        <f t="shared" si="8"/>
        <v>0</v>
      </c>
      <c r="N180" s="132" t="s">
        <v>270</v>
      </c>
      <c r="O180" s="132" t="s">
        <v>270</v>
      </c>
      <c r="P180" s="133" t="s">
        <v>288</v>
      </c>
      <c r="Q180" s="70"/>
      <c r="R180" s="191">
        <v>500.07</v>
      </c>
      <c r="S180" s="97" t="s">
        <v>289</v>
      </c>
    </row>
    <row r="181" spans="1:19" ht="24" hidden="1" x14ac:dyDescent="0.3">
      <c r="A181" s="141">
        <v>5340273</v>
      </c>
      <c r="B181" s="192">
        <v>42400</v>
      </c>
      <c r="C181" s="106">
        <f>SUMIF(TableauFA1[N° remise chèque 1],'remises de cheques'!$A181,TableauFA1[Montant chèque 1])</f>
        <v>0</v>
      </c>
      <c r="D181" s="106">
        <f>SUMIF(TableauFA1[N° remise chèque 2],'remises de cheques'!$A181,TableauFA1[Montant chèque 2])</f>
        <v>0</v>
      </c>
      <c r="E181" s="106">
        <f>SUMIF(TableauFA1[N° remise chèque 3],'remises de cheques'!$A181,TableauFA1[Montant chèque 3])</f>
        <v>0</v>
      </c>
      <c r="F181" s="106">
        <f>SUMIF(TableauFA2[N° remise chèque 1],'remises de cheques'!$A181,TableauFA2[Montant chèque 1])</f>
        <v>0</v>
      </c>
      <c r="G181" s="106">
        <f>SUMIF(TableauFA2[N° remise chèque 2],'remises de cheques'!$A181,TableauFA2[Montant chèque 2])</f>
        <v>0</v>
      </c>
      <c r="H181" s="106">
        <f>SUMIF(TableauFA2[N° remise chèque 3],'remises de cheques'!$A181,TableauFA2[Montant chèque 3])</f>
        <v>0</v>
      </c>
      <c r="I181" s="106">
        <f>SUMIF(TableauFfinale[N° remise chèque 1],'remises de cheques'!$A181,TableauFfinale[Montant chèque 1])</f>
        <v>0</v>
      </c>
      <c r="J181" s="106">
        <f>SUMIF(TableauFfinale[N° remise chèque 2],'remises de cheques'!$A181,TableauFfinale[Montant chèque 2])</f>
        <v>0</v>
      </c>
      <c r="K181" s="106">
        <f>SUMIF(TableauFfinale[N° remise chèque 3],'remises de cheques'!$A181,TableauFfinale[Montant chèque 3])</f>
        <v>0</v>
      </c>
      <c r="L181" s="107">
        <f t="shared" si="8"/>
        <v>0</v>
      </c>
      <c r="N181" s="132" t="s">
        <v>270</v>
      </c>
      <c r="O181" s="132" t="s">
        <v>270</v>
      </c>
      <c r="P181" s="133" t="s">
        <v>271</v>
      </c>
      <c r="Q181" s="70"/>
      <c r="R181" s="190">
        <v>13383.68</v>
      </c>
      <c r="S181" s="144" t="s">
        <v>272</v>
      </c>
    </row>
    <row r="182" spans="1:19" ht="24" hidden="1" x14ac:dyDescent="0.3">
      <c r="A182" s="141">
        <v>5340274</v>
      </c>
      <c r="B182" s="108">
        <v>42471</v>
      </c>
      <c r="C182" s="106">
        <f>SUMIF(TableauFA1[N° remise chèque 1],'remises de cheques'!$A182,TableauFA1[Montant chèque 1])</f>
        <v>0</v>
      </c>
      <c r="D182" s="106">
        <f>SUMIF(TableauFA1[N° remise chèque 2],'remises de cheques'!$A182,TableauFA1[Montant chèque 2])</f>
        <v>0</v>
      </c>
      <c r="E182" s="106">
        <f>SUMIF(TableauFA1[N° remise chèque 3],'remises de cheques'!$A182,TableauFA1[Montant chèque 3])</f>
        <v>0</v>
      </c>
      <c r="F182" s="106">
        <f>SUMIF(TableauFA2[N° remise chèque 1],'remises de cheques'!$A182,TableauFA2[Montant chèque 1])</f>
        <v>0</v>
      </c>
      <c r="G182" s="106">
        <f>SUMIF(TableauFA2[N° remise chèque 2],'remises de cheques'!$A182,TableauFA2[Montant chèque 2])</f>
        <v>0</v>
      </c>
      <c r="H182" s="106">
        <f>SUMIF(TableauFA2[N° remise chèque 3],'remises de cheques'!$A182,TableauFA2[Montant chèque 3])</f>
        <v>0</v>
      </c>
      <c r="I182" s="106">
        <f>SUMIF(TableauFfinale[N° remise chèque 1],'remises de cheques'!$A182,TableauFfinale[Montant chèque 1])</f>
        <v>0</v>
      </c>
      <c r="J182" s="106">
        <f>SUMIF(TableauFfinale[N° remise chèque 2],'remises de cheques'!$A182,TableauFfinale[Montant chèque 2])</f>
        <v>0</v>
      </c>
      <c r="K182" s="106">
        <f>SUMIF(TableauFfinale[N° remise chèque 3],'remises de cheques'!$A182,TableauFfinale[Montant chèque 3])</f>
        <v>0</v>
      </c>
      <c r="L182" s="107">
        <f t="shared" si="8"/>
        <v>0</v>
      </c>
      <c r="N182" s="132" t="s">
        <v>358</v>
      </c>
      <c r="O182" s="132" t="s">
        <v>358</v>
      </c>
      <c r="P182" s="133" t="s">
        <v>361</v>
      </c>
      <c r="Q182" s="70"/>
      <c r="R182" s="191">
        <v>15867.83</v>
      </c>
      <c r="S182" s="144"/>
    </row>
    <row r="183" spans="1:19" ht="24" hidden="1" x14ac:dyDescent="0.3">
      <c r="A183" s="141">
        <v>5340275</v>
      </c>
      <c r="B183" s="192">
        <v>42400</v>
      </c>
      <c r="C183" s="106">
        <f>SUMIF(TableauFA1[N° remise chèque 1],'remises de cheques'!$A183,TableauFA1[Montant chèque 1])</f>
        <v>500</v>
      </c>
      <c r="D183" s="106">
        <f>SUMIF(TableauFA1[N° remise chèque 2],'remises de cheques'!$A183,TableauFA1[Montant chèque 2])</f>
        <v>0</v>
      </c>
      <c r="E183" s="106">
        <f>SUMIF(TableauFA1[N° remise chèque 3],'remises de cheques'!$A183,TableauFA1[Montant chèque 3])</f>
        <v>0</v>
      </c>
      <c r="F183" s="106">
        <f>SUMIF(TableauFA2[N° remise chèque 1],'remises de cheques'!$A183,TableauFA2[Montant chèque 1])</f>
        <v>0</v>
      </c>
      <c r="G183" s="106">
        <f>SUMIF(TableauFA2[N° remise chèque 2],'remises de cheques'!$A183,TableauFA2[Montant chèque 2])</f>
        <v>0</v>
      </c>
      <c r="H183" s="106">
        <f>SUMIF(TableauFA2[N° remise chèque 3],'remises de cheques'!$A183,TableauFA2[Montant chèque 3])</f>
        <v>0</v>
      </c>
      <c r="I183" s="106">
        <f>SUMIF(TableauFfinale[N° remise chèque 1],'remises de cheques'!$A183,TableauFfinale[Montant chèque 1])</f>
        <v>0</v>
      </c>
      <c r="J183" s="106">
        <f>SUMIF(TableauFfinale[N° remise chèque 2],'remises de cheques'!$A183,TableauFfinale[Montant chèque 2])</f>
        <v>0</v>
      </c>
      <c r="K183" s="106">
        <f>SUMIF(TableauFfinale[N° remise chèque 3],'remises de cheques'!$A183,TableauFfinale[Montant chèque 3])</f>
        <v>0</v>
      </c>
      <c r="L183" s="107">
        <f t="shared" si="8"/>
        <v>500</v>
      </c>
      <c r="N183" s="132" t="s">
        <v>270</v>
      </c>
      <c r="O183" s="132" t="s">
        <v>270</v>
      </c>
      <c r="P183" s="133" t="s">
        <v>277</v>
      </c>
      <c r="Q183" s="70"/>
      <c r="R183" s="191">
        <v>4399.1499999999996</v>
      </c>
      <c r="S183" s="144" t="s">
        <v>272</v>
      </c>
    </row>
    <row r="184" spans="1:19" ht="24" hidden="1" x14ac:dyDescent="0.3">
      <c r="A184" s="141">
        <v>5340276</v>
      </c>
      <c r="B184" s="108">
        <v>42401</v>
      </c>
      <c r="C184" s="106">
        <f>SUMIF(TableauFA1[N° remise chèque 1],'remises de cheques'!$A184,TableauFA1[Montant chèque 1])</f>
        <v>0</v>
      </c>
      <c r="D184" s="106">
        <f>SUMIF(TableauFA1[N° remise chèque 2],'remises de cheques'!$A184,TableauFA1[Montant chèque 2])</f>
        <v>0</v>
      </c>
      <c r="E184" s="106">
        <f>SUMIF(TableauFA1[N° remise chèque 3],'remises de cheques'!$A184,TableauFA1[Montant chèque 3])</f>
        <v>0</v>
      </c>
      <c r="F184" s="106">
        <f>SUMIF(TableauFA2[N° remise chèque 1],'remises de cheques'!$A184,TableauFA2[Montant chèque 1])</f>
        <v>0</v>
      </c>
      <c r="G184" s="106">
        <f>SUMIF(TableauFA2[N° remise chèque 2],'remises de cheques'!$A184,TableauFA2[Montant chèque 2])</f>
        <v>0</v>
      </c>
      <c r="H184" s="106">
        <f>SUMIF(TableauFA2[N° remise chèque 3],'remises de cheques'!$A184,TableauFA2[Montant chèque 3])</f>
        <v>0</v>
      </c>
      <c r="I184" s="106">
        <f>SUMIF(TableauFfinale[N° remise chèque 1],'remises de cheques'!$A184,TableauFfinale[Montant chèque 1])</f>
        <v>0</v>
      </c>
      <c r="J184" s="106">
        <f>SUMIF(TableauFfinale[N° remise chèque 2],'remises de cheques'!$A184,TableauFfinale[Montant chèque 2])</f>
        <v>0</v>
      </c>
      <c r="K184" s="106">
        <f>SUMIF(TableauFfinale[N° remise chèque 3],'remises de cheques'!$A184,TableauFfinale[Montant chèque 3])</f>
        <v>0</v>
      </c>
      <c r="L184" s="107">
        <f t="shared" si="8"/>
        <v>0</v>
      </c>
      <c r="N184" s="132" t="s">
        <v>270</v>
      </c>
      <c r="O184" s="132" t="s">
        <v>270</v>
      </c>
      <c r="P184" s="133" t="s">
        <v>273</v>
      </c>
      <c r="Q184" s="70"/>
      <c r="R184" s="191">
        <v>11607.81</v>
      </c>
      <c r="S184" s="97" t="s">
        <v>274</v>
      </c>
    </row>
    <row r="185" spans="1:19" ht="24" hidden="1" x14ac:dyDescent="0.3">
      <c r="A185" s="141">
        <v>5340277</v>
      </c>
      <c r="B185" s="192">
        <v>42400</v>
      </c>
      <c r="C185" s="106">
        <f>SUMIF(TableauFA1[N° remise chèque 1],'remises de cheques'!$A185,TableauFA1[Montant chèque 1])</f>
        <v>0</v>
      </c>
      <c r="D185" s="106">
        <f>SUMIF(TableauFA1[N° remise chèque 2],'remises de cheques'!$A185,TableauFA1[Montant chèque 2])</f>
        <v>0</v>
      </c>
      <c r="E185" s="106">
        <f>SUMIF(TableauFA1[N° remise chèque 3],'remises de cheques'!$A185,TableauFA1[Montant chèque 3])</f>
        <v>0</v>
      </c>
      <c r="F185" s="106">
        <f>SUMIF(TableauFA2[N° remise chèque 1],'remises de cheques'!$A185,TableauFA2[Montant chèque 1])</f>
        <v>0</v>
      </c>
      <c r="G185" s="106">
        <f>SUMIF(TableauFA2[N° remise chèque 2],'remises de cheques'!$A185,TableauFA2[Montant chèque 2])</f>
        <v>0</v>
      </c>
      <c r="H185" s="106">
        <f>SUMIF(TableauFA2[N° remise chèque 3],'remises de cheques'!$A185,TableauFA2[Montant chèque 3])</f>
        <v>0</v>
      </c>
      <c r="I185" s="106">
        <f>SUMIF(TableauFfinale[N° remise chèque 1],'remises de cheques'!$A185,TableauFfinale[Montant chèque 1])</f>
        <v>0</v>
      </c>
      <c r="J185" s="106">
        <f>SUMIF(TableauFfinale[N° remise chèque 2],'remises de cheques'!$A185,TableauFfinale[Montant chèque 2])</f>
        <v>0</v>
      </c>
      <c r="K185" s="106">
        <f>SUMIF(TableauFfinale[N° remise chèque 3],'remises de cheques'!$A185,TableauFfinale[Montant chèque 3])</f>
        <v>0</v>
      </c>
      <c r="L185" s="107">
        <f t="shared" si="8"/>
        <v>0</v>
      </c>
      <c r="N185" s="132" t="s">
        <v>270</v>
      </c>
      <c r="O185" s="132" t="s">
        <v>270</v>
      </c>
      <c r="P185" s="133" t="s">
        <v>286</v>
      </c>
      <c r="Q185" s="70"/>
      <c r="R185" s="191">
        <v>1480.33</v>
      </c>
      <c r="S185" s="144" t="s">
        <v>272</v>
      </c>
    </row>
    <row r="186" spans="1:19" ht="69" hidden="1" x14ac:dyDescent="0.3">
      <c r="A186" s="140" t="s">
        <v>252</v>
      </c>
      <c r="B186" s="108">
        <v>42389</v>
      </c>
      <c r="C186" s="106">
        <f>SUMIF(TableauFA1[N° remise chèque 1],'remises de cheques'!$A186,TableauFA1[Montant chèque 1])</f>
        <v>0</v>
      </c>
      <c r="D186" s="106">
        <f>SUMIF(TableauFA1[N° remise chèque 2],'remises de cheques'!$A186,TableauFA1[Montant chèque 2])</f>
        <v>0</v>
      </c>
      <c r="E186" s="106">
        <f>SUMIF(TableauFA1[N° remise chèque 3],'remises de cheques'!$A186,TableauFA1[Montant chèque 3])</f>
        <v>0</v>
      </c>
      <c r="F186" s="106">
        <f>SUMIF(TableauFA2[N° remise chèque 1],'remises de cheques'!$A186,TableauFA2[Montant chèque 1])</f>
        <v>0</v>
      </c>
      <c r="G186" s="106">
        <f>SUMIF(TableauFA2[N° remise chèque 2],'remises de cheques'!$A186,TableauFA2[Montant chèque 2])</f>
        <v>0</v>
      </c>
      <c r="H186" s="106">
        <f>SUMIF(TableauFA2[N° remise chèque 3],'remises de cheques'!$A186,TableauFA2[Montant chèque 3])</f>
        <v>0</v>
      </c>
      <c r="I186" s="106">
        <f>SUMIF(TableauFfinale[N° remise chèque 1],'remises de cheques'!$A186,TableauFfinale[Montant chèque 1])</f>
        <v>0</v>
      </c>
      <c r="J186" s="106">
        <f>SUMIF(TableauFfinale[N° remise chèque 2],'remises de cheques'!$A186,TableauFfinale[Montant chèque 2])</f>
        <v>0</v>
      </c>
      <c r="K186" s="106">
        <f>SUMIF(TableauFfinale[N° remise chèque 3],'remises de cheques'!$A186,TableauFfinale[Montant chèque 3])</f>
        <v>0</v>
      </c>
      <c r="L186" s="107">
        <f t="shared" si="8"/>
        <v>0</v>
      </c>
      <c r="N186" s="132" t="s">
        <v>264</v>
      </c>
      <c r="O186" s="132" t="s">
        <v>264</v>
      </c>
      <c r="P186" s="133" t="s">
        <v>265</v>
      </c>
      <c r="Q186" s="70"/>
      <c r="R186" s="189">
        <v>222</v>
      </c>
    </row>
    <row r="187" spans="1:19" ht="24" hidden="1" x14ac:dyDescent="0.3">
      <c r="A187" s="157">
        <v>1490714</v>
      </c>
      <c r="B187" s="192">
        <v>42400</v>
      </c>
      <c r="C187" s="106">
        <f>SUMIF(TableauFA1[N° remise chèque 1],'remises de cheques'!$A187,TableauFA1[Montant chèque 1])</f>
        <v>0</v>
      </c>
      <c r="D187" s="106">
        <f>SUMIF(TableauFA1[N° remise chèque 2],'remises de cheques'!$A187,TableauFA1[Montant chèque 2])</f>
        <v>0</v>
      </c>
      <c r="E187" s="106">
        <f>SUMIF(TableauFA1[N° remise chèque 3],'remises de cheques'!$A187,TableauFA1[Montant chèque 3])</f>
        <v>0</v>
      </c>
      <c r="F187" s="106">
        <f>SUMIF(TableauFA2[N° remise chèque 1],'remises de cheques'!$A187,TableauFA2[Montant chèque 1])</f>
        <v>0</v>
      </c>
      <c r="G187" s="106">
        <f>SUMIF(TableauFA2[N° remise chèque 2],'remises de cheques'!$A187,TableauFA2[Montant chèque 2])</f>
        <v>0</v>
      </c>
      <c r="H187" s="106">
        <f>SUMIF(TableauFA2[N° remise chèque 3],'remises de cheques'!$A187,TableauFA2[Montant chèque 3])</f>
        <v>0</v>
      </c>
      <c r="I187" s="106">
        <f>SUMIF(TableauFfinale[N° remise chèque 1],'remises de cheques'!$A187,TableauFfinale[Montant chèque 1])</f>
        <v>0</v>
      </c>
      <c r="J187" s="106">
        <f>SUMIF(TableauFfinale[N° remise chèque 2],'remises de cheques'!$A187,TableauFfinale[Montant chèque 2])</f>
        <v>0</v>
      </c>
      <c r="K187" s="106">
        <f>SUMIF(TableauFfinale[N° remise chèque 3],'remises de cheques'!$A187,TableauFfinale[Montant chèque 3])</f>
        <v>0</v>
      </c>
      <c r="L187" s="107">
        <f t="shared" ref="L187:L217" si="18">SUM(C187:K187)</f>
        <v>0</v>
      </c>
      <c r="N187" s="132" t="s">
        <v>270</v>
      </c>
      <c r="O187" s="132" t="s">
        <v>270</v>
      </c>
      <c r="P187" s="133" t="s">
        <v>294</v>
      </c>
      <c r="Q187" s="70"/>
      <c r="R187" s="191">
        <v>475.2</v>
      </c>
      <c r="S187" s="144" t="s">
        <v>272</v>
      </c>
    </row>
    <row r="188" spans="1:19" ht="24" hidden="1" x14ac:dyDescent="0.3">
      <c r="A188" s="157">
        <v>1490715</v>
      </c>
      <c r="B188" s="192">
        <v>42400</v>
      </c>
      <c r="C188" s="106">
        <f>SUMIF(TableauFA1[N° remise chèque 1],'remises de cheques'!$A188,TableauFA1[Montant chèque 1])</f>
        <v>0</v>
      </c>
      <c r="D188" s="106">
        <f>SUMIF(TableauFA1[N° remise chèque 2],'remises de cheques'!$A188,TableauFA1[Montant chèque 2])</f>
        <v>0</v>
      </c>
      <c r="E188" s="106">
        <f>SUMIF(TableauFA1[N° remise chèque 3],'remises de cheques'!$A188,TableauFA1[Montant chèque 3])</f>
        <v>0</v>
      </c>
      <c r="F188" s="106">
        <f>SUMIF(TableauFA2[N° remise chèque 1],'remises de cheques'!$A188,TableauFA2[Montant chèque 1])</f>
        <v>0</v>
      </c>
      <c r="G188" s="106">
        <f>SUMIF(TableauFA2[N° remise chèque 2],'remises de cheques'!$A188,TableauFA2[Montant chèque 2])</f>
        <v>0</v>
      </c>
      <c r="H188" s="106">
        <f>SUMIF(TableauFA2[N° remise chèque 3],'remises de cheques'!$A188,TableauFA2[Montant chèque 3])</f>
        <v>0</v>
      </c>
      <c r="I188" s="106">
        <f>SUMIF(TableauFfinale[N° remise chèque 1],'remises de cheques'!$A188,TableauFfinale[Montant chèque 1])</f>
        <v>0</v>
      </c>
      <c r="J188" s="106">
        <f>SUMIF(TableauFfinale[N° remise chèque 2],'remises de cheques'!$A188,TableauFfinale[Montant chèque 2])</f>
        <v>0</v>
      </c>
      <c r="K188" s="106">
        <f>SUMIF(TableauFfinale[N° remise chèque 3],'remises de cheques'!$A188,TableauFfinale[Montant chèque 3])</f>
        <v>0</v>
      </c>
      <c r="L188" s="107">
        <f t="shared" si="18"/>
        <v>0</v>
      </c>
      <c r="N188" s="132" t="s">
        <v>270</v>
      </c>
      <c r="O188" s="132" t="s">
        <v>270</v>
      </c>
      <c r="P188" s="133" t="s">
        <v>287</v>
      </c>
      <c r="Q188" s="70"/>
      <c r="R188" s="191">
        <v>761.5</v>
      </c>
      <c r="S188" s="144" t="s">
        <v>272</v>
      </c>
    </row>
    <row r="189" spans="1:19" ht="24" hidden="1" x14ac:dyDescent="0.3">
      <c r="A189" s="157">
        <v>1490716</v>
      </c>
      <c r="B189" s="192">
        <v>42400</v>
      </c>
      <c r="C189" s="106">
        <f>SUMIF(TableauFA1[N° remise chèque 1],'remises de cheques'!$A189,TableauFA1[Montant chèque 1])</f>
        <v>0</v>
      </c>
      <c r="D189" s="106">
        <f>SUMIF(TableauFA1[N° remise chèque 2],'remises de cheques'!$A189,TableauFA1[Montant chèque 2])</f>
        <v>0</v>
      </c>
      <c r="E189" s="106">
        <f>SUMIF(TableauFA1[N° remise chèque 3],'remises de cheques'!$A189,TableauFA1[Montant chèque 3])</f>
        <v>0</v>
      </c>
      <c r="F189" s="106">
        <f>SUMIF(TableauFA2[N° remise chèque 1],'remises de cheques'!$A189,TableauFA2[Montant chèque 1])</f>
        <v>0</v>
      </c>
      <c r="G189" s="106">
        <f>SUMIF(TableauFA2[N° remise chèque 2],'remises de cheques'!$A189,TableauFA2[Montant chèque 2])</f>
        <v>0</v>
      </c>
      <c r="H189" s="106">
        <f>SUMIF(TableauFA2[N° remise chèque 3],'remises de cheques'!$A189,TableauFA2[Montant chèque 3])</f>
        <v>0</v>
      </c>
      <c r="I189" s="106">
        <f>SUMIF(TableauFfinale[N° remise chèque 1],'remises de cheques'!$A189,TableauFfinale[Montant chèque 1])</f>
        <v>0</v>
      </c>
      <c r="J189" s="106">
        <f>SUMIF(TableauFfinale[N° remise chèque 2],'remises de cheques'!$A189,TableauFfinale[Montant chèque 2])</f>
        <v>0</v>
      </c>
      <c r="K189" s="106">
        <f>SUMIF(TableauFfinale[N° remise chèque 3],'remises de cheques'!$A189,TableauFfinale[Montant chèque 3])</f>
        <v>0</v>
      </c>
      <c r="L189" s="107">
        <f t="shared" si="18"/>
        <v>0</v>
      </c>
      <c r="N189" s="132" t="s">
        <v>270</v>
      </c>
      <c r="O189" s="132" t="s">
        <v>270</v>
      </c>
      <c r="P189" s="133" t="s">
        <v>275</v>
      </c>
      <c r="Q189" s="70"/>
      <c r="R189" s="191">
        <v>5628.88</v>
      </c>
      <c r="S189" s="144" t="s">
        <v>272</v>
      </c>
    </row>
    <row r="190" spans="1:19" ht="24" hidden="1" x14ac:dyDescent="0.3">
      <c r="A190" s="157">
        <v>1490717</v>
      </c>
      <c r="B190" s="108">
        <v>42401</v>
      </c>
      <c r="C190" s="106">
        <f>SUMIF(TableauFA1[N° remise chèque 1],'remises de cheques'!$A190,TableauFA1[Montant chèque 1])</f>
        <v>0</v>
      </c>
      <c r="D190" s="106">
        <f>SUMIF(TableauFA1[N° remise chèque 2],'remises de cheques'!$A190,TableauFA1[Montant chèque 2])</f>
        <v>0</v>
      </c>
      <c r="E190" s="106">
        <f>SUMIF(TableauFA1[N° remise chèque 3],'remises de cheques'!$A190,TableauFA1[Montant chèque 3])</f>
        <v>0</v>
      </c>
      <c r="F190" s="106">
        <f>SUMIF(TableauFA2[N° remise chèque 1],'remises de cheques'!$A190,TableauFA2[Montant chèque 1])</f>
        <v>0</v>
      </c>
      <c r="G190" s="106">
        <f>SUMIF(TableauFA2[N° remise chèque 2],'remises de cheques'!$A190,TableauFA2[Montant chèque 2])</f>
        <v>0</v>
      </c>
      <c r="H190" s="106">
        <f>SUMIF(TableauFA2[N° remise chèque 3],'remises de cheques'!$A190,TableauFA2[Montant chèque 3])</f>
        <v>0</v>
      </c>
      <c r="I190" s="106">
        <f>SUMIF(TableauFfinale[N° remise chèque 1],'remises de cheques'!$A190,TableauFfinale[Montant chèque 1])</f>
        <v>0</v>
      </c>
      <c r="J190" s="106">
        <f>SUMIF(TableauFfinale[N° remise chèque 2],'remises de cheques'!$A190,TableauFfinale[Montant chèque 2])</f>
        <v>0</v>
      </c>
      <c r="K190" s="106">
        <f>SUMIF(TableauFfinale[N° remise chèque 3],'remises de cheques'!$A190,TableauFfinale[Montant chèque 3])</f>
        <v>0</v>
      </c>
      <c r="L190" s="107">
        <f t="shared" si="18"/>
        <v>0</v>
      </c>
      <c r="N190" s="132" t="s">
        <v>270</v>
      </c>
      <c r="O190" s="132" t="s">
        <v>270</v>
      </c>
      <c r="P190" s="133" t="s">
        <v>280</v>
      </c>
      <c r="Q190" s="70"/>
      <c r="R190" s="191">
        <v>2466.31</v>
      </c>
      <c r="S190" s="97" t="s">
        <v>281</v>
      </c>
    </row>
    <row r="191" spans="1:19" ht="24" hidden="1" x14ac:dyDescent="0.3">
      <c r="A191" s="157">
        <v>1490718</v>
      </c>
      <c r="B191" s="108">
        <v>42429</v>
      </c>
      <c r="C191" s="106">
        <f>SUMIF(TableauFA1[N° remise chèque 1],'remises de cheques'!$A191,TableauFA1[Montant chèque 1])</f>
        <v>0</v>
      </c>
      <c r="D191" s="106">
        <f>SUMIF(TableauFA1[N° remise chèque 2],'remises de cheques'!$A191,TableauFA1[Montant chèque 2])</f>
        <v>0</v>
      </c>
      <c r="E191" s="106">
        <f>SUMIF(TableauFA1[N° remise chèque 3],'remises de cheques'!$A191,TableauFA1[Montant chèque 3])</f>
        <v>0</v>
      </c>
      <c r="F191" s="106">
        <f>SUMIF(TableauFA2[N° remise chèque 1],'remises de cheques'!$A191,TableauFA2[Montant chèque 1])</f>
        <v>0</v>
      </c>
      <c r="G191" s="106">
        <f>SUMIF(TableauFA2[N° remise chèque 2],'remises de cheques'!$A191,TableauFA2[Montant chèque 2])</f>
        <v>0</v>
      </c>
      <c r="H191" s="106">
        <f>SUMIF(TableauFA2[N° remise chèque 3],'remises de cheques'!$A191,TableauFA2[Montant chèque 3])</f>
        <v>0</v>
      </c>
      <c r="I191" s="106">
        <f>SUMIF(TableauFfinale[N° remise chèque 1],'remises de cheques'!$A191,TableauFfinale[Montant chèque 1])</f>
        <v>0</v>
      </c>
      <c r="J191" s="106">
        <f>SUMIF(TableauFfinale[N° remise chèque 2],'remises de cheques'!$A191,TableauFfinale[Montant chèque 2])</f>
        <v>0</v>
      </c>
      <c r="K191" s="106">
        <f>SUMIF(TableauFfinale[N° remise chèque 3],'remises de cheques'!$A191,TableauFfinale[Montant chèque 3])</f>
        <v>0</v>
      </c>
      <c r="L191" s="107">
        <f t="shared" si="18"/>
        <v>0</v>
      </c>
      <c r="N191" s="132" t="s">
        <v>298</v>
      </c>
      <c r="O191" s="132" t="s">
        <v>298</v>
      </c>
      <c r="P191" s="133" t="s">
        <v>305</v>
      </c>
      <c r="Q191" s="70"/>
      <c r="R191" s="191">
        <v>134.02000000000001</v>
      </c>
    </row>
    <row r="192" spans="1:19" ht="24" hidden="1" x14ac:dyDescent="0.3">
      <c r="A192" s="157">
        <v>1490719</v>
      </c>
      <c r="B192" s="192">
        <v>42400</v>
      </c>
      <c r="C192" s="106">
        <f>SUMIF(TableauFA1[N° remise chèque 1],'remises de cheques'!$A192,TableauFA1[Montant chèque 1])</f>
        <v>0</v>
      </c>
      <c r="D192" s="106">
        <f>SUMIF(TableauFA1[N° remise chèque 2],'remises de cheques'!$A192,TableauFA1[Montant chèque 2])</f>
        <v>0</v>
      </c>
      <c r="E192" s="106">
        <f>SUMIF(TableauFA1[N° remise chèque 3],'remises de cheques'!$A192,TableauFA1[Montant chèque 3])</f>
        <v>0</v>
      </c>
      <c r="F192" s="106">
        <f>SUMIF(TableauFA2[N° remise chèque 1],'remises de cheques'!$A192,TableauFA2[Montant chèque 1])</f>
        <v>0</v>
      </c>
      <c r="G192" s="106">
        <f>SUMIF(TableauFA2[N° remise chèque 2],'remises de cheques'!$A192,TableauFA2[Montant chèque 2])</f>
        <v>0</v>
      </c>
      <c r="H192" s="106">
        <f>SUMIF(TableauFA2[N° remise chèque 3],'remises de cheques'!$A192,TableauFA2[Montant chèque 3])</f>
        <v>0</v>
      </c>
      <c r="I192" s="106">
        <f>SUMIF(TableauFfinale[N° remise chèque 1],'remises de cheques'!$A192,TableauFfinale[Montant chèque 1])</f>
        <v>0</v>
      </c>
      <c r="J192" s="106">
        <f>SUMIF(TableauFfinale[N° remise chèque 2],'remises de cheques'!$A192,TableauFfinale[Montant chèque 2])</f>
        <v>0</v>
      </c>
      <c r="K192" s="106">
        <f>SUMIF(TableauFfinale[N° remise chèque 3],'remises de cheques'!$A192,TableauFfinale[Montant chèque 3])</f>
        <v>0</v>
      </c>
      <c r="L192" s="107">
        <f t="shared" si="18"/>
        <v>0</v>
      </c>
      <c r="N192" s="132" t="s">
        <v>270</v>
      </c>
      <c r="O192" s="132" t="s">
        <v>270</v>
      </c>
      <c r="P192" s="133" t="s">
        <v>279</v>
      </c>
      <c r="Q192" s="70"/>
      <c r="R192" s="191">
        <v>2539.36</v>
      </c>
      <c r="S192" s="144" t="s">
        <v>272</v>
      </c>
    </row>
    <row r="193" spans="1:19" ht="24" hidden="1" x14ac:dyDescent="0.3">
      <c r="A193" s="157">
        <v>1490720</v>
      </c>
      <c r="B193" s="192">
        <v>42400</v>
      </c>
      <c r="C193" s="106">
        <f>SUMIF(TableauFA1[N° remise chèque 1],'remises de cheques'!$A193,TableauFA1[Montant chèque 1])</f>
        <v>0</v>
      </c>
      <c r="D193" s="106">
        <f>SUMIF(TableauFA1[N° remise chèque 2],'remises de cheques'!$A193,TableauFA1[Montant chèque 2])</f>
        <v>520.23</v>
      </c>
      <c r="E193" s="106">
        <f>SUMIF(TableauFA1[N° remise chèque 3],'remises de cheques'!$A193,TableauFA1[Montant chèque 3])</f>
        <v>0</v>
      </c>
      <c r="F193" s="106">
        <f>SUMIF(TableauFA2[N° remise chèque 1],'remises de cheques'!$A193,TableauFA2[Montant chèque 1])</f>
        <v>0</v>
      </c>
      <c r="G193" s="106">
        <f>SUMIF(TableauFA2[N° remise chèque 2],'remises de cheques'!$A193,TableauFA2[Montant chèque 2])</f>
        <v>0</v>
      </c>
      <c r="H193" s="106">
        <f>SUMIF(TableauFA2[N° remise chèque 3],'remises de cheques'!$A193,TableauFA2[Montant chèque 3])</f>
        <v>0</v>
      </c>
      <c r="I193" s="106">
        <f>SUMIF(TableauFfinale[N° remise chèque 1],'remises de cheques'!$A193,TableauFfinale[Montant chèque 1])</f>
        <v>0</v>
      </c>
      <c r="J193" s="106">
        <f>SUMIF(TableauFfinale[N° remise chèque 2],'remises de cheques'!$A193,TableauFfinale[Montant chèque 2])</f>
        <v>0</v>
      </c>
      <c r="K193" s="106">
        <f>SUMIF(TableauFfinale[N° remise chèque 3],'remises de cheques'!$A193,TableauFfinale[Montant chèque 3])</f>
        <v>0</v>
      </c>
      <c r="L193" s="107">
        <f t="shared" si="18"/>
        <v>520.23</v>
      </c>
      <c r="N193" s="132" t="s">
        <v>270</v>
      </c>
      <c r="O193" s="132" t="s">
        <v>270</v>
      </c>
      <c r="P193" s="133" t="s">
        <v>278</v>
      </c>
      <c r="Q193" s="70"/>
      <c r="R193" s="191">
        <v>2900.78</v>
      </c>
      <c r="S193" s="144" t="s">
        <v>272</v>
      </c>
    </row>
    <row r="194" spans="1:19" ht="24" hidden="1" x14ac:dyDescent="0.3">
      <c r="A194" s="157">
        <v>1490721</v>
      </c>
      <c r="B194" s="108">
        <v>42401</v>
      </c>
      <c r="C194" s="106">
        <f>SUMIF(TableauFA1[N° remise chèque 1],'remises de cheques'!$A194,TableauFA1[Montant chèque 1])</f>
        <v>500</v>
      </c>
      <c r="D194" s="106">
        <f>SUMIF(TableauFA1[N° remise chèque 2],'remises de cheques'!$A194,TableauFA1[Montant chèque 2])</f>
        <v>0</v>
      </c>
      <c r="E194" s="106">
        <f>SUMIF(TableauFA1[N° remise chèque 3],'remises de cheques'!$A194,TableauFA1[Montant chèque 3])</f>
        <v>0</v>
      </c>
      <c r="F194" s="106">
        <f>SUMIF(TableauFA2[N° remise chèque 1],'remises de cheques'!$A194,TableauFA2[Montant chèque 1])</f>
        <v>0</v>
      </c>
      <c r="G194" s="106">
        <f>SUMIF(TableauFA2[N° remise chèque 2],'remises de cheques'!$A194,TableauFA2[Montant chèque 2])</f>
        <v>0</v>
      </c>
      <c r="H194" s="106">
        <f>SUMIF(TableauFA2[N° remise chèque 3],'remises de cheques'!$A194,TableauFA2[Montant chèque 3])</f>
        <v>0</v>
      </c>
      <c r="I194" s="106">
        <f>SUMIF(TableauFfinale[N° remise chèque 1],'remises de cheques'!$A194,TableauFfinale[Montant chèque 1])</f>
        <v>0</v>
      </c>
      <c r="J194" s="106">
        <f>SUMIF(TableauFfinale[N° remise chèque 2],'remises de cheques'!$A194,TableauFfinale[Montant chèque 2])</f>
        <v>0</v>
      </c>
      <c r="K194" s="106">
        <f>SUMIF(TableauFfinale[N° remise chèque 3],'remises de cheques'!$A194,TableauFfinale[Montant chèque 3])</f>
        <v>0</v>
      </c>
      <c r="L194" s="107">
        <f t="shared" si="18"/>
        <v>500</v>
      </c>
      <c r="N194" s="132" t="s">
        <v>270</v>
      </c>
      <c r="O194" s="132" t="s">
        <v>270</v>
      </c>
      <c r="P194" s="133" t="s">
        <v>290</v>
      </c>
      <c r="Q194" s="70"/>
      <c r="R194" s="191">
        <v>500</v>
      </c>
      <c r="S194" s="97" t="s">
        <v>291</v>
      </c>
    </row>
    <row r="195" spans="1:19" ht="24" hidden="1" x14ac:dyDescent="0.3">
      <c r="A195" s="157">
        <v>1490722</v>
      </c>
      <c r="B195" s="108">
        <v>42401</v>
      </c>
      <c r="C195" s="106">
        <f>SUMIF(TableauFA1[N° remise chèque 1],'remises de cheques'!$A195,TableauFA1[Montant chèque 1])</f>
        <v>1500</v>
      </c>
      <c r="D195" s="106">
        <f>SUMIF(TableauFA1[N° remise chèque 2],'remises de cheques'!$A195,TableauFA1[Montant chèque 2])</f>
        <v>0</v>
      </c>
      <c r="E195" s="106">
        <f>SUMIF(TableauFA1[N° remise chèque 3],'remises de cheques'!$A195,TableauFA1[Montant chèque 3])</f>
        <v>0</v>
      </c>
      <c r="F195" s="106">
        <f>SUMIF(TableauFA2[N° remise chèque 1],'remises de cheques'!$A195,TableauFA2[Montant chèque 1])</f>
        <v>0</v>
      </c>
      <c r="G195" s="106">
        <f>SUMIF(TableauFA2[N° remise chèque 2],'remises de cheques'!$A195,TableauFA2[Montant chèque 2])</f>
        <v>0</v>
      </c>
      <c r="H195" s="106">
        <f>SUMIF(TableauFA2[N° remise chèque 3],'remises de cheques'!$A195,TableauFA2[Montant chèque 3])</f>
        <v>0</v>
      </c>
      <c r="I195" s="106">
        <f>SUMIF(TableauFfinale[N° remise chèque 1],'remises de cheques'!$A195,TableauFfinale[Montant chèque 1])</f>
        <v>0</v>
      </c>
      <c r="J195" s="106">
        <f>SUMIF(TableauFfinale[N° remise chèque 2],'remises de cheques'!$A195,TableauFfinale[Montant chèque 2])</f>
        <v>0</v>
      </c>
      <c r="K195" s="106">
        <f>SUMIF(TableauFfinale[N° remise chèque 3],'remises de cheques'!$A195,TableauFfinale[Montant chèque 3])</f>
        <v>0</v>
      </c>
      <c r="L195" s="107">
        <f t="shared" si="18"/>
        <v>1500</v>
      </c>
      <c r="N195" s="132" t="s">
        <v>270</v>
      </c>
      <c r="O195" s="132" t="s">
        <v>270</v>
      </c>
      <c r="P195" s="133" t="s">
        <v>284</v>
      </c>
      <c r="Q195" s="70"/>
      <c r="R195" s="191">
        <v>1500</v>
      </c>
      <c r="S195" s="97" t="s">
        <v>285</v>
      </c>
    </row>
    <row r="196" spans="1:19" ht="24" hidden="1" x14ac:dyDescent="0.3">
      <c r="A196" s="157">
        <v>1490723</v>
      </c>
      <c r="B196" s="192">
        <v>42400</v>
      </c>
      <c r="C196" s="106">
        <f>SUMIF(TableauFA1[N° remise chèque 1],'remises de cheques'!$A196,TableauFA1[Montant chèque 1])</f>
        <v>0</v>
      </c>
      <c r="D196" s="106">
        <f>SUMIF(TableauFA1[N° remise chèque 2],'remises de cheques'!$A196,TableauFA1[Montant chèque 2])</f>
        <v>0</v>
      </c>
      <c r="E196" s="106">
        <f>SUMIF(TableauFA1[N° remise chèque 3],'remises de cheques'!$A196,TableauFA1[Montant chèque 3])</f>
        <v>0</v>
      </c>
      <c r="F196" s="106">
        <f>SUMIF(TableauFA2[N° remise chèque 1],'remises de cheques'!$A196,TableauFA2[Montant chèque 1])</f>
        <v>0</v>
      </c>
      <c r="G196" s="106">
        <f>SUMIF(TableauFA2[N° remise chèque 2],'remises de cheques'!$A196,TableauFA2[Montant chèque 2])</f>
        <v>0</v>
      </c>
      <c r="H196" s="106">
        <f>SUMIF(TableauFA2[N° remise chèque 3],'remises de cheques'!$A196,TableauFA2[Montant chèque 3])</f>
        <v>0</v>
      </c>
      <c r="I196" s="106">
        <f>SUMIF(TableauFfinale[N° remise chèque 1],'remises de cheques'!$A196,TableauFfinale[Montant chèque 1])</f>
        <v>0</v>
      </c>
      <c r="J196" s="106">
        <f>SUMIF(TableauFfinale[N° remise chèque 2],'remises de cheques'!$A196,TableauFfinale[Montant chèque 2])</f>
        <v>0</v>
      </c>
      <c r="K196" s="106">
        <f>SUMIF(TableauFfinale[N° remise chèque 3],'remises de cheques'!$A196,TableauFfinale[Montant chèque 3])</f>
        <v>0</v>
      </c>
      <c r="L196" s="107">
        <f t="shared" si="18"/>
        <v>0</v>
      </c>
      <c r="N196" s="132" t="s">
        <v>270</v>
      </c>
      <c r="O196" s="132" t="s">
        <v>270</v>
      </c>
      <c r="P196" s="133" t="s">
        <v>276</v>
      </c>
      <c r="Q196" s="70"/>
      <c r="R196" s="191">
        <v>5000</v>
      </c>
      <c r="S196" s="144" t="s">
        <v>272</v>
      </c>
    </row>
    <row r="197" spans="1:19" ht="24" hidden="1" x14ac:dyDescent="0.3">
      <c r="A197" s="157">
        <v>1490724</v>
      </c>
      <c r="B197" s="108">
        <v>42429</v>
      </c>
      <c r="C197" s="106">
        <f>SUMIF(TableauFA1[N° remise chèque 1],'remises de cheques'!$A197,TableauFA1[Montant chèque 1])</f>
        <v>1175.6300000000001</v>
      </c>
      <c r="D197" s="106">
        <f>SUMIF(TableauFA1[N° remise chèque 2],'remises de cheques'!$A197,TableauFA1[Montant chèque 2])</f>
        <v>0</v>
      </c>
      <c r="E197" s="106">
        <f>SUMIF(TableauFA1[N° remise chèque 3],'remises de cheques'!$A197,TableauFA1[Montant chèque 3])</f>
        <v>0</v>
      </c>
      <c r="F197" s="106">
        <f>SUMIF(TableauFA2[N° remise chèque 1],'remises de cheques'!$A197,TableauFA2[Montant chèque 1])</f>
        <v>0</v>
      </c>
      <c r="G197" s="106">
        <f>SUMIF(TableauFA2[N° remise chèque 2],'remises de cheques'!$A197,TableauFA2[Montant chèque 2])</f>
        <v>0</v>
      </c>
      <c r="H197" s="106">
        <f>SUMIF(TableauFA2[N° remise chèque 3],'remises de cheques'!$A197,TableauFA2[Montant chèque 3])</f>
        <v>0</v>
      </c>
      <c r="I197" s="106">
        <f>SUMIF(TableauFfinale[N° remise chèque 1],'remises de cheques'!$A197,TableauFfinale[Montant chèque 1])</f>
        <v>0</v>
      </c>
      <c r="J197" s="106">
        <f>SUMIF(TableauFfinale[N° remise chèque 2],'remises de cheques'!$A197,TableauFfinale[Montant chèque 2])</f>
        <v>0</v>
      </c>
      <c r="K197" s="106">
        <f>SUMIF(TableauFfinale[N° remise chèque 3],'remises de cheques'!$A197,TableauFfinale[Montant chèque 3])</f>
        <v>0</v>
      </c>
      <c r="L197" s="107">
        <f t="shared" si="18"/>
        <v>1175.6300000000001</v>
      </c>
      <c r="N197" s="132" t="s">
        <v>298</v>
      </c>
      <c r="O197" s="132" t="s">
        <v>298</v>
      </c>
      <c r="P197" s="133" t="s">
        <v>303</v>
      </c>
      <c r="Q197" s="70"/>
      <c r="R197" s="191">
        <v>1700.19</v>
      </c>
    </row>
    <row r="198" spans="1:19" ht="69" hidden="1" x14ac:dyDescent="0.3">
      <c r="A198" s="140" t="s">
        <v>309</v>
      </c>
      <c r="B198" s="108">
        <v>42411</v>
      </c>
      <c r="C198" s="106">
        <f>SUMIF(TableauFA1[N° remise chèque 1],'remises de cheques'!$A198,TableauFA1[Montant chèque 1])</f>
        <v>0</v>
      </c>
      <c r="D198" s="106">
        <f>SUMIF(TableauFA1[N° remise chèque 2],'remises de cheques'!$A198,TableauFA1[Montant chèque 2])</f>
        <v>0</v>
      </c>
      <c r="E198" s="106">
        <f>SUMIF(TableauFA1[N° remise chèque 3],'remises de cheques'!$A198,TableauFA1[Montant chèque 3])</f>
        <v>0</v>
      </c>
      <c r="F198" s="106">
        <f>SUMIF(TableauFA2[N° remise chèque 1],'remises de cheques'!$A198,TableauFA2[Montant chèque 1])</f>
        <v>0</v>
      </c>
      <c r="G198" s="106">
        <f>SUMIF(TableauFA2[N° remise chèque 2],'remises de cheques'!$A198,TableauFA2[Montant chèque 2])</f>
        <v>0</v>
      </c>
      <c r="H198" s="106">
        <f>SUMIF(TableauFA2[N° remise chèque 3],'remises de cheques'!$A198,TableauFA2[Montant chèque 3])</f>
        <v>0</v>
      </c>
      <c r="I198" s="106">
        <f>SUMIF(TableauFfinale[N° remise chèque 1],'remises de cheques'!$A198,TableauFfinale[Montant chèque 1])</f>
        <v>0</v>
      </c>
      <c r="J198" s="106">
        <f>SUMIF(TableauFfinale[N° remise chèque 2],'remises de cheques'!$A198,TableauFfinale[Montant chèque 2])</f>
        <v>0</v>
      </c>
      <c r="K198" s="106">
        <f>SUMIF(TableauFfinale[N° remise chèque 3],'remises de cheques'!$A198,TableauFfinale[Montant chèque 3])</f>
        <v>0</v>
      </c>
      <c r="L198" s="107">
        <f t="shared" ref="L198" si="19">SUM(C198:K198)</f>
        <v>0</v>
      </c>
      <c r="N198" s="132" t="s">
        <v>310</v>
      </c>
      <c r="O198" s="132" t="s">
        <v>310</v>
      </c>
      <c r="P198" s="133" t="s">
        <v>311</v>
      </c>
      <c r="Q198" s="70"/>
      <c r="R198" s="191">
        <v>1818.54</v>
      </c>
    </row>
    <row r="199" spans="1:19" ht="69" hidden="1" x14ac:dyDescent="0.3">
      <c r="A199" s="140" t="s">
        <v>259</v>
      </c>
      <c r="B199" s="108">
        <v>42418</v>
      </c>
      <c r="C199" s="106">
        <f>SUMIF(TableauFA1[N° remise chèque 1],'remises de cheques'!$A199,TableauFA1[Montant chèque 1])</f>
        <v>0</v>
      </c>
      <c r="D199" s="106">
        <f>SUMIF(TableauFA1[N° remise chèque 2],'remises de cheques'!$A199,TableauFA1[Montant chèque 2])</f>
        <v>0</v>
      </c>
      <c r="E199" s="106">
        <f>SUMIF(TableauFA1[N° remise chèque 3],'remises de cheques'!$A199,TableauFA1[Montant chèque 3])</f>
        <v>0</v>
      </c>
      <c r="F199" s="106">
        <f>SUMIF(TableauFA2[N° remise chèque 1],'remises de cheques'!$A199,TableauFA2[Montant chèque 1])</f>
        <v>0</v>
      </c>
      <c r="G199" s="106">
        <f>SUMIF(TableauFA2[N° remise chèque 2],'remises de cheques'!$A199,TableauFA2[Montant chèque 2])</f>
        <v>0</v>
      </c>
      <c r="H199" s="106">
        <f>SUMIF(TableauFA2[N° remise chèque 3],'remises de cheques'!$A199,TableauFA2[Montant chèque 3])</f>
        <v>0</v>
      </c>
      <c r="I199" s="106">
        <f>SUMIF(TableauFfinale[N° remise chèque 1],'remises de cheques'!$A199,TableauFfinale[Montant chèque 1])</f>
        <v>0</v>
      </c>
      <c r="J199" s="106">
        <f>SUMIF(TableauFfinale[N° remise chèque 2],'remises de cheques'!$A199,TableauFfinale[Montant chèque 2])</f>
        <v>0</v>
      </c>
      <c r="K199" s="106">
        <f>SUMIF(TableauFfinale[N° remise chèque 3],'remises de cheques'!$A199,TableauFfinale[Montant chèque 3])</f>
        <v>0</v>
      </c>
      <c r="L199" s="107">
        <f t="shared" si="18"/>
        <v>0</v>
      </c>
      <c r="N199" s="132" t="s">
        <v>307</v>
      </c>
      <c r="O199" s="132" t="s">
        <v>307</v>
      </c>
      <c r="P199" s="133" t="s">
        <v>308</v>
      </c>
      <c r="Q199" s="70"/>
      <c r="R199" s="191">
        <v>553.20000000000005</v>
      </c>
    </row>
    <row r="200" spans="1:19" ht="57.75" hidden="1" x14ac:dyDescent="0.3">
      <c r="A200" s="140" t="s">
        <v>295</v>
      </c>
      <c r="B200" s="108">
        <v>42430</v>
      </c>
      <c r="C200" s="106">
        <f>SUMIF(TableauFA1[N° remise chèque 1],'remises de cheques'!$A200,TableauFA1[Montant chèque 1])</f>
        <v>0</v>
      </c>
      <c r="D200" s="106">
        <f>SUMIF(TableauFA1[N° remise chèque 2],'remises de cheques'!$A200,TableauFA1[Montant chèque 2])</f>
        <v>0</v>
      </c>
      <c r="E200" s="106">
        <f>SUMIF(TableauFA1[N° remise chèque 3],'remises de cheques'!$A200,TableauFA1[Montant chèque 3])</f>
        <v>0</v>
      </c>
      <c r="F200" s="106">
        <f>SUMIF(TableauFA2[N° remise chèque 1],'remises de cheques'!$A200,TableauFA2[Montant chèque 1])</f>
        <v>0</v>
      </c>
      <c r="G200" s="106">
        <f>SUMIF(TableauFA2[N° remise chèque 2],'remises de cheques'!$A200,TableauFA2[Montant chèque 2])</f>
        <v>0</v>
      </c>
      <c r="H200" s="106">
        <f>SUMIF(TableauFA2[N° remise chèque 3],'remises de cheques'!$A200,TableauFA2[Montant chèque 3])</f>
        <v>0</v>
      </c>
      <c r="I200" s="106">
        <f>SUMIF(TableauFfinale[N° remise chèque 1],'remises de cheques'!$A200,TableauFfinale[Montant chèque 1])</f>
        <v>0</v>
      </c>
      <c r="J200" s="106">
        <f>SUMIF(TableauFfinale[N° remise chèque 2],'remises de cheques'!$A200,TableauFfinale[Montant chèque 2])</f>
        <v>0</v>
      </c>
      <c r="K200" s="106">
        <f>SUMIF(TableauFfinale[N° remise chèque 3],'remises de cheques'!$A200,TableauFfinale[Montant chèque 3])</f>
        <v>0</v>
      </c>
      <c r="L200" s="107">
        <f t="shared" ref="L200:L201" si="20">SUM(C200:K200)</f>
        <v>0</v>
      </c>
      <c r="N200" s="132" t="s">
        <v>327</v>
      </c>
      <c r="O200" s="132" t="s">
        <v>327</v>
      </c>
      <c r="P200" s="133" t="s">
        <v>139</v>
      </c>
      <c r="Q200" s="70"/>
      <c r="R200" s="191">
        <v>135.6</v>
      </c>
    </row>
    <row r="201" spans="1:19" ht="57.75" hidden="1" x14ac:dyDescent="0.3">
      <c r="A201" s="140" t="s">
        <v>296</v>
      </c>
      <c r="B201" s="108">
        <v>42430</v>
      </c>
      <c r="C201" s="106">
        <f>SUMIF(TableauFA1[N° remise chèque 1],'remises de cheques'!$A201,TableauFA1[Montant chèque 1])</f>
        <v>0</v>
      </c>
      <c r="D201" s="106">
        <f>SUMIF(TableauFA1[N° remise chèque 2],'remises de cheques'!$A201,TableauFA1[Montant chèque 2])</f>
        <v>0</v>
      </c>
      <c r="E201" s="106">
        <f>SUMIF(TableauFA1[N° remise chèque 3],'remises de cheques'!$A201,TableauFA1[Montant chèque 3])</f>
        <v>0</v>
      </c>
      <c r="F201" s="106">
        <f>SUMIF(TableauFA2[N° remise chèque 1],'remises de cheques'!$A201,TableauFA2[Montant chèque 1])</f>
        <v>0</v>
      </c>
      <c r="G201" s="106">
        <f>SUMIF(TableauFA2[N° remise chèque 2],'remises de cheques'!$A201,TableauFA2[Montant chèque 2])</f>
        <v>0</v>
      </c>
      <c r="H201" s="106">
        <f>SUMIF(TableauFA2[N° remise chèque 3],'remises de cheques'!$A201,TableauFA2[Montant chèque 3])</f>
        <v>0</v>
      </c>
      <c r="I201" s="106">
        <f>SUMIF(TableauFfinale[N° remise chèque 1],'remises de cheques'!$A201,TableauFfinale[Montant chèque 1])</f>
        <v>0</v>
      </c>
      <c r="J201" s="106">
        <f>SUMIF(TableauFfinale[N° remise chèque 2],'remises de cheques'!$A201,TableauFfinale[Montant chèque 2])</f>
        <v>0</v>
      </c>
      <c r="K201" s="106">
        <f>SUMIF(TableauFfinale[N° remise chèque 3],'remises de cheques'!$A201,TableauFfinale[Montant chèque 3])</f>
        <v>0</v>
      </c>
      <c r="L201" s="107">
        <f t="shared" si="20"/>
        <v>0</v>
      </c>
      <c r="N201" s="132" t="s">
        <v>327</v>
      </c>
      <c r="O201" s="132" t="s">
        <v>327</v>
      </c>
      <c r="P201" s="133" t="s">
        <v>139</v>
      </c>
      <c r="Q201" s="70"/>
      <c r="R201" s="191">
        <v>37.200000000000003</v>
      </c>
    </row>
    <row r="202" spans="1:19" ht="57.75" hidden="1" x14ac:dyDescent="0.3">
      <c r="A202" s="140" t="s">
        <v>314</v>
      </c>
      <c r="B202" s="108">
        <v>42464</v>
      </c>
      <c r="C202" s="106">
        <f>SUMIF(TableauFA1[N° remise chèque 1],'remises de cheques'!$A202,TableauFA1[Montant chèque 1])</f>
        <v>0</v>
      </c>
      <c r="D202" s="106">
        <f>SUMIF(TableauFA1[N° remise chèque 2],'remises de cheques'!$A202,TableauFA1[Montant chèque 2])</f>
        <v>0</v>
      </c>
      <c r="E202" s="106">
        <f>SUMIF(TableauFA1[N° remise chèque 3],'remises de cheques'!$A202,TableauFA1[Montant chèque 3])</f>
        <v>0</v>
      </c>
      <c r="F202" s="106">
        <f>SUMIF(TableauFA2[N° remise chèque 1],'remises de cheques'!$A202,TableauFA2[Montant chèque 1])</f>
        <v>0</v>
      </c>
      <c r="G202" s="106">
        <f>SUMIF(TableauFA2[N° remise chèque 2],'remises de cheques'!$A202,TableauFA2[Montant chèque 2])</f>
        <v>0</v>
      </c>
      <c r="H202" s="106">
        <f>SUMIF(TableauFA2[N° remise chèque 3],'remises de cheques'!$A202,TableauFA2[Montant chèque 3])</f>
        <v>0</v>
      </c>
      <c r="I202" s="106">
        <f>SUMIF(TableauFfinale[N° remise chèque 1],'remises de cheques'!$A202,TableauFfinale[Montant chèque 1])</f>
        <v>0</v>
      </c>
      <c r="J202" s="106">
        <f>SUMIF(TableauFfinale[N° remise chèque 2],'remises de cheques'!$A202,TableauFfinale[Montant chèque 2])</f>
        <v>0</v>
      </c>
      <c r="K202" s="106">
        <f>SUMIF(TableauFfinale[N° remise chèque 3],'remises de cheques'!$A202,TableauFfinale[Montant chèque 3])</f>
        <v>0</v>
      </c>
      <c r="L202" s="107">
        <f t="shared" ref="L202" si="21">SUM(C202:K202)</f>
        <v>0</v>
      </c>
      <c r="N202" s="132" t="s">
        <v>344</v>
      </c>
      <c r="O202" s="132" t="s">
        <v>344</v>
      </c>
      <c r="P202" s="133" t="s">
        <v>139</v>
      </c>
      <c r="Q202" s="70"/>
      <c r="R202" s="191">
        <v>102</v>
      </c>
    </row>
    <row r="203" spans="1:19" ht="69" hidden="1" x14ac:dyDescent="0.3">
      <c r="A203" s="140" t="s">
        <v>297</v>
      </c>
      <c r="B203" s="108">
        <v>42464</v>
      </c>
      <c r="C203" s="106">
        <f>SUMIF(TableauFA1[N° remise chèque 1],'remises de cheques'!$A203,TableauFA1[Montant chèque 1])</f>
        <v>0</v>
      </c>
      <c r="D203" s="106">
        <f>SUMIF(TableauFA1[N° remise chèque 2],'remises de cheques'!$A203,TableauFA1[Montant chèque 2])</f>
        <v>0</v>
      </c>
      <c r="E203" s="106">
        <f>SUMIF(TableauFA1[N° remise chèque 3],'remises de cheques'!$A203,TableauFA1[Montant chèque 3])</f>
        <v>0</v>
      </c>
      <c r="F203" s="106">
        <f>SUMIF(TableauFA2[N° remise chèque 1],'remises de cheques'!$A203,TableauFA2[Montant chèque 1])</f>
        <v>0</v>
      </c>
      <c r="G203" s="106">
        <f>SUMIF(TableauFA2[N° remise chèque 2],'remises de cheques'!$A203,TableauFA2[Montant chèque 2])</f>
        <v>0</v>
      </c>
      <c r="H203" s="106">
        <f>SUMIF(TableauFA2[N° remise chèque 3],'remises de cheques'!$A203,TableauFA2[Montant chèque 3])</f>
        <v>0</v>
      </c>
      <c r="I203" s="106">
        <f>SUMIF(TableauFfinale[N° remise chèque 1],'remises de cheques'!$A203,TableauFfinale[Montant chèque 1])</f>
        <v>0</v>
      </c>
      <c r="J203" s="106">
        <f>SUMIF(TableauFfinale[N° remise chèque 2],'remises de cheques'!$A203,TableauFfinale[Montant chèque 2])</f>
        <v>0</v>
      </c>
      <c r="K203" s="106">
        <f>SUMIF(TableauFfinale[N° remise chèque 3],'remises de cheques'!$A203,TableauFfinale[Montant chèque 3])</f>
        <v>0</v>
      </c>
      <c r="L203" s="107">
        <f t="shared" ref="L203" si="22">SUM(C203:K203)</f>
        <v>0</v>
      </c>
      <c r="N203" s="132" t="s">
        <v>344</v>
      </c>
      <c r="O203" s="132" t="s">
        <v>344</v>
      </c>
      <c r="P203" s="133" t="s">
        <v>345</v>
      </c>
      <c r="Q203" s="70"/>
      <c r="R203" s="191">
        <v>649.20000000000005</v>
      </c>
    </row>
    <row r="204" spans="1:19" ht="24" hidden="1" x14ac:dyDescent="0.3">
      <c r="A204" s="157">
        <v>1490725</v>
      </c>
      <c r="B204" s="108">
        <v>42429</v>
      </c>
      <c r="C204" s="106">
        <f>SUMIF(TableauFA1[N° remise chèque 1],'remises de cheques'!$A204,TableauFA1[Montant chèque 1])</f>
        <v>0</v>
      </c>
      <c r="D204" s="106">
        <f>SUMIF(TableauFA1[N° remise chèque 2],'remises de cheques'!$A204,TableauFA1[Montant chèque 2])</f>
        <v>0</v>
      </c>
      <c r="E204" s="106">
        <f>SUMIF(TableauFA1[N° remise chèque 3],'remises de cheques'!$A204,TableauFA1[Montant chèque 3])</f>
        <v>0</v>
      </c>
      <c r="F204" s="106">
        <f>SUMIF(TableauFA2[N° remise chèque 1],'remises de cheques'!$A204,TableauFA2[Montant chèque 1])</f>
        <v>0</v>
      </c>
      <c r="G204" s="106">
        <f>SUMIF(TableauFA2[N° remise chèque 2],'remises de cheques'!$A204,TableauFA2[Montant chèque 2])</f>
        <v>0</v>
      </c>
      <c r="H204" s="106">
        <f>SUMIF(TableauFA2[N° remise chèque 3],'remises de cheques'!$A204,TableauFA2[Montant chèque 3])</f>
        <v>0</v>
      </c>
      <c r="I204" s="106">
        <f>SUMIF(TableauFfinale[N° remise chèque 1],'remises de cheques'!$A204,TableauFfinale[Montant chèque 1])</f>
        <v>0</v>
      </c>
      <c r="J204" s="106">
        <f>SUMIF(TableauFfinale[N° remise chèque 2],'remises de cheques'!$A204,TableauFfinale[Montant chèque 2])</f>
        <v>0</v>
      </c>
      <c r="K204" s="106">
        <f>SUMIF(TableauFfinale[N° remise chèque 3],'remises de cheques'!$A204,TableauFfinale[Montant chèque 3])</f>
        <v>0</v>
      </c>
      <c r="L204" s="107">
        <f t="shared" si="18"/>
        <v>0</v>
      </c>
      <c r="N204" s="132" t="s">
        <v>298</v>
      </c>
      <c r="O204" s="132" t="s">
        <v>298</v>
      </c>
      <c r="P204" s="133" t="s">
        <v>304</v>
      </c>
      <c r="Q204" s="70"/>
      <c r="R204" s="191">
        <v>937.18</v>
      </c>
    </row>
    <row r="205" spans="1:19" ht="24" hidden="1" x14ac:dyDescent="0.3">
      <c r="A205" s="157">
        <v>1490726</v>
      </c>
      <c r="B205" s="108">
        <v>42429</v>
      </c>
      <c r="C205" s="106">
        <f>SUMIF(TableauFA1[N° remise chèque 1],'remises de cheques'!$A205,TableauFA1[Montant chèque 1])</f>
        <v>0</v>
      </c>
      <c r="D205" s="106">
        <f>SUMIF(TableauFA1[N° remise chèque 2],'remises de cheques'!$A205,TableauFA1[Montant chèque 2])</f>
        <v>0</v>
      </c>
      <c r="E205" s="106">
        <f>SUMIF(TableauFA1[N° remise chèque 3],'remises de cheques'!$A205,TableauFA1[Montant chèque 3])</f>
        <v>0</v>
      </c>
      <c r="F205" s="106">
        <f>SUMIF(TableauFA2[N° remise chèque 1],'remises de cheques'!$A205,TableauFA2[Montant chèque 1])</f>
        <v>0</v>
      </c>
      <c r="G205" s="106">
        <f>SUMIF(TableauFA2[N° remise chèque 2],'remises de cheques'!$A205,TableauFA2[Montant chèque 2])</f>
        <v>0</v>
      </c>
      <c r="H205" s="106">
        <f>SUMIF(TableauFA2[N° remise chèque 3],'remises de cheques'!$A205,TableauFA2[Montant chèque 3])</f>
        <v>0</v>
      </c>
      <c r="I205" s="106">
        <f>SUMIF(TableauFfinale[N° remise chèque 1],'remises de cheques'!$A205,TableauFfinale[Montant chèque 1])</f>
        <v>0</v>
      </c>
      <c r="J205" s="106">
        <f>SUMIF(TableauFfinale[N° remise chèque 2],'remises de cheques'!$A205,TableauFfinale[Montant chèque 2])</f>
        <v>0</v>
      </c>
      <c r="K205" s="106">
        <f>SUMIF(TableauFfinale[N° remise chèque 3],'remises de cheques'!$A205,TableauFfinale[Montant chèque 3])</f>
        <v>0</v>
      </c>
      <c r="L205" s="107">
        <f t="shared" si="18"/>
        <v>0</v>
      </c>
      <c r="N205" s="132" t="s">
        <v>298</v>
      </c>
      <c r="O205" s="132" t="s">
        <v>298</v>
      </c>
      <c r="P205" s="133" t="s">
        <v>302</v>
      </c>
      <c r="Q205" s="70"/>
      <c r="R205" s="191">
        <v>2154.64</v>
      </c>
    </row>
    <row r="206" spans="1:19" ht="24" hidden="1" x14ac:dyDescent="0.3">
      <c r="A206" s="157">
        <v>1490727</v>
      </c>
      <c r="B206" s="108">
        <v>42439</v>
      </c>
      <c r="C206" s="106">
        <f>SUMIF(TableauFA1[N° remise chèque 1],'remises de cheques'!$A206,TableauFA1[Montant chèque 1])</f>
        <v>0</v>
      </c>
      <c r="D206" s="106">
        <f>SUMIF(TableauFA1[N° remise chèque 2],'remises de cheques'!$A206,TableauFA1[Montant chèque 2])</f>
        <v>0</v>
      </c>
      <c r="E206" s="106">
        <f>SUMIF(TableauFA1[N° remise chèque 3],'remises de cheques'!$A206,TableauFA1[Montant chèque 3])</f>
        <v>0</v>
      </c>
      <c r="F206" s="106">
        <f>SUMIF(TableauFA2[N° remise chèque 1],'remises de cheques'!$A206,TableauFA2[Montant chèque 1])</f>
        <v>0</v>
      </c>
      <c r="G206" s="106">
        <f>SUMIF(TableauFA2[N° remise chèque 2],'remises de cheques'!$A206,TableauFA2[Montant chèque 2])</f>
        <v>0</v>
      </c>
      <c r="H206" s="106">
        <f>SUMIF(TableauFA2[N° remise chèque 3],'remises de cheques'!$A206,TableauFA2[Montant chèque 3])</f>
        <v>0</v>
      </c>
      <c r="I206" s="106">
        <f>SUMIF(TableauFfinale[N° remise chèque 1],'remises de cheques'!$A206,TableauFfinale[Montant chèque 1])</f>
        <v>0</v>
      </c>
      <c r="J206" s="106">
        <f>SUMIF(TableauFfinale[N° remise chèque 2],'remises de cheques'!$A206,TableauFfinale[Montant chèque 2])</f>
        <v>0</v>
      </c>
      <c r="K206" s="106">
        <f>SUMIF(TableauFfinale[N° remise chèque 3],'remises de cheques'!$A206,TableauFfinale[Montant chèque 3])</f>
        <v>0</v>
      </c>
      <c r="L206" s="107">
        <f t="shared" si="18"/>
        <v>0</v>
      </c>
      <c r="N206" s="132" t="s">
        <v>315</v>
      </c>
      <c r="O206" s="132" t="s">
        <v>315</v>
      </c>
      <c r="P206" s="133" t="s">
        <v>319</v>
      </c>
      <c r="Q206" s="70"/>
      <c r="R206" s="191">
        <v>1000</v>
      </c>
    </row>
    <row r="207" spans="1:19" ht="24" hidden="1" x14ac:dyDescent="0.3">
      <c r="A207" s="157">
        <v>1490728</v>
      </c>
      <c r="B207" s="108">
        <v>42429</v>
      </c>
      <c r="C207" s="106">
        <f>SUMIF(TableauFA1[N° remise chèque 1],'remises de cheques'!$A207,TableauFA1[Montant chèque 1])</f>
        <v>0</v>
      </c>
      <c r="D207" s="106">
        <f>SUMIF(TableauFA1[N° remise chèque 2],'remises de cheques'!$A207,TableauFA1[Montant chèque 2])</f>
        <v>0</v>
      </c>
      <c r="E207" s="106">
        <f>SUMIF(TableauFA1[N° remise chèque 3],'remises de cheques'!$A207,TableauFA1[Montant chèque 3])</f>
        <v>0</v>
      </c>
      <c r="F207" s="106">
        <f>SUMIF(TableauFA2[N° remise chèque 1],'remises de cheques'!$A207,TableauFA2[Montant chèque 1])</f>
        <v>0</v>
      </c>
      <c r="G207" s="106">
        <f>SUMIF(TableauFA2[N° remise chèque 2],'remises de cheques'!$A207,TableauFA2[Montant chèque 2])</f>
        <v>0</v>
      </c>
      <c r="H207" s="106">
        <f>SUMIF(TableauFA2[N° remise chèque 3],'remises de cheques'!$A207,TableauFA2[Montant chèque 3])</f>
        <v>0</v>
      </c>
      <c r="I207" s="106">
        <f>SUMIF(TableauFfinale[N° remise chèque 1],'remises de cheques'!$A207,TableauFfinale[Montant chèque 1])</f>
        <v>0</v>
      </c>
      <c r="J207" s="106">
        <f>SUMIF(TableauFfinale[N° remise chèque 2],'remises de cheques'!$A207,TableauFfinale[Montant chèque 2])</f>
        <v>0</v>
      </c>
      <c r="K207" s="106">
        <f>SUMIF(TableauFfinale[N° remise chèque 3],'remises de cheques'!$A207,TableauFfinale[Montant chèque 3])</f>
        <v>0</v>
      </c>
      <c r="L207" s="107">
        <f t="shared" si="18"/>
        <v>0</v>
      </c>
      <c r="N207" s="132" t="s">
        <v>298</v>
      </c>
      <c r="O207" s="132" t="s">
        <v>298</v>
      </c>
      <c r="P207" s="133" t="s">
        <v>301</v>
      </c>
      <c r="Q207" s="70"/>
      <c r="R207" s="191">
        <v>2694.55</v>
      </c>
    </row>
    <row r="208" spans="1:19" ht="24" hidden="1" x14ac:dyDescent="0.3">
      <c r="A208" s="157">
        <v>1490729</v>
      </c>
      <c r="B208" s="108">
        <v>42429</v>
      </c>
      <c r="C208" s="106">
        <f>SUMIF(TableauFA1[N° remise chèque 1],'remises de cheques'!$A208,TableauFA1[Montant chèque 1])</f>
        <v>0</v>
      </c>
      <c r="D208" s="106">
        <f>SUMIF(TableauFA1[N° remise chèque 2],'remises de cheques'!$A208,TableauFA1[Montant chèque 2])</f>
        <v>0</v>
      </c>
      <c r="E208" s="106">
        <f>SUMIF(TableauFA1[N° remise chèque 3],'remises de cheques'!$A208,TableauFA1[Montant chèque 3])</f>
        <v>0</v>
      </c>
      <c r="F208" s="106">
        <f>SUMIF(TableauFA2[N° remise chèque 1],'remises de cheques'!$A208,TableauFA2[Montant chèque 1])</f>
        <v>0</v>
      </c>
      <c r="G208" s="106">
        <f>SUMIF(TableauFA2[N° remise chèque 2],'remises de cheques'!$A208,TableauFA2[Montant chèque 2])</f>
        <v>0</v>
      </c>
      <c r="H208" s="106">
        <f>SUMIF(TableauFA2[N° remise chèque 3],'remises de cheques'!$A208,TableauFA2[Montant chèque 3])</f>
        <v>0</v>
      </c>
      <c r="I208" s="106">
        <f>SUMIF(TableauFfinale[N° remise chèque 1],'remises de cheques'!$A208,TableauFfinale[Montant chèque 1])</f>
        <v>0</v>
      </c>
      <c r="J208" s="106">
        <f>SUMIF(TableauFfinale[N° remise chèque 2],'remises de cheques'!$A208,TableauFfinale[Montant chèque 2])</f>
        <v>0</v>
      </c>
      <c r="K208" s="106">
        <f>SUMIF(TableauFfinale[N° remise chèque 3],'remises de cheques'!$A208,TableauFfinale[Montant chèque 3])</f>
        <v>0</v>
      </c>
      <c r="L208" s="107">
        <f t="shared" si="18"/>
        <v>0</v>
      </c>
      <c r="N208" s="132" t="s">
        <v>298</v>
      </c>
      <c r="O208" s="132" t="s">
        <v>298</v>
      </c>
      <c r="P208" s="133" t="s">
        <v>299</v>
      </c>
      <c r="Q208" s="70"/>
      <c r="R208" s="191">
        <v>4469.63</v>
      </c>
    </row>
    <row r="209" spans="1:19" ht="24" hidden="1" x14ac:dyDescent="0.3">
      <c r="A209" s="157">
        <v>1490730</v>
      </c>
      <c r="B209" s="199">
        <v>42460</v>
      </c>
      <c r="C209" s="106">
        <f>SUMIF(TableauFA1[N° remise chèque 1],'remises de cheques'!$A209,TableauFA1[Montant chèque 1])</f>
        <v>0</v>
      </c>
      <c r="D209" s="106">
        <f>SUMIF(TableauFA1[N° remise chèque 2],'remises de cheques'!$A209,TableauFA1[Montant chèque 2])</f>
        <v>0</v>
      </c>
      <c r="E209" s="106">
        <f>SUMIF(TableauFA1[N° remise chèque 3],'remises de cheques'!$A209,TableauFA1[Montant chèque 3])</f>
        <v>0</v>
      </c>
      <c r="F209" s="106">
        <f>SUMIF(TableauFA2[N° remise chèque 1],'remises de cheques'!$A209,TableauFA2[Montant chèque 1])</f>
        <v>0</v>
      </c>
      <c r="G209" s="106">
        <f>SUMIF(TableauFA2[N° remise chèque 2],'remises de cheques'!$A209,TableauFA2[Montant chèque 2])</f>
        <v>0</v>
      </c>
      <c r="H209" s="106">
        <f>SUMIF(TableauFA2[N° remise chèque 3],'remises de cheques'!$A209,TableauFA2[Montant chèque 3])</f>
        <v>0</v>
      </c>
      <c r="I209" s="106">
        <f>SUMIF(TableauFfinale[N° remise chèque 1],'remises de cheques'!$A209,TableauFfinale[Montant chèque 1])</f>
        <v>0</v>
      </c>
      <c r="J209" s="106">
        <f>SUMIF(TableauFfinale[N° remise chèque 2],'remises de cheques'!$A209,TableauFfinale[Montant chèque 2])</f>
        <v>0</v>
      </c>
      <c r="K209" s="106">
        <f>SUMIF(TableauFfinale[N° remise chèque 3],'remises de cheques'!$A209,TableauFfinale[Montant chèque 3])</f>
        <v>0</v>
      </c>
      <c r="L209" s="107">
        <f t="shared" si="18"/>
        <v>0</v>
      </c>
      <c r="N209" s="132" t="s">
        <v>332</v>
      </c>
      <c r="O209" s="132" t="s">
        <v>332</v>
      </c>
      <c r="P209" s="133" t="s">
        <v>337</v>
      </c>
      <c r="Q209" s="70"/>
      <c r="R209" s="191">
        <v>4974.42</v>
      </c>
      <c r="S209" s="97" t="s">
        <v>334</v>
      </c>
    </row>
    <row r="210" spans="1:19" ht="24" hidden="1" x14ac:dyDescent="0.3">
      <c r="A210" s="157">
        <v>1490731</v>
      </c>
      <c r="B210" s="108">
        <v>42429</v>
      </c>
      <c r="C210" s="106">
        <f>SUMIF(TableauFA1[N° remise chèque 1],'remises de cheques'!$A210,TableauFA1[Montant chèque 1])</f>
        <v>0</v>
      </c>
      <c r="D210" s="106">
        <f>SUMIF(TableauFA1[N° remise chèque 2],'remises de cheques'!$A210,TableauFA1[Montant chèque 2])</f>
        <v>0</v>
      </c>
      <c r="E210" s="106">
        <f>SUMIF(TableauFA1[N° remise chèque 3],'remises de cheques'!$A210,TableauFA1[Montant chèque 3])</f>
        <v>0</v>
      </c>
      <c r="F210" s="106">
        <f>SUMIF(TableauFA2[N° remise chèque 1],'remises de cheques'!$A210,TableauFA2[Montant chèque 1])</f>
        <v>0</v>
      </c>
      <c r="G210" s="106">
        <f>SUMIF(TableauFA2[N° remise chèque 2],'remises de cheques'!$A210,TableauFA2[Montant chèque 2])</f>
        <v>0</v>
      </c>
      <c r="H210" s="106">
        <f>SUMIF(TableauFA2[N° remise chèque 3],'remises de cheques'!$A210,TableauFA2[Montant chèque 3])</f>
        <v>0</v>
      </c>
      <c r="I210" s="106">
        <f>SUMIF(TableauFfinale[N° remise chèque 1],'remises de cheques'!$A210,TableauFfinale[Montant chèque 1])</f>
        <v>0</v>
      </c>
      <c r="J210" s="106">
        <f>SUMIF(TableauFfinale[N° remise chèque 2],'remises de cheques'!$A210,TableauFfinale[Montant chèque 2])</f>
        <v>0</v>
      </c>
      <c r="K210" s="106">
        <f>SUMIF(TableauFfinale[N° remise chèque 3],'remises de cheques'!$A210,TableauFfinale[Montant chèque 3])</f>
        <v>0</v>
      </c>
      <c r="L210" s="107">
        <f t="shared" si="18"/>
        <v>0</v>
      </c>
      <c r="N210" s="132" t="s">
        <v>298</v>
      </c>
      <c r="O210" s="132" t="s">
        <v>298</v>
      </c>
      <c r="P210" s="133" t="s">
        <v>300</v>
      </c>
      <c r="Q210" s="70"/>
      <c r="R210" s="191">
        <v>3122</v>
      </c>
    </row>
    <row r="211" spans="1:19" ht="24" hidden="1" x14ac:dyDescent="0.3">
      <c r="A211" s="157">
        <v>1490732</v>
      </c>
      <c r="B211" s="108">
        <v>42439</v>
      </c>
      <c r="C211" s="106">
        <f>SUMIF(TableauFA1[N° remise chèque 1],'remises de cheques'!$A211,TableauFA1[Montant chèque 1])</f>
        <v>0</v>
      </c>
      <c r="D211" s="106">
        <f>SUMIF(TableauFA1[N° remise chèque 2],'remises de cheques'!$A211,TableauFA1[Montant chèque 2])</f>
        <v>468.74</v>
      </c>
      <c r="E211" s="106">
        <f>SUMIF(TableauFA1[N° remise chèque 3],'remises de cheques'!$A211,TableauFA1[Montant chèque 3])</f>
        <v>0</v>
      </c>
      <c r="F211" s="106">
        <f>SUMIF(TableauFA2[N° remise chèque 1],'remises de cheques'!$A211,TableauFA2[Montant chèque 1])</f>
        <v>0</v>
      </c>
      <c r="G211" s="106">
        <f>SUMIF(TableauFA2[N° remise chèque 2],'remises de cheques'!$A211,TableauFA2[Montant chèque 2])</f>
        <v>0</v>
      </c>
      <c r="H211" s="106">
        <f>SUMIF(TableauFA2[N° remise chèque 3],'remises de cheques'!$A211,TableauFA2[Montant chèque 3])</f>
        <v>0</v>
      </c>
      <c r="I211" s="106">
        <f>SUMIF(TableauFfinale[N° remise chèque 1],'remises de cheques'!$A211,TableauFfinale[Montant chèque 1])</f>
        <v>0</v>
      </c>
      <c r="J211" s="106">
        <f>SUMIF(TableauFfinale[N° remise chèque 2],'remises de cheques'!$A211,TableauFfinale[Montant chèque 2])</f>
        <v>0</v>
      </c>
      <c r="K211" s="106">
        <f>SUMIF(TableauFfinale[N° remise chèque 3],'remises de cheques'!$A211,TableauFfinale[Montant chèque 3])</f>
        <v>0</v>
      </c>
      <c r="L211" s="107">
        <f t="shared" si="18"/>
        <v>468.74</v>
      </c>
      <c r="N211" s="132" t="s">
        <v>315</v>
      </c>
      <c r="O211" s="132" t="s">
        <v>315</v>
      </c>
      <c r="P211" s="133" t="s">
        <v>318</v>
      </c>
      <c r="Q211" s="70"/>
      <c r="R211" s="191">
        <v>2073.8200000000002</v>
      </c>
    </row>
    <row r="212" spans="1:19" ht="24" hidden="1" x14ac:dyDescent="0.3">
      <c r="A212" s="157">
        <v>1490733</v>
      </c>
      <c r="B212" s="199">
        <v>42460</v>
      </c>
      <c r="C212" s="106">
        <f>SUMIF(TableauFA1[N° remise chèque 1],'remises de cheques'!$A212,TableauFA1[Montant chèque 1])</f>
        <v>0</v>
      </c>
      <c r="D212" s="106">
        <f>SUMIF(TableauFA1[N° remise chèque 2],'remises de cheques'!$A212,TableauFA1[Montant chèque 2])</f>
        <v>0</v>
      </c>
      <c r="E212" s="106">
        <f>SUMIF(TableauFA1[N° remise chèque 3],'remises de cheques'!$A212,TableauFA1[Montant chèque 3])</f>
        <v>0</v>
      </c>
      <c r="F212" s="106">
        <f>SUMIF(TableauFA2[N° remise chèque 1],'remises de cheques'!$A212,TableauFA2[Montant chèque 1])</f>
        <v>0</v>
      </c>
      <c r="G212" s="106">
        <f>SUMIF(TableauFA2[N° remise chèque 2],'remises de cheques'!$A212,TableauFA2[Montant chèque 2])</f>
        <v>0</v>
      </c>
      <c r="H212" s="106">
        <f>SUMIF(TableauFA2[N° remise chèque 3],'remises de cheques'!$A212,TableauFA2[Montant chèque 3])</f>
        <v>0</v>
      </c>
      <c r="I212" s="106">
        <f>SUMIF(TableauFfinale[N° remise chèque 1],'remises de cheques'!$A212,TableauFfinale[Montant chèque 1])</f>
        <v>0</v>
      </c>
      <c r="J212" s="106">
        <f>SUMIF(TableauFfinale[N° remise chèque 2],'remises de cheques'!$A212,TableauFfinale[Montant chèque 2])</f>
        <v>0</v>
      </c>
      <c r="K212" s="106">
        <f>SUMIF(TableauFfinale[N° remise chèque 3],'remises de cheques'!$A212,TableauFfinale[Montant chèque 3])</f>
        <v>0</v>
      </c>
      <c r="L212" s="107">
        <f t="shared" si="18"/>
        <v>0</v>
      </c>
      <c r="N212" s="132" t="s">
        <v>332</v>
      </c>
      <c r="O212" s="132" t="s">
        <v>332</v>
      </c>
      <c r="P212" s="133" t="s">
        <v>335</v>
      </c>
      <c r="Q212" s="70"/>
      <c r="R212" s="191">
        <v>7818.76</v>
      </c>
      <c r="S212" s="97" t="s">
        <v>334</v>
      </c>
    </row>
    <row r="213" spans="1:19" ht="24" hidden="1" x14ac:dyDescent="0.3">
      <c r="A213" s="157">
        <v>1490734</v>
      </c>
      <c r="B213" s="108">
        <v>42439</v>
      </c>
      <c r="C213" s="106">
        <f>SUMIF(TableauFA1[N° remise chèque 1],'remises de cheques'!$A213,TableauFA1[Montant chèque 1])</f>
        <v>0</v>
      </c>
      <c r="D213" s="106">
        <f>SUMIF(TableauFA1[N° remise chèque 2],'remises de cheques'!$A213,TableauFA1[Montant chèque 2])</f>
        <v>0</v>
      </c>
      <c r="E213" s="106">
        <f>SUMIF(TableauFA1[N° remise chèque 3],'remises de cheques'!$A213,TableauFA1[Montant chèque 3])</f>
        <v>0</v>
      </c>
      <c r="F213" s="106">
        <f>SUMIF(TableauFA2[N° remise chèque 1],'remises de cheques'!$A213,TableauFA2[Montant chèque 1])</f>
        <v>1937.48</v>
      </c>
      <c r="G213" s="106">
        <f>SUMIF(TableauFA2[N° remise chèque 2],'remises de cheques'!$A213,TableauFA2[Montant chèque 2])</f>
        <v>0</v>
      </c>
      <c r="H213" s="106">
        <f>SUMIF(TableauFA2[N° remise chèque 3],'remises de cheques'!$A213,TableauFA2[Montant chèque 3])</f>
        <v>0</v>
      </c>
      <c r="I213" s="106">
        <f>SUMIF(TableauFfinale[N° remise chèque 1],'remises de cheques'!$A213,TableauFfinale[Montant chèque 1])</f>
        <v>322.65000000000009</v>
      </c>
      <c r="J213" s="106">
        <f>SUMIF(TableauFfinale[N° remise chèque 2],'remises de cheques'!$A213,TableauFfinale[Montant chèque 2])</f>
        <v>0</v>
      </c>
      <c r="K213" s="106">
        <f>SUMIF(TableauFfinale[N° remise chèque 3],'remises de cheques'!$A213,TableauFfinale[Montant chèque 3])</f>
        <v>0</v>
      </c>
      <c r="L213" s="107">
        <f t="shared" si="18"/>
        <v>2260.13</v>
      </c>
      <c r="N213" s="132" t="s">
        <v>315</v>
      </c>
      <c r="O213" s="132" t="s">
        <v>315</v>
      </c>
      <c r="P213" s="133" t="s">
        <v>317</v>
      </c>
      <c r="Q213" s="70"/>
      <c r="R213" s="191">
        <v>2260.13</v>
      </c>
    </row>
    <row r="214" spans="1:19" ht="24" hidden="1" x14ac:dyDescent="0.3">
      <c r="A214" s="157">
        <v>1490735</v>
      </c>
      <c r="B214" s="108">
        <v>42439</v>
      </c>
      <c r="C214" s="106">
        <f>SUMIF(TableauFA1[N° remise chèque 1],'remises de cheques'!$A214,TableauFA1[Montant chèque 1])</f>
        <v>9482.56</v>
      </c>
      <c r="D214" s="106">
        <f>SUMIF(TableauFA1[N° remise chèque 2],'remises de cheques'!$A214,TableauFA1[Montant chèque 2])</f>
        <v>0</v>
      </c>
      <c r="E214" s="106">
        <f>SUMIF(TableauFA1[N° remise chèque 3],'remises de cheques'!$A214,TableauFA1[Montant chèque 3])</f>
        <v>0</v>
      </c>
      <c r="F214" s="106">
        <f>SUMIF(TableauFA2[N° remise chèque 1],'remises de cheques'!$A214,TableauFA2[Montant chèque 1])</f>
        <v>0</v>
      </c>
      <c r="G214" s="106">
        <f>SUMIF(TableauFA2[N° remise chèque 2],'remises de cheques'!$A214,TableauFA2[Montant chèque 2])</f>
        <v>0</v>
      </c>
      <c r="H214" s="106">
        <f>SUMIF(TableauFA2[N° remise chèque 3],'remises de cheques'!$A214,TableauFA2[Montant chèque 3])</f>
        <v>0</v>
      </c>
      <c r="I214" s="106">
        <f>SUMIF(TableauFfinale[N° remise chèque 1],'remises de cheques'!$A214,TableauFfinale[Montant chèque 1])</f>
        <v>0</v>
      </c>
      <c r="J214" s="106">
        <f>SUMIF(TableauFfinale[N° remise chèque 2],'remises de cheques'!$A214,TableauFfinale[Montant chèque 2])</f>
        <v>0</v>
      </c>
      <c r="K214" s="106">
        <f>SUMIF(TableauFfinale[N° remise chèque 3],'remises de cheques'!$A214,TableauFfinale[Montant chèque 3])</f>
        <v>0</v>
      </c>
      <c r="L214" s="107">
        <f t="shared" si="18"/>
        <v>9482.56</v>
      </c>
      <c r="N214" s="132" t="s">
        <v>315</v>
      </c>
      <c r="O214" s="132" t="s">
        <v>315</v>
      </c>
      <c r="P214" s="133" t="s">
        <v>316</v>
      </c>
      <c r="Q214" s="70"/>
      <c r="R214" s="191">
        <v>9482.56</v>
      </c>
    </row>
    <row r="215" spans="1:19" ht="24" hidden="1" x14ac:dyDescent="0.3">
      <c r="A215" s="157">
        <v>1490736</v>
      </c>
      <c r="B215" s="108">
        <v>42461</v>
      </c>
      <c r="C215" s="106">
        <f>SUMIF(TableauFA1[N° remise chèque 1],'remises de cheques'!$A215,TableauFA1[Montant chèque 1])</f>
        <v>0</v>
      </c>
      <c r="D215" s="106">
        <f>SUMIF(TableauFA1[N° remise chèque 2],'remises de cheques'!$A215,TableauFA1[Montant chèque 2])</f>
        <v>0</v>
      </c>
      <c r="E215" s="106">
        <f>SUMIF(TableauFA1[N° remise chèque 3],'remises de cheques'!$A215,TableauFA1[Montant chèque 3])</f>
        <v>0</v>
      </c>
      <c r="F215" s="106">
        <f>SUMIF(TableauFA2[N° remise chèque 1],'remises de cheques'!$A215,TableauFA2[Montant chèque 1])</f>
        <v>0</v>
      </c>
      <c r="G215" s="106">
        <f>SUMIF(TableauFA2[N° remise chèque 2],'remises de cheques'!$A215,TableauFA2[Montant chèque 2])</f>
        <v>0</v>
      </c>
      <c r="H215" s="106">
        <f>SUMIF(TableauFA2[N° remise chèque 3],'remises de cheques'!$A215,TableauFA2[Montant chèque 3])</f>
        <v>0</v>
      </c>
      <c r="I215" s="106">
        <f>SUMIF(TableauFfinale[N° remise chèque 1],'remises de cheques'!$A215,TableauFfinale[Montant chèque 1])</f>
        <v>0</v>
      </c>
      <c r="J215" s="106">
        <f>SUMIF(TableauFfinale[N° remise chèque 2],'remises de cheques'!$A215,TableauFfinale[Montant chèque 2])</f>
        <v>0</v>
      </c>
      <c r="K215" s="106">
        <f>SUMIF(TableauFfinale[N° remise chèque 3],'remises de cheques'!$A215,TableauFfinale[Montant chèque 3])</f>
        <v>0</v>
      </c>
      <c r="L215" s="107">
        <f t="shared" si="18"/>
        <v>0</v>
      </c>
      <c r="N215" s="132" t="s">
        <v>332</v>
      </c>
      <c r="O215" s="132" t="s">
        <v>332</v>
      </c>
      <c r="P215" s="133" t="s">
        <v>336</v>
      </c>
      <c r="Q215" s="70"/>
      <c r="R215" s="191">
        <v>1366.11</v>
      </c>
    </row>
    <row r="216" spans="1:19" ht="24" hidden="1" x14ac:dyDescent="0.3">
      <c r="A216" s="157">
        <v>1490737</v>
      </c>
      <c r="B216" s="108">
        <v>42471</v>
      </c>
      <c r="C216" s="106">
        <f>SUMIF(TableauFA1[N° remise chèque 1],'remises de cheques'!$A216,TableauFA1[Montant chèque 1])</f>
        <v>0</v>
      </c>
      <c r="D216" s="106">
        <f>SUMIF(TableauFA1[N° remise chèque 2],'remises de cheques'!$A216,TableauFA1[Montant chèque 2])</f>
        <v>0</v>
      </c>
      <c r="E216" s="106">
        <f>SUMIF(TableauFA1[N° remise chèque 3],'remises de cheques'!$A216,TableauFA1[Montant chèque 3])</f>
        <v>0</v>
      </c>
      <c r="F216" s="106">
        <f>SUMIF(TableauFA2[N° remise chèque 1],'remises de cheques'!$A216,TableauFA2[Montant chèque 1])</f>
        <v>0</v>
      </c>
      <c r="G216" s="106">
        <f>SUMIF(TableauFA2[N° remise chèque 2],'remises de cheques'!$A216,TableauFA2[Montant chèque 2])</f>
        <v>0</v>
      </c>
      <c r="H216" s="106">
        <f>SUMIF(TableauFA2[N° remise chèque 3],'remises de cheques'!$A216,TableauFA2[Montant chèque 3])</f>
        <v>0</v>
      </c>
      <c r="I216" s="106">
        <f>SUMIF(TableauFfinale[N° remise chèque 1],'remises de cheques'!$A216,TableauFfinale[Montant chèque 1])</f>
        <v>0</v>
      </c>
      <c r="J216" s="106">
        <f>SUMIF(TableauFfinale[N° remise chèque 2],'remises de cheques'!$A216,TableauFfinale[Montant chèque 2])</f>
        <v>0</v>
      </c>
      <c r="K216" s="106">
        <f>SUMIF(TableauFfinale[N° remise chèque 3],'remises de cheques'!$A216,TableauFfinale[Montant chèque 3])</f>
        <v>0</v>
      </c>
      <c r="L216" s="107">
        <f t="shared" si="18"/>
        <v>0</v>
      </c>
      <c r="N216" s="132" t="s">
        <v>358</v>
      </c>
      <c r="O216" s="132" t="s">
        <v>358</v>
      </c>
      <c r="P216" s="133" t="s">
        <v>359</v>
      </c>
      <c r="Q216" s="70"/>
      <c r="R216" s="191">
        <v>1000</v>
      </c>
    </row>
    <row r="217" spans="1:19" ht="91.5" hidden="1" x14ac:dyDescent="0.3">
      <c r="A217" s="140" t="s">
        <v>320</v>
      </c>
      <c r="B217" s="108">
        <v>42433</v>
      </c>
      <c r="C217" s="106">
        <f>SUMIF(TableauFA1[N° remise chèque 1],'remises de cheques'!$A217,TableauFA1[Montant chèque 1])</f>
        <v>0</v>
      </c>
      <c r="D217" s="106">
        <f>SUMIF(TableauFA1[N° remise chèque 2],'remises de cheques'!$A217,TableauFA1[Montant chèque 2])</f>
        <v>0</v>
      </c>
      <c r="E217" s="106">
        <f>SUMIF(TableauFA1[N° remise chèque 3],'remises de cheques'!$A217,TableauFA1[Montant chèque 3])</f>
        <v>0</v>
      </c>
      <c r="F217" s="106">
        <f>SUMIF(TableauFA2[N° remise chèque 1],'remises de cheques'!$A217,TableauFA2[Montant chèque 1])</f>
        <v>0</v>
      </c>
      <c r="G217" s="106">
        <f>SUMIF(TableauFA2[N° remise chèque 2],'remises de cheques'!$A217,TableauFA2[Montant chèque 2])</f>
        <v>0</v>
      </c>
      <c r="H217" s="106">
        <f>SUMIF(TableauFA2[N° remise chèque 3],'remises de cheques'!$A217,TableauFA2[Montant chèque 3])</f>
        <v>0</v>
      </c>
      <c r="I217" s="106">
        <f>SUMIF(TableauFfinale[N° remise chèque 1],'remises de cheques'!$A217,TableauFfinale[Montant chèque 1])</f>
        <v>0</v>
      </c>
      <c r="J217" s="106">
        <f>SUMIF(TableauFfinale[N° remise chèque 2],'remises de cheques'!$A217,TableauFfinale[Montant chèque 2])</f>
        <v>0</v>
      </c>
      <c r="K217" s="106">
        <f>SUMIF(TableauFfinale[N° remise chèque 3],'remises de cheques'!$A217,TableauFfinale[Montant chèque 3])</f>
        <v>0</v>
      </c>
      <c r="L217" s="107">
        <f t="shared" si="18"/>
        <v>0</v>
      </c>
      <c r="N217" s="132" t="s">
        <v>322</v>
      </c>
      <c r="O217" s="132" t="s">
        <v>322</v>
      </c>
      <c r="P217" s="133" t="s">
        <v>323</v>
      </c>
      <c r="Q217" s="70"/>
      <c r="R217" s="191">
        <v>927.05</v>
      </c>
    </row>
    <row r="218" spans="1:19" ht="80.25" hidden="1" x14ac:dyDescent="0.3">
      <c r="A218" s="140" t="s">
        <v>321</v>
      </c>
      <c r="B218" s="108">
        <v>42433</v>
      </c>
      <c r="C218" s="106">
        <f>SUMIF(TableauFA1[N° remise chèque 1],'remises de cheques'!$A218,TableauFA1[Montant chèque 1])</f>
        <v>0</v>
      </c>
      <c r="D218" s="106">
        <f>SUMIF(TableauFA1[N° remise chèque 2],'remises de cheques'!$A218,TableauFA1[Montant chèque 2])</f>
        <v>0</v>
      </c>
      <c r="E218" s="106">
        <f>SUMIF(TableauFA1[N° remise chèque 3],'remises de cheques'!$A218,TableauFA1[Montant chèque 3])</f>
        <v>0</v>
      </c>
      <c r="F218" s="106">
        <f>SUMIF(TableauFA2[N° remise chèque 1],'remises de cheques'!$A218,TableauFA2[Montant chèque 1])</f>
        <v>0</v>
      </c>
      <c r="G218" s="106">
        <f>SUMIF(TableauFA2[N° remise chèque 2],'remises de cheques'!$A218,TableauFA2[Montant chèque 2])</f>
        <v>0</v>
      </c>
      <c r="H218" s="106">
        <f>SUMIF(TableauFA2[N° remise chèque 3],'remises de cheques'!$A218,TableauFA2[Montant chèque 3])</f>
        <v>0</v>
      </c>
      <c r="I218" s="106">
        <f>SUMIF(TableauFfinale[N° remise chèque 1],'remises de cheques'!$A218,TableauFfinale[Montant chèque 1])</f>
        <v>0</v>
      </c>
      <c r="J218" s="106">
        <f>SUMIF(TableauFfinale[N° remise chèque 2],'remises de cheques'!$A218,TableauFfinale[Montant chèque 2])</f>
        <v>0</v>
      </c>
      <c r="K218" s="106">
        <f>SUMIF(TableauFfinale[N° remise chèque 3],'remises de cheques'!$A218,TableauFfinale[Montant chèque 3])</f>
        <v>0</v>
      </c>
      <c r="L218" s="107">
        <f t="shared" ref="L218" si="23">SUM(C218:K218)</f>
        <v>0</v>
      </c>
      <c r="N218" s="132" t="s">
        <v>322</v>
      </c>
      <c r="O218" s="132" t="s">
        <v>322</v>
      </c>
      <c r="P218" s="133" t="s">
        <v>324</v>
      </c>
      <c r="Q218" s="70"/>
      <c r="R218" s="191">
        <v>573.5</v>
      </c>
    </row>
    <row r="219" spans="1:19" ht="159" hidden="1" x14ac:dyDescent="0.3">
      <c r="A219" s="140" t="s">
        <v>328</v>
      </c>
      <c r="B219" s="108">
        <v>42447</v>
      </c>
      <c r="C219" s="106">
        <f>SUMIF(TableauFA1[N° remise chèque 1],'remises de cheques'!$A219,TableauFA1[Montant chèque 1])</f>
        <v>0</v>
      </c>
      <c r="D219" s="106">
        <f>SUMIF(TableauFA1[N° remise chèque 2],'remises de cheques'!$A219,TableauFA1[Montant chèque 2])</f>
        <v>0</v>
      </c>
      <c r="E219" s="106">
        <f>SUMIF(TableauFA1[N° remise chèque 3],'remises de cheques'!$A219,TableauFA1[Montant chèque 3])</f>
        <v>0</v>
      </c>
      <c r="F219" s="106">
        <f>SUMIF(TableauFA2[N° remise chèque 1],'remises de cheques'!$A219,TableauFA2[Montant chèque 1])</f>
        <v>0</v>
      </c>
      <c r="G219" s="106">
        <f>SUMIF(TableauFA2[N° remise chèque 2],'remises de cheques'!$A219,TableauFA2[Montant chèque 2])</f>
        <v>0</v>
      </c>
      <c r="H219" s="106">
        <f>SUMIF(TableauFA2[N° remise chèque 3],'remises de cheques'!$A219,TableauFA2[Montant chèque 3])</f>
        <v>0</v>
      </c>
      <c r="I219" s="106">
        <f>SUMIF(TableauFfinale[N° remise chèque 1],'remises de cheques'!$A219,TableauFfinale[Montant chèque 1])</f>
        <v>0</v>
      </c>
      <c r="J219" s="106">
        <f>SUMIF(TableauFfinale[N° remise chèque 2],'remises de cheques'!$A219,TableauFfinale[Montant chèque 2])</f>
        <v>0</v>
      </c>
      <c r="K219" s="106">
        <f>SUMIF(TableauFfinale[N° remise chèque 3],'remises de cheques'!$A219,TableauFfinale[Montant chèque 3])</f>
        <v>0</v>
      </c>
      <c r="L219" s="107">
        <f t="shared" ref="L219" si="24">SUM(C219:K219)</f>
        <v>0</v>
      </c>
      <c r="N219" s="132">
        <v>42447</v>
      </c>
      <c r="O219" s="132">
        <v>42447</v>
      </c>
      <c r="P219" s="133" t="s">
        <v>329</v>
      </c>
      <c r="Q219" s="70"/>
      <c r="R219" s="191">
        <v>2543.08</v>
      </c>
    </row>
    <row r="220" spans="1:19" ht="91.5" hidden="1" x14ac:dyDescent="0.3">
      <c r="A220" s="140" t="s">
        <v>330</v>
      </c>
      <c r="B220" s="108">
        <v>42464</v>
      </c>
      <c r="C220" s="106">
        <f>SUMIF(TableauFA1[N° remise chèque 1],'remises de cheques'!$A220,TableauFA1[Montant chèque 1])</f>
        <v>0</v>
      </c>
      <c r="D220" s="106">
        <f>SUMIF(TableauFA1[N° remise chèque 2],'remises de cheques'!$A220,TableauFA1[Montant chèque 2])</f>
        <v>0</v>
      </c>
      <c r="E220" s="106">
        <f>SUMIF(TableauFA1[N° remise chèque 3],'remises de cheques'!$A220,TableauFA1[Montant chèque 3])</f>
        <v>0</v>
      </c>
      <c r="F220" s="106">
        <f>SUMIF(TableauFA2[N° remise chèque 1],'remises de cheques'!$A220,TableauFA2[Montant chèque 1])</f>
        <v>0</v>
      </c>
      <c r="G220" s="106">
        <f>SUMIF(TableauFA2[N° remise chèque 2],'remises de cheques'!$A220,TableauFA2[Montant chèque 2])</f>
        <v>0</v>
      </c>
      <c r="H220" s="106">
        <f>SUMIF(TableauFA2[N° remise chèque 3],'remises de cheques'!$A220,TableauFA2[Montant chèque 3])</f>
        <v>0</v>
      </c>
      <c r="I220" s="106">
        <f>SUMIF(TableauFfinale[N° remise chèque 1],'remises de cheques'!$A220,TableauFfinale[Montant chèque 1])</f>
        <v>0</v>
      </c>
      <c r="J220" s="106">
        <f>SUMIF(TableauFfinale[N° remise chèque 2],'remises de cheques'!$A220,TableauFfinale[Montant chèque 2])</f>
        <v>0</v>
      </c>
      <c r="K220" s="106">
        <f>SUMIF(TableauFfinale[N° remise chèque 3],'remises de cheques'!$A220,TableauFfinale[Montant chèque 3])</f>
        <v>0</v>
      </c>
      <c r="L220" s="107">
        <f t="shared" ref="L220" si="25">SUM(C220:K220)</f>
        <v>0</v>
      </c>
      <c r="N220" s="132">
        <v>42464</v>
      </c>
      <c r="O220" s="132">
        <v>42464</v>
      </c>
      <c r="P220" s="133" t="s">
        <v>338</v>
      </c>
      <c r="Q220" s="70"/>
      <c r="R220" s="191">
        <v>1500</v>
      </c>
    </row>
    <row r="221" spans="1:19" ht="24" hidden="1" x14ac:dyDescent="0.3">
      <c r="A221" s="157">
        <v>8911504</v>
      </c>
      <c r="B221" s="108">
        <v>42471</v>
      </c>
      <c r="C221" s="106">
        <f>SUMIF(TableauFA1[N° remise chèque 1],'remises de cheques'!$A221,TableauFA1[Montant chèque 1])</f>
        <v>0</v>
      </c>
      <c r="D221" s="106">
        <f>SUMIF(TableauFA1[N° remise chèque 2],'remises de cheques'!$A221,TableauFA1[Montant chèque 2])</f>
        <v>0</v>
      </c>
      <c r="E221" s="106">
        <f>SUMIF(TableauFA1[N° remise chèque 3],'remises de cheques'!$A221,TableauFA1[Montant chèque 3])</f>
        <v>0</v>
      </c>
      <c r="F221" s="106">
        <f>SUMIF(TableauFA2[N° remise chèque 1],'remises de cheques'!$A221,TableauFA2[Montant chèque 1])</f>
        <v>0</v>
      </c>
      <c r="G221" s="106">
        <f>SUMIF(TableauFA2[N° remise chèque 2],'remises de cheques'!$A221,TableauFA2[Montant chèque 2])</f>
        <v>0</v>
      </c>
      <c r="H221" s="106">
        <f>SUMIF(TableauFA2[N° remise chèque 3],'remises de cheques'!$A221,TableauFA2[Montant chèque 3])</f>
        <v>0</v>
      </c>
      <c r="I221" s="106">
        <f>SUMIF(TableauFfinale[N° remise chèque 1],'remises de cheques'!$A221,TableauFfinale[Montant chèque 1])</f>
        <v>1680.23</v>
      </c>
      <c r="J221" s="106">
        <f>SUMIF(TableauFfinale[N° remise chèque 2],'remises de cheques'!$A221,TableauFfinale[Montant chèque 2])</f>
        <v>0</v>
      </c>
      <c r="K221" s="106">
        <f>SUMIF(TableauFfinale[N° remise chèque 3],'remises de cheques'!$A221,TableauFfinale[Montant chèque 3])</f>
        <v>0</v>
      </c>
      <c r="L221" s="107">
        <f t="shared" ref="L221:L222" si="26">SUM(C221:K221)</f>
        <v>1680.23</v>
      </c>
      <c r="N221" s="132" t="s">
        <v>358</v>
      </c>
      <c r="O221" s="132" t="s">
        <v>358</v>
      </c>
      <c r="P221" s="133" t="s">
        <v>360</v>
      </c>
      <c r="Q221" s="70"/>
      <c r="R221" s="191">
        <v>8513.52</v>
      </c>
    </row>
    <row r="222" spans="1:19" ht="24" hidden="1" x14ac:dyDescent="0.3">
      <c r="A222" s="157">
        <v>8911505</v>
      </c>
      <c r="B222" s="108">
        <v>42461</v>
      </c>
      <c r="C222" s="106">
        <f>SUMIF(TableauFA1[N° remise chèque 1],'remises de cheques'!$A222,TableauFA1[Montant chèque 1])</f>
        <v>0</v>
      </c>
      <c r="D222" s="106">
        <f>SUMIF(TableauFA1[N° remise chèque 2],'remises de cheques'!$A222,TableauFA1[Montant chèque 2])</f>
        <v>0</v>
      </c>
      <c r="E222" s="106">
        <f>SUMIF(TableauFA1[N° remise chèque 3],'remises de cheques'!$A222,TableauFA1[Montant chèque 3])</f>
        <v>0</v>
      </c>
      <c r="F222" s="106">
        <f>SUMIF(TableauFA2[N° remise chèque 1],'remises de cheques'!$A222,TableauFA2[Montant chèque 1])</f>
        <v>0</v>
      </c>
      <c r="G222" s="106">
        <f>SUMIF(TableauFA2[N° remise chèque 2],'remises de cheques'!$A222,TableauFA2[Montant chèque 2])</f>
        <v>0</v>
      </c>
      <c r="H222" s="106">
        <f>SUMIF(TableauFA2[N° remise chèque 3],'remises de cheques'!$A222,TableauFA2[Montant chèque 3])</f>
        <v>0</v>
      </c>
      <c r="I222" s="106">
        <f>SUMIF(TableauFfinale[N° remise chèque 1],'remises de cheques'!$A222,TableauFfinale[Montant chèque 1])</f>
        <v>0</v>
      </c>
      <c r="J222" s="106">
        <f>SUMIF(TableauFfinale[N° remise chèque 2],'remises de cheques'!$A222,TableauFfinale[Montant chèque 2])</f>
        <v>0</v>
      </c>
      <c r="K222" s="106">
        <f>SUMIF(TableauFfinale[N° remise chèque 3],'remises de cheques'!$A222,TableauFfinale[Montant chèque 3])</f>
        <v>0</v>
      </c>
      <c r="L222" s="107">
        <f t="shared" si="26"/>
        <v>0</v>
      </c>
      <c r="N222" s="132" t="s">
        <v>332</v>
      </c>
      <c r="O222" s="132" t="s">
        <v>332</v>
      </c>
      <c r="P222" s="133" t="s">
        <v>333</v>
      </c>
      <c r="Q222" s="70"/>
      <c r="R222" s="191">
        <v>1251.5999999999999</v>
      </c>
    </row>
    <row r="223" spans="1:19" ht="24" hidden="1" x14ac:dyDescent="0.3">
      <c r="A223" s="157">
        <v>8911506</v>
      </c>
      <c r="B223" s="108">
        <v>42508</v>
      </c>
      <c r="C223" s="106">
        <f>SUMIF(TableauFA1[N° remise chèque 1],'remises de cheques'!$A223,TableauFA1[Montant chèque 1])</f>
        <v>0</v>
      </c>
      <c r="D223" s="106">
        <f>SUMIF(TableauFA1[N° remise chèque 2],'remises de cheques'!$A223,TableauFA1[Montant chèque 2])</f>
        <v>0</v>
      </c>
      <c r="E223" s="106">
        <f>SUMIF(TableauFA1[N° remise chèque 3],'remises de cheques'!$A223,TableauFA1[Montant chèque 3])</f>
        <v>0</v>
      </c>
      <c r="F223" s="106">
        <f>SUMIF(TableauFA2[N° remise chèque 1],'remises de cheques'!$A223,TableauFA2[Montant chèque 1])</f>
        <v>0</v>
      </c>
      <c r="G223" s="106">
        <f>SUMIF(TableauFA2[N° remise chèque 2],'remises de cheques'!$A223,TableauFA2[Montant chèque 2])</f>
        <v>0</v>
      </c>
      <c r="H223" s="106">
        <f>SUMIF(TableauFA2[N° remise chèque 3],'remises de cheques'!$A223,TableauFA2[Montant chèque 3])</f>
        <v>0</v>
      </c>
      <c r="I223" s="106">
        <f>SUMIF(TableauFfinale[N° remise chèque 1],'remises de cheques'!$A223,TableauFfinale[Montant chèque 1])</f>
        <v>1062.9100000000001</v>
      </c>
      <c r="J223" s="106">
        <f>SUMIF(TableauFfinale[N° remise chèque 2],'remises de cheques'!$A223,TableauFfinale[Montant chèque 2])</f>
        <v>0</v>
      </c>
      <c r="K223" s="106">
        <f>SUMIF(TableauFfinale[N° remise chèque 3],'remises de cheques'!$A223,TableauFfinale[Montant chèque 3])</f>
        <v>0</v>
      </c>
      <c r="L223" s="107">
        <f t="shared" ref="L223:L251" si="27">SUM(C223:K223)</f>
        <v>1062.9100000000001</v>
      </c>
      <c r="N223" s="132" t="s">
        <v>377</v>
      </c>
      <c r="O223" s="132" t="s">
        <v>377</v>
      </c>
      <c r="P223" s="133" t="s">
        <v>382</v>
      </c>
      <c r="Q223" s="70"/>
      <c r="R223" s="191">
        <v>1562.91</v>
      </c>
    </row>
    <row r="224" spans="1:19" ht="69" hidden="1" x14ac:dyDescent="0.3">
      <c r="A224" s="140" t="s">
        <v>331</v>
      </c>
      <c r="B224" s="108">
        <v>42478</v>
      </c>
      <c r="C224" s="106">
        <f>SUMIF(TableauFA1[N° remise chèque 1],'remises de cheques'!$A224,TableauFA1[Montant chèque 1])</f>
        <v>0</v>
      </c>
      <c r="D224" s="106">
        <f>SUMIF(TableauFA1[N° remise chèque 2],'remises de cheques'!$A224,TableauFA1[Montant chèque 2])</f>
        <v>0</v>
      </c>
      <c r="E224" s="106">
        <f>SUMIF(TableauFA1[N° remise chèque 3],'remises de cheques'!$A224,TableauFA1[Montant chèque 3])</f>
        <v>0</v>
      </c>
      <c r="F224" s="106">
        <f>SUMIF(TableauFA2[N° remise chèque 1],'remises de cheques'!$A224,TableauFA2[Montant chèque 1])</f>
        <v>0</v>
      </c>
      <c r="G224" s="106">
        <f>SUMIF(TableauFA2[N° remise chèque 2],'remises de cheques'!$A224,TableauFA2[Montant chèque 2])</f>
        <v>0</v>
      </c>
      <c r="H224" s="106">
        <f>SUMIF(TableauFA2[N° remise chèque 3],'remises de cheques'!$A224,TableauFA2[Montant chèque 3])</f>
        <v>0</v>
      </c>
      <c r="I224" s="106">
        <f>SUMIF(TableauFfinale[N° remise chèque 1],'remises de cheques'!$A224,TableauFfinale[Montant chèque 1])</f>
        <v>0</v>
      </c>
      <c r="J224" s="106">
        <f>SUMIF(TableauFfinale[N° remise chèque 2],'remises de cheques'!$A224,TableauFfinale[Montant chèque 2])</f>
        <v>0</v>
      </c>
      <c r="K224" s="106">
        <f>SUMIF(TableauFfinale[N° remise chèque 3],'remises de cheques'!$A224,TableauFfinale[Montant chèque 3])</f>
        <v>0</v>
      </c>
      <c r="L224" s="107">
        <f t="shared" si="27"/>
        <v>0</v>
      </c>
      <c r="N224" s="132" t="s">
        <v>356</v>
      </c>
      <c r="O224" s="132" t="s">
        <v>356</v>
      </c>
      <c r="P224" s="133" t="s">
        <v>357</v>
      </c>
      <c r="Q224" s="70"/>
      <c r="R224" s="191">
        <v>823.2</v>
      </c>
    </row>
    <row r="225" spans="1:19" ht="33" hidden="1" x14ac:dyDescent="0.3">
      <c r="A225" s="140" t="s">
        <v>339</v>
      </c>
      <c r="B225" s="108"/>
      <c r="C225" s="106">
        <f>SUMIF(TableauFA1[N° remise chèque 1],'remises de cheques'!$A225,TableauFA1[Montant chèque 1])</f>
        <v>0</v>
      </c>
      <c r="D225" s="106">
        <f>SUMIF(TableauFA1[N° remise chèque 2],'remises de cheques'!$A225,TableauFA1[Montant chèque 2])</f>
        <v>0</v>
      </c>
      <c r="E225" s="106">
        <f>SUMIF(TableauFA1[N° remise chèque 3],'remises de cheques'!$A225,TableauFA1[Montant chèque 3])</f>
        <v>0</v>
      </c>
      <c r="F225" s="106">
        <f>SUMIF(TableauFA2[N° remise chèque 1],'remises de cheques'!$A225,TableauFA2[Montant chèque 1])</f>
        <v>0</v>
      </c>
      <c r="G225" s="106">
        <f>SUMIF(TableauFA2[N° remise chèque 2],'remises de cheques'!$A225,TableauFA2[Montant chèque 2])</f>
        <v>0</v>
      </c>
      <c r="H225" s="106">
        <f>SUMIF(TableauFA2[N° remise chèque 3],'remises de cheques'!$A225,TableauFA2[Montant chèque 3])</f>
        <v>0</v>
      </c>
      <c r="I225" s="106">
        <f>SUMIF(TableauFfinale[N° remise chèque 1],'remises de cheques'!$A225,TableauFfinale[Montant chèque 1])</f>
        <v>0</v>
      </c>
      <c r="J225" s="106">
        <f>SUMIF(TableauFfinale[N° remise chèque 2],'remises de cheques'!$A225,TableauFfinale[Montant chèque 2])</f>
        <v>0</v>
      </c>
      <c r="K225" s="106">
        <f>SUMIF(TableauFfinale[N° remise chèque 3],'remises de cheques'!$A225,TableauFfinale[Montant chèque 3])</f>
        <v>0</v>
      </c>
      <c r="L225" s="107">
        <f t="shared" si="27"/>
        <v>0</v>
      </c>
    </row>
    <row r="226" spans="1:19" ht="33" hidden="1" x14ac:dyDescent="0.3">
      <c r="A226" s="140" t="s">
        <v>340</v>
      </c>
      <c r="B226" s="108"/>
      <c r="C226" s="106">
        <f>SUMIF(TableauFA1[N° remise chèque 1],'remises de cheques'!$A226,TableauFA1[Montant chèque 1])</f>
        <v>0</v>
      </c>
      <c r="D226" s="106">
        <f>SUMIF(TableauFA1[N° remise chèque 2],'remises de cheques'!$A226,TableauFA1[Montant chèque 2])</f>
        <v>0</v>
      </c>
      <c r="E226" s="106">
        <f>SUMIF(TableauFA1[N° remise chèque 3],'remises de cheques'!$A226,TableauFA1[Montant chèque 3])</f>
        <v>0</v>
      </c>
      <c r="F226" s="106">
        <f>SUMIF(TableauFA2[N° remise chèque 1],'remises de cheques'!$A226,TableauFA2[Montant chèque 1])</f>
        <v>0</v>
      </c>
      <c r="G226" s="106">
        <f>SUMIF(TableauFA2[N° remise chèque 2],'remises de cheques'!$A226,TableauFA2[Montant chèque 2])</f>
        <v>0</v>
      </c>
      <c r="H226" s="106">
        <f>SUMIF(TableauFA2[N° remise chèque 3],'remises de cheques'!$A226,TableauFA2[Montant chèque 3])</f>
        <v>0</v>
      </c>
      <c r="I226" s="106">
        <f>SUMIF(TableauFfinale[N° remise chèque 1],'remises de cheques'!$A226,TableauFfinale[Montant chèque 1])</f>
        <v>0</v>
      </c>
      <c r="J226" s="106">
        <f>SUMIF(TableauFfinale[N° remise chèque 2],'remises de cheques'!$A226,TableauFfinale[Montant chèque 2])</f>
        <v>0</v>
      </c>
      <c r="K226" s="106">
        <f>SUMIF(TableauFfinale[N° remise chèque 3],'remises de cheques'!$A226,TableauFfinale[Montant chèque 3])</f>
        <v>0</v>
      </c>
      <c r="L226" s="107">
        <f t="shared" si="27"/>
        <v>0</v>
      </c>
      <c r="Q226" s="159"/>
      <c r="R226" s="183"/>
    </row>
    <row r="227" spans="1:19" ht="102.75" hidden="1" x14ac:dyDescent="0.3">
      <c r="A227" s="140" t="s">
        <v>341</v>
      </c>
      <c r="B227" s="108">
        <v>42466</v>
      </c>
      <c r="C227" s="106">
        <f>SUMIF(TableauFA1[N° remise chèque 1],'remises de cheques'!$A227,TableauFA1[Montant chèque 1])</f>
        <v>0</v>
      </c>
      <c r="D227" s="106">
        <f>SUMIF(TableauFA1[N° remise chèque 2],'remises de cheques'!$A227,TableauFA1[Montant chèque 2])</f>
        <v>0</v>
      </c>
      <c r="E227" s="106">
        <f>SUMIF(TableauFA1[N° remise chèque 3],'remises de cheques'!$A227,TableauFA1[Montant chèque 3])</f>
        <v>0</v>
      </c>
      <c r="F227" s="106">
        <f>SUMIF(TableauFA2[N° remise chèque 1],'remises de cheques'!$A227,TableauFA2[Montant chèque 1])</f>
        <v>37139.339999999997</v>
      </c>
      <c r="G227" s="106">
        <f>SUMIF(TableauFA2[N° remise chèque 2],'remises de cheques'!$A227,TableauFA2[Montant chèque 2])</f>
        <v>0</v>
      </c>
      <c r="H227" s="106">
        <f>SUMIF(TableauFA2[N° remise chèque 3],'remises de cheques'!$A227,TableauFA2[Montant chèque 3])</f>
        <v>0</v>
      </c>
      <c r="I227" s="106">
        <f>SUMIF(TableauFfinale[N° remise chèque 1],'remises de cheques'!$A227,TableauFfinale[Montant chèque 1])</f>
        <v>3882.1000000000004</v>
      </c>
      <c r="J227" s="106">
        <f>SUMIF(TableauFfinale[N° remise chèque 2],'remises de cheques'!$A227,TableauFfinale[Montant chèque 2])</f>
        <v>0</v>
      </c>
      <c r="K227" s="106">
        <f>SUMIF(TableauFfinale[N° remise chèque 3],'remises de cheques'!$A227,TableauFfinale[Montant chèque 3])</f>
        <v>0</v>
      </c>
      <c r="L227" s="107">
        <f t="shared" ref="L227" si="28">SUM(C227:K227)</f>
        <v>41021.439999999995</v>
      </c>
      <c r="N227" s="132" t="s">
        <v>342</v>
      </c>
      <c r="O227" s="132" t="s">
        <v>342</v>
      </c>
      <c r="P227" s="133" t="s">
        <v>343</v>
      </c>
      <c r="Q227" s="70"/>
      <c r="R227" s="191">
        <v>47944.78</v>
      </c>
    </row>
    <row r="228" spans="1:19" hidden="1" x14ac:dyDescent="0.3">
      <c r="A228" s="157">
        <v>8911507</v>
      </c>
      <c r="B228" s="108"/>
      <c r="C228" s="106">
        <f>SUMIF(TableauFA1[N° remise chèque 1],'remises de cheques'!$A228,TableauFA1[Montant chèque 1])</f>
        <v>0</v>
      </c>
      <c r="D228" s="106">
        <f>SUMIF(TableauFA1[N° remise chèque 2],'remises de cheques'!$A228,TableauFA1[Montant chèque 2])</f>
        <v>0</v>
      </c>
      <c r="E228" s="106">
        <f>SUMIF(TableauFA1[N° remise chèque 3],'remises de cheques'!$A228,TableauFA1[Montant chèque 3])</f>
        <v>0</v>
      </c>
      <c r="F228" s="106">
        <f>SUMIF(TableauFA2[N° remise chèque 1],'remises de cheques'!$A228,TableauFA2[Montant chèque 1])</f>
        <v>0</v>
      </c>
      <c r="G228" s="106">
        <f>SUMIF(TableauFA2[N° remise chèque 2],'remises de cheques'!$A228,TableauFA2[Montant chèque 2])</f>
        <v>0</v>
      </c>
      <c r="H228" s="106">
        <f>SUMIF(TableauFA2[N° remise chèque 3],'remises de cheques'!$A228,TableauFA2[Montant chèque 3])</f>
        <v>0</v>
      </c>
      <c r="I228" s="106">
        <f>SUMIF(TableauFfinale[N° remise chèque 1],'remises de cheques'!$A228,TableauFfinale[Montant chèque 1])</f>
        <v>0</v>
      </c>
      <c r="J228" s="106">
        <f>SUMIF(TableauFfinale[N° remise chèque 2],'remises de cheques'!$A228,TableauFfinale[Montant chèque 2])</f>
        <v>0</v>
      </c>
      <c r="K228" s="106">
        <f>SUMIF(TableauFfinale[N° remise chèque 3],'remises de cheques'!$A228,TableauFfinale[Montant chèque 3])</f>
        <v>0</v>
      </c>
      <c r="L228" s="107">
        <f t="shared" si="27"/>
        <v>0</v>
      </c>
    </row>
    <row r="229" spans="1:19" ht="24" hidden="1" x14ac:dyDescent="0.3">
      <c r="A229" s="157">
        <v>8911508</v>
      </c>
      <c r="B229" s="108">
        <v>42508</v>
      </c>
      <c r="C229" s="106">
        <f>SUMIF(TableauFA1[N° remise chèque 1],'remises de cheques'!$A229,TableauFA1[Montant chèque 1])</f>
        <v>0</v>
      </c>
      <c r="D229" s="106">
        <f>SUMIF(TableauFA1[N° remise chèque 2],'remises de cheques'!$A229,TableauFA1[Montant chèque 2])</f>
        <v>0</v>
      </c>
      <c r="E229" s="106">
        <f>SUMIF(TableauFA1[N° remise chèque 3],'remises de cheques'!$A229,TableauFA1[Montant chèque 3])</f>
        <v>0</v>
      </c>
      <c r="F229" s="106">
        <f>SUMIF(TableauFA2[N° remise chèque 1],'remises de cheques'!$A229,TableauFA2[Montant chèque 1])</f>
        <v>0</v>
      </c>
      <c r="G229" s="106">
        <f>SUMIF(TableauFA2[N° remise chèque 2],'remises de cheques'!$A229,TableauFA2[Montant chèque 2])</f>
        <v>0</v>
      </c>
      <c r="H229" s="106">
        <f>SUMIF(TableauFA2[N° remise chèque 3],'remises de cheques'!$A229,TableauFA2[Montant chèque 3])</f>
        <v>0</v>
      </c>
      <c r="I229" s="106">
        <f>SUMIF(TableauFfinale[N° remise chèque 1],'remises de cheques'!$A229,TableauFfinale[Montant chèque 1])</f>
        <v>0</v>
      </c>
      <c r="J229" s="106">
        <f>SUMIF(TableauFfinale[N° remise chèque 2],'remises de cheques'!$A229,TableauFfinale[Montant chèque 2])</f>
        <v>0</v>
      </c>
      <c r="K229" s="106">
        <f>SUMIF(TableauFfinale[N° remise chèque 3],'remises de cheques'!$A229,TableauFfinale[Montant chèque 3])</f>
        <v>0</v>
      </c>
      <c r="L229" s="107">
        <f t="shared" si="27"/>
        <v>0</v>
      </c>
      <c r="N229" s="132" t="s">
        <v>377</v>
      </c>
      <c r="O229" s="132" t="s">
        <v>377</v>
      </c>
      <c r="P229" s="133" t="s">
        <v>380</v>
      </c>
      <c r="Q229" s="70"/>
      <c r="R229" s="191">
        <v>367.71</v>
      </c>
      <c r="S229" s="97" t="s">
        <v>381</v>
      </c>
    </row>
    <row r="230" spans="1:19" ht="69" hidden="1" x14ac:dyDescent="0.3">
      <c r="A230" s="140" t="s">
        <v>346</v>
      </c>
      <c r="B230" s="108">
        <v>42486</v>
      </c>
      <c r="C230" s="106">
        <f>SUMIF(TableauFA1[N° remise chèque 1],'remises de cheques'!$A230,TableauFA1[Montant chèque 1])</f>
        <v>0</v>
      </c>
      <c r="D230" s="106">
        <f>SUMIF(TableauFA1[N° remise chèque 2],'remises de cheques'!$A230,TableauFA1[Montant chèque 2])</f>
        <v>0</v>
      </c>
      <c r="E230" s="106">
        <f>SUMIF(TableauFA1[N° remise chèque 3],'remises de cheques'!$A230,TableauFA1[Montant chèque 3])</f>
        <v>0</v>
      </c>
      <c r="F230" s="106">
        <f>SUMIF(TableauFA2[N° remise chèque 1],'remises de cheques'!$A230,TableauFA2[Montant chèque 1])</f>
        <v>0</v>
      </c>
      <c r="G230" s="106">
        <f>SUMIF(TableauFA2[N° remise chèque 2],'remises de cheques'!$A230,TableauFA2[Montant chèque 2])</f>
        <v>0</v>
      </c>
      <c r="H230" s="106">
        <f>SUMIF(TableauFA2[N° remise chèque 3],'remises de cheques'!$A230,TableauFA2[Montant chèque 3])</f>
        <v>0</v>
      </c>
      <c r="I230" s="106">
        <f>SUMIF(TableauFfinale[N° remise chèque 1],'remises de cheques'!$A230,TableauFfinale[Montant chèque 1])</f>
        <v>1338.16</v>
      </c>
      <c r="J230" s="106">
        <f>SUMIF(TableauFfinale[N° remise chèque 2],'remises de cheques'!$A230,TableauFfinale[Montant chèque 2])</f>
        <v>0</v>
      </c>
      <c r="K230" s="106">
        <f>SUMIF(TableauFfinale[N° remise chèque 3],'remises de cheques'!$A230,TableauFfinale[Montant chèque 3])</f>
        <v>0</v>
      </c>
      <c r="L230" s="107">
        <f t="shared" si="27"/>
        <v>1338.16</v>
      </c>
      <c r="N230" s="132" t="s">
        <v>353</v>
      </c>
      <c r="O230" s="132" t="s">
        <v>353</v>
      </c>
      <c r="P230" s="133" t="s">
        <v>355</v>
      </c>
      <c r="Q230" s="70"/>
      <c r="R230" s="191">
        <v>1338.16</v>
      </c>
    </row>
    <row r="231" spans="1:19" ht="69" hidden="1" x14ac:dyDescent="0.3">
      <c r="A231" s="140" t="s">
        <v>347</v>
      </c>
      <c r="B231" s="108">
        <v>42486</v>
      </c>
      <c r="C231" s="106">
        <f>SUMIF(TableauFA1[N° remise chèque 1],'remises de cheques'!$A231,TableauFA1[Montant chèque 1])</f>
        <v>0</v>
      </c>
      <c r="D231" s="106">
        <f>SUMIF(TableauFA1[N° remise chèque 2],'remises de cheques'!$A231,TableauFA1[Montant chèque 2])</f>
        <v>0</v>
      </c>
      <c r="E231" s="106">
        <f>SUMIF(TableauFA1[N° remise chèque 3],'remises de cheques'!$A231,TableauFA1[Montant chèque 3])</f>
        <v>0</v>
      </c>
      <c r="F231" s="106">
        <f>SUMIF(TableauFA2[N° remise chèque 1],'remises de cheques'!$A231,TableauFA2[Montant chèque 1])</f>
        <v>0</v>
      </c>
      <c r="G231" s="106">
        <f>SUMIF(TableauFA2[N° remise chèque 2],'remises de cheques'!$A231,TableauFA2[Montant chèque 2])</f>
        <v>0</v>
      </c>
      <c r="H231" s="106">
        <f>SUMIF(TableauFA2[N° remise chèque 3],'remises de cheques'!$A231,TableauFA2[Montant chèque 3])</f>
        <v>0</v>
      </c>
      <c r="I231" s="106">
        <f>SUMIF(TableauFfinale[N° remise chèque 1],'remises de cheques'!$A231,TableauFfinale[Montant chèque 1])</f>
        <v>2163.13</v>
      </c>
      <c r="J231" s="106">
        <f>SUMIF(TableauFfinale[N° remise chèque 2],'remises de cheques'!$A231,TableauFfinale[Montant chèque 2])</f>
        <v>0</v>
      </c>
      <c r="K231" s="106">
        <f>SUMIF(TableauFfinale[N° remise chèque 3],'remises de cheques'!$A231,TableauFfinale[Montant chèque 3])</f>
        <v>0</v>
      </c>
      <c r="L231" s="107">
        <f t="shared" ref="L231:L232" si="29">SUM(C231:K231)</f>
        <v>2163.13</v>
      </c>
      <c r="N231" s="132" t="s">
        <v>353</v>
      </c>
      <c r="O231" s="132" t="s">
        <v>353</v>
      </c>
      <c r="P231" s="133" t="s">
        <v>354</v>
      </c>
      <c r="Q231" s="70"/>
      <c r="R231" s="191">
        <v>2163.13</v>
      </c>
    </row>
    <row r="232" spans="1:19" ht="24" hidden="1" x14ac:dyDescent="0.3">
      <c r="A232" s="140" t="s">
        <v>348</v>
      </c>
      <c r="B232" s="108">
        <v>42496</v>
      </c>
      <c r="C232" s="106">
        <f>SUMIF(TableauFA1[N° remise chèque 1],'remises de cheques'!$A232,TableauFA1[Montant chèque 1])</f>
        <v>0</v>
      </c>
      <c r="D232" s="106">
        <f>SUMIF(TableauFA1[N° remise chèque 2],'remises de cheques'!$A232,TableauFA1[Montant chèque 2])</f>
        <v>0</v>
      </c>
      <c r="E232" s="106">
        <f>SUMIF(TableauFA1[N° remise chèque 3],'remises de cheques'!$A232,TableauFA1[Montant chèque 3])</f>
        <v>0</v>
      </c>
      <c r="F232" s="106">
        <f>SUMIF(TableauFA2[N° remise chèque 1],'remises de cheques'!$A232,TableauFA2[Montant chèque 1])</f>
        <v>0</v>
      </c>
      <c r="G232" s="106">
        <f>SUMIF(TableauFA2[N° remise chèque 2],'remises de cheques'!$A232,TableauFA2[Montant chèque 2])</f>
        <v>0</v>
      </c>
      <c r="H232" s="106">
        <f>SUMIF(TableauFA2[N° remise chèque 3],'remises de cheques'!$A232,TableauFA2[Montant chèque 3])</f>
        <v>0</v>
      </c>
      <c r="I232" s="106">
        <f>SUMIF(TableauFfinale[N° remise chèque 1],'remises de cheques'!$A232,TableauFfinale[Montant chèque 1])</f>
        <v>0</v>
      </c>
      <c r="J232" s="106">
        <f>SUMIF(TableauFfinale[N° remise chèque 2],'remises de cheques'!$A232,TableauFfinale[Montant chèque 2])</f>
        <v>0</v>
      </c>
      <c r="K232" s="106">
        <f>SUMIF(TableauFfinale[N° remise chèque 3],'remises de cheques'!$A232,TableauFfinale[Montant chèque 3])</f>
        <v>0</v>
      </c>
      <c r="L232" s="107">
        <f t="shared" si="29"/>
        <v>0</v>
      </c>
      <c r="N232" s="230" t="s">
        <v>383</v>
      </c>
      <c r="O232" s="230" t="s">
        <v>383</v>
      </c>
      <c r="P232" s="231" t="s">
        <v>384</v>
      </c>
      <c r="Q232" s="232">
        <v>500</v>
      </c>
      <c r="R232" s="191"/>
    </row>
    <row r="233" spans="1:19" ht="57.75" hidden="1" x14ac:dyDescent="0.3">
      <c r="A233" s="140" t="s">
        <v>351</v>
      </c>
      <c r="B233" s="108">
        <v>42489</v>
      </c>
      <c r="C233" s="106">
        <f>SUMIF(TableauFA1[N° remise chèque 1],'remises de cheques'!$A233,TableauFA1[Montant chèque 1])</f>
        <v>0</v>
      </c>
      <c r="D233" s="106">
        <f>SUMIF(TableauFA1[N° remise chèque 2],'remises de cheques'!$A233,TableauFA1[Montant chèque 2])</f>
        <v>0</v>
      </c>
      <c r="E233" s="106">
        <f>SUMIF(TableauFA1[N° remise chèque 3],'remises de cheques'!$A233,TableauFA1[Montant chèque 3])</f>
        <v>0</v>
      </c>
      <c r="F233" s="106">
        <f>SUMIF(TableauFA2[N° remise chèque 1],'remises de cheques'!$A233,TableauFA2[Montant chèque 1])</f>
        <v>0</v>
      </c>
      <c r="G233" s="106">
        <f>SUMIF(TableauFA2[N° remise chèque 2],'remises de cheques'!$A233,TableauFA2[Montant chèque 2])</f>
        <v>0</v>
      </c>
      <c r="H233" s="106">
        <f>SUMIF(TableauFA2[N° remise chèque 3],'remises de cheques'!$A233,TableauFA2[Montant chèque 3])</f>
        <v>0</v>
      </c>
      <c r="I233" s="106">
        <f>SUMIF(TableauFfinale[N° remise chèque 1],'remises de cheques'!$A233,TableauFfinale[Montant chèque 1])</f>
        <v>0</v>
      </c>
      <c r="J233" s="106">
        <f>SUMIF(TableauFfinale[N° remise chèque 2],'remises de cheques'!$A233,TableauFfinale[Montant chèque 2])</f>
        <v>0</v>
      </c>
      <c r="K233" s="106">
        <f>SUMIF(TableauFfinale[N° remise chèque 3],'remises de cheques'!$A233,TableauFfinale[Montant chèque 3])</f>
        <v>0</v>
      </c>
      <c r="L233" s="107">
        <f t="shared" ref="L233" si="30">SUM(C233:K233)</f>
        <v>0</v>
      </c>
      <c r="N233" s="132" t="s">
        <v>352</v>
      </c>
      <c r="O233" s="132" t="s">
        <v>352</v>
      </c>
      <c r="P233" s="133" t="s">
        <v>139</v>
      </c>
      <c r="Q233" s="70"/>
      <c r="R233" s="191">
        <v>86.4</v>
      </c>
    </row>
    <row r="234" spans="1:19" ht="114" hidden="1" x14ac:dyDescent="0.3">
      <c r="A234" s="140" t="s">
        <v>363</v>
      </c>
      <c r="B234" s="108">
        <v>42510</v>
      </c>
      <c r="C234" s="106">
        <f>SUMIF(TableauFA1[N° remise chèque 1],'remises de cheques'!$A234,TableauFA1[Montant chèque 1])</f>
        <v>0</v>
      </c>
      <c r="D234" s="106">
        <f>SUMIF(TableauFA1[N° remise chèque 2],'remises de cheques'!$A234,TableauFA1[Montant chèque 2])</f>
        <v>0</v>
      </c>
      <c r="E234" s="106">
        <f>SUMIF(TableauFA1[N° remise chèque 3],'remises de cheques'!$A234,TableauFA1[Montant chèque 3])</f>
        <v>0</v>
      </c>
      <c r="F234" s="106">
        <f>SUMIF(TableauFA2[N° remise chèque 1],'remises de cheques'!$A234,TableauFA2[Montant chèque 1])</f>
        <v>0</v>
      </c>
      <c r="G234" s="106">
        <f>SUMIF(TableauFA2[N° remise chèque 2],'remises de cheques'!$A234,TableauFA2[Montant chèque 2])</f>
        <v>0</v>
      </c>
      <c r="H234" s="106">
        <f>SUMIF(TableauFA2[N° remise chèque 3],'remises de cheques'!$A234,TableauFA2[Montant chèque 3])</f>
        <v>0</v>
      </c>
      <c r="I234" s="106">
        <f>SUMIF(TableauFfinale[N° remise chèque 1],'remises de cheques'!$A234,TableauFfinale[Montant chèque 1])</f>
        <v>1500</v>
      </c>
      <c r="J234" s="106">
        <f>SUMIF(TableauFfinale[N° remise chèque 2],'remises de cheques'!$A234,TableauFfinale[Montant chèque 2])</f>
        <v>0</v>
      </c>
      <c r="K234" s="106">
        <f>SUMIF(TableauFfinale[N° remise chèque 3],'remises de cheques'!$A234,TableauFfinale[Montant chèque 3])</f>
        <v>0</v>
      </c>
      <c r="L234" s="107">
        <f t="shared" ref="L234" si="31">SUM(C234:K234)</f>
        <v>1500</v>
      </c>
      <c r="N234" s="132" t="s">
        <v>373</v>
      </c>
      <c r="O234" s="132" t="s">
        <v>373</v>
      </c>
      <c r="P234" s="133" t="s">
        <v>374</v>
      </c>
      <c r="Q234" s="70"/>
      <c r="R234" s="191">
        <v>1500</v>
      </c>
    </row>
    <row r="235" spans="1:19" ht="24" hidden="1" x14ac:dyDescent="0.3">
      <c r="A235" s="157">
        <v>8911509</v>
      </c>
      <c r="B235" s="108">
        <v>42508</v>
      </c>
      <c r="C235" s="106">
        <f>SUMIF(TableauFA1[N° remise chèque 1],'remises de cheques'!$A235,TableauFA1[Montant chèque 1])</f>
        <v>0</v>
      </c>
      <c r="D235" s="106">
        <f>SUMIF(TableauFA1[N° remise chèque 2],'remises de cheques'!$A235,TableauFA1[Montant chèque 2])</f>
        <v>0</v>
      </c>
      <c r="E235" s="106">
        <f>SUMIF(TableauFA1[N° remise chèque 3],'remises de cheques'!$A235,TableauFA1[Montant chèque 3])</f>
        <v>0</v>
      </c>
      <c r="F235" s="106">
        <f>SUMIF(TableauFA2[N° remise chèque 1],'remises de cheques'!$A235,TableauFA2[Montant chèque 1])</f>
        <v>0</v>
      </c>
      <c r="G235" s="106">
        <f>SUMIF(TableauFA2[N° remise chèque 2],'remises de cheques'!$A235,TableauFA2[Montant chèque 2])</f>
        <v>0</v>
      </c>
      <c r="H235" s="106">
        <f>SUMIF(TableauFA2[N° remise chèque 3],'remises de cheques'!$A235,TableauFA2[Montant chèque 3])</f>
        <v>0</v>
      </c>
      <c r="I235" s="106">
        <f>SUMIF(TableauFfinale[N° remise chèque 1],'remises de cheques'!$A235,TableauFfinale[Montant chèque 1])</f>
        <v>0</v>
      </c>
      <c r="J235" s="106">
        <f>SUMIF(TableauFfinale[N° remise chèque 2],'remises de cheques'!$A235,TableauFfinale[Montant chèque 2])</f>
        <v>0</v>
      </c>
      <c r="K235" s="106">
        <f>SUMIF(TableauFfinale[N° remise chèque 3],'remises de cheques'!$A235,TableauFfinale[Montant chèque 3])</f>
        <v>0</v>
      </c>
      <c r="L235" s="107">
        <f t="shared" si="27"/>
        <v>0</v>
      </c>
      <c r="N235" s="132" t="s">
        <v>377</v>
      </c>
      <c r="O235" s="132" t="s">
        <v>377</v>
      </c>
      <c r="P235" s="133" t="s">
        <v>378</v>
      </c>
      <c r="Q235" s="70"/>
      <c r="R235" s="191">
        <v>75</v>
      </c>
      <c r="S235" s="97" t="s">
        <v>379</v>
      </c>
    </row>
    <row r="236" spans="1:19" ht="24" hidden="1" x14ac:dyDescent="0.3">
      <c r="A236" s="157">
        <v>8911510</v>
      </c>
      <c r="B236" s="108">
        <v>42508</v>
      </c>
      <c r="C236" s="106">
        <f>SUMIF(TableauFA1[N° remise chèque 1],'remises de cheques'!$A236,TableauFA1[Montant chèque 1])</f>
        <v>0</v>
      </c>
      <c r="D236" s="106">
        <f>SUMIF(TableauFA1[N° remise chèque 2],'remises de cheques'!$A236,TableauFA1[Montant chèque 2])</f>
        <v>0</v>
      </c>
      <c r="E236" s="106">
        <f>SUMIF(TableauFA1[N° remise chèque 3],'remises de cheques'!$A236,TableauFA1[Montant chèque 3])</f>
        <v>0</v>
      </c>
      <c r="F236" s="106">
        <f>SUMIF(TableauFA2[N° remise chèque 1],'remises de cheques'!$A236,TableauFA2[Montant chèque 1])</f>
        <v>0</v>
      </c>
      <c r="G236" s="106">
        <f>SUMIF(TableauFA2[N° remise chèque 2],'remises de cheques'!$A236,TableauFA2[Montant chèque 2])</f>
        <v>0</v>
      </c>
      <c r="H236" s="106">
        <f>SUMIF(TableauFA2[N° remise chèque 3],'remises de cheques'!$A236,TableauFA2[Montant chèque 3])</f>
        <v>0</v>
      </c>
      <c r="I236" s="106">
        <f>SUMIF(TableauFfinale[N° remise chèque 1],'remises de cheques'!$A236,TableauFfinale[Montant chèque 1])</f>
        <v>1987.1399999999999</v>
      </c>
      <c r="J236" s="106">
        <f>SUMIF(TableauFfinale[N° remise chèque 2],'remises de cheques'!$A236,TableauFfinale[Montant chèque 2])</f>
        <v>0</v>
      </c>
      <c r="K236" s="106">
        <f>SUMIF(TableauFfinale[N° remise chèque 3],'remises de cheques'!$A236,TableauFfinale[Montant chèque 3])</f>
        <v>0</v>
      </c>
      <c r="L236" s="107">
        <f t="shared" si="27"/>
        <v>1987.1399999999999</v>
      </c>
      <c r="N236" s="132" t="s">
        <v>377</v>
      </c>
      <c r="O236" s="132" t="s">
        <v>377</v>
      </c>
      <c r="P236" s="133" t="s">
        <v>387</v>
      </c>
      <c r="Q236" s="70"/>
      <c r="R236" s="191">
        <v>3838.48</v>
      </c>
    </row>
    <row r="237" spans="1:19" ht="24" hidden="1" x14ac:dyDescent="0.3">
      <c r="A237" s="157">
        <v>8911511</v>
      </c>
      <c r="B237" s="108">
        <v>42508</v>
      </c>
      <c r="C237" s="106">
        <f>SUMIF(TableauFA1[N° remise chèque 1],'remises de cheques'!$A237,TableauFA1[Montant chèque 1])</f>
        <v>0</v>
      </c>
      <c r="D237" s="106">
        <f>SUMIF(TableauFA1[N° remise chèque 2],'remises de cheques'!$A237,TableauFA1[Montant chèque 2])</f>
        <v>0</v>
      </c>
      <c r="E237" s="106">
        <f>SUMIF(TableauFA1[N° remise chèque 3],'remises de cheques'!$A237,TableauFA1[Montant chèque 3])</f>
        <v>0</v>
      </c>
      <c r="F237" s="106">
        <f>SUMIF(TableauFA2[N° remise chèque 1],'remises de cheques'!$A237,TableauFA2[Montant chèque 1])</f>
        <v>0</v>
      </c>
      <c r="G237" s="106">
        <f>SUMIF(TableauFA2[N° remise chèque 2],'remises de cheques'!$A237,TableauFA2[Montant chèque 2])</f>
        <v>0</v>
      </c>
      <c r="H237" s="106">
        <f>SUMIF(TableauFA2[N° remise chèque 3],'remises de cheques'!$A237,TableauFA2[Montant chèque 3])</f>
        <v>0</v>
      </c>
      <c r="I237" s="106">
        <f>SUMIF(TableauFfinale[N° remise chèque 1],'remises de cheques'!$A237,TableauFfinale[Montant chèque 1])</f>
        <v>0</v>
      </c>
      <c r="J237" s="106">
        <f>SUMIF(TableauFfinale[N° remise chèque 2],'remises de cheques'!$A237,TableauFfinale[Montant chèque 2])</f>
        <v>0</v>
      </c>
      <c r="K237" s="106">
        <f>SUMIF(TableauFfinale[N° remise chèque 3],'remises de cheques'!$A237,TableauFfinale[Montant chèque 3])</f>
        <v>0</v>
      </c>
      <c r="L237" s="107">
        <f t="shared" si="27"/>
        <v>0</v>
      </c>
      <c r="N237" s="132" t="s">
        <v>377</v>
      </c>
      <c r="O237" s="132" t="s">
        <v>377</v>
      </c>
      <c r="P237" s="133" t="s">
        <v>386</v>
      </c>
      <c r="Q237" s="70"/>
      <c r="R237" s="191">
        <v>3346.27</v>
      </c>
    </row>
    <row r="238" spans="1:19" ht="24" hidden="1" x14ac:dyDescent="0.3">
      <c r="A238" s="157">
        <v>8911512</v>
      </c>
      <c r="B238" s="108">
        <v>42508</v>
      </c>
      <c r="C238" s="106">
        <f>SUMIF(TableauFA1[N° remise chèque 1],'remises de cheques'!$A238,TableauFA1[Montant chèque 1])</f>
        <v>0</v>
      </c>
      <c r="D238" s="106">
        <f>SUMIF(TableauFA1[N° remise chèque 2],'remises de cheques'!$A238,TableauFA1[Montant chèque 2])</f>
        <v>0</v>
      </c>
      <c r="E238" s="106">
        <f>SUMIF(TableauFA1[N° remise chèque 3],'remises de cheques'!$A238,TableauFA1[Montant chèque 3])</f>
        <v>0</v>
      </c>
      <c r="F238" s="106">
        <f>SUMIF(TableauFA2[N° remise chèque 1],'remises de cheques'!$A238,TableauFA2[Montant chèque 1])</f>
        <v>0</v>
      </c>
      <c r="G238" s="106">
        <f>SUMIF(TableauFA2[N° remise chèque 2],'remises de cheques'!$A238,TableauFA2[Montant chèque 2])</f>
        <v>0</v>
      </c>
      <c r="H238" s="106">
        <f>SUMIF(TableauFA2[N° remise chèque 3],'remises de cheques'!$A238,TableauFA2[Montant chèque 3])</f>
        <v>0</v>
      </c>
      <c r="I238" s="106">
        <f>SUMIF(TableauFfinale[N° remise chèque 1],'remises de cheques'!$A238,TableauFfinale[Montant chèque 1])</f>
        <v>0</v>
      </c>
      <c r="J238" s="106">
        <f>SUMIF(TableauFfinale[N° remise chèque 2],'remises de cheques'!$A238,TableauFfinale[Montant chèque 2])</f>
        <v>2620.9499999999998</v>
      </c>
      <c r="K238" s="106">
        <f>SUMIF(TableauFfinale[N° remise chèque 3],'remises de cheques'!$A238,TableauFfinale[Montant chèque 3])</f>
        <v>0</v>
      </c>
      <c r="L238" s="107">
        <f t="shared" si="27"/>
        <v>2620.9499999999998</v>
      </c>
      <c r="N238" s="132" t="s">
        <v>377</v>
      </c>
      <c r="O238" s="132" t="s">
        <v>377</v>
      </c>
      <c r="P238" s="133" t="s">
        <v>385</v>
      </c>
      <c r="Q238" s="70"/>
      <c r="R238" s="191">
        <v>2620.9499999999998</v>
      </c>
    </row>
    <row r="239" spans="1:19" ht="24" hidden="1" x14ac:dyDescent="0.3">
      <c r="A239" s="157">
        <v>8911513</v>
      </c>
      <c r="B239" s="108">
        <v>42521</v>
      </c>
      <c r="C239" s="106">
        <f>SUMIF(TableauFA1[N° remise chèque 1],'remises de cheques'!$A239,TableauFA1[Montant chèque 1])</f>
        <v>4463.8900000000003</v>
      </c>
      <c r="D239" s="106">
        <f>SUMIF(TableauFA1[N° remise chèque 2],'remises de cheques'!$A239,TableauFA1[Montant chèque 2])</f>
        <v>0</v>
      </c>
      <c r="E239" s="106">
        <f>SUMIF(TableauFA1[N° remise chèque 3],'remises de cheques'!$A239,TableauFA1[Montant chèque 3])</f>
        <v>0</v>
      </c>
      <c r="F239" s="106">
        <f>SUMIF(TableauFA2[N° remise chèque 1],'remises de cheques'!$A239,TableauFA2[Montant chèque 1])</f>
        <v>0</v>
      </c>
      <c r="G239" s="106">
        <f>SUMIF(TableauFA2[N° remise chèque 2],'remises de cheques'!$A239,TableauFA2[Montant chèque 2])</f>
        <v>0</v>
      </c>
      <c r="H239" s="106">
        <f>SUMIF(TableauFA2[N° remise chèque 3],'remises de cheques'!$A239,TableauFA2[Montant chèque 3])</f>
        <v>0</v>
      </c>
      <c r="I239" s="106">
        <f>SUMIF(TableauFfinale[N° remise chèque 1],'remises de cheques'!$A239,TableauFfinale[Montant chèque 1])</f>
        <v>0</v>
      </c>
      <c r="J239" s="106">
        <f>SUMIF(TableauFfinale[N° remise chèque 2],'remises de cheques'!$A239,TableauFfinale[Montant chèque 2])</f>
        <v>0</v>
      </c>
      <c r="K239" s="106">
        <f>SUMIF(TableauFfinale[N° remise chèque 3],'remises de cheques'!$A239,TableauFfinale[Montant chèque 3])</f>
        <v>0</v>
      </c>
      <c r="L239" s="107">
        <f t="shared" si="27"/>
        <v>4463.8900000000003</v>
      </c>
      <c r="N239" s="132" t="s">
        <v>365</v>
      </c>
      <c r="O239" s="132" t="s">
        <v>365</v>
      </c>
      <c r="P239" s="133" t="s">
        <v>368</v>
      </c>
      <c r="Q239" s="70"/>
      <c r="R239" s="191">
        <v>4463.8900000000003</v>
      </c>
      <c r="S239" s="97" t="s">
        <v>367</v>
      </c>
    </row>
    <row r="240" spans="1:19" ht="24" hidden="1" x14ac:dyDescent="0.3">
      <c r="A240" s="157">
        <v>8911514</v>
      </c>
      <c r="B240" s="108">
        <v>42521</v>
      </c>
      <c r="C240" s="106">
        <f>SUMIF(TableauFA1[N° remise chèque 1],'remises de cheques'!$A240,TableauFA1[Montant chèque 1])</f>
        <v>0</v>
      </c>
      <c r="D240" s="106">
        <f>SUMIF(TableauFA1[N° remise chèque 2],'remises de cheques'!$A240,TableauFA1[Montant chèque 2])</f>
        <v>0</v>
      </c>
      <c r="E240" s="106">
        <f>SUMIF(TableauFA1[N° remise chèque 3],'remises de cheques'!$A240,TableauFA1[Montant chèque 3])</f>
        <v>0</v>
      </c>
      <c r="F240" s="106">
        <f>SUMIF(TableauFA2[N° remise chèque 1],'remises de cheques'!$A240,TableauFA2[Montant chèque 1])</f>
        <v>0</v>
      </c>
      <c r="G240" s="106">
        <f>SUMIF(TableauFA2[N° remise chèque 2],'remises de cheques'!$A240,TableauFA2[Montant chèque 2])</f>
        <v>0</v>
      </c>
      <c r="H240" s="106">
        <f>SUMIF(TableauFA2[N° remise chèque 3],'remises de cheques'!$A240,TableauFA2[Montant chèque 3])</f>
        <v>0</v>
      </c>
      <c r="I240" s="106">
        <f>SUMIF(TableauFfinale[N° remise chèque 1],'remises de cheques'!$A240,TableauFfinale[Montant chèque 1])</f>
        <v>0</v>
      </c>
      <c r="J240" s="106">
        <f>SUMIF(TableauFfinale[N° remise chèque 2],'remises de cheques'!$A240,TableauFfinale[Montant chèque 2])</f>
        <v>0</v>
      </c>
      <c r="K240" s="106">
        <f>SUMIF(TableauFfinale[N° remise chèque 3],'remises de cheques'!$A240,TableauFfinale[Montant chèque 3])</f>
        <v>0</v>
      </c>
      <c r="L240" s="107">
        <f t="shared" si="27"/>
        <v>0</v>
      </c>
      <c r="N240" s="132" t="s">
        <v>365</v>
      </c>
      <c r="O240" s="132" t="s">
        <v>365</v>
      </c>
      <c r="P240" s="133" t="s">
        <v>369</v>
      </c>
      <c r="Q240" s="70"/>
      <c r="R240" s="191">
        <v>7149.64</v>
      </c>
      <c r="S240" s="97" t="s">
        <v>367</v>
      </c>
    </row>
    <row r="241" spans="1:19" ht="24" hidden="1" x14ac:dyDescent="0.3">
      <c r="A241" s="157">
        <v>8911515</v>
      </c>
      <c r="B241" s="108">
        <v>42521</v>
      </c>
      <c r="C241" s="106">
        <f>SUMIF(TableauFA1[N° remise chèque 1],'remises de cheques'!$A241,TableauFA1[Montant chèque 1])</f>
        <v>0</v>
      </c>
      <c r="D241" s="106">
        <f>SUMIF(TableauFA1[N° remise chèque 2],'remises de cheques'!$A241,TableauFA1[Montant chèque 2])</f>
        <v>0</v>
      </c>
      <c r="E241" s="106">
        <f>SUMIF(TableauFA1[N° remise chèque 3],'remises de cheques'!$A241,TableauFA1[Montant chèque 3])</f>
        <v>0</v>
      </c>
      <c r="F241" s="106">
        <f>SUMIF(TableauFA2[N° remise chèque 1],'remises de cheques'!$A241,TableauFA2[Montant chèque 1])</f>
        <v>0</v>
      </c>
      <c r="G241" s="106">
        <f>SUMIF(TableauFA2[N° remise chèque 2],'remises de cheques'!$A241,TableauFA2[Montant chèque 2])</f>
        <v>0</v>
      </c>
      <c r="H241" s="106">
        <f>SUMIF(TableauFA2[N° remise chèque 3],'remises de cheques'!$A241,TableauFA2[Montant chèque 3])</f>
        <v>0</v>
      </c>
      <c r="I241" s="106">
        <f>SUMIF(TableauFfinale[N° remise chèque 1],'remises de cheques'!$A241,TableauFfinale[Montant chèque 1])</f>
        <v>1561.16</v>
      </c>
      <c r="J241" s="106">
        <f>SUMIF(TableauFfinale[N° remise chèque 2],'remises de cheques'!$A241,TableauFfinale[Montant chèque 2])</f>
        <v>0</v>
      </c>
      <c r="K241" s="106">
        <f>SUMIF(TableauFfinale[N° remise chèque 3],'remises de cheques'!$A241,TableauFfinale[Montant chèque 3])</f>
        <v>0</v>
      </c>
      <c r="L241" s="107">
        <f t="shared" si="27"/>
        <v>1561.16</v>
      </c>
      <c r="N241" s="132" t="s">
        <v>365</v>
      </c>
      <c r="O241" s="132" t="s">
        <v>365</v>
      </c>
      <c r="P241" s="133" t="s">
        <v>366</v>
      </c>
      <c r="Q241" s="70"/>
      <c r="R241" s="191">
        <v>1561.16</v>
      </c>
      <c r="S241" s="97" t="s">
        <v>367</v>
      </c>
    </row>
    <row r="242" spans="1:19" hidden="1" x14ac:dyDescent="0.3">
      <c r="A242" s="157">
        <v>8911516</v>
      </c>
      <c r="B242" s="108"/>
      <c r="C242" s="106">
        <f>SUMIF(TableauFA1[N° remise chèque 1],'remises de cheques'!$A242,TableauFA1[Montant chèque 1])</f>
        <v>0</v>
      </c>
      <c r="D242" s="106">
        <f>SUMIF(TableauFA1[N° remise chèque 2],'remises de cheques'!$A242,TableauFA1[Montant chèque 2])</f>
        <v>0</v>
      </c>
      <c r="E242" s="106">
        <f>SUMIF(TableauFA1[N° remise chèque 3],'remises de cheques'!$A242,TableauFA1[Montant chèque 3])</f>
        <v>0</v>
      </c>
      <c r="F242" s="106">
        <f>SUMIF(TableauFA2[N° remise chèque 1],'remises de cheques'!$A242,TableauFA2[Montant chèque 1])</f>
        <v>0</v>
      </c>
      <c r="G242" s="106">
        <f>SUMIF(TableauFA2[N° remise chèque 2],'remises de cheques'!$A242,TableauFA2[Montant chèque 2])</f>
        <v>0</v>
      </c>
      <c r="H242" s="106">
        <f>SUMIF(TableauFA2[N° remise chèque 3],'remises de cheques'!$A242,TableauFA2[Montant chèque 3])</f>
        <v>0</v>
      </c>
      <c r="I242" s="106">
        <f>SUMIF(TableauFfinale[N° remise chèque 1],'remises de cheques'!$A242,TableauFfinale[Montant chèque 1])</f>
        <v>3917.01</v>
      </c>
      <c r="J242" s="106">
        <f>SUMIF(TableauFfinale[N° remise chèque 2],'remises de cheques'!$A242,TableauFfinale[Montant chèque 2])</f>
        <v>0</v>
      </c>
      <c r="K242" s="106">
        <f>SUMIF(TableauFfinale[N° remise chèque 3],'remises de cheques'!$A242,TableauFfinale[Montant chèque 3])</f>
        <v>0</v>
      </c>
      <c r="L242" s="107">
        <f t="shared" si="27"/>
        <v>3917.01</v>
      </c>
    </row>
    <row r="243" spans="1:19" hidden="1" x14ac:dyDescent="0.3">
      <c r="A243" s="157">
        <v>8911517</v>
      </c>
      <c r="B243" s="108"/>
      <c r="C243" s="106">
        <f>SUMIF(TableauFA1[N° remise chèque 1],'remises de cheques'!$A243,TableauFA1[Montant chèque 1])</f>
        <v>0</v>
      </c>
      <c r="D243" s="106">
        <f>SUMIF(TableauFA1[N° remise chèque 2],'remises de cheques'!$A243,TableauFA1[Montant chèque 2])</f>
        <v>0</v>
      </c>
      <c r="E243" s="106">
        <f>SUMIF(TableauFA1[N° remise chèque 3],'remises de cheques'!$A243,TableauFA1[Montant chèque 3])</f>
        <v>0</v>
      </c>
      <c r="F243" s="106">
        <f>SUMIF(TableauFA2[N° remise chèque 1],'remises de cheques'!$A243,TableauFA2[Montant chèque 1])</f>
        <v>0</v>
      </c>
      <c r="G243" s="106">
        <f>SUMIF(TableauFA2[N° remise chèque 2],'remises de cheques'!$A243,TableauFA2[Montant chèque 2])</f>
        <v>0</v>
      </c>
      <c r="H243" s="106">
        <f>SUMIF(TableauFA2[N° remise chèque 3],'remises de cheques'!$A243,TableauFA2[Montant chèque 3])</f>
        <v>0</v>
      </c>
      <c r="I243" s="106">
        <f>SUMIF(TableauFfinale[N° remise chèque 1],'remises de cheques'!$A243,TableauFfinale[Montant chèque 1])</f>
        <v>0</v>
      </c>
      <c r="J243" s="106">
        <f>SUMIF(TableauFfinale[N° remise chèque 2],'remises de cheques'!$A243,TableauFfinale[Montant chèque 2])</f>
        <v>0</v>
      </c>
      <c r="K243" s="106">
        <f>SUMIF(TableauFfinale[N° remise chèque 3],'remises de cheques'!$A243,TableauFfinale[Montant chèque 3])</f>
        <v>0</v>
      </c>
      <c r="L243" s="107">
        <f t="shared" si="27"/>
        <v>0</v>
      </c>
    </row>
    <row r="244" spans="1:19" ht="24" hidden="1" x14ac:dyDescent="0.3">
      <c r="A244" s="157">
        <v>8911518</v>
      </c>
      <c r="B244" s="108">
        <v>42523</v>
      </c>
      <c r="C244" s="106">
        <f>SUMIF(TableauFA1[N° remise chèque 1],'remises de cheques'!$A244,TableauFA1[Montant chèque 1])</f>
        <v>0</v>
      </c>
      <c r="D244" s="106">
        <f>SUMIF(TableauFA1[N° remise chèque 2],'remises de cheques'!$A244,TableauFA1[Montant chèque 2])</f>
        <v>0</v>
      </c>
      <c r="E244" s="106">
        <f>SUMIF(TableauFA1[N° remise chèque 3],'remises de cheques'!$A244,TableauFA1[Montant chèque 3])</f>
        <v>0</v>
      </c>
      <c r="F244" s="106">
        <f>SUMIF(TableauFA2[N° remise chèque 1],'remises de cheques'!$A244,TableauFA2[Montant chèque 1])</f>
        <v>0</v>
      </c>
      <c r="G244" s="106">
        <f>SUMIF(TableauFA2[N° remise chèque 2],'remises de cheques'!$A244,TableauFA2[Montant chèque 2])</f>
        <v>0</v>
      </c>
      <c r="H244" s="106">
        <f>SUMIF(TableauFA2[N° remise chèque 3],'remises de cheques'!$A244,TableauFA2[Montant chèque 3])</f>
        <v>0</v>
      </c>
      <c r="I244" s="106">
        <f>SUMIF(TableauFfinale[N° remise chèque 1],'remises de cheques'!$A244,TableauFfinale[Montant chèque 1])</f>
        <v>0</v>
      </c>
      <c r="J244" s="106">
        <f>SUMIF(TableauFfinale[N° remise chèque 2],'remises de cheques'!$A244,TableauFfinale[Montant chèque 2])</f>
        <v>0</v>
      </c>
      <c r="K244" s="106">
        <f>SUMIF(TableauFfinale[N° remise chèque 3],'remises de cheques'!$A244,TableauFfinale[Montant chèque 3])</f>
        <v>0</v>
      </c>
      <c r="L244" s="107">
        <f t="shared" si="27"/>
        <v>0</v>
      </c>
      <c r="N244" s="132" t="s">
        <v>365</v>
      </c>
      <c r="O244" s="132" t="s">
        <v>365</v>
      </c>
      <c r="P244" s="133" t="s">
        <v>370</v>
      </c>
      <c r="Q244" s="70"/>
      <c r="R244" s="191">
        <v>7768.92</v>
      </c>
    </row>
    <row r="245" spans="1:19" ht="57.75" hidden="1" x14ac:dyDescent="0.3">
      <c r="A245" s="140" t="s">
        <v>371</v>
      </c>
      <c r="B245" s="108">
        <v>42521</v>
      </c>
      <c r="C245" s="106">
        <f>SUMIF(TableauFA1[N° remise chèque 1],'remises de cheques'!$A245,TableauFA1[Montant chèque 1])</f>
        <v>0</v>
      </c>
      <c r="D245" s="106">
        <f>SUMIF(TableauFA1[N° remise chèque 2],'remises de cheques'!$A245,TableauFA1[Montant chèque 2])</f>
        <v>0</v>
      </c>
      <c r="E245" s="106">
        <f>SUMIF(TableauFA1[N° remise chèque 3],'remises de cheques'!$A245,TableauFA1[Montant chèque 3])</f>
        <v>0</v>
      </c>
      <c r="F245" s="106">
        <f>SUMIF(TableauFA2[N° remise chèque 1],'remises de cheques'!$A245,TableauFA2[Montant chèque 1])</f>
        <v>0</v>
      </c>
      <c r="G245" s="106">
        <f>SUMIF(TableauFA2[N° remise chèque 2],'remises de cheques'!$A245,TableauFA2[Montant chèque 2])</f>
        <v>0</v>
      </c>
      <c r="H245" s="106">
        <f>SUMIF(TableauFA2[N° remise chèque 3],'remises de cheques'!$A245,TableauFA2[Montant chèque 3])</f>
        <v>0</v>
      </c>
      <c r="I245" s="106">
        <f>SUMIF(TableauFfinale[N° remise chèque 1],'remises de cheques'!$A245,TableauFfinale[Montant chèque 1])</f>
        <v>0</v>
      </c>
      <c r="J245" s="106">
        <f>SUMIF(TableauFfinale[N° remise chèque 2],'remises de cheques'!$A245,TableauFfinale[Montant chèque 2])</f>
        <v>0</v>
      </c>
      <c r="K245" s="106">
        <f>SUMIF(TableauFfinale[N° remise chèque 3],'remises de cheques'!$A245,TableauFfinale[Montant chèque 3])</f>
        <v>0</v>
      </c>
      <c r="L245" s="107">
        <f t="shared" ref="L245:L246" si="32">SUM(C245:K245)</f>
        <v>0</v>
      </c>
      <c r="N245" s="132" t="s">
        <v>372</v>
      </c>
      <c r="O245" s="132" t="s">
        <v>372</v>
      </c>
      <c r="P245" s="133" t="s">
        <v>139</v>
      </c>
      <c r="Q245" s="70"/>
      <c r="R245" s="191">
        <v>156</v>
      </c>
    </row>
    <row r="246" spans="1:19" ht="80.25" hidden="1" x14ac:dyDescent="0.3">
      <c r="A246" s="140" t="s">
        <v>375</v>
      </c>
      <c r="B246" s="108">
        <v>42510</v>
      </c>
      <c r="C246" s="106">
        <f>SUMIF(TableauFA1[N° remise chèque 1],'remises de cheques'!$A246,TableauFA1[Montant chèque 1])</f>
        <v>0</v>
      </c>
      <c r="D246" s="106">
        <f>SUMIF(TableauFA1[N° remise chèque 2],'remises de cheques'!$A246,TableauFA1[Montant chèque 2])</f>
        <v>0</v>
      </c>
      <c r="E246" s="106">
        <f>SUMIF(TableauFA1[N° remise chèque 3],'remises de cheques'!$A246,TableauFA1[Montant chèque 3])</f>
        <v>0</v>
      </c>
      <c r="F246" s="106">
        <f>SUMIF(TableauFA2[N° remise chèque 1],'remises de cheques'!$A246,TableauFA2[Montant chèque 1])</f>
        <v>10686.22</v>
      </c>
      <c r="G246" s="106">
        <f>SUMIF(TableauFA2[N° remise chèque 2],'remises de cheques'!$A246,TableauFA2[Montant chèque 2])</f>
        <v>0</v>
      </c>
      <c r="H246" s="106">
        <f>SUMIF(TableauFA2[N° remise chèque 3],'remises de cheques'!$A246,TableauFA2[Montant chèque 3])</f>
        <v>0</v>
      </c>
      <c r="I246" s="106">
        <f>SUMIF(TableauFfinale[N° remise chèque 1],'remises de cheques'!$A246,TableauFfinale[Montant chèque 1])</f>
        <v>0</v>
      </c>
      <c r="J246" s="106">
        <f>SUMIF(TableauFfinale[N° remise chèque 2],'remises de cheques'!$A246,TableauFfinale[Montant chèque 2])</f>
        <v>0</v>
      </c>
      <c r="K246" s="106">
        <f>SUMIF(TableauFfinale[N° remise chèque 3],'remises de cheques'!$A246,TableauFfinale[Montant chèque 3])</f>
        <v>0</v>
      </c>
      <c r="L246" s="107">
        <f t="shared" si="32"/>
        <v>10686.22</v>
      </c>
      <c r="N246" s="132" t="s">
        <v>373</v>
      </c>
      <c r="O246" s="132" t="s">
        <v>373</v>
      </c>
      <c r="P246" s="133" t="s">
        <v>376</v>
      </c>
      <c r="Q246" s="70"/>
      <c r="R246" s="191">
        <v>10686.22</v>
      </c>
    </row>
    <row r="247" spans="1:19" hidden="1" x14ac:dyDescent="0.3">
      <c r="A247" s="157">
        <v>8911519</v>
      </c>
      <c r="B247" s="108"/>
      <c r="C247" s="106">
        <f>SUMIF(TableauFA1[N° remise chèque 1],'remises de cheques'!$A247,TableauFA1[Montant chèque 1])</f>
        <v>0</v>
      </c>
      <c r="D247" s="106">
        <f>SUMIF(TableauFA1[N° remise chèque 2],'remises de cheques'!$A247,TableauFA1[Montant chèque 2])</f>
        <v>0</v>
      </c>
      <c r="E247" s="106">
        <f>SUMIF(TableauFA1[N° remise chèque 3],'remises de cheques'!$A247,TableauFA1[Montant chèque 3])</f>
        <v>0</v>
      </c>
      <c r="F247" s="106">
        <f>SUMIF(TableauFA2[N° remise chèque 1],'remises de cheques'!$A247,TableauFA2[Montant chèque 1])</f>
        <v>0</v>
      </c>
      <c r="G247" s="106">
        <f>SUMIF(TableauFA2[N° remise chèque 2],'remises de cheques'!$A247,TableauFA2[Montant chèque 2])</f>
        <v>0</v>
      </c>
      <c r="H247" s="106">
        <f>SUMIF(TableauFA2[N° remise chèque 3],'remises de cheques'!$A247,TableauFA2[Montant chèque 3])</f>
        <v>0</v>
      </c>
      <c r="I247" s="106">
        <f>SUMIF(TableauFfinale[N° remise chèque 1],'remises de cheques'!$A247,TableauFfinale[Montant chèque 1])</f>
        <v>0</v>
      </c>
      <c r="J247" s="106">
        <f>SUMIF(TableauFfinale[N° remise chèque 2],'remises de cheques'!$A247,TableauFfinale[Montant chèque 2])</f>
        <v>0</v>
      </c>
      <c r="K247" s="106">
        <f>SUMIF(TableauFfinale[N° remise chèque 3],'remises de cheques'!$A247,TableauFfinale[Montant chèque 3])</f>
        <v>0</v>
      </c>
      <c r="L247" s="107">
        <f t="shared" si="27"/>
        <v>0</v>
      </c>
    </row>
    <row r="248" spans="1:19" hidden="1" x14ac:dyDescent="0.3">
      <c r="A248" s="157">
        <v>8911520</v>
      </c>
      <c r="B248" s="108"/>
      <c r="C248" s="106">
        <f>SUMIF(TableauFA1[N° remise chèque 1],'remises de cheques'!$A248,TableauFA1[Montant chèque 1])</f>
        <v>0</v>
      </c>
      <c r="D248" s="106">
        <f>SUMIF(TableauFA1[N° remise chèque 2],'remises de cheques'!$A248,TableauFA1[Montant chèque 2])</f>
        <v>0</v>
      </c>
      <c r="E248" s="106">
        <f>SUMIF(TableauFA1[N° remise chèque 3],'remises de cheques'!$A248,TableauFA1[Montant chèque 3])</f>
        <v>0</v>
      </c>
      <c r="F248" s="106">
        <f>SUMIF(TableauFA2[N° remise chèque 1],'remises de cheques'!$A248,TableauFA2[Montant chèque 1])</f>
        <v>0</v>
      </c>
      <c r="G248" s="106">
        <f>SUMIF(TableauFA2[N° remise chèque 2],'remises de cheques'!$A248,TableauFA2[Montant chèque 2])</f>
        <v>0</v>
      </c>
      <c r="H248" s="106">
        <f>SUMIF(TableauFA2[N° remise chèque 3],'remises de cheques'!$A248,TableauFA2[Montant chèque 3])</f>
        <v>0</v>
      </c>
      <c r="I248" s="106">
        <f>SUMIF(TableauFfinale[N° remise chèque 1],'remises de cheques'!$A248,TableauFfinale[Montant chèque 1])</f>
        <v>0</v>
      </c>
      <c r="J248" s="106">
        <f>SUMIF(TableauFfinale[N° remise chèque 2],'remises de cheques'!$A248,TableauFfinale[Montant chèque 2])</f>
        <v>0</v>
      </c>
      <c r="K248" s="106">
        <f>SUMIF(TableauFfinale[N° remise chèque 3],'remises de cheques'!$A248,TableauFfinale[Montant chèque 3])</f>
        <v>0</v>
      </c>
      <c r="L248" s="107">
        <f t="shared" si="27"/>
        <v>0</v>
      </c>
    </row>
    <row r="249" spans="1:19" hidden="1" x14ac:dyDescent="0.3">
      <c r="A249" s="157">
        <v>8911521</v>
      </c>
      <c r="B249" s="108"/>
      <c r="C249" s="106">
        <f>SUMIF(TableauFA1[N° remise chèque 1],'remises de cheques'!$A249,TableauFA1[Montant chèque 1])</f>
        <v>0</v>
      </c>
      <c r="D249" s="106">
        <f>SUMIF(TableauFA1[N° remise chèque 2],'remises de cheques'!$A249,TableauFA1[Montant chèque 2])</f>
        <v>0</v>
      </c>
      <c r="E249" s="106">
        <f>SUMIF(TableauFA1[N° remise chèque 3],'remises de cheques'!$A249,TableauFA1[Montant chèque 3])</f>
        <v>0</v>
      </c>
      <c r="F249" s="106">
        <f>SUMIF(TableauFA2[N° remise chèque 1],'remises de cheques'!$A249,TableauFA2[Montant chèque 1])</f>
        <v>0</v>
      </c>
      <c r="G249" s="106">
        <f>SUMIF(TableauFA2[N° remise chèque 2],'remises de cheques'!$A249,TableauFA2[Montant chèque 2])</f>
        <v>0</v>
      </c>
      <c r="H249" s="106">
        <f>SUMIF(TableauFA2[N° remise chèque 3],'remises de cheques'!$A249,TableauFA2[Montant chèque 3])</f>
        <v>0</v>
      </c>
      <c r="I249" s="106">
        <f>SUMIF(TableauFfinale[N° remise chèque 1],'remises de cheques'!$A249,TableauFfinale[Montant chèque 1])</f>
        <v>0</v>
      </c>
      <c r="J249" s="106">
        <f>SUMIF(TableauFfinale[N° remise chèque 2],'remises de cheques'!$A249,TableauFfinale[Montant chèque 2])</f>
        <v>0</v>
      </c>
      <c r="K249" s="106">
        <f>SUMIF(TableauFfinale[N° remise chèque 3],'remises de cheques'!$A249,TableauFfinale[Montant chèque 3])</f>
        <v>0</v>
      </c>
      <c r="L249" s="107">
        <f t="shared" si="27"/>
        <v>0</v>
      </c>
    </row>
    <row r="250" spans="1:19" hidden="1" x14ac:dyDescent="0.3">
      <c r="A250" s="157" t="s">
        <v>388</v>
      </c>
      <c r="B250" s="108"/>
      <c r="C250" s="106">
        <f>SUMIF(TableauFA1[N° remise chèque 1],'remises de cheques'!$A250,TableauFA1[Montant chèque 1])</f>
        <v>0</v>
      </c>
      <c r="D250" s="106">
        <f>SUMIF(TableauFA1[N° remise chèque 2],'remises de cheques'!$A250,TableauFA1[Montant chèque 2])</f>
        <v>0</v>
      </c>
      <c r="E250" s="106">
        <f>SUMIF(TableauFA1[N° remise chèque 3],'remises de cheques'!$A250,TableauFA1[Montant chèque 3])</f>
        <v>0</v>
      </c>
      <c r="F250" s="106">
        <f>SUMIF(TableauFA2[N° remise chèque 1],'remises de cheques'!$A250,TableauFA2[Montant chèque 1])</f>
        <v>0</v>
      </c>
      <c r="G250" s="106">
        <f>SUMIF(TableauFA2[N° remise chèque 2],'remises de cheques'!$A250,TableauFA2[Montant chèque 2])</f>
        <v>0</v>
      </c>
      <c r="H250" s="106">
        <f>SUMIF(TableauFA2[N° remise chèque 3],'remises de cheques'!$A250,TableauFA2[Montant chèque 3])</f>
        <v>0</v>
      </c>
      <c r="I250" s="106">
        <f>SUMIF(TableauFfinale[N° remise chèque 1],'remises de cheques'!$A250,TableauFfinale[Montant chèque 1])</f>
        <v>0</v>
      </c>
      <c r="J250" s="106">
        <f>SUMIF(TableauFfinale[N° remise chèque 2],'remises de cheques'!$A250,TableauFfinale[Montant chèque 2])</f>
        <v>0</v>
      </c>
      <c r="K250" s="106">
        <f>SUMIF(TableauFfinale[N° remise chèque 3],'remises de cheques'!$A250,TableauFfinale[Montant chèque 3])</f>
        <v>0</v>
      </c>
      <c r="L250" s="107">
        <f t="shared" ref="L250" si="33">SUM(C250:K250)</f>
        <v>0</v>
      </c>
    </row>
    <row r="251" spans="1:19" hidden="1" x14ac:dyDescent="0.3">
      <c r="A251" s="237">
        <v>8911522</v>
      </c>
      <c r="B251" s="152"/>
      <c r="C251" s="153">
        <f>SUMIF(TableauFA1[N° remise chèque 1],'remises de cheques'!$A251,TableauFA1[Montant chèque 1])</f>
        <v>0</v>
      </c>
      <c r="D251" s="153">
        <f>SUMIF(TableauFA1[N° remise chèque 2],'remises de cheques'!$A251,TableauFA1[Montant chèque 2])</f>
        <v>0</v>
      </c>
      <c r="E251" s="153">
        <f>SUMIF(TableauFA1[N° remise chèque 3],'remises de cheques'!$A251,TableauFA1[Montant chèque 3])</f>
        <v>0</v>
      </c>
      <c r="F251" s="153">
        <f>SUMIF(TableauFA2[N° remise chèque 1],'remises de cheques'!$A251,TableauFA2[Montant chèque 1])</f>
        <v>0</v>
      </c>
      <c r="G251" s="153">
        <f>SUMIF(TableauFA2[N° remise chèque 2],'remises de cheques'!$A251,TableauFA2[Montant chèque 2])</f>
        <v>0</v>
      </c>
      <c r="H251" s="153">
        <f>SUMIF(TableauFA2[N° remise chèque 3],'remises de cheques'!$A251,TableauFA2[Montant chèque 3])</f>
        <v>0</v>
      </c>
      <c r="I251" s="153">
        <f>SUMIF(TableauFfinale[N° remise chèque 1],'remises de cheques'!$A251,TableauFfinale[Montant chèque 1])</f>
        <v>0</v>
      </c>
      <c r="J251" s="153">
        <f>SUMIF(TableauFfinale[N° remise chèque 2],'remises de cheques'!$A251,TableauFfinale[Montant chèque 2])</f>
        <v>0</v>
      </c>
      <c r="K251" s="153">
        <f>SUMIF(TableauFfinale[N° remise chèque 3],'remises de cheques'!$A251,TableauFfinale[Montant chèque 3])</f>
        <v>0</v>
      </c>
      <c r="L251" s="154">
        <f t="shared" si="27"/>
        <v>0</v>
      </c>
      <c r="M251" s="111" t="s">
        <v>390</v>
      </c>
    </row>
    <row r="252" spans="1:19" hidden="1" x14ac:dyDescent="0.3">
      <c r="A252" s="157">
        <v>8911523</v>
      </c>
      <c r="B252" s="108"/>
      <c r="C252" s="106">
        <f>SUMIF(TableauFA1[N° remise chèque 1],'remises de cheques'!$A252,TableauFA1[Montant chèque 1])</f>
        <v>0</v>
      </c>
      <c r="D252" s="106">
        <f>SUMIF(TableauFA1[N° remise chèque 2],'remises de cheques'!$A252,TableauFA1[Montant chèque 2])</f>
        <v>0</v>
      </c>
      <c r="E252" s="106">
        <f>SUMIF(TableauFA1[N° remise chèque 3],'remises de cheques'!$A252,TableauFA1[Montant chèque 3])</f>
        <v>0</v>
      </c>
      <c r="F252" s="106">
        <f>SUMIF(TableauFA2[N° remise chèque 1],'remises de cheques'!$A252,TableauFA2[Montant chèque 1])</f>
        <v>0</v>
      </c>
      <c r="G252" s="106">
        <f>SUMIF(TableauFA2[N° remise chèque 2],'remises de cheques'!$A252,TableauFA2[Montant chèque 2])</f>
        <v>0</v>
      </c>
      <c r="H252" s="106">
        <f>SUMIF(TableauFA2[N° remise chèque 3],'remises de cheques'!$A252,TableauFA2[Montant chèque 3])</f>
        <v>0</v>
      </c>
      <c r="I252" s="106">
        <f>SUMIF(TableauFfinale[N° remise chèque 1],'remises de cheques'!$A252,TableauFfinale[Montant chèque 1])</f>
        <v>0</v>
      </c>
      <c r="J252" s="106">
        <f>SUMIF(TableauFfinale[N° remise chèque 2],'remises de cheques'!$A252,TableauFfinale[Montant chèque 2])</f>
        <v>0</v>
      </c>
      <c r="K252" s="106">
        <f>SUMIF(TableauFfinale[N° remise chèque 3],'remises de cheques'!$A252,TableauFfinale[Montant chèque 3])</f>
        <v>0</v>
      </c>
      <c r="L252" s="107">
        <f t="shared" ref="L252:L256" si="34">SUM(C252:K252)</f>
        <v>0</v>
      </c>
    </row>
    <row r="253" spans="1:19" hidden="1" x14ac:dyDescent="0.3">
      <c r="A253" s="157">
        <v>8911524</v>
      </c>
      <c r="B253" s="108"/>
      <c r="C253" s="106">
        <f>SUMIF(TableauFA1[N° remise chèque 1],'remises de cheques'!$A253,TableauFA1[Montant chèque 1])</f>
        <v>0</v>
      </c>
      <c r="D253" s="106">
        <f>SUMIF(TableauFA1[N° remise chèque 2],'remises de cheques'!$A253,TableauFA1[Montant chèque 2])</f>
        <v>0</v>
      </c>
      <c r="E253" s="106">
        <f>SUMIF(TableauFA1[N° remise chèque 3],'remises de cheques'!$A253,TableauFA1[Montant chèque 3])</f>
        <v>0</v>
      </c>
      <c r="F253" s="106">
        <f>SUMIF(TableauFA2[N° remise chèque 1],'remises de cheques'!$A253,TableauFA2[Montant chèque 1])</f>
        <v>0</v>
      </c>
      <c r="G253" s="106">
        <f>SUMIF(TableauFA2[N° remise chèque 2],'remises de cheques'!$A253,TableauFA2[Montant chèque 2])</f>
        <v>0</v>
      </c>
      <c r="H253" s="106">
        <f>SUMIF(TableauFA2[N° remise chèque 3],'remises de cheques'!$A253,TableauFA2[Montant chèque 3])</f>
        <v>0</v>
      </c>
      <c r="I253" s="106">
        <f>SUMIF(TableauFfinale[N° remise chèque 1],'remises de cheques'!$A253,TableauFfinale[Montant chèque 1])</f>
        <v>0</v>
      </c>
      <c r="J253" s="106">
        <f>SUMIF(TableauFfinale[N° remise chèque 2],'remises de cheques'!$A253,TableauFfinale[Montant chèque 2])</f>
        <v>0</v>
      </c>
      <c r="K253" s="106">
        <f>SUMIF(TableauFfinale[N° remise chèque 3],'remises de cheques'!$A253,TableauFfinale[Montant chèque 3])</f>
        <v>0</v>
      </c>
      <c r="L253" s="107">
        <f t="shared" si="34"/>
        <v>0</v>
      </c>
    </row>
    <row r="254" spans="1:19" hidden="1" x14ac:dyDescent="0.3">
      <c r="A254" s="157">
        <v>8911525</v>
      </c>
      <c r="B254" s="108"/>
      <c r="C254" s="106">
        <f>SUMIF(TableauFA1[N° remise chèque 1],'remises de cheques'!$A254,TableauFA1[Montant chèque 1])</f>
        <v>0</v>
      </c>
      <c r="D254" s="106">
        <f>SUMIF(TableauFA1[N° remise chèque 2],'remises de cheques'!$A254,TableauFA1[Montant chèque 2])</f>
        <v>0</v>
      </c>
      <c r="E254" s="106">
        <f>SUMIF(TableauFA1[N° remise chèque 3],'remises de cheques'!$A254,TableauFA1[Montant chèque 3])</f>
        <v>0</v>
      </c>
      <c r="F254" s="106">
        <f>SUMIF(TableauFA2[N° remise chèque 1],'remises de cheques'!$A254,TableauFA2[Montant chèque 1])</f>
        <v>0</v>
      </c>
      <c r="G254" s="106">
        <f>SUMIF(TableauFA2[N° remise chèque 2],'remises de cheques'!$A254,TableauFA2[Montant chèque 2])</f>
        <v>0</v>
      </c>
      <c r="H254" s="106">
        <f>SUMIF(TableauFA2[N° remise chèque 3],'remises de cheques'!$A254,TableauFA2[Montant chèque 3])</f>
        <v>0</v>
      </c>
      <c r="I254" s="106">
        <f>SUMIF(TableauFfinale[N° remise chèque 1],'remises de cheques'!$A254,TableauFfinale[Montant chèque 1])</f>
        <v>0</v>
      </c>
      <c r="J254" s="106">
        <f>SUMIF(TableauFfinale[N° remise chèque 2],'remises de cheques'!$A254,TableauFfinale[Montant chèque 2])</f>
        <v>0</v>
      </c>
      <c r="K254" s="106">
        <f>SUMIF(TableauFfinale[N° remise chèque 3],'remises de cheques'!$A254,TableauFfinale[Montant chèque 3])</f>
        <v>0</v>
      </c>
      <c r="L254" s="107">
        <f t="shared" si="34"/>
        <v>0</v>
      </c>
    </row>
    <row r="255" spans="1:19" hidden="1" x14ac:dyDescent="0.3">
      <c r="A255" s="157">
        <v>8911526</v>
      </c>
      <c r="B255" s="108"/>
      <c r="C255" s="106">
        <f>SUMIF(TableauFA1[N° remise chèque 1],'remises de cheques'!$A255,TableauFA1[Montant chèque 1])</f>
        <v>0</v>
      </c>
      <c r="D255" s="106">
        <f>SUMIF(TableauFA1[N° remise chèque 2],'remises de cheques'!$A255,TableauFA1[Montant chèque 2])</f>
        <v>0</v>
      </c>
      <c r="E255" s="106">
        <f>SUMIF(TableauFA1[N° remise chèque 3],'remises de cheques'!$A255,TableauFA1[Montant chèque 3])</f>
        <v>0</v>
      </c>
      <c r="F255" s="106">
        <f>SUMIF(TableauFA2[N° remise chèque 1],'remises de cheques'!$A255,TableauFA2[Montant chèque 1])</f>
        <v>0</v>
      </c>
      <c r="G255" s="106">
        <f>SUMIF(TableauFA2[N° remise chèque 2],'remises de cheques'!$A255,TableauFA2[Montant chèque 2])</f>
        <v>0</v>
      </c>
      <c r="H255" s="106">
        <f>SUMIF(TableauFA2[N° remise chèque 3],'remises de cheques'!$A255,TableauFA2[Montant chèque 3])</f>
        <v>0</v>
      </c>
      <c r="I255" s="106">
        <f>SUMIF(TableauFfinale[N° remise chèque 1],'remises de cheques'!$A255,TableauFfinale[Montant chèque 1])</f>
        <v>0</v>
      </c>
      <c r="J255" s="106">
        <f>SUMIF(TableauFfinale[N° remise chèque 2],'remises de cheques'!$A255,TableauFfinale[Montant chèque 2])</f>
        <v>0</v>
      </c>
      <c r="K255" s="106">
        <f>SUMIF(TableauFfinale[N° remise chèque 3],'remises de cheques'!$A255,TableauFfinale[Montant chèque 3])</f>
        <v>0</v>
      </c>
      <c r="L255" s="107">
        <f t="shared" si="34"/>
        <v>0</v>
      </c>
    </row>
    <row r="256" spans="1:19" hidden="1" x14ac:dyDescent="0.3">
      <c r="A256" s="158">
        <v>8911527</v>
      </c>
      <c r="B256" s="114"/>
      <c r="C256" s="130">
        <f>SUMIF(TableauFA1[N° remise chèque 1],'remises de cheques'!$A256,TableauFA1[Montant chèque 1])</f>
        <v>0</v>
      </c>
      <c r="D256" s="130">
        <f>SUMIF(TableauFA1[N° remise chèque 2],'remises de cheques'!$A256,TableauFA1[Montant chèque 2])</f>
        <v>0</v>
      </c>
      <c r="E256" s="130">
        <f>SUMIF(TableauFA1[N° remise chèque 3],'remises de cheques'!$A256,TableauFA1[Montant chèque 3])</f>
        <v>0</v>
      </c>
      <c r="F256" s="130">
        <f>SUMIF(TableauFA2[N° remise chèque 1],'remises de cheques'!$A256,TableauFA2[Montant chèque 1])</f>
        <v>0</v>
      </c>
      <c r="G256" s="130">
        <f>SUMIF(TableauFA2[N° remise chèque 2],'remises de cheques'!$A256,TableauFA2[Montant chèque 2])</f>
        <v>0</v>
      </c>
      <c r="H256" s="130">
        <f>SUMIF(TableauFA2[N° remise chèque 3],'remises de cheques'!$A256,TableauFA2[Montant chèque 3])</f>
        <v>0</v>
      </c>
      <c r="I256" s="130">
        <f>SUMIF(TableauFfinale[N° remise chèque 1],'remises de cheques'!$A256,TableauFfinale[Montant chèque 1])</f>
        <v>0</v>
      </c>
      <c r="J256" s="130">
        <f>SUMIF(TableauFfinale[N° remise chèque 2],'remises de cheques'!$A256,TableauFfinale[Montant chèque 2])</f>
        <v>0</v>
      </c>
      <c r="K256" s="130">
        <f>SUMIF(TableauFfinale[N° remise chèque 3],'remises de cheques'!$A256,TableauFfinale[Montant chèque 3])</f>
        <v>0</v>
      </c>
      <c r="L256" s="131">
        <f t="shared" si="34"/>
        <v>0</v>
      </c>
    </row>
  </sheetData>
  <sheetProtection password="D8B2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N° FA1</vt:lpstr>
      <vt:lpstr>N° FA2</vt:lpstr>
      <vt:lpstr>N° F finale</vt:lpstr>
      <vt:lpstr>N° Avoirs</vt:lpstr>
      <vt:lpstr>consultation compte client</vt:lpstr>
      <vt:lpstr>remises de cheques</vt:lpstr>
      <vt:lpstr>matrice_remises</vt:lpstr>
      <vt:lpstr>nom_client</vt:lpstr>
      <vt:lpstr>num_remise</vt:lpstr>
      <vt:lpstr>tolerance</vt:lpstr>
      <vt:lpstr>total_factures_ttc</vt:lpstr>
      <vt:lpstr>total_reglements</vt:lpstr>
      <vt:lpstr>'consultation compte client'!Zone_d_impression</vt:lpstr>
      <vt:lpstr>zone_impression_comm_mois_fa1</vt:lpstr>
      <vt:lpstr>zone_impression_comm_mois_fa2</vt:lpstr>
      <vt:lpstr>zone_impression_comm_mois_ffinale</vt:lpstr>
      <vt:lpstr>zone_impression_comm_trim_fa1</vt:lpstr>
      <vt:lpstr>zone_impression_comm_trim_fa2</vt:lpstr>
      <vt:lpstr>zone_impression_comm_trim_ffinale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Rouch</dc:creator>
  <cp:lastModifiedBy>Florence Rouch</cp:lastModifiedBy>
  <cp:lastPrinted>2016-05-30T11:40:19Z</cp:lastPrinted>
  <dcterms:created xsi:type="dcterms:W3CDTF">2012-02-27T13:11:48Z</dcterms:created>
  <dcterms:modified xsi:type="dcterms:W3CDTF">2016-06-13T11:21:01Z</dcterms:modified>
</cp:coreProperties>
</file>