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-270" yWindow="-90" windowWidth="19440" windowHeight="12180" tabRatio="804" activeTab="1"/>
  </bookViews>
  <sheets>
    <sheet name="Effectif" sheetId="2" r:id="rId1"/>
    <sheet name="Analyse" sheetId="3" r:id="rId2"/>
    <sheet name="Calculs" sheetId="4" r:id="rId3"/>
    <sheet name="Enresistrement" sheetId="5" r:id="rId4"/>
  </sheets>
  <definedNames>
    <definedName name="_xlnm._FilterDatabase" localSheetId="0" hidden="1">Effectif!$A$1:$AH$187</definedName>
  </definedNames>
  <calcPr calcId="145621"/>
</workbook>
</file>

<file path=xl/calcChain.xml><?xml version="1.0" encoding="utf-8"?>
<calcChain xmlns="http://schemas.openxmlformats.org/spreadsheetml/2006/main">
  <c r="J47" i="4" l="1"/>
  <c r="K47" i="4" s="1"/>
  <c r="J46" i="4"/>
  <c r="K46" i="4" s="1"/>
  <c r="J45" i="4"/>
  <c r="K45" i="4" s="1"/>
  <c r="J44" i="4"/>
  <c r="K44" i="4" s="1"/>
  <c r="J43" i="4"/>
  <c r="K43" i="4" s="1"/>
  <c r="J42" i="4"/>
  <c r="K42" i="4" s="1"/>
  <c r="J41" i="4"/>
  <c r="K41" i="4" s="1"/>
  <c r="J40" i="4"/>
  <c r="K40" i="4" s="1"/>
  <c r="J39" i="4"/>
  <c r="K39" i="4" s="1"/>
  <c r="J38" i="4"/>
  <c r="K38" i="4" s="1"/>
  <c r="J37" i="4"/>
  <c r="K37" i="4" s="1"/>
  <c r="J36" i="4"/>
  <c r="K36" i="4" s="1"/>
  <c r="F40" i="4"/>
  <c r="G40" i="4" s="1"/>
  <c r="F39" i="4"/>
  <c r="G39" i="4" s="1"/>
  <c r="F38" i="4"/>
  <c r="G38" i="4" s="1"/>
  <c r="F37" i="4"/>
  <c r="G37" i="4" s="1"/>
  <c r="F36" i="4"/>
  <c r="G36" i="4" s="1"/>
  <c r="E5" i="3"/>
  <c r="F5" i="3"/>
  <c r="F22" i="3" s="1"/>
  <c r="B2" i="3"/>
  <c r="C5" i="3"/>
  <c r="D19" i="3" s="1"/>
  <c r="N5" i="3"/>
  <c r="K5" i="3"/>
  <c r="O5" i="3"/>
  <c r="L5" i="3"/>
  <c r="I5" i="3"/>
  <c r="H5" i="3"/>
  <c r="G5" i="3"/>
  <c r="D5" i="3"/>
  <c r="J31" i="4"/>
  <c r="K31" i="4" s="1"/>
  <c r="J30" i="4"/>
  <c r="K30" i="4" s="1"/>
  <c r="J29" i="4"/>
  <c r="K29" i="4" s="1"/>
  <c r="J28" i="4"/>
  <c r="K28" i="4" s="1"/>
  <c r="J27" i="4"/>
  <c r="K27" i="4" s="1"/>
  <c r="F31" i="4"/>
  <c r="G31" i="4" s="1"/>
  <c r="F30" i="4"/>
  <c r="G30" i="4" s="1"/>
  <c r="F29" i="4"/>
  <c r="G29" i="4" s="1"/>
  <c r="F28" i="4"/>
  <c r="G28" i="4" s="1"/>
  <c r="F27" i="4"/>
  <c r="G27" i="4" s="1"/>
  <c r="P117" i="2"/>
  <c r="P112" i="2"/>
  <c r="P105" i="2"/>
  <c r="P103" i="2"/>
  <c r="P99" i="2"/>
  <c r="P98" i="2"/>
  <c r="P97" i="2"/>
  <c r="P94" i="2"/>
  <c r="P90" i="2"/>
  <c r="P87" i="2"/>
  <c r="P85" i="2"/>
  <c r="P84" i="2"/>
  <c r="P81" i="2"/>
  <c r="P80" i="2"/>
  <c r="P79" i="2"/>
  <c r="P73" i="2"/>
  <c r="P68" i="2"/>
  <c r="P59" i="2"/>
  <c r="P58" i="2"/>
  <c r="P56" i="2"/>
  <c r="P55" i="2"/>
  <c r="P53" i="2"/>
  <c r="P52" i="2"/>
  <c r="P51" i="2"/>
  <c r="P49" i="2"/>
  <c r="P48" i="2"/>
  <c r="P36" i="2"/>
  <c r="P34" i="2"/>
  <c r="P33" i="2"/>
  <c r="P30" i="2"/>
  <c r="P26" i="2"/>
  <c r="P22" i="2"/>
  <c r="P18" i="2"/>
  <c r="P15" i="2"/>
  <c r="P14" i="2"/>
  <c r="P12" i="2"/>
  <c r="P7" i="2"/>
  <c r="P5" i="2"/>
  <c r="P173" i="2"/>
  <c r="P151" i="2"/>
  <c r="P148" i="2"/>
  <c r="P96" i="2"/>
  <c r="P83" i="2"/>
  <c r="P76" i="2"/>
  <c r="P75" i="2"/>
  <c r="P72" i="2"/>
  <c r="P66" i="2"/>
  <c r="P50" i="2"/>
  <c r="P46" i="2"/>
  <c r="P45" i="2"/>
  <c r="P43" i="2"/>
  <c r="P39" i="2"/>
  <c r="P38" i="2"/>
  <c r="P35" i="2"/>
  <c r="P17" i="2"/>
  <c r="P180" i="2"/>
  <c r="P170" i="2"/>
  <c r="P167" i="2"/>
  <c r="P165" i="2"/>
  <c r="P160" i="2"/>
  <c r="P147" i="2"/>
  <c r="P135" i="2"/>
  <c r="P115" i="2"/>
  <c r="P114" i="2"/>
  <c r="P111" i="2"/>
  <c r="P108" i="2"/>
  <c r="P104" i="2"/>
  <c r="P64" i="2"/>
  <c r="P32" i="2"/>
  <c r="P31" i="2"/>
  <c r="P27" i="2"/>
  <c r="P24" i="2"/>
  <c r="P6" i="2"/>
  <c r="P185" i="2"/>
  <c r="P174" i="2"/>
  <c r="P149" i="2"/>
  <c r="P144" i="2"/>
  <c r="P139" i="2"/>
  <c r="P100" i="2"/>
  <c r="P19" i="2"/>
  <c r="P2" i="2"/>
  <c r="P137" i="2"/>
  <c r="P130" i="2"/>
  <c r="P181" i="2"/>
  <c r="P16" i="2"/>
  <c r="P157" i="2"/>
  <c r="P121" i="2"/>
  <c r="P109" i="2"/>
  <c r="P131" i="2"/>
  <c r="P102" i="2"/>
  <c r="P101" i="2"/>
  <c r="P60" i="2"/>
  <c r="P57" i="2"/>
  <c r="P11" i="2"/>
  <c r="P189" i="2"/>
  <c r="P171" i="2"/>
  <c r="P129" i="2"/>
  <c r="P126" i="2"/>
  <c r="P122" i="2"/>
  <c r="P113" i="2"/>
  <c r="P95" i="2"/>
  <c r="P86" i="2"/>
  <c r="P71" i="2"/>
  <c r="P166" i="2"/>
  <c r="P163" i="2"/>
  <c r="P161" i="2"/>
  <c r="P155" i="2"/>
  <c r="P134" i="2"/>
  <c r="P110" i="2"/>
  <c r="P106" i="2"/>
  <c r="P92" i="2"/>
  <c r="P70" i="2"/>
  <c r="P69" i="2"/>
  <c r="P63" i="2"/>
  <c r="P62" i="2"/>
  <c r="P61" i="2"/>
  <c r="P37" i="2"/>
  <c r="P29" i="2"/>
  <c r="P187" i="2"/>
  <c r="P183" i="2"/>
  <c r="P175" i="2"/>
  <c r="P162" i="2"/>
  <c r="P156" i="2"/>
  <c r="P88" i="2"/>
  <c r="P78" i="2"/>
  <c r="P74" i="2"/>
  <c r="P20" i="2"/>
  <c r="P13" i="2"/>
  <c r="P9" i="2"/>
  <c r="P4" i="2"/>
  <c r="P188" i="2"/>
  <c r="P179" i="2"/>
  <c r="P177" i="2"/>
  <c r="P176" i="2"/>
  <c r="P159" i="2"/>
  <c r="P153" i="2"/>
  <c r="P150" i="2"/>
  <c r="P145" i="2"/>
  <c r="P141" i="2"/>
  <c r="P140" i="2"/>
  <c r="P132" i="2"/>
  <c r="P128" i="2"/>
  <c r="P127" i="2"/>
  <c r="P124" i="2"/>
  <c r="P120" i="2"/>
  <c r="P119" i="2"/>
  <c r="P118" i="2"/>
  <c r="P116" i="2"/>
  <c r="P107" i="2"/>
  <c r="P93" i="2"/>
  <c r="P91" i="2"/>
  <c r="P89" i="2"/>
  <c r="P82" i="2"/>
  <c r="P77" i="2"/>
  <c r="P67" i="2"/>
  <c r="P65" i="2"/>
  <c r="P54" i="2"/>
  <c r="P47" i="2"/>
  <c r="P44" i="2"/>
  <c r="P42" i="2"/>
  <c r="P41" i="2"/>
  <c r="P40" i="2"/>
  <c r="P28" i="2"/>
  <c r="P25" i="2"/>
  <c r="P23" i="2"/>
  <c r="P21" i="2"/>
  <c r="P10" i="2"/>
  <c r="P8" i="2"/>
  <c r="P3" i="2"/>
  <c r="P186" i="2"/>
  <c r="P184" i="2"/>
  <c r="P182" i="2"/>
  <c r="P178" i="2"/>
  <c r="P172" i="2"/>
  <c r="P169" i="2"/>
  <c r="P168" i="2"/>
  <c r="P164" i="2"/>
  <c r="P158" i="2"/>
  <c r="P154" i="2"/>
  <c r="P152" i="2"/>
  <c r="P146" i="2"/>
  <c r="P143" i="2"/>
  <c r="P142" i="2"/>
  <c r="P138" i="2"/>
  <c r="P136" i="2"/>
  <c r="P133" i="2"/>
  <c r="P125" i="2"/>
  <c r="P123" i="2"/>
  <c r="S185" i="2"/>
  <c r="S174" i="2"/>
  <c r="S149" i="2"/>
  <c r="S144" i="2"/>
  <c r="S139" i="2"/>
  <c r="S100" i="2"/>
  <c r="S19" i="2"/>
  <c r="S2" i="2"/>
  <c r="S137" i="2"/>
  <c r="S130" i="2"/>
  <c r="S181" i="2"/>
  <c r="S16" i="2"/>
  <c r="S157" i="2"/>
  <c r="S121" i="2"/>
  <c r="S109" i="2"/>
  <c r="S131" i="2"/>
  <c r="S102" i="2"/>
  <c r="S101" i="2"/>
  <c r="S60" i="2"/>
  <c r="S57" i="2"/>
  <c r="S11" i="2"/>
  <c r="S189" i="2"/>
  <c r="S171" i="2"/>
  <c r="S129" i="2"/>
  <c r="S126" i="2"/>
  <c r="S122" i="2"/>
  <c r="S113" i="2"/>
  <c r="S95" i="2"/>
  <c r="S86" i="2"/>
  <c r="S71" i="2"/>
  <c r="S166" i="2"/>
  <c r="S163" i="2"/>
  <c r="S161" i="2"/>
  <c r="S155" i="2"/>
  <c r="S134" i="2"/>
  <c r="S110" i="2"/>
  <c r="S106" i="2"/>
  <c r="S92" i="2"/>
  <c r="S70" i="2"/>
  <c r="S69" i="2"/>
  <c r="S62" i="2"/>
  <c r="S61" i="2"/>
  <c r="S37" i="2"/>
  <c r="S29" i="2"/>
  <c r="S187" i="2"/>
  <c r="S183" i="2"/>
  <c r="S175" i="2"/>
  <c r="S162" i="2"/>
  <c r="S156" i="2"/>
  <c r="S88" i="2"/>
  <c r="S78" i="2"/>
  <c r="S74" i="2"/>
  <c r="S20" i="2"/>
  <c r="S13" i="2"/>
  <c r="S9" i="2"/>
  <c r="S4" i="2"/>
  <c r="S188" i="2"/>
  <c r="S179" i="2"/>
  <c r="S177" i="2"/>
  <c r="S176" i="2"/>
  <c r="S159" i="2"/>
  <c r="S153" i="2"/>
  <c r="S150" i="2"/>
  <c r="S145" i="2"/>
  <c r="S141" i="2"/>
  <c r="S140" i="2"/>
  <c r="S132" i="2"/>
  <c r="S128" i="2"/>
  <c r="S127" i="2"/>
  <c r="S124" i="2"/>
  <c r="S120" i="2"/>
  <c r="S119" i="2"/>
  <c r="S118" i="2"/>
  <c r="S116" i="2"/>
  <c r="S107" i="2"/>
  <c r="S93" i="2"/>
  <c r="S91" i="2"/>
  <c r="S89" i="2"/>
  <c r="S82" i="2"/>
  <c r="S77" i="2"/>
  <c r="S67" i="2"/>
  <c r="S65" i="2"/>
  <c r="S54" i="2"/>
  <c r="S47" i="2"/>
  <c r="S44" i="2"/>
  <c r="S42" i="2"/>
  <c r="S41" i="2"/>
  <c r="S40" i="2"/>
  <c r="S28" i="2"/>
  <c r="S25" i="2"/>
  <c r="S23" i="2"/>
  <c r="S21" i="2"/>
  <c r="S10" i="2"/>
  <c r="S8" i="2"/>
  <c r="S3" i="2"/>
  <c r="S186" i="2"/>
  <c r="S184" i="2"/>
  <c r="S182" i="2"/>
  <c r="S178" i="2"/>
  <c r="S172" i="2"/>
  <c r="S169" i="2"/>
  <c r="S168" i="2"/>
  <c r="S164" i="2"/>
  <c r="S158" i="2"/>
  <c r="S154" i="2"/>
  <c r="S152" i="2"/>
  <c r="S146" i="2"/>
  <c r="S143" i="2"/>
  <c r="S142" i="2"/>
  <c r="S138" i="2"/>
  <c r="S136" i="2"/>
  <c r="S133" i="2"/>
  <c r="S125" i="2"/>
  <c r="S123" i="2"/>
  <c r="S117" i="2"/>
  <c r="S112" i="2"/>
  <c r="S105" i="2"/>
  <c r="S103" i="2"/>
  <c r="S99" i="2"/>
  <c r="S98" i="2"/>
  <c r="S97" i="2"/>
  <c r="S94" i="2"/>
  <c r="S90" i="2"/>
  <c r="S87" i="2"/>
  <c r="S85" i="2"/>
  <c r="S84" i="2"/>
  <c r="S81" i="2"/>
  <c r="S80" i="2"/>
  <c r="S79" i="2"/>
  <c r="S73" i="2"/>
  <c r="S68" i="2"/>
  <c r="S59" i="2"/>
  <c r="S58" i="2"/>
  <c r="S56" i="2"/>
  <c r="S55" i="2"/>
  <c r="S53" i="2"/>
  <c r="S52" i="2"/>
  <c r="S51" i="2"/>
  <c r="S49" i="2"/>
  <c r="S48" i="2"/>
  <c r="S36" i="2"/>
  <c r="S34" i="2"/>
  <c r="S33" i="2"/>
  <c r="S30" i="2"/>
  <c r="S26" i="2"/>
  <c r="S22" i="2"/>
  <c r="S18" i="2"/>
  <c r="S15" i="2"/>
  <c r="S14" i="2"/>
  <c r="S12" i="2"/>
  <c r="S7" i="2"/>
  <c r="S5" i="2"/>
  <c r="S173" i="2"/>
  <c r="S151" i="2"/>
  <c r="S148" i="2"/>
  <c r="S96" i="2"/>
  <c r="S83" i="2"/>
  <c r="S76" i="2"/>
  <c r="S75" i="2"/>
  <c r="S72" i="2"/>
  <c r="S66" i="2"/>
  <c r="S50" i="2"/>
  <c r="S46" i="2"/>
  <c r="S45" i="2"/>
  <c r="S43" i="2"/>
  <c r="S39" i="2"/>
  <c r="S38" i="2"/>
  <c r="S35" i="2"/>
  <c r="S17" i="2"/>
  <c r="S180" i="2"/>
  <c r="S170" i="2"/>
  <c r="S167" i="2"/>
  <c r="S165" i="2"/>
  <c r="S160" i="2"/>
  <c r="S147" i="2"/>
  <c r="S135" i="2"/>
  <c r="S115" i="2"/>
  <c r="S114" i="2"/>
  <c r="S111" i="2"/>
  <c r="S108" i="2"/>
  <c r="S104" i="2"/>
  <c r="S64" i="2"/>
  <c r="S32" i="2"/>
  <c r="S31" i="2"/>
  <c r="S27" i="2"/>
  <c r="S24" i="2"/>
  <c r="S6" i="2"/>
  <c r="S63" i="2"/>
  <c r="Y185" i="2"/>
  <c r="Y174" i="2"/>
  <c r="Y149" i="2"/>
  <c r="Y144" i="2"/>
  <c r="Y139" i="2"/>
  <c r="Y100" i="2"/>
  <c r="Y19" i="2"/>
  <c r="Y2" i="2"/>
  <c r="Y137" i="2"/>
  <c r="Y130" i="2"/>
  <c r="Y181" i="2"/>
  <c r="Y16" i="2"/>
  <c r="Y157" i="2"/>
  <c r="Y121" i="2"/>
  <c r="Y109" i="2"/>
  <c r="Y131" i="2"/>
  <c r="Y102" i="2"/>
  <c r="Y101" i="2"/>
  <c r="Y60" i="2"/>
  <c r="Y57" i="2"/>
  <c r="Y11" i="2"/>
  <c r="Y189" i="2"/>
  <c r="Y171" i="2"/>
  <c r="Y129" i="2"/>
  <c r="Y126" i="2"/>
  <c r="Y122" i="2"/>
  <c r="Y113" i="2"/>
  <c r="Y95" i="2"/>
  <c r="Y86" i="2"/>
  <c r="Y71" i="2"/>
  <c r="Y166" i="2"/>
  <c r="Y163" i="2"/>
  <c r="Y161" i="2"/>
  <c r="Y155" i="2"/>
  <c r="Y134" i="2"/>
  <c r="Y110" i="2"/>
  <c r="Y106" i="2"/>
  <c r="Y92" i="2"/>
  <c r="Y70" i="2"/>
  <c r="Y69" i="2"/>
  <c r="Y62" i="2"/>
  <c r="Y61" i="2"/>
  <c r="Y37" i="2"/>
  <c r="Y29" i="2"/>
  <c r="Y187" i="2"/>
  <c r="Y183" i="2"/>
  <c r="Y175" i="2"/>
  <c r="Y162" i="2"/>
  <c r="Y156" i="2"/>
  <c r="Y88" i="2"/>
  <c r="Y78" i="2"/>
  <c r="Y74" i="2"/>
  <c r="Y20" i="2"/>
  <c r="Y13" i="2"/>
  <c r="Y9" i="2"/>
  <c r="Y4" i="2"/>
  <c r="Y188" i="2"/>
  <c r="Y179" i="2"/>
  <c r="Y177" i="2"/>
  <c r="Y176" i="2"/>
  <c r="Y159" i="2"/>
  <c r="Y153" i="2"/>
  <c r="Y150" i="2"/>
  <c r="Y145" i="2"/>
  <c r="Y141" i="2"/>
  <c r="Y140" i="2"/>
  <c r="Y132" i="2"/>
  <c r="Y128" i="2"/>
  <c r="Y127" i="2"/>
  <c r="Y124" i="2"/>
  <c r="Y120" i="2"/>
  <c r="Y119" i="2"/>
  <c r="Y118" i="2"/>
  <c r="Y116" i="2"/>
  <c r="Y107" i="2"/>
  <c r="Y93" i="2"/>
  <c r="Y91" i="2"/>
  <c r="Y89" i="2"/>
  <c r="Y82" i="2"/>
  <c r="Y77" i="2"/>
  <c r="Y67" i="2"/>
  <c r="Y65" i="2"/>
  <c r="Y54" i="2"/>
  <c r="Y47" i="2"/>
  <c r="Y44" i="2"/>
  <c r="Y42" i="2"/>
  <c r="Y41" i="2"/>
  <c r="Y40" i="2"/>
  <c r="Y28" i="2"/>
  <c r="Y25" i="2"/>
  <c r="Y23" i="2"/>
  <c r="Y21" i="2"/>
  <c r="Y10" i="2"/>
  <c r="Y8" i="2"/>
  <c r="Y3" i="2"/>
  <c r="Y186" i="2"/>
  <c r="Y184" i="2"/>
  <c r="Y182" i="2"/>
  <c r="Y178" i="2"/>
  <c r="Y172" i="2"/>
  <c r="Y169" i="2"/>
  <c r="Y168" i="2"/>
  <c r="Y164" i="2"/>
  <c r="Y158" i="2"/>
  <c r="Y154" i="2"/>
  <c r="Y152" i="2"/>
  <c r="Y146" i="2"/>
  <c r="Y143" i="2"/>
  <c r="Y142" i="2"/>
  <c r="Y138" i="2"/>
  <c r="Y136" i="2"/>
  <c r="Y133" i="2"/>
  <c r="Y125" i="2"/>
  <c r="Y123" i="2"/>
  <c r="Y117" i="2"/>
  <c r="Y112" i="2"/>
  <c r="Y105" i="2"/>
  <c r="Y103" i="2"/>
  <c r="Y99" i="2"/>
  <c r="Y98" i="2"/>
  <c r="Y97" i="2"/>
  <c r="Y94" i="2"/>
  <c r="Y90" i="2"/>
  <c r="Y87" i="2"/>
  <c r="Y85" i="2"/>
  <c r="Y84" i="2"/>
  <c r="Y81" i="2"/>
  <c r="Y80" i="2"/>
  <c r="Y79" i="2"/>
  <c r="Y73" i="2"/>
  <c r="Y68" i="2"/>
  <c r="Y59" i="2"/>
  <c r="Y58" i="2"/>
  <c r="Y56" i="2"/>
  <c r="Y55" i="2"/>
  <c r="Y53" i="2"/>
  <c r="Y52" i="2"/>
  <c r="Y51" i="2"/>
  <c r="Y49" i="2"/>
  <c r="Y48" i="2"/>
  <c r="Y36" i="2"/>
  <c r="Y34" i="2"/>
  <c r="Y33" i="2"/>
  <c r="Y30" i="2"/>
  <c r="Y26" i="2"/>
  <c r="Y22" i="2"/>
  <c r="Y18" i="2"/>
  <c r="Y15" i="2"/>
  <c r="Y14" i="2"/>
  <c r="Y12" i="2"/>
  <c r="Y7" i="2"/>
  <c r="Y5" i="2"/>
  <c r="Y173" i="2"/>
  <c r="Y151" i="2"/>
  <c r="Y148" i="2"/>
  <c r="Y96" i="2"/>
  <c r="Y83" i="2"/>
  <c r="Y76" i="2"/>
  <c r="Y75" i="2"/>
  <c r="Y72" i="2"/>
  <c r="Y66" i="2"/>
  <c r="Y50" i="2"/>
  <c r="Y46" i="2"/>
  <c r="Y45" i="2"/>
  <c r="Y43" i="2"/>
  <c r="Y39" i="2"/>
  <c r="Y38" i="2"/>
  <c r="Y35" i="2"/>
  <c r="Y17" i="2"/>
  <c r="Y180" i="2"/>
  <c r="Y170" i="2"/>
  <c r="Y167" i="2"/>
  <c r="Y165" i="2"/>
  <c r="Y160" i="2"/>
  <c r="Y147" i="2"/>
  <c r="Y135" i="2"/>
  <c r="Y115" i="2"/>
  <c r="Y114" i="2"/>
  <c r="Y111" i="2"/>
  <c r="Y108" i="2"/>
  <c r="Y104" i="2"/>
  <c r="Y64" i="2"/>
  <c r="Y32" i="2"/>
  <c r="Y31" i="2"/>
  <c r="Y27" i="2"/>
  <c r="Y24" i="2"/>
  <c r="Y6" i="2"/>
  <c r="Y63" i="2"/>
  <c r="D22" i="3" l="1"/>
  <c r="M5" i="3"/>
  <c r="J5" i="3"/>
  <c r="F19" i="3"/>
  <c r="F15" i="3"/>
  <c r="F16" i="3"/>
  <c r="N4" i="4" l="1"/>
  <c r="O4" i="4"/>
  <c r="N5" i="4"/>
  <c r="O5" i="4"/>
  <c r="N6" i="4"/>
  <c r="O6" i="4"/>
  <c r="N7" i="4"/>
  <c r="O7" i="4"/>
  <c r="N8" i="4"/>
  <c r="O8" i="4"/>
  <c r="N9" i="4"/>
  <c r="O9" i="4"/>
  <c r="N10" i="4"/>
  <c r="O10" i="4"/>
  <c r="N11" i="4"/>
  <c r="O11" i="4"/>
  <c r="N12" i="4"/>
  <c r="O12" i="4"/>
  <c r="N13" i="4"/>
  <c r="O13" i="4"/>
  <c r="N14" i="4"/>
  <c r="O14" i="4"/>
  <c r="N15" i="4"/>
  <c r="O15" i="4"/>
  <c r="N16" i="4"/>
  <c r="O16" i="4"/>
  <c r="N17" i="4"/>
  <c r="O17" i="4"/>
  <c r="N18" i="4"/>
  <c r="O18" i="4"/>
  <c r="N19" i="4"/>
  <c r="O19" i="4"/>
  <c r="N20" i="4"/>
  <c r="O20" i="4"/>
  <c r="N21" i="4"/>
  <c r="O21" i="4"/>
  <c r="N22" i="4"/>
  <c r="O22" i="4"/>
  <c r="N23" i="4"/>
  <c r="O23" i="4"/>
  <c r="N24" i="4"/>
  <c r="O24" i="4"/>
  <c r="N25" i="4"/>
  <c r="O25" i="4"/>
  <c r="N26" i="4"/>
  <c r="O26" i="4"/>
  <c r="N27" i="4"/>
  <c r="O27" i="4"/>
  <c r="N28" i="4"/>
  <c r="O28" i="4"/>
  <c r="N29" i="4"/>
  <c r="O29" i="4"/>
  <c r="N30" i="4"/>
  <c r="O30" i="4"/>
  <c r="N31" i="4"/>
  <c r="O31" i="4"/>
  <c r="N32" i="4"/>
  <c r="O32" i="4"/>
  <c r="N33" i="4"/>
  <c r="O33" i="4"/>
  <c r="N34" i="4"/>
  <c r="O34" i="4"/>
  <c r="N35" i="4"/>
  <c r="O35" i="4"/>
  <c r="N36" i="4"/>
  <c r="O36" i="4"/>
  <c r="N37" i="4"/>
  <c r="O37" i="4"/>
  <c r="N38" i="4"/>
  <c r="O38" i="4"/>
  <c r="N39" i="4"/>
  <c r="O39" i="4"/>
  <c r="N40" i="4"/>
  <c r="O40" i="4"/>
  <c r="N41" i="4"/>
  <c r="O41" i="4"/>
  <c r="N42" i="4"/>
  <c r="O42" i="4"/>
  <c r="N43" i="4"/>
  <c r="O43" i="4"/>
  <c r="N44" i="4"/>
  <c r="O44" i="4"/>
  <c r="J4" i="4"/>
  <c r="K4" i="4"/>
  <c r="J5" i="4"/>
  <c r="K5" i="4"/>
  <c r="J6" i="4"/>
  <c r="K6" i="4"/>
  <c r="J7" i="4"/>
  <c r="K7" i="4"/>
  <c r="J8" i="4"/>
  <c r="K8" i="4"/>
  <c r="J9" i="4"/>
  <c r="K9" i="4"/>
  <c r="J10" i="4"/>
  <c r="K10" i="4"/>
  <c r="J11" i="4"/>
  <c r="K11" i="4"/>
  <c r="J12" i="4"/>
  <c r="K12" i="4"/>
  <c r="J13" i="4"/>
  <c r="K13" i="4"/>
  <c r="J14" i="4"/>
  <c r="K14" i="4"/>
  <c r="J18" i="4"/>
  <c r="K18" i="4"/>
  <c r="J19" i="4"/>
  <c r="K19" i="4"/>
  <c r="J20" i="4"/>
  <c r="K20" i="4"/>
  <c r="J21" i="4"/>
  <c r="K21" i="4"/>
  <c r="J22" i="4"/>
  <c r="K22" i="4"/>
  <c r="F22" i="4"/>
  <c r="G22" i="4" s="1"/>
  <c r="F21" i="4"/>
  <c r="G21" i="4" s="1"/>
  <c r="F20" i="4"/>
  <c r="G20" i="4" s="1"/>
  <c r="F19" i="4"/>
  <c r="G19" i="4" s="1"/>
  <c r="F18" i="4"/>
  <c r="G18" i="4" s="1"/>
  <c r="F14" i="4"/>
  <c r="G14" i="4" s="1"/>
  <c r="F13" i="4"/>
  <c r="G13" i="4" s="1"/>
  <c r="F12" i="4"/>
  <c r="G12" i="4" s="1"/>
  <c r="F11" i="4"/>
  <c r="G11" i="4" s="1"/>
  <c r="F10" i="4"/>
  <c r="G10" i="4" s="1"/>
  <c r="F9" i="4"/>
  <c r="G9" i="4" s="1"/>
  <c r="F8" i="4"/>
  <c r="G8" i="4" s="1"/>
  <c r="F7" i="4"/>
  <c r="G7" i="4" s="1"/>
  <c r="F6" i="4"/>
  <c r="G6" i="4" s="1"/>
  <c r="F5" i="4"/>
  <c r="G5" i="4" s="1"/>
  <c r="F4" i="4"/>
  <c r="G4" i="4" s="1"/>
  <c r="B17" i="4"/>
  <c r="C17" i="4"/>
  <c r="B18" i="4"/>
  <c r="C18" i="4"/>
  <c r="B19" i="4"/>
  <c r="C19" i="4"/>
  <c r="B20" i="4"/>
  <c r="C20" i="4"/>
  <c r="B21" i="4"/>
  <c r="C21" i="4"/>
  <c r="B22" i="4"/>
  <c r="C22" i="4"/>
  <c r="B23" i="4"/>
  <c r="C23" i="4"/>
  <c r="B24" i="4"/>
  <c r="C24" i="4"/>
  <c r="B25" i="4"/>
  <c r="C25" i="4"/>
  <c r="B26" i="4"/>
  <c r="C26" i="4"/>
  <c r="B27" i="4"/>
  <c r="C27" i="4"/>
  <c r="B28" i="4"/>
  <c r="C28" i="4"/>
  <c r="O6" i="3" l="1"/>
  <c r="F10" i="3"/>
  <c r="F9" i="3"/>
  <c r="R26" i="2"/>
  <c r="R2" i="2"/>
  <c r="R174" i="2"/>
  <c r="R149" i="2"/>
  <c r="R100" i="2"/>
  <c r="R144" i="2"/>
  <c r="R139" i="2"/>
  <c r="R19" i="2"/>
  <c r="R185" i="2"/>
  <c r="R97" i="2"/>
  <c r="R134" i="2"/>
  <c r="R157" i="2"/>
  <c r="R93" i="2"/>
  <c r="R138" i="2"/>
  <c r="R148" i="2"/>
  <c r="R39" i="2"/>
  <c r="R47" i="2"/>
  <c r="R66" i="2"/>
  <c r="R17" i="2"/>
  <c r="R3" i="2"/>
  <c r="R146" i="2"/>
  <c r="R46" i="2"/>
  <c r="R187" i="2"/>
  <c r="R58" i="2"/>
  <c r="R88" i="2"/>
  <c r="R142" i="2"/>
  <c r="R127" i="2"/>
  <c r="R105" i="2"/>
  <c r="R164" i="2"/>
  <c r="R123" i="2"/>
  <c r="R35" i="2"/>
  <c r="R18" i="2"/>
  <c r="R158" i="2"/>
  <c r="R53" i="2"/>
  <c r="R52" i="2"/>
  <c r="R72" i="2"/>
  <c r="R7" i="2"/>
  <c r="R45" i="2"/>
  <c r="R173" i="2"/>
  <c r="R70" i="2"/>
  <c r="R103" i="2"/>
  <c r="R131" i="2"/>
  <c r="R9" i="2"/>
  <c r="R87" i="2"/>
  <c r="R14" i="2"/>
  <c r="R119" i="2"/>
  <c r="R145" i="2"/>
  <c r="R28" i="2"/>
  <c r="R160" i="2"/>
  <c r="R163" i="2"/>
  <c r="R111" i="2"/>
  <c r="R147" i="2"/>
  <c r="R135" i="2"/>
  <c r="R180" i="2"/>
  <c r="R110" i="2"/>
  <c r="R104" i="2"/>
  <c r="R64" i="2"/>
  <c r="R189" i="2"/>
  <c r="R171" i="2"/>
  <c r="R151" i="2"/>
  <c r="R84" i="2"/>
  <c r="R38" i="2"/>
  <c r="R76" i="2"/>
  <c r="R86" i="2"/>
  <c r="R4" i="2"/>
  <c r="R150" i="2"/>
  <c r="R15" i="2"/>
  <c r="R8" i="2"/>
  <c r="R169" i="2"/>
  <c r="R50" i="2"/>
  <c r="R75" i="2"/>
  <c r="R29" i="2"/>
  <c r="R83" i="2"/>
  <c r="R67" i="2"/>
  <c r="R107" i="2"/>
  <c r="R118" i="2"/>
  <c r="R44" i="2"/>
  <c r="R54" i="2"/>
  <c r="R59" i="2"/>
  <c r="R89" i="2"/>
  <c r="R140" i="2"/>
  <c r="R78" i="2"/>
  <c r="R80" i="2"/>
  <c r="R113" i="2"/>
  <c r="R116" i="2"/>
  <c r="R159" i="2"/>
  <c r="R20" i="2"/>
  <c r="R162" i="2"/>
  <c r="R153" i="2"/>
  <c r="R109" i="2"/>
  <c r="R99" i="2"/>
  <c r="R122" i="2"/>
  <c r="R117" i="2"/>
  <c r="R179" i="2"/>
  <c r="R108" i="2"/>
  <c r="R6" i="2"/>
  <c r="R114" i="2"/>
  <c r="R165" i="2"/>
  <c r="R41" i="2"/>
  <c r="R11" i="2"/>
  <c r="R156" i="2"/>
  <c r="R60" i="2"/>
  <c r="R91" i="2"/>
  <c r="R62" i="2"/>
  <c r="R115" i="2"/>
  <c r="R69" i="2"/>
  <c r="R32" i="2"/>
  <c r="R106" i="2"/>
  <c r="R92" i="2"/>
  <c r="R96" i="2"/>
  <c r="R61" i="2"/>
  <c r="R5" i="2"/>
  <c r="R43" i="2"/>
  <c r="R22" i="2"/>
  <c r="R154" i="2"/>
  <c r="R73" i="2"/>
  <c r="R161" i="2"/>
  <c r="R30" i="2"/>
  <c r="R182" i="2"/>
  <c r="R132" i="2"/>
  <c r="R10" i="2"/>
  <c r="R27" i="2"/>
  <c r="R24" i="2"/>
  <c r="R42" i="2"/>
  <c r="R178" i="2"/>
  <c r="R85" i="2"/>
  <c r="R71" i="2"/>
  <c r="R74" i="2"/>
  <c r="R68" i="2"/>
  <c r="R152" i="2"/>
  <c r="R175" i="2"/>
  <c r="R16" i="2"/>
  <c r="R79" i="2"/>
  <c r="R23" i="2"/>
  <c r="R176" i="2"/>
  <c r="R128" i="2"/>
  <c r="R183" i="2"/>
  <c r="R101" i="2"/>
  <c r="R49" i="2"/>
  <c r="R13" i="2"/>
  <c r="R102" i="2"/>
  <c r="R166" i="2"/>
  <c r="R167" i="2"/>
  <c r="R170" i="2"/>
  <c r="R31" i="2"/>
  <c r="R137" i="2"/>
  <c r="R129" i="2"/>
  <c r="R155" i="2"/>
  <c r="R125" i="2"/>
  <c r="R77" i="2"/>
  <c r="R36" i="2"/>
  <c r="R130" i="2"/>
  <c r="R188" i="2"/>
  <c r="R25" i="2"/>
  <c r="R55" i="2"/>
  <c r="R121" i="2"/>
  <c r="R51" i="2"/>
  <c r="R63" i="2"/>
  <c r="R95" i="2"/>
  <c r="R186" i="2"/>
  <c r="R12" i="2"/>
  <c r="R112" i="2"/>
  <c r="R177" i="2"/>
  <c r="R184" i="2"/>
  <c r="R124" i="2"/>
  <c r="R98" i="2"/>
  <c r="R33" i="2"/>
  <c r="R34" i="2"/>
  <c r="R37" i="2"/>
  <c r="R120" i="2"/>
  <c r="R57" i="2"/>
  <c r="R168" i="2"/>
  <c r="R81" i="2"/>
  <c r="R126" i="2"/>
  <c r="R141" i="2"/>
  <c r="R40" i="2"/>
  <c r="R172" i="2"/>
  <c r="R133" i="2"/>
  <c r="R90" i="2"/>
  <c r="R48" i="2"/>
  <c r="R21" i="2"/>
  <c r="R82" i="2"/>
  <c r="R143" i="2"/>
  <c r="R65" i="2"/>
  <c r="R56" i="2"/>
  <c r="R136" i="2"/>
  <c r="R181" i="2"/>
  <c r="R94" i="2"/>
  <c r="AC2" i="2"/>
  <c r="AC174" i="2"/>
  <c r="AC149" i="2"/>
  <c r="AC100" i="2"/>
  <c r="AC144" i="2"/>
  <c r="AC139" i="2"/>
  <c r="AC19" i="2"/>
  <c r="AC185" i="2"/>
  <c r="AC26" i="2"/>
  <c r="AC130" i="2"/>
  <c r="AC137" i="2"/>
  <c r="AC181" i="2"/>
  <c r="AC16" i="2"/>
  <c r="AC173" i="2"/>
  <c r="AC45" i="2"/>
  <c r="AC7" i="2"/>
  <c r="AC72" i="2"/>
  <c r="AC13" i="2"/>
  <c r="AC122" i="2"/>
  <c r="AC118" i="2"/>
  <c r="AC121" i="2"/>
  <c r="AC57" i="2"/>
  <c r="AC183" i="2"/>
  <c r="AC136" i="2"/>
  <c r="AC138" i="2"/>
  <c r="AC17" i="2"/>
  <c r="AC177" i="2"/>
  <c r="AC157" i="2"/>
  <c r="AC90" i="2"/>
  <c r="AC71" i="2"/>
  <c r="AC102" i="2"/>
  <c r="AC120" i="2"/>
  <c r="AC105" i="2"/>
  <c r="AC4" i="2"/>
  <c r="AC73" i="2"/>
  <c r="AC40" i="2"/>
  <c r="AC127" i="2"/>
  <c r="AC86" i="2"/>
  <c r="AC131" i="2"/>
  <c r="AC53" i="2"/>
  <c r="AC142" i="2"/>
  <c r="AC94" i="2"/>
  <c r="AC52" i="2"/>
  <c r="AC93" i="2"/>
  <c r="AC101" i="2"/>
  <c r="AC81" i="2"/>
  <c r="AC128" i="2"/>
  <c r="AC154" i="2"/>
  <c r="AC145" i="2"/>
  <c r="AC109" i="2"/>
  <c r="AC74" i="2"/>
  <c r="AC33" i="2"/>
  <c r="AC158" i="2"/>
  <c r="AC107" i="2"/>
  <c r="AC146" i="2"/>
  <c r="AC3" i="2"/>
  <c r="AC88" i="2"/>
  <c r="AC66" i="2"/>
  <c r="AC132" i="2"/>
  <c r="AC78" i="2"/>
  <c r="AC143" i="2"/>
  <c r="AC123" i="2"/>
  <c r="AC56" i="2"/>
  <c r="AC91" i="2"/>
  <c r="AC77" i="2"/>
  <c r="AC63" i="2"/>
  <c r="AC35" i="2"/>
  <c r="AC119" i="2"/>
  <c r="AC47" i="2"/>
  <c r="AC34" i="2"/>
  <c r="AC25" i="2"/>
  <c r="AC99" i="2"/>
  <c r="AC148" i="2"/>
  <c r="AC37" i="2"/>
  <c r="AC116" i="2"/>
  <c r="AC176" i="2"/>
  <c r="AC65" i="2"/>
  <c r="AC21" i="2"/>
  <c r="AC14" i="2"/>
  <c r="AC30" i="2"/>
  <c r="AC68" i="2"/>
  <c r="AC54" i="2"/>
  <c r="AC61" i="2"/>
  <c r="AC156" i="2"/>
  <c r="AC124" i="2"/>
  <c r="AC134" i="2"/>
  <c r="AC60" i="2"/>
  <c r="AC82" i="2"/>
  <c r="AC18" i="2"/>
  <c r="AC187" i="2"/>
  <c r="AC179" i="2"/>
  <c r="AC164" i="2"/>
  <c r="AC133" i="2"/>
  <c r="AC58" i="2"/>
  <c r="AC113" i="2"/>
  <c r="AC20" i="2"/>
  <c r="AC141" i="2"/>
  <c r="AC97" i="2"/>
  <c r="AC168" i="2"/>
  <c r="AC44" i="2"/>
  <c r="AC152" i="2"/>
  <c r="AC39" i="2"/>
  <c r="AC9" i="2"/>
  <c r="AC46" i="2"/>
  <c r="AC172" i="2"/>
  <c r="AC125" i="2"/>
  <c r="AC155" i="2"/>
  <c r="AC112" i="2"/>
  <c r="AC98" i="2"/>
  <c r="AC41" i="2"/>
  <c r="AC36" i="2"/>
  <c r="AC103" i="2"/>
  <c r="AC42" i="2"/>
  <c r="AC29" i="2"/>
  <c r="AC5" i="2"/>
  <c r="AC153" i="2"/>
  <c r="AC28" i="2"/>
  <c r="AC49" i="2"/>
  <c r="AC182" i="2"/>
  <c r="AC51" i="2"/>
  <c r="AC10" i="2"/>
  <c r="AC169" i="2"/>
  <c r="AC87" i="2"/>
  <c r="AC162" i="2"/>
  <c r="AC117" i="2"/>
  <c r="AC15" i="2"/>
  <c r="AC48" i="2"/>
  <c r="AC159" i="2"/>
  <c r="AC55" i="2"/>
  <c r="AC80" i="2"/>
  <c r="AC70" i="2"/>
  <c r="AC126" i="2"/>
  <c r="AC95" i="2"/>
  <c r="AC175" i="2"/>
  <c r="AC12" i="2"/>
  <c r="AC89" i="2"/>
  <c r="AC8" i="2"/>
  <c r="AC150" i="2"/>
  <c r="AC23" i="2"/>
  <c r="AC79" i="2"/>
  <c r="AC140" i="2"/>
  <c r="AC188" i="2"/>
  <c r="AC184" i="2"/>
  <c r="AC186" i="2"/>
  <c r="AC85" i="2"/>
  <c r="AC75" i="2"/>
  <c r="AC67" i="2"/>
  <c r="AC11" i="2"/>
  <c r="AC84" i="2"/>
  <c r="AC178" i="2"/>
  <c r="AC22" i="2"/>
  <c r="AC96" i="2"/>
  <c r="AC129" i="2"/>
  <c r="AC59" i="2"/>
  <c r="AC43" i="2"/>
  <c r="AC170" i="2"/>
  <c r="AC31" i="2"/>
  <c r="AC38" i="2"/>
  <c r="AC83" i="2"/>
  <c r="AC76" i="2"/>
  <c r="AC167" i="2"/>
  <c r="AC166" i="2"/>
  <c r="AC189" i="2"/>
  <c r="AC24" i="2"/>
  <c r="AC50" i="2"/>
  <c r="AC151" i="2"/>
  <c r="AC27" i="2"/>
  <c r="AC161" i="2"/>
  <c r="AC92" i="2"/>
  <c r="AC106" i="2"/>
  <c r="AC171" i="2"/>
  <c r="AC69" i="2"/>
  <c r="AC62" i="2"/>
  <c r="AC32" i="2"/>
  <c r="AC115" i="2"/>
  <c r="AC108" i="2"/>
  <c r="AC6" i="2"/>
  <c r="AC114" i="2"/>
  <c r="AC165" i="2"/>
  <c r="AC110" i="2"/>
  <c r="AC104" i="2"/>
  <c r="AC64" i="2"/>
  <c r="AC160" i="2"/>
  <c r="AC163" i="2"/>
  <c r="AC111" i="2"/>
  <c r="AC147" i="2"/>
  <c r="AC180" i="2"/>
  <c r="AC135" i="2"/>
  <c r="AE180" i="2"/>
  <c r="F11" i="3" l="1"/>
  <c r="F12" i="3" s="1"/>
  <c r="AF189" i="2"/>
  <c r="AF166" i="2"/>
  <c r="AF69" i="2"/>
  <c r="AF110" i="2"/>
  <c r="AF161" i="2"/>
  <c r="AF92" i="2"/>
  <c r="AF163" i="2"/>
  <c r="AF62" i="2"/>
  <c r="AF78" i="2"/>
  <c r="AF71" i="2"/>
  <c r="AF11" i="2"/>
  <c r="AF162" i="2"/>
  <c r="AF183" i="2"/>
  <c r="AF9" i="2"/>
  <c r="AF131" i="2"/>
  <c r="AF95" i="2"/>
  <c r="AF60" i="2"/>
  <c r="AF13" i="2"/>
  <c r="AF122" i="2"/>
  <c r="AF88" i="2"/>
  <c r="AF37" i="2"/>
  <c r="AF156" i="2"/>
  <c r="AF121" i="2"/>
  <c r="AF74" i="2"/>
  <c r="AF20" i="2"/>
  <c r="AF113" i="2"/>
  <c r="AF102" i="2"/>
  <c r="AF86" i="2"/>
  <c r="AF4" i="2"/>
  <c r="AF171" i="2"/>
  <c r="AF70" i="2"/>
  <c r="AF175" i="2"/>
  <c r="AF157" i="2"/>
  <c r="AF29" i="2"/>
  <c r="AF129" i="2"/>
  <c r="AF63" i="2"/>
  <c r="AF187" i="2"/>
  <c r="AF57" i="2"/>
  <c r="AF126" i="2"/>
  <c r="AF109" i="2"/>
  <c r="AF155" i="2"/>
  <c r="AF134" i="2"/>
  <c r="AF106" i="2"/>
  <c r="AF101" i="2"/>
  <c r="AF61" i="2"/>
  <c r="AF2" i="2"/>
  <c r="AF160" i="2"/>
  <c r="AF108" i="2"/>
  <c r="AF38" i="2"/>
  <c r="AF115" i="2"/>
  <c r="AF104" i="2"/>
  <c r="AF83" i="2"/>
  <c r="AF6" i="2"/>
  <c r="AF64" i="2"/>
  <c r="AF114" i="2"/>
  <c r="AF111" i="2"/>
  <c r="AF32" i="2"/>
  <c r="AF165" i="2"/>
  <c r="AF147" i="2"/>
  <c r="AF170" i="2"/>
  <c r="AF76" i="2"/>
  <c r="AF31" i="2"/>
  <c r="AF167" i="2"/>
  <c r="AF50" i="2"/>
  <c r="AF151" i="2"/>
  <c r="AF135" i="2"/>
  <c r="AF27" i="2"/>
  <c r="AF180" i="2"/>
  <c r="AF174" i="2"/>
  <c r="AF45" i="2"/>
  <c r="AF149" i="2"/>
  <c r="AF100" i="2"/>
  <c r="AF144" i="2"/>
  <c r="AF139" i="2"/>
  <c r="AF26" i="2"/>
  <c r="AF72" i="2"/>
  <c r="AF19" i="2"/>
  <c r="AF185" i="2"/>
  <c r="AF173" i="2"/>
  <c r="AF7" i="2"/>
  <c r="AF182" i="2"/>
  <c r="AF152" i="2"/>
  <c r="AF140" i="2"/>
  <c r="AF133" i="2"/>
  <c r="AF77" i="2"/>
  <c r="AF49" i="2"/>
  <c r="AF28" i="2"/>
  <c r="AF8" i="2"/>
  <c r="AF176" i="2"/>
  <c r="AF169" i="2"/>
  <c r="AF132" i="2"/>
  <c r="AF112" i="2"/>
  <c r="AF105" i="2"/>
  <c r="AF87" i="2"/>
  <c r="AF75" i="2"/>
  <c r="AF43" i="2"/>
  <c r="AF172" i="2"/>
  <c r="AF164" i="2"/>
  <c r="AF143" i="2"/>
  <c r="AF128" i="2"/>
  <c r="AF96" i="2"/>
  <c r="AF91" i="2"/>
  <c r="AF59" i="2"/>
  <c r="AF56" i="2"/>
  <c r="AF53" i="2"/>
  <c r="AF41" i="2"/>
  <c r="AF36" i="2"/>
  <c r="AF24" i="2"/>
  <c r="AF23" i="2"/>
  <c r="AF22" i="2"/>
  <c r="AF15" i="2"/>
  <c r="AF10" i="2"/>
  <c r="AF125" i="2"/>
  <c r="AF107" i="2"/>
  <c r="AF98" i="2"/>
  <c r="AF93" i="2"/>
  <c r="AF68" i="2"/>
  <c r="AF66" i="2"/>
  <c r="AF54" i="2"/>
  <c r="AF34" i="2"/>
  <c r="AF33" i="2"/>
  <c r="AF3" i="2"/>
  <c r="AF168" i="2"/>
  <c r="AF150" i="2"/>
  <c r="AF145" i="2"/>
  <c r="AF82" i="2"/>
  <c r="AF79" i="2"/>
  <c r="AF48" i="2"/>
  <c r="AF44" i="2"/>
  <c r="AF35" i="2"/>
  <c r="AF17" i="2"/>
  <c r="AF12" i="2"/>
  <c r="AF188" i="2"/>
  <c r="AF179" i="2"/>
  <c r="AF154" i="2"/>
  <c r="AF148" i="2"/>
  <c r="AF142" i="2"/>
  <c r="AF123" i="2"/>
  <c r="AF116" i="2"/>
  <c r="AF99" i="2"/>
  <c r="AF94" i="2"/>
  <c r="AF90" i="2"/>
  <c r="AF30" i="2"/>
  <c r="AF14" i="2"/>
  <c r="AF178" i="2"/>
  <c r="AF136" i="2"/>
  <c r="AF65" i="2"/>
  <c r="AF18" i="2"/>
  <c r="AF184" i="2"/>
  <c r="AF138" i="2"/>
  <c r="AF120" i="2"/>
  <c r="AF51" i="2"/>
  <c r="AF186" i="2"/>
  <c r="AF146" i="2"/>
  <c r="AF141" i="2"/>
  <c r="AF124" i="2"/>
  <c r="AF97" i="2"/>
  <c r="AF89" i="2"/>
  <c r="AF67" i="2"/>
  <c r="AF55" i="2"/>
  <c r="AF52" i="2"/>
  <c r="AF42" i="2"/>
  <c r="AF118" i="2"/>
  <c r="AF81" i="2"/>
  <c r="AF58" i="2"/>
  <c r="AF47" i="2"/>
  <c r="AF46" i="2"/>
  <c r="AF39" i="2"/>
  <c r="AF5" i="2"/>
  <c r="AF119" i="2"/>
  <c r="AF177" i="2"/>
  <c r="AF153" i="2"/>
  <c r="AF127" i="2"/>
  <c r="AF103" i="2"/>
  <c r="AF80" i="2"/>
  <c r="AF73" i="2"/>
  <c r="AF40" i="2"/>
  <c r="AF21" i="2"/>
  <c r="AF159" i="2"/>
  <c r="AF158" i="2"/>
  <c r="AF117" i="2"/>
  <c r="AF85" i="2"/>
  <c r="AF84" i="2"/>
  <c r="AF25" i="2"/>
  <c r="AF137" i="2"/>
  <c r="AF130" i="2"/>
  <c r="AF181" i="2"/>
  <c r="AF16" i="2"/>
  <c r="V189" i="2"/>
  <c r="V166" i="2"/>
  <c r="V69" i="2"/>
  <c r="V110" i="2"/>
  <c r="V161" i="2"/>
  <c r="V92" i="2"/>
  <c r="V163" i="2"/>
  <c r="V62" i="2"/>
  <c r="V78" i="2"/>
  <c r="V71" i="2"/>
  <c r="V11" i="2"/>
  <c r="V162" i="2"/>
  <c r="V183" i="2"/>
  <c r="V9" i="2"/>
  <c r="V131" i="2"/>
  <c r="V95" i="2"/>
  <c r="V60" i="2"/>
  <c r="V13" i="2"/>
  <c r="V122" i="2"/>
  <c r="V88" i="2"/>
  <c r="V37" i="2"/>
  <c r="V156" i="2"/>
  <c r="V121" i="2"/>
  <c r="V74" i="2"/>
  <c r="V20" i="2"/>
  <c r="V113" i="2"/>
  <c r="V102" i="2"/>
  <c r="V86" i="2"/>
  <c r="V4" i="2"/>
  <c r="V171" i="2"/>
  <c r="V70" i="2"/>
  <c r="V175" i="2"/>
  <c r="V157" i="2"/>
  <c r="V29" i="2"/>
  <c r="V129" i="2"/>
  <c r="V63" i="2"/>
  <c r="V187" i="2"/>
  <c r="V57" i="2"/>
  <c r="V126" i="2"/>
  <c r="V109" i="2"/>
  <c r="V155" i="2"/>
  <c r="V134" i="2"/>
  <c r="V106" i="2"/>
  <c r="V101" i="2"/>
  <c r="V61" i="2"/>
  <c r="V160" i="2"/>
  <c r="V108" i="2"/>
  <c r="V38" i="2"/>
  <c r="V115" i="2"/>
  <c r="V104" i="2"/>
  <c r="V83" i="2"/>
  <c r="V6" i="2"/>
  <c r="V64" i="2"/>
  <c r="V114" i="2"/>
  <c r="V111" i="2"/>
  <c r="V32" i="2"/>
  <c r="V165" i="2"/>
  <c r="V147" i="2"/>
  <c r="V170" i="2"/>
  <c r="V76" i="2"/>
  <c r="V31" i="2"/>
  <c r="V167" i="2"/>
  <c r="V50" i="2"/>
  <c r="V151" i="2"/>
  <c r="V135" i="2"/>
  <c r="V27" i="2"/>
  <c r="V180" i="2"/>
  <c r="V174" i="2"/>
  <c r="V45" i="2"/>
  <c r="V149" i="2"/>
  <c r="V100" i="2"/>
  <c r="V144" i="2"/>
  <c r="V139" i="2"/>
  <c r="V26" i="2"/>
  <c r="V72" i="2"/>
  <c r="V19" i="2"/>
  <c r="V185" i="2"/>
  <c r="V173" i="2"/>
  <c r="V7" i="2"/>
  <c r="V182" i="2"/>
  <c r="V152" i="2"/>
  <c r="V140" i="2"/>
  <c r="V133" i="2"/>
  <c r="V77" i="2"/>
  <c r="V49" i="2"/>
  <c r="V28" i="2"/>
  <c r="V8" i="2"/>
  <c r="V176" i="2"/>
  <c r="V169" i="2"/>
  <c r="V132" i="2"/>
  <c r="V112" i="2"/>
  <c r="V105" i="2"/>
  <c r="V87" i="2"/>
  <c r="V75" i="2"/>
  <c r="V43" i="2"/>
  <c r="V172" i="2"/>
  <c r="V164" i="2"/>
  <c r="V143" i="2"/>
  <c r="V128" i="2"/>
  <c r="V96" i="2"/>
  <c r="V91" i="2"/>
  <c r="V59" i="2"/>
  <c r="V56" i="2"/>
  <c r="V53" i="2"/>
  <c r="V41" i="2"/>
  <c r="V36" i="2"/>
  <c r="V24" i="2"/>
  <c r="V23" i="2"/>
  <c r="V22" i="2"/>
  <c r="V15" i="2"/>
  <c r="V10" i="2"/>
  <c r="V125" i="2"/>
  <c r="V107" i="2"/>
  <c r="V98" i="2"/>
  <c r="V93" i="2"/>
  <c r="V68" i="2"/>
  <c r="V66" i="2"/>
  <c r="V54" i="2"/>
  <c r="V34" i="2"/>
  <c r="V33" i="2"/>
  <c r="V3" i="2"/>
  <c r="V168" i="2"/>
  <c r="V150" i="2"/>
  <c r="V145" i="2"/>
  <c r="V82" i="2"/>
  <c r="V79" i="2"/>
  <c r="V48" i="2"/>
  <c r="V44" i="2"/>
  <c r="V35" i="2"/>
  <c r="V17" i="2"/>
  <c r="V12" i="2"/>
  <c r="V188" i="2"/>
  <c r="V179" i="2"/>
  <c r="V154" i="2"/>
  <c r="V148" i="2"/>
  <c r="V142" i="2"/>
  <c r="V123" i="2"/>
  <c r="V116" i="2"/>
  <c r="V99" i="2"/>
  <c r="V94" i="2"/>
  <c r="V90" i="2"/>
  <c r="V30" i="2"/>
  <c r="V14" i="2"/>
  <c r="V178" i="2"/>
  <c r="V136" i="2"/>
  <c r="V65" i="2"/>
  <c r="V18" i="2"/>
  <c r="V184" i="2"/>
  <c r="V138" i="2"/>
  <c r="V120" i="2"/>
  <c r="V51" i="2"/>
  <c r="V186" i="2"/>
  <c r="V146" i="2"/>
  <c r="V141" i="2"/>
  <c r="V124" i="2"/>
  <c r="V97" i="2"/>
  <c r="V89" i="2"/>
  <c r="V67" i="2"/>
  <c r="V55" i="2"/>
  <c r="V52" i="2"/>
  <c r="V42" i="2"/>
  <c r="V118" i="2"/>
  <c r="V81" i="2"/>
  <c r="V58" i="2"/>
  <c r="V47" i="2"/>
  <c r="V46" i="2"/>
  <c r="V39" i="2"/>
  <c r="V5" i="2"/>
  <c r="V119" i="2"/>
  <c r="V177" i="2"/>
  <c r="V153" i="2"/>
  <c r="V127" i="2"/>
  <c r="V103" i="2"/>
  <c r="V80" i="2"/>
  <c r="V73" i="2"/>
  <c r="V40" i="2"/>
  <c r="V21" i="2"/>
  <c r="V159" i="2"/>
  <c r="V158" i="2"/>
  <c r="V117" i="2"/>
  <c r="V85" i="2"/>
  <c r="V84" i="2"/>
  <c r="V25" i="2"/>
  <c r="V137" i="2"/>
  <c r="V130" i="2"/>
  <c r="V181" i="2"/>
  <c r="V16" i="2"/>
  <c r="V2" i="2"/>
  <c r="AE189" i="2"/>
  <c r="AE166" i="2"/>
  <c r="AE69" i="2"/>
  <c r="AE110" i="2"/>
  <c r="AE161" i="2"/>
  <c r="AE92" i="2"/>
  <c r="AE163" i="2"/>
  <c r="AE62" i="2"/>
  <c r="AE78" i="2"/>
  <c r="AE71" i="2"/>
  <c r="AE11" i="2"/>
  <c r="AE162" i="2"/>
  <c r="AE183" i="2"/>
  <c r="AE9" i="2"/>
  <c r="AE131" i="2"/>
  <c r="AE95" i="2"/>
  <c r="AE60" i="2"/>
  <c r="AE13" i="2"/>
  <c r="AE122" i="2"/>
  <c r="AE88" i="2"/>
  <c r="AE37" i="2"/>
  <c r="AE156" i="2"/>
  <c r="AE121" i="2"/>
  <c r="AE74" i="2"/>
  <c r="AE20" i="2"/>
  <c r="AE113" i="2"/>
  <c r="AE102" i="2"/>
  <c r="AE86" i="2"/>
  <c r="AE4" i="2"/>
  <c r="AE171" i="2"/>
  <c r="AE70" i="2"/>
  <c r="AE175" i="2"/>
  <c r="AE157" i="2"/>
  <c r="AE29" i="2"/>
  <c r="AE129" i="2"/>
  <c r="AE63" i="2"/>
  <c r="AE187" i="2"/>
  <c r="AE57" i="2"/>
  <c r="AE126" i="2"/>
  <c r="AE109" i="2"/>
  <c r="AE155" i="2"/>
  <c r="AE134" i="2"/>
  <c r="AE106" i="2"/>
  <c r="AE101" i="2"/>
  <c r="AE61" i="2"/>
  <c r="AE2" i="2"/>
  <c r="AE160" i="2"/>
  <c r="AE108" i="2"/>
  <c r="AE38" i="2"/>
  <c r="AE115" i="2"/>
  <c r="AE104" i="2"/>
  <c r="AE83" i="2"/>
  <c r="AE6" i="2"/>
  <c r="AE64" i="2"/>
  <c r="AE114" i="2"/>
  <c r="AE111" i="2"/>
  <c r="AE32" i="2"/>
  <c r="AE165" i="2"/>
  <c r="AE147" i="2"/>
  <c r="AE170" i="2"/>
  <c r="AE76" i="2"/>
  <c r="AE31" i="2"/>
  <c r="AE167" i="2"/>
  <c r="AE50" i="2"/>
  <c r="AE151" i="2"/>
  <c r="AE135" i="2"/>
  <c r="AE27" i="2"/>
  <c r="AE174" i="2"/>
  <c r="AE45" i="2"/>
  <c r="AE149" i="2"/>
  <c r="AE100" i="2"/>
  <c r="AE144" i="2"/>
  <c r="AE139" i="2"/>
  <c r="AE26" i="2"/>
  <c r="AE72" i="2"/>
  <c r="AE19" i="2"/>
  <c r="AE185" i="2"/>
  <c r="AE173" i="2"/>
  <c r="AE7" i="2"/>
  <c r="AE182" i="2"/>
  <c r="AE152" i="2"/>
  <c r="AE140" i="2"/>
  <c r="AE133" i="2"/>
  <c r="AE77" i="2"/>
  <c r="AE49" i="2"/>
  <c r="AE28" i="2"/>
  <c r="AE8" i="2"/>
  <c r="AE176" i="2"/>
  <c r="AE169" i="2"/>
  <c r="AE132" i="2"/>
  <c r="AE112" i="2"/>
  <c r="AE105" i="2"/>
  <c r="AE87" i="2"/>
  <c r="AE75" i="2"/>
  <c r="AE43" i="2"/>
  <c r="AE172" i="2"/>
  <c r="AE164" i="2"/>
  <c r="AE143" i="2"/>
  <c r="AE128" i="2"/>
  <c r="AE96" i="2"/>
  <c r="AE91" i="2"/>
  <c r="AE59" i="2"/>
  <c r="AE56" i="2"/>
  <c r="AE53" i="2"/>
  <c r="AE41" i="2"/>
  <c r="AE36" i="2"/>
  <c r="AE24" i="2"/>
  <c r="AE23" i="2"/>
  <c r="AE22" i="2"/>
  <c r="AE15" i="2"/>
  <c r="AE10" i="2"/>
  <c r="AE125" i="2"/>
  <c r="AE107" i="2"/>
  <c r="AE98" i="2"/>
  <c r="AE93" i="2"/>
  <c r="AE68" i="2"/>
  <c r="AE66" i="2"/>
  <c r="AE54" i="2"/>
  <c r="AE34" i="2"/>
  <c r="AE33" i="2"/>
  <c r="AE3" i="2"/>
  <c r="AE168" i="2"/>
  <c r="AE150" i="2"/>
  <c r="AE145" i="2"/>
  <c r="AE82" i="2"/>
  <c r="AE79" i="2"/>
  <c r="AE48" i="2"/>
  <c r="AE44" i="2"/>
  <c r="AE35" i="2"/>
  <c r="AE17" i="2"/>
  <c r="AE12" i="2"/>
  <c r="AE188" i="2"/>
  <c r="AE179" i="2"/>
  <c r="AE154" i="2"/>
  <c r="AE148" i="2"/>
  <c r="AE142" i="2"/>
  <c r="AE123" i="2"/>
  <c r="AE116" i="2"/>
  <c r="AE99" i="2"/>
  <c r="AE94" i="2"/>
  <c r="AE90" i="2"/>
  <c r="AE30" i="2"/>
  <c r="AE14" i="2"/>
  <c r="AE178" i="2"/>
  <c r="AE136" i="2"/>
  <c r="AE65" i="2"/>
  <c r="AE18" i="2"/>
  <c r="AE184" i="2"/>
  <c r="AE138" i="2"/>
  <c r="AE120" i="2"/>
  <c r="AE51" i="2"/>
  <c r="AE186" i="2"/>
  <c r="AE146" i="2"/>
  <c r="AE141" i="2"/>
  <c r="AE124" i="2"/>
  <c r="AE97" i="2"/>
  <c r="AE89" i="2"/>
  <c r="AE67" i="2"/>
  <c r="AE55" i="2"/>
  <c r="AE52" i="2"/>
  <c r="AE42" i="2"/>
  <c r="AE118" i="2"/>
  <c r="AE81" i="2"/>
  <c r="AE58" i="2"/>
  <c r="AE47" i="2"/>
  <c r="AE46" i="2"/>
  <c r="AE39" i="2"/>
  <c r="AE5" i="2"/>
  <c r="AE119" i="2"/>
  <c r="AE177" i="2"/>
  <c r="AE153" i="2"/>
  <c r="AE127" i="2"/>
  <c r="AE103" i="2"/>
  <c r="AE80" i="2"/>
  <c r="AE73" i="2"/>
  <c r="AE40" i="2"/>
  <c r="AE21" i="2"/>
  <c r="AE159" i="2"/>
  <c r="AE158" i="2"/>
  <c r="AE117" i="2"/>
  <c r="AE84" i="2"/>
  <c r="AE25" i="2"/>
  <c r="AE137" i="2"/>
  <c r="AE130" i="2"/>
  <c r="AE181" i="2"/>
  <c r="AE16" i="2"/>
  <c r="AE85" i="2"/>
  <c r="X189" i="2" l="1"/>
  <c r="X166" i="2"/>
  <c r="X69" i="2"/>
  <c r="X110" i="2"/>
  <c r="X161" i="2"/>
  <c r="X92" i="2"/>
  <c r="X163" i="2"/>
  <c r="X62" i="2"/>
  <c r="X78" i="2"/>
  <c r="X71" i="2"/>
  <c r="X11" i="2"/>
  <c r="X162" i="2"/>
  <c r="X183" i="2"/>
  <c r="X9" i="2"/>
  <c r="X131" i="2"/>
  <c r="X95" i="2"/>
  <c r="X60" i="2"/>
  <c r="X13" i="2"/>
  <c r="X122" i="2"/>
  <c r="X88" i="2"/>
  <c r="X37" i="2"/>
  <c r="X156" i="2"/>
  <c r="X121" i="2"/>
  <c r="X74" i="2"/>
  <c r="X20" i="2"/>
  <c r="X113" i="2"/>
  <c r="X102" i="2"/>
  <c r="X86" i="2"/>
  <c r="X4" i="2"/>
  <c r="X171" i="2"/>
  <c r="X70" i="2"/>
  <c r="X175" i="2"/>
  <c r="X157" i="2"/>
  <c r="X29" i="2"/>
  <c r="X129" i="2"/>
  <c r="X63" i="2"/>
  <c r="X187" i="2"/>
  <c r="X57" i="2"/>
  <c r="X126" i="2"/>
  <c r="X109" i="2"/>
  <c r="X155" i="2"/>
  <c r="X134" i="2"/>
  <c r="X106" i="2"/>
  <c r="X101" i="2"/>
  <c r="X61" i="2"/>
  <c r="X2" i="2"/>
  <c r="X160" i="2"/>
  <c r="X108" i="2"/>
  <c r="X38" i="2"/>
  <c r="X115" i="2"/>
  <c r="X104" i="2"/>
  <c r="X83" i="2"/>
  <c r="X6" i="2"/>
  <c r="X64" i="2"/>
  <c r="X114" i="2"/>
  <c r="X111" i="2"/>
  <c r="X32" i="2"/>
  <c r="X165" i="2"/>
  <c r="X147" i="2"/>
  <c r="X170" i="2"/>
  <c r="X76" i="2"/>
  <c r="X31" i="2"/>
  <c r="X167" i="2"/>
  <c r="X50" i="2"/>
  <c r="X151" i="2"/>
  <c r="X135" i="2"/>
  <c r="X27" i="2"/>
  <c r="X180" i="2"/>
  <c r="X174" i="2"/>
  <c r="X45" i="2"/>
  <c r="X149" i="2"/>
  <c r="X100" i="2"/>
  <c r="X144" i="2"/>
  <c r="X139" i="2"/>
  <c r="X26" i="2"/>
  <c r="X72" i="2"/>
  <c r="X185" i="2"/>
  <c r="X173" i="2"/>
  <c r="X7" i="2"/>
  <c r="X182" i="2"/>
  <c r="X152" i="2"/>
  <c r="X140" i="2"/>
  <c r="X133" i="2"/>
  <c r="X77" i="2"/>
  <c r="X49" i="2"/>
  <c r="X28" i="2"/>
  <c r="X8" i="2"/>
  <c r="X176" i="2"/>
  <c r="X169" i="2"/>
  <c r="X132" i="2"/>
  <c r="X112" i="2"/>
  <c r="X105" i="2"/>
  <c r="X87" i="2"/>
  <c r="X75" i="2"/>
  <c r="X43" i="2"/>
  <c r="X172" i="2"/>
  <c r="X164" i="2"/>
  <c r="X143" i="2"/>
  <c r="X128" i="2"/>
  <c r="X96" i="2"/>
  <c r="X91" i="2"/>
  <c r="X59" i="2"/>
  <c r="X56" i="2"/>
  <c r="X53" i="2"/>
  <c r="X41" i="2"/>
  <c r="X36" i="2"/>
  <c r="X24" i="2"/>
  <c r="X23" i="2"/>
  <c r="X22" i="2"/>
  <c r="X15" i="2"/>
  <c r="X10" i="2"/>
  <c r="X125" i="2"/>
  <c r="X107" i="2"/>
  <c r="X98" i="2"/>
  <c r="X93" i="2"/>
  <c r="X68" i="2"/>
  <c r="X66" i="2"/>
  <c r="X54" i="2"/>
  <c r="X34" i="2"/>
  <c r="X33" i="2"/>
  <c r="X3" i="2"/>
  <c r="X168" i="2"/>
  <c r="X150" i="2"/>
  <c r="X145" i="2"/>
  <c r="X82" i="2"/>
  <c r="X79" i="2"/>
  <c r="X48" i="2"/>
  <c r="X44" i="2"/>
  <c r="X35" i="2"/>
  <c r="X17" i="2"/>
  <c r="X12" i="2"/>
  <c r="X188" i="2"/>
  <c r="X179" i="2"/>
  <c r="X154" i="2"/>
  <c r="X148" i="2"/>
  <c r="X142" i="2"/>
  <c r="X123" i="2"/>
  <c r="X116" i="2"/>
  <c r="X99" i="2"/>
  <c r="X94" i="2"/>
  <c r="X90" i="2"/>
  <c r="X30" i="2"/>
  <c r="X14" i="2"/>
  <c r="X178" i="2"/>
  <c r="X136" i="2"/>
  <c r="X65" i="2"/>
  <c r="X18" i="2"/>
  <c r="X184" i="2"/>
  <c r="X138" i="2"/>
  <c r="X120" i="2"/>
  <c r="X51" i="2"/>
  <c r="X186" i="2"/>
  <c r="X146" i="2"/>
  <c r="X141" i="2"/>
  <c r="X124" i="2"/>
  <c r="X97" i="2"/>
  <c r="X89" i="2"/>
  <c r="X67" i="2"/>
  <c r="X55" i="2"/>
  <c r="X52" i="2"/>
  <c r="X42" i="2"/>
  <c r="X118" i="2"/>
  <c r="X81" i="2"/>
  <c r="X58" i="2"/>
  <c r="X47" i="2"/>
  <c r="X46" i="2"/>
  <c r="X39" i="2"/>
  <c r="X5" i="2"/>
  <c r="X119" i="2"/>
  <c r="X177" i="2"/>
  <c r="X153" i="2"/>
  <c r="X127" i="2"/>
  <c r="X103" i="2"/>
  <c r="X80" i="2"/>
  <c r="X73" i="2"/>
  <c r="X40" i="2"/>
  <c r="X21" i="2"/>
  <c r="X159" i="2"/>
  <c r="X158" i="2"/>
  <c r="X117" i="2"/>
  <c r="X85" i="2"/>
  <c r="X84" i="2"/>
  <c r="X25" i="2"/>
  <c r="X137" i="2"/>
  <c r="X130" i="2"/>
  <c r="X181" i="2"/>
  <c r="X16" i="2"/>
  <c r="X19" i="2"/>
  <c r="G10" i="3" l="1"/>
  <c r="G8" i="3" l="1"/>
  <c r="G9" i="3"/>
  <c r="G12" i="3" l="1"/>
</calcChain>
</file>

<file path=xl/sharedStrings.xml><?xml version="1.0" encoding="utf-8"?>
<sst xmlns="http://schemas.openxmlformats.org/spreadsheetml/2006/main" count="718" uniqueCount="164">
  <si>
    <t>DAT-DER
AVANC</t>
  </si>
  <si>
    <t>GF</t>
  </si>
  <si>
    <t>NR</t>
  </si>
  <si>
    <t>NB AN DANS LE NR</t>
  </si>
  <si>
    <t>Moyenne</t>
  </si>
  <si>
    <t>NR Moyen par GF</t>
  </si>
  <si>
    <t>Ech</t>
  </si>
  <si>
    <t>NR Moyen par Echelon</t>
  </si>
  <si>
    <t>Arrondi</t>
  </si>
  <si>
    <t>Collège</t>
  </si>
  <si>
    <t>NR moyen par collège</t>
  </si>
  <si>
    <t>moyenne</t>
  </si>
  <si>
    <t>GROUPE-AVCT</t>
  </si>
  <si>
    <t>COLLEGE</t>
  </si>
  <si>
    <t>GF
ACTUEL</t>
  </si>
  <si>
    <t>NR
ACTUEL</t>
  </si>
  <si>
    <t>Date dernier NR</t>
  </si>
  <si>
    <t>Anc. NR au
31/12/2011</t>
  </si>
  <si>
    <t>ECH</t>
  </si>
  <si>
    <t>DAT-EMB
STAT</t>
  </si>
  <si>
    <t>DAT-INACT
PROB</t>
  </si>
  <si>
    <t>1 - Exécution</t>
  </si>
  <si>
    <t>Exécution</t>
  </si>
  <si>
    <t>3 - Maitrise</t>
  </si>
  <si>
    <t>Maîtrise</t>
  </si>
  <si>
    <t>2 - J Exécution</t>
  </si>
  <si>
    <t>.</t>
  </si>
  <si>
    <t>4 - JTS</t>
  </si>
  <si>
    <t>Cadre</t>
  </si>
  <si>
    <t>5 - Cadre</t>
  </si>
  <si>
    <t>Anc. NR à aujourd'hui</t>
  </si>
  <si>
    <t>Date dernier GF</t>
  </si>
  <si>
    <t>ANCIENETE (a date d'embauche)</t>
  </si>
  <si>
    <t>Anciennté
 dans IEG au 31/12/2011</t>
  </si>
  <si>
    <t>ANCIENETE (a date d'embauche) au 31/12/2011</t>
  </si>
  <si>
    <t>Echelon</t>
  </si>
  <si>
    <t>ECH calculé</t>
  </si>
  <si>
    <t>Anc. GF à aujourd'hui</t>
  </si>
  <si>
    <t>AGENT</t>
  </si>
  <si>
    <t>DATE EMB</t>
  </si>
  <si>
    <t>DERNIER NR</t>
  </si>
  <si>
    <t>DERNIER GF</t>
  </si>
  <si>
    <t>GF Moyen par Echelon</t>
  </si>
  <si>
    <t>GF Moyen par NR</t>
  </si>
  <si>
    <t>GF moyen par collège</t>
  </si>
  <si>
    <t>Moyenne par GF</t>
  </si>
  <si>
    <t>Moyenne par Echelon</t>
  </si>
  <si>
    <t>Moyenne par collège</t>
  </si>
  <si>
    <t>Moyenne par NR</t>
  </si>
  <si>
    <t>AST</t>
  </si>
  <si>
    <t>AVC   &lt;4 ans</t>
  </si>
  <si>
    <t>Ancienete</t>
  </si>
  <si>
    <t>Moyenne du groupe</t>
  </si>
  <si>
    <t>Maj Résidentielle</t>
  </si>
  <si>
    <t>NR &gt;= 4 ANS</t>
  </si>
  <si>
    <t>GF &gt;= 7 ANS</t>
  </si>
  <si>
    <t>NB AN DANS LE GF</t>
  </si>
  <si>
    <t>Anciennté
 GF au 31/12/2011</t>
  </si>
  <si>
    <t>GF &lt;7ans</t>
  </si>
  <si>
    <t>Moyenne année NR par collège</t>
  </si>
  <si>
    <t>Moyenne année GF par collège</t>
  </si>
  <si>
    <t>Moyenne dans le GF</t>
  </si>
  <si>
    <t>Moyenne dans le NR</t>
  </si>
  <si>
    <t>ans</t>
  </si>
  <si>
    <t>Années dans le GF</t>
  </si>
  <si>
    <t>Années dans le NR</t>
  </si>
  <si>
    <t>Années dans les IEG</t>
  </si>
  <si>
    <t>Moyenne ancienneté par collège</t>
  </si>
  <si>
    <t>Moyenne d'ancieneté par Collège</t>
  </si>
  <si>
    <t>Moyenne d'ancieneté par GF</t>
  </si>
  <si>
    <t>Moyenne ancieneté par GF</t>
  </si>
  <si>
    <t>ANDRE</t>
  </si>
  <si>
    <t>MANON</t>
  </si>
  <si>
    <t>DIDIER</t>
  </si>
  <si>
    <t>PATRICK</t>
  </si>
  <si>
    <t>HAMID</t>
  </si>
  <si>
    <t>BENJAMIN</t>
  </si>
  <si>
    <t>ARNAUD</t>
  </si>
  <si>
    <t>JOHAN</t>
  </si>
  <si>
    <t>STEPHANE</t>
  </si>
  <si>
    <t>DOMINIQUE</t>
  </si>
  <si>
    <t>MICKAEL</t>
  </si>
  <si>
    <t>YANNICK</t>
  </si>
  <si>
    <t>DANIEL</t>
  </si>
  <si>
    <t>DENIS</t>
  </si>
  <si>
    <t>ERIC</t>
  </si>
  <si>
    <t>NICOLAS</t>
  </si>
  <si>
    <t>PASCAL</t>
  </si>
  <si>
    <t>FRANCK</t>
  </si>
  <si>
    <t>CHRISTOPHE</t>
  </si>
  <si>
    <t>JEAN-LOUIS</t>
  </si>
  <si>
    <t>JULIEN</t>
  </si>
  <si>
    <t>CYRIL</t>
  </si>
  <si>
    <t>JEAN-LUC</t>
  </si>
  <si>
    <t>GUY</t>
  </si>
  <si>
    <t>BENOIT</t>
  </si>
  <si>
    <t>FREDERIC</t>
  </si>
  <si>
    <t>SEBASTIEN</t>
  </si>
  <si>
    <t>THOMAS</t>
  </si>
  <si>
    <t>PHILIPPE</t>
  </si>
  <si>
    <t>MICHEL</t>
  </si>
  <si>
    <t>BRUNO</t>
  </si>
  <si>
    <t>FABIEN</t>
  </si>
  <si>
    <t>THIERRY</t>
  </si>
  <si>
    <t>CLAUDE</t>
  </si>
  <si>
    <t>HERVE</t>
  </si>
  <si>
    <t>EMMANUEL</t>
  </si>
  <si>
    <t>CEDRIC</t>
  </si>
  <si>
    <t>BRICE</t>
  </si>
  <si>
    <t>ALAIN</t>
  </si>
  <si>
    <t>JOSEPH</t>
  </si>
  <si>
    <t>ALEXANDRE</t>
  </si>
  <si>
    <t>CYRILLE</t>
  </si>
  <si>
    <t>EDOUARD</t>
  </si>
  <si>
    <t>GERARD</t>
  </si>
  <si>
    <t>JEAN-FRANCOIS</t>
  </si>
  <si>
    <t>ROMAIN</t>
  </si>
  <si>
    <t>BERNARD</t>
  </si>
  <si>
    <t>PIERRE</t>
  </si>
  <si>
    <t>JEAN-MICHEL</t>
  </si>
  <si>
    <t>ROQUE</t>
  </si>
  <si>
    <t>LAURENT</t>
  </si>
  <si>
    <t>GREGORY</t>
  </si>
  <si>
    <t>PAUCHET</t>
  </si>
  <si>
    <t>VINCENT</t>
  </si>
  <si>
    <t>DIDIER-PHILIPPE</t>
  </si>
  <si>
    <t>FRANCIS</t>
  </si>
  <si>
    <t>JEROME</t>
  </si>
  <si>
    <t>JACQUES</t>
  </si>
  <si>
    <t>LUDOVIC</t>
  </si>
  <si>
    <t>JEAN-NOEL</t>
  </si>
  <si>
    <t>GILLES</t>
  </si>
  <si>
    <t>GUILLAUME</t>
  </si>
  <si>
    <t>JEAN-PAUL</t>
  </si>
  <si>
    <t>CARLOS</t>
  </si>
  <si>
    <t>JEAN</t>
  </si>
  <si>
    <t>OLIVIER</t>
  </si>
  <si>
    <t>YVES</t>
  </si>
  <si>
    <t>JEREMY</t>
  </si>
  <si>
    <t>SERGE</t>
  </si>
  <si>
    <t>DELAIZIR</t>
  </si>
  <si>
    <t>JEAN-DANIEL</t>
  </si>
  <si>
    <t>JEAN-JACQUES</t>
  </si>
  <si>
    <t>JEAN-PIERRE</t>
  </si>
  <si>
    <t>LOIC</t>
  </si>
  <si>
    <t>LIONEL</t>
  </si>
  <si>
    <t>MAXIME</t>
  </si>
  <si>
    <t>DAVID</t>
  </si>
  <si>
    <t>B</t>
  </si>
  <si>
    <t>CHRISTIAN</t>
  </si>
  <si>
    <t>ANTHONY</t>
  </si>
  <si>
    <t>FABRICE</t>
  </si>
  <si>
    <t>KEVIN</t>
  </si>
  <si>
    <t>FLORIAN</t>
  </si>
  <si>
    <t>GERMAIN</t>
  </si>
  <si>
    <t>NAIFINE</t>
  </si>
  <si>
    <t>SILVINO</t>
  </si>
  <si>
    <t>YOHAN</t>
  </si>
  <si>
    <t>LAURA</t>
  </si>
  <si>
    <t>GEORGES</t>
  </si>
  <si>
    <t>GABRIEL</t>
  </si>
  <si>
    <t>FREDERICO</t>
  </si>
  <si>
    <t>NAJIB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</si>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</sst>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1"/>
        <bgColor indexed="64"/>
      </patternFill>
    </fill>
  </fills>
  <borders count="8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auto="1"/>
      </right>
      <top style="double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rgb="FFFF0000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double">
        <color rgb="FFFF0000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/>
      <top style="double">
        <color rgb="FFFF0000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double">
        <color rgb="FFFF0000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thick">
        <color rgb="FFFF0000"/>
      </right>
      <top/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/>
      <diagonal/>
    </border>
    <border>
      <left style="thin">
        <color indexed="64"/>
      </left>
      <right/>
      <top/>
      <bottom style="thick">
        <color rgb="FFFF0000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ck">
        <color rgb="FFFF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1" fillId="0" borderId="0"/>
  </cellStyleXfs>
  <cellXfs count="234">
    <xf numFmtId="0" fontId="0" fillId="0" borderId="0" xfId="0"/>
    <xf numFmtId="0" fontId="25" fillId="0" borderId="0" xfId="0" applyFont="1" applyAlignment="1"/>
    <xf numFmtId="0" fontId="19" fillId="0" borderId="10" xfId="0" applyFont="1" applyBorder="1" applyAlignment="1">
      <alignment horizontal="center"/>
    </xf>
    <xf numFmtId="0" fontId="25" fillId="0" borderId="10" xfId="0" applyFont="1" applyBorder="1" applyAlignment="1"/>
    <xf numFmtId="0" fontId="25" fillId="0" borderId="10" xfId="0" applyFont="1" applyBorder="1" applyAlignment="1">
      <alignment horizontal="center"/>
    </xf>
    <xf numFmtId="0" fontId="22" fillId="0" borderId="10" xfId="0" applyFont="1" applyBorder="1" applyAlignment="1">
      <alignment horizontal="center"/>
    </xf>
    <xf numFmtId="0" fontId="25" fillId="0" borderId="10" xfId="0" applyFont="1" applyFill="1" applyBorder="1" applyAlignment="1"/>
    <xf numFmtId="0" fontId="25" fillId="0" borderId="10" xfId="0" applyFont="1" applyBorder="1" applyAlignment="1">
      <alignment horizontal="center" vertical="center"/>
    </xf>
    <xf numFmtId="0" fontId="25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0" fontId="25" fillId="0" borderId="0" xfId="0" applyNumberFormat="1" applyFont="1" applyAlignment="1"/>
    <xf numFmtId="0" fontId="25" fillId="0" borderId="0" xfId="0" applyFont="1" applyBorder="1" applyAlignment="1"/>
    <xf numFmtId="0" fontId="25" fillId="0" borderId="0" xfId="0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0" fontId="25" fillId="0" borderId="0" xfId="0" applyNumberFormat="1" applyFont="1" applyBorder="1" applyAlignment="1"/>
    <xf numFmtId="0" fontId="19" fillId="0" borderId="0" xfId="0" applyFont="1" applyFill="1" applyBorder="1" applyAlignment="1"/>
    <xf numFmtId="0" fontId="19" fillId="0" borderId="10" xfId="0" applyFont="1" applyFill="1" applyBorder="1" applyAlignment="1"/>
    <xf numFmtId="0" fontId="19" fillId="0" borderId="10" xfId="0" applyFont="1" applyFill="1" applyBorder="1" applyAlignment="1">
      <alignment vertical="center"/>
    </xf>
    <xf numFmtId="0" fontId="25" fillId="0" borderId="0" xfId="0" applyFont="1" applyFill="1" applyAlignment="1"/>
    <xf numFmtId="0" fontId="25" fillId="0" borderId="0" xfId="0" applyNumberFormat="1" applyFont="1" applyAlignment="1">
      <alignment horizontal="center" vertical="center" wrapText="1"/>
    </xf>
    <xf numFmtId="0" fontId="20" fillId="0" borderId="10" xfId="0" applyNumberFormat="1" applyFont="1" applyFill="1" applyBorder="1" applyAlignment="1">
      <alignment horizontal="center" vertical="center" wrapText="1"/>
    </xf>
    <xf numFmtId="0" fontId="20" fillId="0" borderId="10" xfId="0" applyNumberFormat="1" applyFont="1" applyBorder="1" applyAlignment="1">
      <alignment horizontal="center" vertical="center" wrapText="1"/>
    </xf>
    <xf numFmtId="0" fontId="23" fillId="0" borderId="10" xfId="0" applyNumberFormat="1" applyFont="1" applyBorder="1" applyAlignment="1">
      <alignment horizontal="center" vertical="center" wrapText="1"/>
    </xf>
    <xf numFmtId="0" fontId="24" fillId="0" borderId="10" xfId="0" applyNumberFormat="1" applyFont="1" applyBorder="1" applyAlignment="1">
      <alignment horizontal="center" vertical="center" wrapText="1"/>
    </xf>
    <xf numFmtId="0" fontId="19" fillId="0" borderId="10" xfId="0" applyNumberFormat="1" applyFont="1" applyFill="1" applyBorder="1" applyAlignment="1">
      <alignment horizontal="center" vertical="center" wrapText="1"/>
    </xf>
    <xf numFmtId="0" fontId="19" fillId="0" borderId="10" xfId="0" applyNumberFormat="1" applyFont="1" applyFill="1" applyBorder="1" applyAlignment="1">
      <alignment horizontal="left" vertical="top"/>
    </xf>
    <xf numFmtId="0" fontId="25" fillId="0" borderId="10" xfId="0" applyFont="1" applyBorder="1" applyAlignment="1">
      <alignment horizontal="left" vertical="top"/>
    </xf>
    <xf numFmtId="0" fontId="25" fillId="0" borderId="0" xfId="0" applyFont="1" applyAlignment="1">
      <alignment horizontal="left" vertical="top"/>
    </xf>
    <xf numFmtId="0" fontId="25" fillId="0" borderId="10" xfId="0" applyFont="1" applyBorder="1" applyAlignment="1">
      <alignment horizontal="center" vertical="top"/>
    </xf>
    <xf numFmtId="0" fontId="19" fillId="0" borderId="10" xfId="0" applyFont="1" applyFill="1" applyBorder="1" applyAlignment="1">
      <alignment horizontal="center" vertical="center"/>
    </xf>
    <xf numFmtId="14" fontId="25" fillId="0" borderId="10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14" fontId="25" fillId="0" borderId="0" xfId="0" applyNumberFormat="1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14" fontId="19" fillId="0" borderId="0" xfId="0" applyNumberFormat="1" applyFont="1" applyFill="1" applyBorder="1" applyAlignment="1">
      <alignment horizontal="center" vertical="center"/>
    </xf>
    <xf numFmtId="0" fontId="25" fillId="0" borderId="0" xfId="0" applyFont="1" applyFill="1" applyAlignment="1">
      <alignment horizontal="center" vertical="center"/>
    </xf>
    <xf numFmtId="0" fontId="25" fillId="0" borderId="0" xfId="0" applyFont="1" applyAlignment="1">
      <alignment horizontal="center" vertical="center"/>
    </xf>
    <xf numFmtId="14" fontId="25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2" fontId="25" fillId="0" borderId="0" xfId="0" applyNumberFormat="1" applyFont="1" applyBorder="1" applyAlignment="1">
      <alignment horizontal="center"/>
    </xf>
    <xf numFmtId="2" fontId="19" fillId="0" borderId="0" xfId="0" applyNumberFormat="1" applyFont="1" applyFill="1" applyBorder="1" applyAlignment="1">
      <alignment horizontal="center" vertical="center"/>
    </xf>
    <xf numFmtId="2" fontId="25" fillId="0" borderId="0" xfId="0" applyNumberFormat="1" applyFont="1" applyFill="1" applyAlignment="1">
      <alignment horizontal="center" vertical="center"/>
    </xf>
    <xf numFmtId="2" fontId="19" fillId="33" borderId="10" xfId="0" applyNumberFormat="1" applyFont="1" applyFill="1" applyBorder="1" applyAlignment="1">
      <alignment horizontal="center" vertical="center"/>
    </xf>
    <xf numFmtId="0" fontId="25" fillId="33" borderId="10" xfId="0" applyFont="1" applyFill="1" applyBorder="1" applyAlignment="1">
      <alignment horizontal="center" vertical="center"/>
    </xf>
    <xf numFmtId="2" fontId="19" fillId="33" borderId="10" xfId="0" applyNumberFormat="1" applyFont="1" applyFill="1" applyBorder="1" applyAlignment="1">
      <alignment horizontal="center" vertical="center" wrapText="1"/>
    </xf>
    <xf numFmtId="2" fontId="25" fillId="33" borderId="10" xfId="0" applyNumberFormat="1" applyFont="1" applyFill="1" applyBorder="1" applyAlignment="1">
      <alignment horizontal="center" vertical="top"/>
    </xf>
    <xf numFmtId="0" fontId="20" fillId="0" borderId="20" xfId="0" applyNumberFormat="1" applyFont="1" applyFill="1" applyBorder="1" applyAlignment="1">
      <alignment horizontal="center" vertical="center" wrapText="1"/>
    </xf>
    <xf numFmtId="0" fontId="19" fillId="0" borderId="20" xfId="0" applyFont="1" applyFill="1" applyBorder="1" applyAlignment="1">
      <alignment horizontal="center" vertical="center"/>
    </xf>
    <xf numFmtId="0" fontId="19" fillId="0" borderId="20" xfId="0" applyNumberFormat="1" applyFont="1" applyFill="1" applyBorder="1" applyAlignment="1">
      <alignment horizontal="center" vertical="center"/>
    </xf>
    <xf numFmtId="0" fontId="20" fillId="0" borderId="30" xfId="0" applyNumberFormat="1" applyFont="1" applyFill="1" applyBorder="1" applyAlignment="1">
      <alignment horizontal="center" vertical="center" wrapText="1"/>
    </xf>
    <xf numFmtId="14" fontId="19" fillId="0" borderId="30" xfId="0" applyNumberFormat="1" applyFont="1" applyFill="1" applyBorder="1" applyAlignment="1">
      <alignment horizontal="center" vertical="center"/>
    </xf>
    <xf numFmtId="0" fontId="19" fillId="0" borderId="30" xfId="0" applyFont="1" applyFill="1" applyBorder="1" applyAlignment="1">
      <alignment horizontal="center" vertical="center"/>
    </xf>
    <xf numFmtId="0" fontId="19" fillId="0" borderId="30" xfId="0" applyNumberFormat="1" applyFont="1" applyFill="1" applyBorder="1" applyAlignment="1">
      <alignment horizontal="center" vertical="center" wrapText="1"/>
    </xf>
    <xf numFmtId="0" fontId="27" fillId="34" borderId="31" xfId="0" applyNumberFormat="1" applyFont="1" applyFill="1" applyBorder="1" applyAlignment="1">
      <alignment horizontal="center" vertical="center" wrapText="1"/>
    </xf>
    <xf numFmtId="0" fontId="20" fillId="0" borderId="32" xfId="0" applyNumberFormat="1" applyFont="1" applyFill="1" applyBorder="1" applyAlignment="1">
      <alignment horizontal="center" vertical="center" wrapText="1"/>
    </xf>
    <xf numFmtId="2" fontId="20" fillId="33" borderId="32" xfId="0" applyNumberFormat="1" applyFont="1" applyFill="1" applyBorder="1" applyAlignment="1">
      <alignment horizontal="center" vertical="center" wrapText="1"/>
    </xf>
    <xf numFmtId="0" fontId="23" fillId="0" borderId="32" xfId="0" applyNumberFormat="1" applyFont="1" applyFill="1" applyBorder="1" applyAlignment="1">
      <alignment horizontal="center" vertical="center" wrapText="1"/>
    </xf>
    <xf numFmtId="0" fontId="23" fillId="33" borderId="32" xfId="0" applyNumberFormat="1" applyFont="1" applyFill="1" applyBorder="1" applyAlignment="1">
      <alignment horizontal="center" vertical="center" wrapText="1"/>
    </xf>
    <xf numFmtId="0" fontId="20" fillId="33" borderId="32" xfId="0" applyNumberFormat="1" applyFont="1" applyFill="1" applyBorder="1" applyAlignment="1">
      <alignment horizontal="center" vertical="center" wrapText="1"/>
    </xf>
    <xf numFmtId="2" fontId="23" fillId="33" borderId="32" xfId="0" applyNumberFormat="1" applyFont="1" applyFill="1" applyBorder="1" applyAlignment="1">
      <alignment horizontal="center" vertical="center" wrapText="1"/>
    </xf>
    <xf numFmtId="2" fontId="20" fillId="0" borderId="33" xfId="0" applyNumberFormat="1" applyFont="1" applyFill="1" applyBorder="1" applyAlignment="1">
      <alignment horizontal="center" vertical="center" wrapText="1"/>
    </xf>
    <xf numFmtId="0" fontId="26" fillId="34" borderId="34" xfId="0" applyFont="1" applyFill="1" applyBorder="1" applyAlignment="1">
      <alignment horizontal="center" vertical="center"/>
    </xf>
    <xf numFmtId="2" fontId="19" fillId="0" borderId="35" xfId="0" applyNumberFormat="1" applyFont="1" applyFill="1" applyBorder="1" applyAlignment="1">
      <alignment horizontal="center" vertical="center"/>
    </xf>
    <xf numFmtId="0" fontId="26" fillId="34" borderId="36" xfId="0" applyFont="1" applyFill="1" applyBorder="1" applyAlignment="1">
      <alignment horizontal="center" vertical="center"/>
    </xf>
    <xf numFmtId="14" fontId="25" fillId="0" borderId="37" xfId="0" applyNumberFormat="1" applyFont="1" applyFill="1" applyBorder="1" applyAlignment="1">
      <alignment horizontal="center" vertical="center"/>
    </xf>
    <xf numFmtId="0" fontId="25" fillId="33" borderId="37" xfId="0" applyFont="1" applyFill="1" applyBorder="1" applyAlignment="1">
      <alignment horizontal="center" vertical="center"/>
    </xf>
    <xf numFmtId="0" fontId="23" fillId="0" borderId="40" xfId="0" applyNumberFormat="1" applyFont="1" applyFill="1" applyBorder="1" applyAlignment="1">
      <alignment horizontal="center" vertical="center" wrapText="1"/>
    </xf>
    <xf numFmtId="14" fontId="25" fillId="0" borderId="20" xfId="0" applyNumberFormat="1" applyFont="1" applyFill="1" applyBorder="1" applyAlignment="1">
      <alignment horizontal="center" vertical="center"/>
    </xf>
    <xf numFmtId="14" fontId="25" fillId="0" borderId="41" xfId="0" applyNumberFormat="1" applyFont="1" applyFill="1" applyBorder="1" applyAlignment="1">
      <alignment horizontal="center" vertical="center"/>
    </xf>
    <xf numFmtId="14" fontId="20" fillId="0" borderId="40" xfId="0" applyNumberFormat="1" applyFont="1" applyFill="1" applyBorder="1" applyAlignment="1">
      <alignment horizontal="center" vertical="center" wrapText="1"/>
    </xf>
    <xf numFmtId="14" fontId="19" fillId="0" borderId="20" xfId="0" applyNumberFormat="1" applyFont="1" applyFill="1" applyBorder="1" applyAlignment="1">
      <alignment horizontal="center" vertical="center"/>
    </xf>
    <xf numFmtId="0" fontId="19" fillId="0" borderId="37" xfId="0" applyFont="1" applyFill="1" applyBorder="1" applyAlignment="1">
      <alignment horizontal="center" vertical="center"/>
    </xf>
    <xf numFmtId="2" fontId="19" fillId="33" borderId="37" xfId="0" applyNumberFormat="1" applyFont="1" applyFill="1" applyBorder="1" applyAlignment="1">
      <alignment horizontal="center" vertical="center"/>
    </xf>
    <xf numFmtId="14" fontId="19" fillId="0" borderId="20" xfId="0" applyNumberFormat="1" applyFont="1" applyFill="1" applyBorder="1" applyAlignment="1">
      <alignment horizontal="center" vertical="center" wrapText="1"/>
    </xf>
    <xf numFmtId="14" fontId="19" fillId="0" borderId="41" xfId="0" applyNumberFormat="1" applyFont="1" applyFill="1" applyBorder="1" applyAlignment="1">
      <alignment horizontal="center" vertical="center"/>
    </xf>
    <xf numFmtId="0" fontId="26" fillId="34" borderId="34" xfId="0" applyNumberFormat="1" applyFont="1" applyFill="1" applyBorder="1" applyAlignment="1">
      <alignment horizontal="center" vertical="center"/>
    </xf>
    <xf numFmtId="2" fontId="19" fillId="0" borderId="35" xfId="0" applyNumberFormat="1" applyFont="1" applyFill="1" applyBorder="1" applyAlignment="1">
      <alignment horizontal="center" vertical="center" wrapText="1"/>
    </xf>
    <xf numFmtId="2" fontId="19" fillId="0" borderId="39" xfId="0" applyNumberFormat="1" applyFont="1" applyFill="1" applyBorder="1" applyAlignment="1">
      <alignment horizontal="center" vertical="center"/>
    </xf>
    <xf numFmtId="2" fontId="25" fillId="33" borderId="10" xfId="0" applyNumberFormat="1" applyFont="1" applyFill="1" applyBorder="1" applyAlignment="1">
      <alignment horizontal="center"/>
    </xf>
    <xf numFmtId="2" fontId="25" fillId="33" borderId="37" xfId="0" applyNumberFormat="1" applyFont="1" applyFill="1" applyBorder="1" applyAlignment="1">
      <alignment horizontal="center"/>
    </xf>
    <xf numFmtId="2" fontId="25" fillId="0" borderId="0" xfId="0" applyNumberFormat="1" applyFont="1" applyAlignment="1">
      <alignment horizontal="center"/>
    </xf>
    <xf numFmtId="0" fontId="25" fillId="0" borderId="0" xfId="0" applyFont="1"/>
    <xf numFmtId="0" fontId="25" fillId="0" borderId="26" xfId="0" applyFont="1" applyBorder="1" applyAlignment="1">
      <alignment horizontal="center" vertical="center"/>
    </xf>
    <xf numFmtId="0" fontId="25" fillId="0" borderId="0" xfId="0" applyFont="1" applyAlignment="1">
      <alignment vertical="center"/>
    </xf>
    <xf numFmtId="0" fontId="23" fillId="0" borderId="16" xfId="0" applyFont="1" applyBorder="1" applyAlignment="1">
      <alignment horizontal="center" vertical="center"/>
    </xf>
    <xf numFmtId="0" fontId="23" fillId="0" borderId="26" xfId="0" applyFont="1" applyBorder="1" applyAlignment="1">
      <alignment horizontal="center" vertical="center"/>
    </xf>
    <xf numFmtId="0" fontId="23" fillId="0" borderId="17" xfId="0" applyFont="1" applyFill="1" applyBorder="1" applyAlignment="1">
      <alignment horizontal="center" vertical="center"/>
    </xf>
    <xf numFmtId="0" fontId="25" fillId="0" borderId="27" xfId="0" applyFont="1" applyBorder="1" applyAlignment="1">
      <alignment horizontal="center" vertical="center"/>
    </xf>
    <xf numFmtId="1" fontId="25" fillId="0" borderId="11" xfId="0" applyNumberFormat="1" applyFont="1" applyBorder="1" applyAlignment="1">
      <alignment horizontal="center" vertical="center"/>
    </xf>
    <xf numFmtId="0" fontId="25" fillId="0" borderId="28" xfId="0" applyFont="1" applyBorder="1" applyAlignment="1">
      <alignment horizontal="center" vertical="center"/>
    </xf>
    <xf numFmtId="0" fontId="25" fillId="0" borderId="14" xfId="0" applyFont="1" applyBorder="1" applyAlignment="1">
      <alignment horizontal="center" vertical="center"/>
    </xf>
    <xf numFmtId="1" fontId="25" fillId="0" borderId="10" xfId="0" applyNumberFormat="1" applyFont="1" applyBorder="1" applyAlignment="1">
      <alignment horizontal="center" vertical="center"/>
    </xf>
    <xf numFmtId="0" fontId="25" fillId="0" borderId="15" xfId="0" applyFont="1" applyBorder="1" applyAlignment="1">
      <alignment horizontal="center" vertical="center"/>
    </xf>
    <xf numFmtId="0" fontId="25" fillId="0" borderId="16" xfId="0" applyFont="1" applyBorder="1" applyAlignment="1">
      <alignment horizontal="center" vertical="center"/>
    </xf>
    <xf numFmtId="1" fontId="25" fillId="0" borderId="26" xfId="0" applyNumberFormat="1" applyFont="1" applyBorder="1" applyAlignment="1">
      <alignment horizontal="center" vertical="center"/>
    </xf>
    <xf numFmtId="0" fontId="25" fillId="0" borderId="17" xfId="0" applyFont="1" applyBorder="1" applyAlignment="1">
      <alignment horizontal="center" vertical="center"/>
    </xf>
    <xf numFmtId="0" fontId="23" fillId="0" borderId="21" xfId="0" applyFont="1" applyBorder="1" applyAlignment="1">
      <alignment horizontal="center" vertical="center"/>
    </xf>
    <xf numFmtId="1" fontId="25" fillId="0" borderId="20" xfId="0" applyNumberFormat="1" applyFont="1" applyBorder="1" applyAlignment="1">
      <alignment horizontal="center" vertical="center"/>
    </xf>
    <xf numFmtId="1" fontId="25" fillId="0" borderId="21" xfId="0" applyNumberFormat="1" applyFont="1" applyBorder="1" applyAlignment="1">
      <alignment horizontal="center" vertical="center"/>
    </xf>
    <xf numFmtId="0" fontId="23" fillId="0" borderId="16" xfId="0" applyFont="1" applyFill="1" applyBorder="1" applyAlignment="1">
      <alignment horizontal="center" vertical="center"/>
    </xf>
    <xf numFmtId="0" fontId="23" fillId="0" borderId="26" xfId="0" applyFont="1" applyFill="1" applyBorder="1" applyAlignment="1">
      <alignment horizontal="center" vertical="center"/>
    </xf>
    <xf numFmtId="0" fontId="25" fillId="0" borderId="27" xfId="0" applyFont="1" applyBorder="1" applyAlignment="1">
      <alignment horizontal="left" vertical="center"/>
    </xf>
    <xf numFmtId="0" fontId="25" fillId="0" borderId="14" xfId="0" applyFont="1" applyBorder="1" applyAlignment="1">
      <alignment horizontal="left" vertical="center"/>
    </xf>
    <xf numFmtId="0" fontId="25" fillId="0" borderId="16" xfId="0" applyFont="1" applyBorder="1" applyAlignment="1">
      <alignment horizontal="left" vertical="center"/>
    </xf>
    <xf numFmtId="2" fontId="25" fillId="0" borderId="11" xfId="0" applyNumberFormat="1" applyFont="1" applyBorder="1" applyAlignment="1">
      <alignment horizontal="center" vertical="center"/>
    </xf>
    <xf numFmtId="2" fontId="25" fillId="0" borderId="10" xfId="0" applyNumberFormat="1" applyFont="1" applyBorder="1" applyAlignment="1">
      <alignment horizontal="center" vertical="center"/>
    </xf>
    <xf numFmtId="2" fontId="25" fillId="0" borderId="26" xfId="0" applyNumberFormat="1" applyFont="1" applyBorder="1" applyAlignment="1">
      <alignment horizontal="center" vertical="center"/>
    </xf>
    <xf numFmtId="0" fontId="23" fillId="0" borderId="17" xfId="0" applyFont="1" applyBorder="1" applyAlignment="1">
      <alignment horizontal="center" vertical="center"/>
    </xf>
    <xf numFmtId="0" fontId="19" fillId="0" borderId="10" xfId="0" applyNumberFormat="1" applyFont="1" applyBorder="1" applyAlignment="1"/>
    <xf numFmtId="0" fontId="19" fillId="0" borderId="10" xfId="0" applyNumberFormat="1" applyFont="1" applyFill="1" applyBorder="1" applyAlignment="1"/>
    <xf numFmtId="0" fontId="19" fillId="0" borderId="10" xfId="0" applyNumberFormat="1" applyFont="1" applyBorder="1" applyAlignment="1">
      <alignment vertical="center"/>
    </xf>
    <xf numFmtId="0" fontId="19" fillId="0" borderId="10" xfId="0" applyNumberFormat="1" applyFont="1" applyFill="1" applyBorder="1" applyAlignment="1">
      <alignment vertical="center"/>
    </xf>
    <xf numFmtId="0" fontId="19" fillId="0" borderId="10" xfId="0" applyNumberFormat="1" applyFont="1" applyBorder="1" applyAlignment="1">
      <alignment horizontal="left" vertical="top"/>
    </xf>
    <xf numFmtId="0" fontId="25" fillId="0" borderId="10" xfId="0" applyNumberFormat="1" applyFont="1" applyBorder="1" applyAlignment="1"/>
    <xf numFmtId="0" fontId="19" fillId="0" borderId="0" xfId="0" applyNumberFormat="1" applyFont="1" applyFill="1" applyBorder="1" applyAlignment="1"/>
    <xf numFmtId="0" fontId="25" fillId="0" borderId="0" xfId="0" applyNumberFormat="1" applyFont="1" applyFill="1" applyAlignment="1"/>
    <xf numFmtId="0" fontId="23" fillId="35" borderId="25" xfId="0" applyFont="1" applyFill="1" applyBorder="1" applyAlignment="1">
      <alignment horizontal="center" vertical="center" wrapText="1"/>
    </xf>
    <xf numFmtId="0" fontId="23" fillId="0" borderId="13" xfId="0" applyFont="1" applyBorder="1" applyAlignment="1">
      <alignment horizontal="center" vertical="center" wrapText="1"/>
    </xf>
    <xf numFmtId="0" fontId="23" fillId="0" borderId="10" xfId="0" applyFont="1" applyBorder="1" applyAlignment="1">
      <alignment horizontal="center" vertical="center" wrapText="1"/>
    </xf>
    <xf numFmtId="0" fontId="23" fillId="0" borderId="15" xfId="0" applyFont="1" applyBorder="1" applyAlignment="1">
      <alignment horizontal="center" vertical="center" wrapText="1"/>
    </xf>
    <xf numFmtId="0" fontId="23" fillId="0" borderId="38" xfId="0" applyFont="1" applyBorder="1" applyAlignment="1">
      <alignment horizontal="center" vertical="center" wrapText="1"/>
    </xf>
    <xf numFmtId="0" fontId="23" fillId="35" borderId="43" xfId="0" applyFont="1" applyFill="1" applyBorder="1" applyAlignment="1">
      <alignment horizontal="center" vertical="center" wrapText="1"/>
    </xf>
    <xf numFmtId="1" fontId="25" fillId="0" borderId="46" xfId="0" applyNumberFormat="1" applyFont="1" applyBorder="1" applyAlignment="1">
      <alignment horizontal="center" wrapText="1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6" fillId="0" borderId="44" xfId="0" applyFont="1" applyBorder="1" applyAlignment="1">
      <alignment horizontal="center" vertical="center" wrapText="1"/>
    </xf>
    <xf numFmtId="0" fontId="16" fillId="0" borderId="46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top"/>
    </xf>
    <xf numFmtId="0" fontId="25" fillId="0" borderId="45" xfId="0" applyNumberFormat="1" applyFont="1" applyBorder="1" applyAlignment="1">
      <alignment horizontal="center" wrapText="1"/>
    </xf>
    <xf numFmtId="0" fontId="23" fillId="0" borderId="22" xfId="0" applyFont="1" applyBorder="1" applyAlignment="1">
      <alignment horizontal="center" vertical="center"/>
    </xf>
    <xf numFmtId="0" fontId="19" fillId="33" borderId="10" xfId="0" applyFont="1" applyFill="1" applyBorder="1" applyAlignment="1">
      <alignment horizontal="center" vertical="center"/>
    </xf>
    <xf numFmtId="0" fontId="19" fillId="33" borderId="10" xfId="0" applyNumberFormat="1" applyFont="1" applyFill="1" applyBorder="1" applyAlignment="1">
      <alignment horizontal="center" vertical="center" wrapText="1"/>
    </xf>
    <xf numFmtId="0" fontId="19" fillId="33" borderId="37" xfId="0" applyFont="1" applyFill="1" applyBorder="1" applyAlignment="1">
      <alignment horizontal="center" vertical="center"/>
    </xf>
    <xf numFmtId="0" fontId="23" fillId="33" borderId="49" xfId="0" applyNumberFormat="1" applyFont="1" applyFill="1" applyBorder="1" applyAlignment="1">
      <alignment horizontal="center" vertical="center" wrapText="1"/>
    </xf>
    <xf numFmtId="0" fontId="25" fillId="0" borderId="27" xfId="0" applyFont="1" applyBorder="1"/>
    <xf numFmtId="0" fontId="25" fillId="0" borderId="28" xfId="0" applyFont="1" applyBorder="1"/>
    <xf numFmtId="0" fontId="25" fillId="0" borderId="14" xfId="0" applyFont="1" applyBorder="1"/>
    <xf numFmtId="0" fontId="25" fillId="0" borderId="15" xfId="0" applyFont="1" applyBorder="1"/>
    <xf numFmtId="0" fontId="25" fillId="0" borderId="16" xfId="0" applyFont="1" applyBorder="1"/>
    <xf numFmtId="0" fontId="25" fillId="0" borderId="17" xfId="0" applyFont="1" applyBorder="1"/>
    <xf numFmtId="2" fontId="25" fillId="0" borderId="11" xfId="0" applyNumberFormat="1" applyFont="1" applyBorder="1"/>
    <xf numFmtId="2" fontId="25" fillId="0" borderId="10" xfId="0" applyNumberFormat="1" applyFont="1" applyBorder="1"/>
    <xf numFmtId="2" fontId="25" fillId="0" borderId="26" xfId="0" applyNumberFormat="1" applyFont="1" applyBorder="1"/>
    <xf numFmtId="0" fontId="23" fillId="0" borderId="12" xfId="0" applyFont="1" applyBorder="1" applyAlignment="1">
      <alignment horizontal="center" wrapText="1"/>
    </xf>
    <xf numFmtId="0" fontId="23" fillId="0" borderId="14" xfId="0" applyFont="1" applyBorder="1" applyAlignment="1">
      <alignment horizontal="center" wrapText="1"/>
    </xf>
    <xf numFmtId="0" fontId="23" fillId="0" borderId="14" xfId="0" applyFont="1" applyBorder="1" applyAlignment="1">
      <alignment horizontal="center" vertical="center" wrapText="1"/>
    </xf>
    <xf numFmtId="0" fontId="23" fillId="0" borderId="42" xfId="0" applyFont="1" applyBorder="1" applyAlignment="1">
      <alignment horizontal="center" wrapText="1"/>
    </xf>
    <xf numFmtId="0" fontId="23" fillId="0" borderId="44" xfId="0" applyFont="1" applyBorder="1" applyAlignment="1">
      <alignment horizontal="center" wrapText="1"/>
    </xf>
    <xf numFmtId="0" fontId="25" fillId="0" borderId="0" xfId="0" applyFont="1" applyBorder="1"/>
    <xf numFmtId="0" fontId="25" fillId="0" borderId="24" xfId="0" applyFont="1" applyBorder="1"/>
    <xf numFmtId="0" fontId="23" fillId="0" borderId="54" xfId="0" applyFont="1" applyBorder="1" applyAlignment="1">
      <alignment horizontal="center" vertical="center"/>
    </xf>
    <xf numFmtId="0" fontId="25" fillId="0" borderId="55" xfId="0" applyFont="1" applyBorder="1"/>
    <xf numFmtId="0" fontId="25" fillId="0" borderId="0" xfId="0" applyNumberFormat="1" applyFont="1" applyAlignment="1">
      <alignment horizontal="center" vertical="center"/>
    </xf>
    <xf numFmtId="0" fontId="23" fillId="0" borderId="16" xfId="0" applyFont="1" applyBorder="1"/>
    <xf numFmtId="0" fontId="23" fillId="0" borderId="26" xfId="0" applyFont="1" applyBorder="1"/>
    <xf numFmtId="0" fontId="23" fillId="0" borderId="17" xfId="0" applyFont="1" applyBorder="1"/>
    <xf numFmtId="0" fontId="25" fillId="0" borderId="55" xfId="0" applyFont="1" applyBorder="1" applyAlignment="1">
      <alignment vertical="center"/>
    </xf>
    <xf numFmtId="0" fontId="25" fillId="0" borderId="21" xfId="0" applyFont="1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14" fontId="25" fillId="0" borderId="54" xfId="0" applyNumberFormat="1" applyFont="1" applyBorder="1" applyAlignment="1">
      <alignment horizontal="center" vertical="center"/>
    </xf>
    <xf numFmtId="14" fontId="25" fillId="0" borderId="56" xfId="0" applyNumberFormat="1" applyFont="1" applyBorder="1" applyAlignment="1">
      <alignment horizontal="center" vertical="center"/>
    </xf>
    <xf numFmtId="0" fontId="23" fillId="0" borderId="18" xfId="0" applyFont="1" applyBorder="1" applyAlignment="1">
      <alignment horizontal="center" vertical="center"/>
    </xf>
    <xf numFmtId="0" fontId="23" fillId="0" borderId="29" xfId="0" applyFont="1" applyBorder="1" applyAlignment="1">
      <alignment horizontal="center" vertical="center"/>
    </xf>
    <xf numFmtId="0" fontId="23" fillId="0" borderId="19" xfId="0" applyFont="1" applyBorder="1" applyAlignment="1">
      <alignment horizontal="center" vertical="center"/>
    </xf>
    <xf numFmtId="0" fontId="25" fillId="0" borderId="54" xfId="0" applyNumberFormat="1" applyFont="1" applyBorder="1" applyAlignment="1">
      <alignment horizontal="center" vertical="center"/>
    </xf>
    <xf numFmtId="0" fontId="25" fillId="0" borderId="56" xfId="0" applyNumberFormat="1" applyFont="1" applyBorder="1" applyAlignment="1">
      <alignment horizontal="center" vertical="center"/>
    </xf>
    <xf numFmtId="0" fontId="23" fillId="0" borderId="18" xfId="0" applyFont="1" applyBorder="1" applyAlignment="1">
      <alignment horizontal="left"/>
    </xf>
    <xf numFmtId="0" fontId="23" fillId="0" borderId="19" xfId="0" applyFont="1" applyBorder="1" applyAlignment="1">
      <alignment horizontal="left"/>
    </xf>
    <xf numFmtId="0" fontId="23" fillId="0" borderId="54" xfId="0" applyFont="1" applyBorder="1" applyAlignment="1">
      <alignment horizontal="left"/>
    </xf>
    <xf numFmtId="0" fontId="23" fillId="0" borderId="55" xfId="0" applyFont="1" applyBorder="1" applyAlignment="1">
      <alignment horizontal="left"/>
    </xf>
    <xf numFmtId="0" fontId="28" fillId="0" borderId="68" xfId="0" applyFont="1" applyBorder="1" applyAlignment="1">
      <alignment horizontal="center" vertical="center" wrapText="1"/>
    </xf>
    <xf numFmtId="0" fontId="28" fillId="0" borderId="51" xfId="0" applyFont="1" applyBorder="1" applyAlignment="1">
      <alignment horizontal="center" vertical="center" wrapText="1"/>
    </xf>
    <xf numFmtId="2" fontId="23" fillId="0" borderId="52" xfId="0" applyNumberFormat="1" applyFont="1" applyBorder="1" applyAlignment="1">
      <alignment horizontal="center" vertical="center"/>
    </xf>
    <xf numFmtId="2" fontId="23" fillId="0" borderId="69" xfId="0" applyNumberFormat="1" applyFont="1" applyBorder="1" applyAlignment="1">
      <alignment horizontal="center" vertical="center"/>
    </xf>
    <xf numFmtId="2" fontId="23" fillId="0" borderId="64" xfId="0" applyNumberFormat="1" applyFont="1" applyBorder="1" applyAlignment="1">
      <alignment horizontal="center" vertical="center"/>
    </xf>
    <xf numFmtId="2" fontId="23" fillId="0" borderId="67" xfId="0" applyNumberFormat="1" applyFont="1" applyBorder="1" applyAlignment="1">
      <alignment horizontal="center" vertical="center"/>
    </xf>
    <xf numFmtId="0" fontId="28" fillId="0" borderId="60" xfId="0" applyFont="1" applyBorder="1" applyAlignment="1">
      <alignment horizontal="center" vertical="center" wrapText="1"/>
    </xf>
    <xf numFmtId="0" fontId="28" fillId="0" borderId="62" xfId="0" applyFont="1" applyBorder="1" applyAlignment="1">
      <alignment horizontal="center" vertical="center" wrapText="1"/>
    </xf>
    <xf numFmtId="2" fontId="23" fillId="0" borderId="79" xfId="0" applyNumberFormat="1" applyFont="1" applyBorder="1" applyAlignment="1">
      <alignment horizontal="center" vertical="center"/>
    </xf>
    <xf numFmtId="2" fontId="23" fillId="0" borderId="80" xfId="0" applyNumberFormat="1" applyFont="1" applyBorder="1" applyAlignment="1">
      <alignment horizontal="center" vertical="center"/>
    </xf>
    <xf numFmtId="0" fontId="28" fillId="0" borderId="78" xfId="0" applyFont="1" applyBorder="1" applyAlignment="1">
      <alignment horizontal="center" vertical="center" wrapText="1"/>
    </xf>
    <xf numFmtId="0" fontId="28" fillId="0" borderId="79" xfId="0" applyFont="1" applyBorder="1" applyAlignment="1">
      <alignment horizontal="center" vertical="center" wrapText="1"/>
    </xf>
    <xf numFmtId="14" fontId="23" fillId="0" borderId="71" xfId="0" applyNumberFormat="1" applyFont="1" applyBorder="1" applyAlignment="1">
      <alignment horizontal="center" vertical="center"/>
    </xf>
    <xf numFmtId="14" fontId="23" fillId="0" borderId="72" xfId="0" applyNumberFormat="1" applyFont="1" applyBorder="1" applyAlignment="1">
      <alignment horizontal="center" vertical="center"/>
    </xf>
    <xf numFmtId="14" fontId="23" fillId="0" borderId="52" xfId="0" applyNumberFormat="1" applyFont="1" applyBorder="1" applyAlignment="1">
      <alignment horizontal="center" vertical="center"/>
    </xf>
    <xf numFmtId="14" fontId="23" fillId="0" borderId="53" xfId="0" applyNumberFormat="1" applyFont="1" applyBorder="1" applyAlignment="1">
      <alignment horizontal="center" vertical="center"/>
    </xf>
    <xf numFmtId="0" fontId="23" fillId="0" borderId="42" xfId="0" applyFont="1" applyBorder="1" applyAlignment="1">
      <alignment horizontal="center" vertical="center"/>
    </xf>
    <xf numFmtId="0" fontId="23" fillId="0" borderId="47" xfId="0" applyFont="1" applyBorder="1" applyAlignment="1">
      <alignment horizontal="center" vertical="center"/>
    </xf>
    <xf numFmtId="0" fontId="29" fillId="0" borderId="0" xfId="0" applyFont="1" applyAlignment="1">
      <alignment horizontal="center"/>
    </xf>
    <xf numFmtId="0" fontId="28" fillId="0" borderId="48" xfId="0" applyFont="1" applyBorder="1" applyAlignment="1">
      <alignment horizontal="center" vertical="center" wrapText="1"/>
    </xf>
    <xf numFmtId="0" fontId="28" fillId="0" borderId="27" xfId="0" applyFont="1" applyBorder="1" applyAlignment="1">
      <alignment horizontal="center" vertical="center" wrapText="1"/>
    </xf>
    <xf numFmtId="0" fontId="28" fillId="0" borderId="50" xfId="0" applyFont="1" applyBorder="1" applyAlignment="1">
      <alignment horizontal="center" vertical="center" wrapText="1"/>
    </xf>
    <xf numFmtId="0" fontId="28" fillId="0" borderId="70" xfId="0" applyFont="1" applyBorder="1" applyAlignment="1">
      <alignment horizontal="center" vertical="center" wrapText="1"/>
    </xf>
    <xf numFmtId="0" fontId="28" fillId="0" borderId="71" xfId="0" applyFont="1" applyBorder="1" applyAlignment="1">
      <alignment horizontal="center" vertical="center" wrapText="1"/>
    </xf>
    <xf numFmtId="0" fontId="28" fillId="0" borderId="74" xfId="0" applyFont="1" applyBorder="1" applyAlignment="1">
      <alignment horizontal="center" vertical="center" wrapText="1"/>
    </xf>
    <xf numFmtId="0" fontId="28" fillId="0" borderId="75" xfId="0" applyFont="1" applyBorder="1" applyAlignment="1">
      <alignment horizontal="center" vertical="center" wrapText="1"/>
    </xf>
    <xf numFmtId="0" fontId="23" fillId="0" borderId="76" xfId="0" applyFont="1" applyBorder="1" applyAlignment="1">
      <alignment horizontal="center" vertical="center"/>
    </xf>
    <xf numFmtId="0" fontId="23" fillId="0" borderId="77" xfId="0" applyFont="1" applyBorder="1" applyAlignment="1">
      <alignment horizontal="center" vertical="center"/>
    </xf>
    <xf numFmtId="0" fontId="23" fillId="0" borderId="64" xfId="0" applyFont="1" applyBorder="1" applyAlignment="1">
      <alignment horizontal="center" vertical="center"/>
    </xf>
    <xf numFmtId="0" fontId="23" fillId="0" borderId="67" xfId="0" applyFont="1" applyBorder="1" applyAlignment="1">
      <alignment horizontal="center" vertical="center"/>
    </xf>
    <xf numFmtId="0" fontId="28" fillId="0" borderId="59" xfId="0" applyFont="1" applyBorder="1" applyAlignment="1">
      <alignment horizontal="center" vertical="center" wrapText="1"/>
    </xf>
    <xf numFmtId="0" fontId="28" fillId="0" borderId="11" xfId="0" applyFont="1" applyBorder="1" applyAlignment="1">
      <alignment horizontal="center" vertical="center" wrapText="1"/>
    </xf>
    <xf numFmtId="0" fontId="23" fillId="0" borderId="38" xfId="0" applyFont="1" applyBorder="1" applyAlignment="1">
      <alignment horizontal="center" vertical="center"/>
    </xf>
    <xf numFmtId="0" fontId="23" fillId="0" borderId="66" xfId="0" applyFont="1" applyBorder="1" applyAlignment="1">
      <alignment horizontal="center" vertical="center"/>
    </xf>
    <xf numFmtId="14" fontId="23" fillId="0" borderId="10" xfId="0" applyNumberFormat="1" applyFont="1" applyBorder="1" applyAlignment="1">
      <alignment horizontal="center" vertical="center"/>
    </xf>
    <xf numFmtId="14" fontId="23" fillId="0" borderId="73" xfId="0" applyNumberFormat="1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 wrapText="1"/>
    </xf>
    <xf numFmtId="0" fontId="28" fillId="0" borderId="57" xfId="0" applyFont="1" applyBorder="1" applyAlignment="1">
      <alignment horizontal="center" vertical="center" wrapText="1"/>
    </xf>
    <xf numFmtId="0" fontId="23" fillId="0" borderId="57" xfId="0" applyNumberFormat="1" applyFont="1" applyBorder="1" applyAlignment="1">
      <alignment horizontal="center" vertical="center"/>
    </xf>
    <xf numFmtId="0" fontId="23" fillId="0" borderId="55" xfId="0" applyNumberFormat="1" applyFont="1" applyBorder="1" applyAlignment="1">
      <alignment horizontal="center" vertical="center"/>
    </xf>
    <xf numFmtId="14" fontId="23" fillId="0" borderId="63" xfId="0" applyNumberFormat="1" applyFont="1" applyBorder="1" applyAlignment="1">
      <alignment horizontal="center" vertical="center"/>
    </xf>
    <xf numFmtId="14" fontId="23" fillId="0" borderId="65" xfId="0" applyNumberFormat="1" applyFont="1" applyBorder="1" applyAlignment="1">
      <alignment horizontal="center" vertical="center"/>
    </xf>
    <xf numFmtId="0" fontId="28" fillId="0" borderId="58" xfId="0" applyFont="1" applyBorder="1" applyAlignment="1">
      <alignment horizontal="center" vertical="center" wrapText="1"/>
    </xf>
    <xf numFmtId="0" fontId="28" fillId="0" borderId="61" xfId="0" applyFont="1" applyBorder="1" applyAlignment="1">
      <alignment horizontal="center" vertical="center" wrapText="1"/>
    </xf>
    <xf numFmtId="14" fontId="23" fillId="0" borderId="38" xfId="0" applyNumberFormat="1" applyFont="1" applyBorder="1" applyAlignment="1">
      <alignment horizontal="center" vertical="center"/>
    </xf>
    <xf numFmtId="14" fontId="23" fillId="0" borderId="66" xfId="0" applyNumberFormat="1" applyFont="1" applyBorder="1" applyAlignment="1">
      <alignment horizontal="center" vertical="center"/>
    </xf>
    <xf numFmtId="0" fontId="23" fillId="0" borderId="18" xfId="0" applyFont="1" applyFill="1" applyBorder="1" applyAlignment="1">
      <alignment horizontal="center" vertical="center"/>
    </xf>
    <xf numFmtId="0" fontId="23" fillId="0" borderId="29" xfId="0" applyFont="1" applyFill="1" applyBorder="1" applyAlignment="1">
      <alignment horizontal="center" vertical="center"/>
    </xf>
    <xf numFmtId="0" fontId="23" fillId="0" borderId="19" xfId="0" applyFont="1" applyFill="1" applyBorder="1" applyAlignment="1">
      <alignment horizontal="center" vertical="center"/>
    </xf>
    <xf numFmtId="0" fontId="23" fillId="0" borderId="18" xfId="0" applyFont="1" applyFill="1" applyBorder="1" applyAlignment="1">
      <alignment horizontal="center"/>
    </xf>
    <xf numFmtId="0" fontId="23" fillId="0" borderId="29" xfId="0" applyFont="1" applyFill="1" applyBorder="1" applyAlignment="1">
      <alignment horizontal="center"/>
    </xf>
    <xf numFmtId="0" fontId="23" fillId="0" borderId="19" xfId="0" applyFont="1" applyFill="1" applyBorder="1" applyAlignment="1">
      <alignment horizontal="center"/>
    </xf>
    <xf numFmtId="0" fontId="23" fillId="0" borderId="22" xfId="0" applyFont="1" applyBorder="1" applyAlignment="1">
      <alignment horizontal="center" vertical="center"/>
    </xf>
    <xf numFmtId="0" fontId="23" fillId="0" borderId="23" xfId="0" applyFont="1" applyBorder="1" applyAlignment="1">
      <alignment horizontal="center" vertical="center"/>
    </xf>
    <xf numFmtId="0" fontId="23" fillId="0" borderId="24" xfId="0" applyFont="1" applyBorder="1" applyAlignment="1">
      <alignment horizontal="center" vertical="center"/>
    </xf>
    <xf numFmtId="0" fontId="23" fillId="0" borderId="12" xfId="0" applyFont="1" applyBorder="1" applyAlignment="1">
      <alignment horizontal="center" vertical="center"/>
    </xf>
    <xf numFmtId="0" fontId="23" fillId="0" borderId="25" xfId="0" applyFont="1" applyBorder="1" applyAlignment="1">
      <alignment horizontal="center" vertical="center"/>
    </xf>
    <xf numFmtId="0" fontId="23" fillId="0" borderId="13" xfId="0" applyFont="1" applyBorder="1" applyAlignment="1">
      <alignment horizontal="center" vertic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2 2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font>
        <color auto="1"/>
      </font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000"/>
              <a:t>GF</a:t>
            </a:r>
          </a:p>
        </c:rich>
      </c:tx>
      <c:layout>
        <c:manualLayout>
          <c:xMode val="edge"/>
          <c:yMode val="edge"/>
          <c:x val="9.3788111780145123E-2"/>
          <c:y val="4.657932330390440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725965578413369"/>
          <c:y val="0.16332868558895641"/>
          <c:w val="0.66005348155010035"/>
          <c:h val="0.63662015050867438"/>
        </c:manualLayout>
      </c:layout>
      <c:lineChart>
        <c:grouping val="standard"/>
        <c:varyColors val="0"/>
        <c:ser>
          <c:idx val="0"/>
          <c:order val="0"/>
          <c:tx>
            <c:v>GF</c:v>
          </c:tx>
          <c:marker>
            <c:symbol val="none"/>
          </c:marker>
          <c:cat>
            <c:strRef>
              <c:f>(Analyse!$B$5,Analyse!$E$12)</c:f>
              <c:strCache>
                <c:ptCount val="2"/>
                <c:pt idx="0">
                  <c:v>DIDIER-PHILIPPE</c:v>
                </c:pt>
                <c:pt idx="1">
                  <c:v>Moyenne du groupe</c:v>
                </c:pt>
              </c:strCache>
            </c:strRef>
          </c:cat>
          <c:val>
            <c:numRef>
              <c:f>(Analyse!$F$5,Analyse!$F$12)</c:f>
              <c:numCache>
                <c:formatCode>General</c:formatCode>
                <c:ptCount val="2"/>
                <c:pt idx="0">
                  <c:v>6</c:v>
                </c:pt>
                <c:pt idx="1">
                  <c:v>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7194240"/>
        <c:axId val="127195776"/>
      </c:lineChart>
      <c:lineChart>
        <c:grouping val="standard"/>
        <c:varyColors val="0"/>
        <c:ser>
          <c:idx val="1"/>
          <c:order val="1"/>
          <c:tx>
            <c:v>NR</c:v>
          </c:tx>
          <c:marker>
            <c:symbol val="none"/>
          </c:marker>
          <c:cat>
            <c:strRef>
              <c:f>(Analyse!$B$5,Analyse!$E$12)</c:f>
              <c:strCache>
                <c:ptCount val="2"/>
                <c:pt idx="0">
                  <c:v>DIDIER-PHILIPPE</c:v>
                </c:pt>
                <c:pt idx="1">
                  <c:v>Moyenne du groupe</c:v>
                </c:pt>
              </c:strCache>
            </c:strRef>
          </c:cat>
          <c:val>
            <c:numRef>
              <c:f>(Analyse!$G$5,Analyse!$G$12)</c:f>
              <c:numCache>
                <c:formatCode>0</c:formatCode>
                <c:ptCount val="2"/>
                <c:pt idx="0" formatCode="General">
                  <c:v>125</c:v>
                </c:pt>
                <c:pt idx="1">
                  <c:v>105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7277312"/>
        <c:axId val="127275776"/>
      </c:lineChart>
      <c:catAx>
        <c:axId val="1271942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27195776"/>
        <c:crosses val="autoZero"/>
        <c:auto val="1"/>
        <c:lblAlgn val="ctr"/>
        <c:lblOffset val="100"/>
        <c:noMultiLvlLbl val="0"/>
      </c:catAx>
      <c:valAx>
        <c:axId val="127195776"/>
        <c:scaling>
          <c:orientation val="minMax"/>
          <c:max val="15"/>
          <c:min val="1"/>
        </c:scaling>
        <c:delete val="0"/>
        <c:axPos val="l"/>
        <c:majorGridlines/>
        <c:title>
          <c:tx>
            <c:rich>
              <a:bodyPr rot="0" vert="horz" anchor="t" anchorCtr="0"/>
              <a:lstStyle/>
              <a:p>
                <a:pPr>
                  <a:defRPr/>
                </a:pPr>
                <a:r>
                  <a:rPr lang="fr-FR"/>
                  <a:t>NR</a:t>
                </a:r>
              </a:p>
            </c:rich>
          </c:tx>
          <c:layout>
            <c:manualLayout>
              <c:xMode val="edge"/>
              <c:yMode val="edge"/>
              <c:x val="0.84082161494519081"/>
              <c:y val="4.353118950265876E-2"/>
            </c:manualLayout>
          </c:layout>
          <c:overlay val="0"/>
        </c:title>
        <c:numFmt formatCode="General" sourceLinked="0"/>
        <c:majorTickMark val="in"/>
        <c:minorTickMark val="none"/>
        <c:tickLblPos val="nextTo"/>
        <c:txPr>
          <a:bodyPr rot="0" vert="horz" anchor="b" anchorCtr="1"/>
          <a:lstStyle/>
          <a:p>
            <a:pPr>
              <a:defRPr/>
            </a:pPr>
            <a:endParaRPr lang="fr-FR"/>
          </a:p>
        </c:txPr>
        <c:crossAx val="127194240"/>
        <c:crosses val="autoZero"/>
        <c:crossBetween val="between"/>
        <c:majorUnit val="1"/>
      </c:valAx>
      <c:valAx>
        <c:axId val="12727577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127277312"/>
        <c:crosses val="max"/>
        <c:crossBetween val="between"/>
        <c:majorUnit val="5"/>
        <c:minorUnit val="1"/>
      </c:valAx>
      <c:catAx>
        <c:axId val="127277312"/>
        <c:scaling>
          <c:orientation val="minMax"/>
        </c:scaling>
        <c:delete val="1"/>
        <c:axPos val="b"/>
        <c:majorTickMark val="out"/>
        <c:minorTickMark val="none"/>
        <c:tickLblPos val="nextTo"/>
        <c:crossAx val="127275776"/>
        <c:crosses val="autoZero"/>
        <c:auto val="1"/>
        <c:lblAlgn val="ctr"/>
        <c:lblOffset val="100"/>
        <c:noMultiLvlLbl val="0"/>
      </c:cat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466725</xdr:colOff>
      <xdr:row>7</xdr:row>
      <xdr:rowOff>14287</xdr:rowOff>
    </xdr:from>
    <xdr:to>
      <xdr:col>14</xdr:col>
      <xdr:colOff>542925</xdr:colOff>
      <xdr:row>22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8</xdr:row>
          <xdr:rowOff>9525</xdr:rowOff>
        </xdr:from>
        <xdr:to>
          <xdr:col>1</xdr:col>
          <xdr:colOff>1314450</xdr:colOff>
          <xdr:row>8</xdr:row>
          <xdr:rowOff>314325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10</xdr:row>
          <xdr:rowOff>19050</xdr:rowOff>
        </xdr:from>
        <xdr:to>
          <xdr:col>1</xdr:col>
          <xdr:colOff>1333500</xdr:colOff>
          <xdr:row>10</xdr:row>
          <xdr:rowOff>323850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</xdr:colOff>
      <xdr:row>12</xdr:row>
      <xdr:rowOff>76200</xdr:rowOff>
    </xdr:from>
    <xdr:to>
      <xdr:col>2</xdr:col>
      <xdr:colOff>428625</xdr:colOff>
      <xdr:row>21</xdr:row>
      <xdr:rowOff>38100</xdr:rowOff>
    </xdr:to>
    <xdr:sp macro="" textlink="">
      <xdr:nvSpPr>
        <xdr:cNvPr id="2" name="ZoneTexte 1"/>
        <xdr:cNvSpPr txBox="1"/>
      </xdr:nvSpPr>
      <xdr:spPr>
        <a:xfrm>
          <a:off x="542925" y="2924175"/>
          <a:ext cx="1809750" cy="1495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 enregistrer dans le tableau de l'onglet "enregistrement" l'agent que j'ai sélectionné.</a:t>
          </a:r>
        </a:p>
        <a:p>
          <a:r>
            <a:rPr lang="fr-FR" sz="1100"/>
            <a:t>Et</a:t>
          </a:r>
          <a:r>
            <a:rPr lang="fr-FR" sz="1100" baseline="0"/>
            <a:t> le supprimer  avec le deuxieme bouton (facultatif)</a:t>
          </a:r>
          <a:endParaRPr lang="fr-FR" sz="1100"/>
        </a:p>
      </xdr:txBody>
    </xdr:sp>
    <xdr:clientData/>
  </xdr:twoCellAnchor>
  <xdr:twoCellAnchor>
    <xdr:from>
      <xdr:col>2</xdr:col>
      <xdr:colOff>19050</xdr:colOff>
      <xdr:row>8</xdr:row>
      <xdr:rowOff>180975</xdr:rowOff>
    </xdr:from>
    <xdr:to>
      <xdr:col>2</xdr:col>
      <xdr:colOff>266700</xdr:colOff>
      <xdr:row>12</xdr:row>
      <xdr:rowOff>66675</xdr:rowOff>
    </xdr:to>
    <xdr:cxnSp macro="">
      <xdr:nvCxnSpPr>
        <xdr:cNvPr id="5" name="Connecteur droit 4"/>
        <xdr:cNvCxnSpPr/>
      </xdr:nvCxnSpPr>
      <xdr:spPr>
        <a:xfrm flipH="1" flipV="1">
          <a:off x="1943100" y="1714500"/>
          <a:ext cx="247650" cy="12001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342900</xdr:colOff>
      <xdr:row>10</xdr:row>
      <xdr:rowOff>285750</xdr:rowOff>
    </xdr:from>
    <xdr:to>
      <xdr:col>1</xdr:col>
      <xdr:colOff>476250</xdr:colOff>
      <xdr:row>12</xdr:row>
      <xdr:rowOff>104775</xdr:rowOff>
    </xdr:to>
    <xdr:cxnSp macro="">
      <xdr:nvCxnSpPr>
        <xdr:cNvPr id="7" name="Connecteur droit 6"/>
        <xdr:cNvCxnSpPr/>
      </xdr:nvCxnSpPr>
      <xdr:spPr>
        <a:xfrm flipV="1">
          <a:off x="876300" y="2466975"/>
          <a:ext cx="133350" cy="4857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1171575</xdr:colOff>
      <xdr:row>21</xdr:row>
      <xdr:rowOff>9525</xdr:rowOff>
    </xdr:from>
    <xdr:to>
      <xdr:col>3</xdr:col>
      <xdr:colOff>171450</xdr:colOff>
      <xdr:row>43</xdr:row>
      <xdr:rowOff>95250</xdr:rowOff>
    </xdr:to>
    <xdr:cxnSp macro="">
      <xdr:nvCxnSpPr>
        <xdr:cNvPr id="9" name="Connecteur droit 8"/>
        <xdr:cNvCxnSpPr/>
      </xdr:nvCxnSpPr>
      <xdr:spPr>
        <a:xfrm>
          <a:off x="1704975" y="4391025"/>
          <a:ext cx="1123950" cy="36576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92"/>
  <sheetViews>
    <sheetView zoomScaleNormal="100" workbookViewId="0">
      <selection activeCell="F2" sqref="F2"/>
    </sheetView>
  </sheetViews>
  <sheetFormatPr baseColWidth="10" defaultColWidth="5" defaultRowHeight="12.75" x14ac:dyDescent="0.2"/>
  <cols>
    <col min="1" max="1" width="24.140625" style="10" bestFit="1" customWidth="1"/>
    <col min="2" max="3" width="2.28515625" style="116" customWidth="1"/>
    <col min="4" max="4" width="2.28515625" style="18" customWidth="1"/>
    <col min="5" max="5" width="2.28515625" style="8" customWidth="1"/>
    <col min="6" max="8" width="2.28515625" style="1" customWidth="1"/>
    <col min="9" max="9" width="2.28515625" style="8" customWidth="1"/>
    <col min="10" max="10" width="2.28515625" style="9" customWidth="1"/>
    <col min="11" max="11" width="2.28515625" style="8" customWidth="1"/>
    <col min="12" max="12" width="12" style="18" bestFit="1" customWidth="1"/>
    <col min="13" max="13" width="8.5703125" style="18" bestFit="1" customWidth="1"/>
    <col min="14" max="14" width="14.42578125" style="36" bestFit="1" customWidth="1"/>
    <col min="15" max="15" width="7.28515625" style="36" customWidth="1"/>
    <col min="16" max="16" width="19.140625" style="36" bestFit="1" customWidth="1"/>
    <col min="17" max="17" width="11.7109375" style="36" customWidth="1"/>
    <col min="18" max="18" width="10.5703125" style="42" customWidth="1"/>
    <col min="19" max="19" width="10.42578125" style="38" customWidth="1"/>
    <col min="20" max="20" width="10.42578125" style="38" bestFit="1" customWidth="1"/>
    <col min="21" max="21" width="6.85546875" style="36" customWidth="1"/>
    <col min="22" max="22" width="18.140625" style="37" bestFit="1" customWidth="1"/>
    <col min="23" max="23" width="11.28515625" style="36" customWidth="1"/>
    <col min="24" max="24" width="9.7109375" style="36" customWidth="1"/>
    <col min="25" max="25" width="5" style="37"/>
    <col min="26" max="27" width="10.42578125" style="38" bestFit="1" customWidth="1"/>
    <col min="28" max="28" width="4" style="36" bestFit="1" customWidth="1"/>
    <col min="29" max="29" width="4.7109375" style="37" bestFit="1" customWidth="1"/>
    <col min="30" max="30" width="10.42578125" style="38" bestFit="1" customWidth="1"/>
    <col min="31" max="31" width="11" style="81" customWidth="1"/>
    <col min="32" max="32" width="20.140625" style="37" bestFit="1" customWidth="1"/>
    <col min="33" max="33" width="9" style="42" bestFit="1" customWidth="1"/>
    <col min="34" max="34" width="10.42578125" style="36" bestFit="1" customWidth="1"/>
    <col min="35" max="16384" width="5" style="1"/>
  </cols>
  <sheetData>
    <row r="1" spans="1:34" s="19" customFormat="1" ht="64.5" thickTop="1" x14ac:dyDescent="0.25">
      <c r="A1" s="21" t="s">
        <v>163</v>
      </c>
      <c r="B1" s="20"/>
      <c r="C1" s="20"/>
      <c r="D1" s="20"/>
      <c r="E1" s="21"/>
      <c r="F1" s="22"/>
      <c r="G1" s="22"/>
      <c r="H1" s="22"/>
      <c r="I1" s="22"/>
      <c r="J1" s="23"/>
      <c r="K1" s="22"/>
      <c r="L1" s="20" t="s">
        <v>12</v>
      </c>
      <c r="M1" s="20" t="s">
        <v>13</v>
      </c>
      <c r="N1" s="47" t="s">
        <v>53</v>
      </c>
      <c r="O1" s="54" t="s">
        <v>14</v>
      </c>
      <c r="P1" s="58" t="s">
        <v>56</v>
      </c>
      <c r="Q1" s="55" t="s">
        <v>57</v>
      </c>
      <c r="R1" s="56" t="s">
        <v>37</v>
      </c>
      <c r="S1" s="138" t="s">
        <v>55</v>
      </c>
      <c r="T1" s="67" t="s">
        <v>31</v>
      </c>
      <c r="U1" s="54" t="s">
        <v>15</v>
      </c>
      <c r="V1" s="58" t="s">
        <v>3</v>
      </c>
      <c r="W1" s="55" t="s">
        <v>17</v>
      </c>
      <c r="X1" s="59" t="s">
        <v>30</v>
      </c>
      <c r="Y1" s="58" t="s">
        <v>54</v>
      </c>
      <c r="Z1" s="57" t="s">
        <v>16</v>
      </c>
      <c r="AA1" s="70" t="s">
        <v>0</v>
      </c>
      <c r="AB1" s="54" t="s">
        <v>18</v>
      </c>
      <c r="AC1" s="59" t="s">
        <v>36</v>
      </c>
      <c r="AD1" s="57" t="s">
        <v>19</v>
      </c>
      <c r="AE1" s="60" t="s">
        <v>34</v>
      </c>
      <c r="AF1" s="58" t="s">
        <v>32</v>
      </c>
      <c r="AG1" s="61" t="s">
        <v>33</v>
      </c>
      <c r="AH1" s="50" t="s">
        <v>20</v>
      </c>
    </row>
    <row r="2" spans="1:34" x14ac:dyDescent="0.2">
      <c r="A2" s="113" t="s">
        <v>72</v>
      </c>
      <c r="B2" s="25"/>
      <c r="C2" s="25"/>
      <c r="D2" s="25"/>
      <c r="E2" s="132"/>
      <c r="F2" s="26"/>
      <c r="G2" s="26"/>
      <c r="H2" s="26"/>
      <c r="I2" s="26"/>
      <c r="J2" s="2"/>
      <c r="K2" s="28"/>
      <c r="L2" s="16" t="s">
        <v>27</v>
      </c>
      <c r="M2" s="16" t="s">
        <v>24</v>
      </c>
      <c r="N2" s="49"/>
      <c r="O2" s="62"/>
      <c r="P2" s="136" t="str">
        <f t="shared" ref="P2:P33" ca="1" si="0">IF(T2&gt;0,DATEDIF(T2,TODAY(),"y")&amp;" ans "&amp;DATEDIF(T2,TODAY(),"ym")&amp;" mois "&amp;DATEDIF(T2,TODAY(),"md")&amp;" jours","")</f>
        <v/>
      </c>
      <c r="Q2" s="24"/>
      <c r="R2" s="45" t="str">
        <f t="shared" ref="R2:R33" ca="1" si="1">IF(T2&gt;0,(TODAY()-T2)/365.25,"")</f>
        <v/>
      </c>
      <c r="S2" s="44" t="str">
        <f t="shared" ref="S2:S33" ca="1" si="2">IF(T2&gt;0,DATEDIF(T2,TODAY(),"m")&gt;=84,"")</f>
        <v/>
      </c>
      <c r="T2" s="68"/>
      <c r="U2" s="62"/>
      <c r="V2" s="44" t="str">
        <f t="shared" ref="V2:V33" ca="1" si="3">IF(Z2&gt;0,DATEDIF(Z2,TODAY(),"y")&amp;" ans "&amp;DATEDIF(Z2,TODAY(),"ym")&amp;" mois "&amp;DATEDIF(Z2,TODAY(),"md")&amp;" jours","")</f>
        <v/>
      </c>
      <c r="W2" s="24"/>
      <c r="X2" s="45" t="str">
        <f t="shared" ref="X2:X33" ca="1" si="4">IF(Z2&gt;0,(TODAY()-Z2)/365.25,"")</f>
        <v/>
      </c>
      <c r="Y2" s="44" t="str">
        <f t="shared" ref="Y2:Y33" ca="1" si="5">IF(Z2&gt;0,DATEDIF(Z2,TODAY(),"m")&gt;=48,"")</f>
        <v/>
      </c>
      <c r="Z2" s="30"/>
      <c r="AA2" s="74"/>
      <c r="AB2" s="76"/>
      <c r="AC2" s="44" t="str">
        <f>IF(AG2&gt;0,VLOOKUP(AG2,Calculs!$B$3:$C$13,2),"")</f>
        <v/>
      </c>
      <c r="AD2" s="30"/>
      <c r="AE2" s="79" t="str">
        <f t="shared" ref="AE2:AE33" si="6">IF(AD2&gt;0,(DATE(2011,12,31)-AD2)/365.25,"")</f>
        <v/>
      </c>
      <c r="AF2" s="44" t="str">
        <f t="shared" ref="AF2:AF33" ca="1" si="7">IF(AD2&gt;0,DATEDIF(AD2,TODAY(),"y")&amp;" ans "&amp;DATEDIF(AD2,TODAY(),"ym")&amp;" mois "&amp;DATEDIF(AD2,TODAY(),"md")&amp;" jours","")</f>
        <v/>
      </c>
      <c r="AG2" s="77"/>
      <c r="AH2" s="53"/>
    </row>
    <row r="3" spans="1:34" x14ac:dyDescent="0.2">
      <c r="A3" s="109" t="s">
        <v>73</v>
      </c>
      <c r="B3" s="110"/>
      <c r="C3" s="110"/>
      <c r="D3" s="16"/>
      <c r="E3" s="2"/>
      <c r="F3" s="3"/>
      <c r="G3" s="3"/>
      <c r="H3" s="3"/>
      <c r="I3" s="4"/>
      <c r="J3" s="5"/>
      <c r="K3" s="4"/>
      <c r="L3" s="16" t="s">
        <v>21</v>
      </c>
      <c r="M3" s="16" t="s">
        <v>22</v>
      </c>
      <c r="N3" s="48">
        <v>24</v>
      </c>
      <c r="O3" s="62">
        <v>6</v>
      </c>
      <c r="P3" s="135" t="str">
        <f t="shared" ca="1" si="0"/>
        <v>17 ans 7 mois 13 jours</v>
      </c>
      <c r="Q3" s="29">
        <v>17.579999999999998</v>
      </c>
      <c r="R3" s="43">
        <f t="shared" ca="1" si="1"/>
        <v>17.620807665982205</v>
      </c>
      <c r="S3" s="44" t="b">
        <f t="shared" ca="1" si="2"/>
        <v>1</v>
      </c>
      <c r="T3" s="68">
        <v>34486</v>
      </c>
      <c r="U3" s="62">
        <v>115</v>
      </c>
      <c r="V3" s="44" t="str">
        <f t="shared" ca="1" si="3"/>
        <v>1 ans 0 mois 13 jours</v>
      </c>
      <c r="W3" s="29">
        <v>1</v>
      </c>
      <c r="X3" s="43">
        <f t="shared" ca="1" si="4"/>
        <v>1.0349075975359343</v>
      </c>
      <c r="Y3" s="44" t="b">
        <f t="shared" ca="1" si="5"/>
        <v>0</v>
      </c>
      <c r="Z3" s="30">
        <v>40544</v>
      </c>
      <c r="AA3" s="71">
        <v>40544</v>
      </c>
      <c r="AB3" s="62">
        <v>10</v>
      </c>
      <c r="AC3" s="44">
        <f>IF(AG3&gt;0,VLOOKUP(AG3,Calculs!$B$3:$C$13,2),"")</f>
        <v>11</v>
      </c>
      <c r="AD3" s="30">
        <v>30027</v>
      </c>
      <c r="AE3" s="79">
        <f t="shared" si="6"/>
        <v>29.790554414784395</v>
      </c>
      <c r="AF3" s="44" t="str">
        <f t="shared" ca="1" si="7"/>
        <v>29 ans 9 mois 28 jours</v>
      </c>
      <c r="AG3" s="63">
        <v>30.79</v>
      </c>
      <c r="AH3" s="51">
        <v>41641</v>
      </c>
    </row>
    <row r="4" spans="1:34" x14ac:dyDescent="0.2">
      <c r="A4" s="109" t="s">
        <v>74</v>
      </c>
      <c r="B4" s="110"/>
      <c r="C4" s="110"/>
      <c r="D4" s="16"/>
      <c r="E4" s="2"/>
      <c r="F4" s="3"/>
      <c r="G4" s="3"/>
      <c r="H4" s="3"/>
      <c r="I4" s="4"/>
      <c r="J4" s="2"/>
      <c r="K4" s="4"/>
      <c r="L4" s="16" t="s">
        <v>23</v>
      </c>
      <c r="M4" s="16" t="s">
        <v>24</v>
      </c>
      <c r="N4" s="48">
        <v>24.5</v>
      </c>
      <c r="O4" s="62">
        <v>7</v>
      </c>
      <c r="P4" s="135" t="str">
        <f t="shared" ca="1" si="0"/>
        <v>0 ans 6 mois 13 jours</v>
      </c>
      <c r="Q4" s="29">
        <v>0.5</v>
      </c>
      <c r="R4" s="43">
        <f t="shared" ca="1" si="1"/>
        <v>0.53935660506502392</v>
      </c>
      <c r="S4" s="44" t="b">
        <f t="shared" ca="1" si="2"/>
        <v>0</v>
      </c>
      <c r="T4" s="68">
        <v>40725</v>
      </c>
      <c r="U4" s="62">
        <v>120</v>
      </c>
      <c r="V4" s="44" t="str">
        <f t="shared" ca="1" si="3"/>
        <v>0 ans 6 mois 13 jours</v>
      </c>
      <c r="W4" s="29">
        <v>0.5</v>
      </c>
      <c r="X4" s="43">
        <f t="shared" ca="1" si="4"/>
        <v>0.53935660506502392</v>
      </c>
      <c r="Y4" s="44" t="b">
        <f t="shared" ca="1" si="5"/>
        <v>0</v>
      </c>
      <c r="Z4" s="30">
        <v>40725</v>
      </c>
      <c r="AA4" s="71">
        <v>39448</v>
      </c>
      <c r="AB4" s="62">
        <v>11</v>
      </c>
      <c r="AC4" s="44">
        <f>IF(AG4&gt;0,VLOOKUP(AG4,Calculs!$B$3:$C$13,2),"")</f>
        <v>11</v>
      </c>
      <c r="AD4" s="30">
        <v>29222</v>
      </c>
      <c r="AE4" s="79">
        <f t="shared" si="6"/>
        <v>31.994524298425734</v>
      </c>
      <c r="AF4" s="44" t="str">
        <f t="shared" ca="1" si="7"/>
        <v>32 ans 0 mois 12 jours</v>
      </c>
      <c r="AG4" s="63">
        <v>33</v>
      </c>
      <c r="AH4" s="51">
        <v>42129</v>
      </c>
    </row>
    <row r="5" spans="1:34" x14ac:dyDescent="0.2">
      <c r="A5" s="109" t="s">
        <v>74</v>
      </c>
      <c r="B5" s="110"/>
      <c r="C5" s="110"/>
      <c r="D5" s="16"/>
      <c r="E5" s="2"/>
      <c r="F5" s="3"/>
      <c r="G5" s="3"/>
      <c r="H5" s="3"/>
      <c r="I5" s="4"/>
      <c r="J5" s="2"/>
      <c r="K5" s="4"/>
      <c r="L5" s="16" t="s">
        <v>21</v>
      </c>
      <c r="M5" s="16" t="s">
        <v>22</v>
      </c>
      <c r="N5" s="48">
        <v>24</v>
      </c>
      <c r="O5" s="62">
        <v>5</v>
      </c>
      <c r="P5" s="135" t="str">
        <f t="shared" ca="1" si="0"/>
        <v>2 ans 6 mois 13 jours</v>
      </c>
      <c r="Q5" s="29">
        <v>2.5</v>
      </c>
      <c r="R5" s="43">
        <f t="shared" ca="1" si="1"/>
        <v>2.537987679671458</v>
      </c>
      <c r="S5" s="44" t="b">
        <f t="shared" ca="1" si="2"/>
        <v>0</v>
      </c>
      <c r="T5" s="68">
        <v>39995</v>
      </c>
      <c r="U5" s="62">
        <v>90</v>
      </c>
      <c r="V5" s="44" t="str">
        <f t="shared" ca="1" si="3"/>
        <v>2 ans 6 mois 13 jours</v>
      </c>
      <c r="W5" s="29">
        <v>2.5</v>
      </c>
      <c r="X5" s="43">
        <f t="shared" ca="1" si="4"/>
        <v>2.537987679671458</v>
      </c>
      <c r="Y5" s="44" t="b">
        <f t="shared" ca="1" si="5"/>
        <v>0</v>
      </c>
      <c r="Z5" s="30">
        <v>39995</v>
      </c>
      <c r="AA5" s="71">
        <v>39448</v>
      </c>
      <c r="AB5" s="62">
        <v>8</v>
      </c>
      <c r="AC5" s="44">
        <f>IF(AG5&gt;0,VLOOKUP(AG5,Calculs!$B$3:$C$13,2),"")</f>
        <v>8</v>
      </c>
      <c r="AD5" s="30">
        <v>34239</v>
      </c>
      <c r="AE5" s="79">
        <f t="shared" si="6"/>
        <v>18.258726899383984</v>
      </c>
      <c r="AF5" s="44" t="str">
        <f t="shared" ca="1" si="7"/>
        <v>18 ans 3 mois 18 jours</v>
      </c>
      <c r="AG5" s="63">
        <v>19.260000000000002</v>
      </c>
      <c r="AH5" s="51">
        <v>43184</v>
      </c>
    </row>
    <row r="6" spans="1:34" x14ac:dyDescent="0.2">
      <c r="A6" s="109" t="s">
        <v>75</v>
      </c>
      <c r="B6" s="110"/>
      <c r="C6" s="110"/>
      <c r="D6" s="16"/>
      <c r="E6" s="2"/>
      <c r="F6" s="3"/>
      <c r="G6" s="3"/>
      <c r="H6" s="3"/>
      <c r="I6" s="4"/>
      <c r="J6" s="2"/>
      <c r="K6" s="4"/>
      <c r="L6" s="16" t="s">
        <v>25</v>
      </c>
      <c r="M6" s="16" t="s">
        <v>22</v>
      </c>
      <c r="N6" s="48">
        <v>24.5</v>
      </c>
      <c r="O6" s="62">
        <v>3</v>
      </c>
      <c r="P6" s="135" t="str">
        <f t="shared" ca="1" si="0"/>
        <v>2 ans 0 mois 10 jours</v>
      </c>
      <c r="Q6" s="29">
        <v>2</v>
      </c>
      <c r="R6" s="43">
        <f t="shared" ca="1" si="1"/>
        <v>2.0260095824777551</v>
      </c>
      <c r="S6" s="44" t="b">
        <f t="shared" ca="1" si="2"/>
        <v>0</v>
      </c>
      <c r="T6" s="68">
        <v>40182</v>
      </c>
      <c r="U6" s="62">
        <v>45</v>
      </c>
      <c r="V6" s="44" t="str">
        <f t="shared" ca="1" si="3"/>
        <v>1 ans 0 mois 13 jours</v>
      </c>
      <c r="W6" s="29">
        <v>1</v>
      </c>
      <c r="X6" s="43">
        <f t="shared" ca="1" si="4"/>
        <v>1.0349075975359343</v>
      </c>
      <c r="Y6" s="44" t="b">
        <f t="shared" ca="1" si="5"/>
        <v>0</v>
      </c>
      <c r="Z6" s="30">
        <v>40544</v>
      </c>
      <c r="AA6" s="71">
        <v>40544</v>
      </c>
      <c r="AB6" s="62">
        <v>2</v>
      </c>
      <c r="AC6" s="44">
        <f>IF(AG6&gt;0,VLOOKUP(AG6,Calculs!$B$3:$C$13,2),"")</f>
        <v>2</v>
      </c>
      <c r="AD6" s="30">
        <v>40182</v>
      </c>
      <c r="AE6" s="79">
        <f t="shared" si="6"/>
        <v>1.9876796714579055</v>
      </c>
      <c r="AF6" s="44" t="str">
        <f t="shared" ca="1" si="7"/>
        <v>2 ans 0 mois 10 jours</v>
      </c>
      <c r="AG6" s="63">
        <v>1.99</v>
      </c>
      <c r="AH6" s="51">
        <v>49620</v>
      </c>
    </row>
    <row r="7" spans="1:34" x14ac:dyDescent="0.2">
      <c r="A7" s="111" t="s">
        <v>76</v>
      </c>
      <c r="B7" s="110"/>
      <c r="C7" s="110"/>
      <c r="D7" s="16"/>
      <c r="E7" s="2"/>
      <c r="F7" s="3"/>
      <c r="G7" s="3"/>
      <c r="H7" s="3"/>
      <c r="I7" s="7"/>
      <c r="J7" s="2"/>
      <c r="K7" s="7"/>
      <c r="L7" s="16" t="s">
        <v>21</v>
      </c>
      <c r="M7" s="16" t="s">
        <v>22</v>
      </c>
      <c r="N7" s="48"/>
      <c r="O7" s="62">
        <v>5</v>
      </c>
      <c r="P7" s="135" t="str">
        <f t="shared" ca="1" si="0"/>
        <v>0 ans 0 mois 30 jours</v>
      </c>
      <c r="Q7" s="29"/>
      <c r="R7" s="43">
        <f t="shared" ca="1" si="1"/>
        <v>8.2135523613963035E-2</v>
      </c>
      <c r="S7" s="44" t="b">
        <f t="shared" ca="1" si="2"/>
        <v>0</v>
      </c>
      <c r="T7" s="68">
        <v>40892</v>
      </c>
      <c r="U7" s="62">
        <v>80</v>
      </c>
      <c r="V7" s="44" t="str">
        <f t="shared" ca="1" si="3"/>
        <v>0 ans 0 mois 30 jours</v>
      </c>
      <c r="W7" s="29"/>
      <c r="X7" s="43">
        <f t="shared" ca="1" si="4"/>
        <v>8.2135523613963035E-2</v>
      </c>
      <c r="Y7" s="44" t="b">
        <f t="shared" ca="1" si="5"/>
        <v>0</v>
      </c>
      <c r="Z7" s="30">
        <v>40892</v>
      </c>
      <c r="AA7" s="71" t="s">
        <v>26</v>
      </c>
      <c r="AB7" s="62"/>
      <c r="AC7" s="44" t="str">
        <f>IF(AG7&gt;0,VLOOKUP(AG7,Calculs!$B$3:$C$13,2),"")</f>
        <v/>
      </c>
      <c r="AD7" s="30">
        <v>39692</v>
      </c>
      <c r="AE7" s="79">
        <f t="shared" si="6"/>
        <v>3.3292265571526354</v>
      </c>
      <c r="AF7" s="44" t="str">
        <f t="shared" ca="1" si="7"/>
        <v>3 ans 4 mois 13 jours</v>
      </c>
      <c r="AG7" s="63"/>
      <c r="AH7" s="51"/>
    </row>
    <row r="8" spans="1:34" x14ac:dyDescent="0.2">
      <c r="A8" s="109" t="s">
        <v>78</v>
      </c>
      <c r="B8" s="110"/>
      <c r="C8" s="110"/>
      <c r="D8" s="16"/>
      <c r="E8" s="2"/>
      <c r="F8" s="3"/>
      <c r="G8" s="3"/>
      <c r="H8" s="3"/>
      <c r="I8" s="4"/>
      <c r="J8" s="2"/>
      <c r="K8" s="4"/>
      <c r="L8" s="16" t="s">
        <v>21</v>
      </c>
      <c r="M8" s="16" t="s">
        <v>22</v>
      </c>
      <c r="N8" s="48">
        <v>24.5</v>
      </c>
      <c r="O8" s="62">
        <v>6</v>
      </c>
      <c r="P8" s="135" t="str">
        <f t="shared" ca="1" si="0"/>
        <v>0 ans 8 mois 13 jours</v>
      </c>
      <c r="Q8" s="29">
        <v>0.75</v>
      </c>
      <c r="R8" s="43">
        <f t="shared" ca="1" si="1"/>
        <v>0.70636550308008217</v>
      </c>
      <c r="S8" s="44" t="b">
        <f t="shared" ca="1" si="2"/>
        <v>0</v>
      </c>
      <c r="T8" s="68">
        <v>40664</v>
      </c>
      <c r="U8" s="62">
        <v>85</v>
      </c>
      <c r="V8" s="44" t="str">
        <f t="shared" ca="1" si="3"/>
        <v>0 ans 9 mois 13 jours</v>
      </c>
      <c r="W8" s="29">
        <v>0.75</v>
      </c>
      <c r="X8" s="43">
        <f t="shared" ca="1" si="4"/>
        <v>0.7885010266940452</v>
      </c>
      <c r="Y8" s="44" t="b">
        <f t="shared" ca="1" si="5"/>
        <v>0</v>
      </c>
      <c r="Z8" s="30">
        <v>40634</v>
      </c>
      <c r="AA8" s="71">
        <v>40179</v>
      </c>
      <c r="AB8" s="62">
        <v>6</v>
      </c>
      <c r="AC8" s="44">
        <f>IF(AG8&gt;0,VLOOKUP(AG8,Calculs!$B$3:$C$13,2),"")</f>
        <v>6</v>
      </c>
      <c r="AD8" s="30">
        <v>37135</v>
      </c>
      <c r="AE8" s="79">
        <f t="shared" si="6"/>
        <v>10.329911019849419</v>
      </c>
      <c r="AF8" s="44" t="str">
        <f t="shared" ca="1" si="7"/>
        <v>10 ans 4 mois 13 jours</v>
      </c>
      <c r="AG8" s="63">
        <v>12.33</v>
      </c>
      <c r="AH8" s="51">
        <v>50230</v>
      </c>
    </row>
    <row r="9" spans="1:34" x14ac:dyDescent="0.2">
      <c r="A9" s="109" t="s">
        <v>79</v>
      </c>
      <c r="B9" s="112"/>
      <c r="C9" s="112"/>
      <c r="D9" s="17"/>
      <c r="E9" s="2"/>
      <c r="F9" s="3"/>
      <c r="G9" s="3"/>
      <c r="H9" s="3"/>
      <c r="I9" s="4"/>
      <c r="J9" s="5"/>
      <c r="K9" s="4"/>
      <c r="L9" s="17" t="s">
        <v>23</v>
      </c>
      <c r="M9" s="17" t="s">
        <v>24</v>
      </c>
      <c r="N9" s="48">
        <v>24.5</v>
      </c>
      <c r="O9" s="62">
        <v>7</v>
      </c>
      <c r="P9" s="135" t="str">
        <f t="shared" ca="1" si="0"/>
        <v>0 ans 0 mois 30 jours</v>
      </c>
      <c r="Q9" s="29">
        <v>2.67</v>
      </c>
      <c r="R9" s="43">
        <f t="shared" ca="1" si="1"/>
        <v>8.2135523613963035E-2</v>
      </c>
      <c r="S9" s="44" t="b">
        <f t="shared" ca="1" si="2"/>
        <v>0</v>
      </c>
      <c r="T9" s="68">
        <v>40892</v>
      </c>
      <c r="U9" s="62">
        <v>105</v>
      </c>
      <c r="V9" s="44" t="str">
        <f t="shared" ca="1" si="3"/>
        <v>2 ans 0 mois 13 jours</v>
      </c>
      <c r="W9" s="29">
        <v>2</v>
      </c>
      <c r="X9" s="43">
        <f t="shared" ca="1" si="4"/>
        <v>2.0342231348391513</v>
      </c>
      <c r="Y9" s="44" t="b">
        <f t="shared" ca="1" si="5"/>
        <v>0</v>
      </c>
      <c r="Z9" s="30">
        <v>40179</v>
      </c>
      <c r="AA9" s="71">
        <v>40179</v>
      </c>
      <c r="AB9" s="62">
        <v>9</v>
      </c>
      <c r="AC9" s="44">
        <f>IF(AG9&gt;0,VLOOKUP(AG9,Calculs!$B$3:$C$13,2),"")</f>
        <v>9</v>
      </c>
      <c r="AD9" s="30">
        <v>33817</v>
      </c>
      <c r="AE9" s="79">
        <f t="shared" si="6"/>
        <v>19.414099931553729</v>
      </c>
      <c r="AF9" s="44" t="str">
        <f t="shared" ca="1" si="7"/>
        <v>19 ans 5 mois 13 jours</v>
      </c>
      <c r="AG9" s="63">
        <v>21.36</v>
      </c>
      <c r="AH9" s="51">
        <v>46601</v>
      </c>
    </row>
    <row r="10" spans="1:34" x14ac:dyDescent="0.2">
      <c r="A10" s="109" t="s">
        <v>80</v>
      </c>
      <c r="B10" s="110"/>
      <c r="C10" s="110"/>
      <c r="D10" s="16"/>
      <c r="E10" s="2"/>
      <c r="F10" s="3"/>
      <c r="G10" s="3"/>
      <c r="H10" s="3"/>
      <c r="I10" s="4"/>
      <c r="J10" s="2"/>
      <c r="K10" s="4"/>
      <c r="L10" s="16" t="s">
        <v>21</v>
      </c>
      <c r="M10" s="16" t="s">
        <v>22</v>
      </c>
      <c r="N10" s="48">
        <v>24.5</v>
      </c>
      <c r="O10" s="62">
        <v>6</v>
      </c>
      <c r="P10" s="135" t="str">
        <f t="shared" ca="1" si="0"/>
        <v>3 ans 0 mois 13 jours</v>
      </c>
      <c r="Q10" s="29">
        <v>3</v>
      </c>
      <c r="R10" s="43">
        <f t="shared" ca="1" si="1"/>
        <v>3.0335386721423681</v>
      </c>
      <c r="S10" s="44" t="b">
        <f t="shared" ca="1" si="2"/>
        <v>0</v>
      </c>
      <c r="T10" s="68">
        <v>39814</v>
      </c>
      <c r="U10" s="62">
        <v>95</v>
      </c>
      <c r="V10" s="44" t="str">
        <f t="shared" ca="1" si="3"/>
        <v>2 ans 0 mois 13 jours</v>
      </c>
      <c r="W10" s="29">
        <v>2</v>
      </c>
      <c r="X10" s="43">
        <f t="shared" ca="1" si="4"/>
        <v>2.0342231348391513</v>
      </c>
      <c r="Y10" s="44" t="b">
        <f t="shared" ca="1" si="5"/>
        <v>0</v>
      </c>
      <c r="Z10" s="30">
        <v>40179</v>
      </c>
      <c r="AA10" s="71">
        <v>40179</v>
      </c>
      <c r="AB10" s="62">
        <v>8</v>
      </c>
      <c r="AC10" s="44">
        <f>IF(AG10&gt;0,VLOOKUP(AG10,Calculs!$B$3:$C$13,2),"")</f>
        <v>8</v>
      </c>
      <c r="AD10" s="30">
        <v>34988</v>
      </c>
      <c r="AE10" s="79">
        <f t="shared" si="6"/>
        <v>16.208076659822041</v>
      </c>
      <c r="AF10" s="44" t="str">
        <f t="shared" ca="1" si="7"/>
        <v>16 ans 2 mois 29 jours</v>
      </c>
      <c r="AG10" s="63">
        <v>17.04</v>
      </c>
      <c r="AH10" s="51">
        <v>46723</v>
      </c>
    </row>
    <row r="11" spans="1:34" x14ac:dyDescent="0.2">
      <c r="A11" s="109" t="s">
        <v>81</v>
      </c>
      <c r="B11" s="110"/>
      <c r="C11" s="110"/>
      <c r="D11" s="16"/>
      <c r="E11" s="2"/>
      <c r="F11" s="3"/>
      <c r="G11" s="3"/>
      <c r="H11" s="3"/>
      <c r="I11" s="4"/>
      <c r="J11" s="2"/>
      <c r="K11" s="4"/>
      <c r="L11" s="16" t="s">
        <v>23</v>
      </c>
      <c r="M11" s="16" t="s">
        <v>24</v>
      </c>
      <c r="N11" s="48">
        <v>24.5</v>
      </c>
      <c r="O11" s="62">
        <v>10</v>
      </c>
      <c r="P11" s="135" t="str">
        <f t="shared" ca="1" si="0"/>
        <v>2 ans 2 mois 13 jours</v>
      </c>
      <c r="Q11" s="29">
        <v>2.17</v>
      </c>
      <c r="R11" s="43">
        <f t="shared" ca="1" si="1"/>
        <v>2.2012320328542097</v>
      </c>
      <c r="S11" s="44" t="b">
        <f t="shared" ca="1" si="2"/>
        <v>0</v>
      </c>
      <c r="T11" s="68">
        <v>40118</v>
      </c>
      <c r="U11" s="62">
        <v>140</v>
      </c>
      <c r="V11" s="44" t="str">
        <f t="shared" ca="1" si="3"/>
        <v>2 ans 2 mois 13 jours</v>
      </c>
      <c r="W11" s="29">
        <v>2.17</v>
      </c>
      <c r="X11" s="43">
        <f t="shared" ca="1" si="4"/>
        <v>2.2012320328542097</v>
      </c>
      <c r="Y11" s="44" t="b">
        <f t="shared" ca="1" si="5"/>
        <v>0</v>
      </c>
      <c r="Z11" s="30">
        <v>40118</v>
      </c>
      <c r="AA11" s="71">
        <v>39814</v>
      </c>
      <c r="AB11" s="62">
        <v>6</v>
      </c>
      <c r="AC11" s="44">
        <f>IF(AG11&gt;0,VLOOKUP(AG11,Calculs!$B$3:$C$13,2),"")</f>
        <v>5</v>
      </c>
      <c r="AD11" s="30">
        <v>37865</v>
      </c>
      <c r="AE11" s="79">
        <f t="shared" si="6"/>
        <v>8.3312799452429847</v>
      </c>
      <c r="AF11" s="44" t="str">
        <f t="shared" ca="1" si="7"/>
        <v>8 ans 4 mois 13 jours</v>
      </c>
      <c r="AG11" s="63">
        <v>8.33</v>
      </c>
      <c r="AH11" s="51">
        <v>50564</v>
      </c>
    </row>
    <row r="12" spans="1:34" x14ac:dyDescent="0.2">
      <c r="A12" s="109" t="s">
        <v>82</v>
      </c>
      <c r="B12" s="110"/>
      <c r="C12" s="110"/>
      <c r="D12" s="16"/>
      <c r="E12" s="2"/>
      <c r="F12" s="3"/>
      <c r="G12" s="3"/>
      <c r="H12" s="3"/>
      <c r="I12" s="4"/>
      <c r="J12" s="5"/>
      <c r="K12" s="4"/>
      <c r="L12" s="16" t="s">
        <v>21</v>
      </c>
      <c r="M12" s="16" t="s">
        <v>22</v>
      </c>
      <c r="N12" s="48">
        <v>24</v>
      </c>
      <c r="O12" s="62">
        <v>5</v>
      </c>
      <c r="P12" s="135" t="str">
        <f t="shared" ca="1" si="0"/>
        <v>7 ans 0 mois 13 jours</v>
      </c>
      <c r="Q12" s="29">
        <v>7</v>
      </c>
      <c r="R12" s="43">
        <f t="shared" ca="1" si="1"/>
        <v>7.0335386721423685</v>
      </c>
      <c r="S12" s="44" t="b">
        <f t="shared" ca="1" si="2"/>
        <v>1</v>
      </c>
      <c r="T12" s="68">
        <v>38353</v>
      </c>
      <c r="U12" s="62">
        <v>70</v>
      </c>
      <c r="V12" s="44" t="str">
        <f t="shared" ca="1" si="3"/>
        <v>2 ans 8 mois 13 jours</v>
      </c>
      <c r="W12" s="29">
        <v>2.67</v>
      </c>
      <c r="X12" s="43">
        <f t="shared" ca="1" si="4"/>
        <v>2.7049965776865159</v>
      </c>
      <c r="Y12" s="44" t="b">
        <f t="shared" ca="1" si="5"/>
        <v>0</v>
      </c>
      <c r="Z12" s="30">
        <v>39934</v>
      </c>
      <c r="AA12" s="71">
        <v>39814</v>
      </c>
      <c r="AB12" s="62">
        <v>7</v>
      </c>
      <c r="AC12" s="44">
        <f>IF(AG12&gt;0,VLOOKUP(AG12,Calculs!$B$3:$C$13,2),"")</f>
        <v>6</v>
      </c>
      <c r="AD12" s="30">
        <v>36039</v>
      </c>
      <c r="AE12" s="79">
        <f t="shared" si="6"/>
        <v>13.330595482546201</v>
      </c>
      <c r="AF12" s="44" t="str">
        <f t="shared" ca="1" si="7"/>
        <v>13 ans 4 mois 13 jours</v>
      </c>
      <c r="AG12" s="63">
        <v>12.58</v>
      </c>
      <c r="AH12" s="51">
        <v>48157</v>
      </c>
    </row>
    <row r="13" spans="1:34" x14ac:dyDescent="0.2">
      <c r="A13" s="109" t="s">
        <v>83</v>
      </c>
      <c r="B13" s="110"/>
      <c r="C13" s="110"/>
      <c r="D13" s="16"/>
      <c r="E13" s="2"/>
      <c r="F13" s="3"/>
      <c r="G13" s="3"/>
      <c r="H13" s="3"/>
      <c r="I13" s="4"/>
      <c r="J13" s="2"/>
      <c r="K13" s="4"/>
      <c r="L13" s="16" t="s">
        <v>23</v>
      </c>
      <c r="M13" s="16" t="s">
        <v>24</v>
      </c>
      <c r="N13" s="48">
        <v>24.5</v>
      </c>
      <c r="O13" s="62">
        <v>7</v>
      </c>
      <c r="P13" s="135" t="str">
        <f t="shared" ca="1" si="0"/>
        <v>4 ans 0 mois 13 jours</v>
      </c>
      <c r="Q13" s="29">
        <v>3.17</v>
      </c>
      <c r="R13" s="43">
        <f t="shared" ca="1" si="1"/>
        <v>4.0355920602327169</v>
      </c>
      <c r="S13" s="44" t="b">
        <f t="shared" ca="1" si="2"/>
        <v>0</v>
      </c>
      <c r="T13" s="68">
        <v>39448</v>
      </c>
      <c r="U13" s="62">
        <v>130</v>
      </c>
      <c r="V13" s="44" t="str">
        <f t="shared" ca="1" si="3"/>
        <v>3 ans 2 mois 13 jours</v>
      </c>
      <c r="W13" s="29">
        <v>3.17</v>
      </c>
      <c r="X13" s="43">
        <f t="shared" ca="1" si="4"/>
        <v>3.2005475701574264</v>
      </c>
      <c r="Y13" s="44" t="b">
        <f t="shared" ca="1" si="5"/>
        <v>0</v>
      </c>
      <c r="Z13" s="30">
        <v>39753</v>
      </c>
      <c r="AA13" s="71">
        <v>38718</v>
      </c>
      <c r="AB13" s="62">
        <v>12</v>
      </c>
      <c r="AC13" s="44">
        <f>IF(AG13&gt;0,VLOOKUP(AG13,Calculs!$B$3:$C$13,2),"")</f>
        <v>12</v>
      </c>
      <c r="AD13" s="30">
        <v>27485</v>
      </c>
      <c r="AE13" s="79">
        <f t="shared" si="6"/>
        <v>36.750171115674199</v>
      </c>
      <c r="AF13" s="44" t="str">
        <f t="shared" ca="1" si="7"/>
        <v>36 ans 9 mois 13 jours</v>
      </c>
      <c r="AG13" s="63">
        <v>38.229999999999997</v>
      </c>
      <c r="AH13" s="51">
        <v>40945</v>
      </c>
    </row>
    <row r="14" spans="1:34" x14ac:dyDescent="0.2">
      <c r="A14" s="109" t="s">
        <v>84</v>
      </c>
      <c r="B14" s="110"/>
      <c r="C14" s="110"/>
      <c r="D14" s="16"/>
      <c r="E14" s="2"/>
      <c r="F14" s="3"/>
      <c r="G14" s="3"/>
      <c r="H14" s="3"/>
      <c r="I14" s="4"/>
      <c r="J14" s="2"/>
      <c r="K14" s="4"/>
      <c r="L14" s="16" t="s">
        <v>21</v>
      </c>
      <c r="M14" s="16" t="s">
        <v>22</v>
      </c>
      <c r="N14" s="48">
        <v>24.5</v>
      </c>
      <c r="O14" s="62">
        <v>5</v>
      </c>
      <c r="P14" s="135" t="str">
        <f t="shared" ca="1" si="0"/>
        <v>0 ans 0 mois 30 jours</v>
      </c>
      <c r="Q14" s="29">
        <v>14.33</v>
      </c>
      <c r="R14" s="43">
        <f t="shared" ca="1" si="1"/>
        <v>8.2135523613963035E-2</v>
      </c>
      <c r="S14" s="44" t="b">
        <f t="shared" ca="1" si="2"/>
        <v>0</v>
      </c>
      <c r="T14" s="68">
        <v>40892</v>
      </c>
      <c r="U14" s="62">
        <v>90</v>
      </c>
      <c r="V14" s="44" t="str">
        <f t="shared" ca="1" si="3"/>
        <v>1 ans 0 mois 13 jours</v>
      </c>
      <c r="W14" s="29">
        <v>1</v>
      </c>
      <c r="X14" s="43">
        <f t="shared" ca="1" si="4"/>
        <v>1.0349075975359343</v>
      </c>
      <c r="Y14" s="44" t="b">
        <f t="shared" ca="1" si="5"/>
        <v>0</v>
      </c>
      <c r="Z14" s="30">
        <v>40544</v>
      </c>
      <c r="AA14" s="71">
        <v>40544</v>
      </c>
      <c r="AB14" s="62">
        <v>10</v>
      </c>
      <c r="AC14" s="44">
        <f>IF(AG14&gt;0,VLOOKUP(AG14,Calculs!$B$3:$C$13,2),"")</f>
        <v>10</v>
      </c>
      <c r="AD14" s="30">
        <v>31094</v>
      </c>
      <c r="AE14" s="79">
        <f t="shared" si="6"/>
        <v>26.869267624914443</v>
      </c>
      <c r="AF14" s="44" t="str">
        <f t="shared" ca="1" si="7"/>
        <v>26 ans 10 mois 29 jours</v>
      </c>
      <c r="AG14" s="63">
        <v>27.87</v>
      </c>
      <c r="AH14" s="51">
        <v>43213</v>
      </c>
    </row>
    <row r="15" spans="1:34" x14ac:dyDescent="0.2">
      <c r="A15" s="109" t="s">
        <v>85</v>
      </c>
      <c r="B15" s="110"/>
      <c r="C15" s="110"/>
      <c r="D15" s="16"/>
      <c r="E15" s="2"/>
      <c r="F15" s="3"/>
      <c r="G15" s="3"/>
      <c r="H15" s="3"/>
      <c r="I15" s="4"/>
      <c r="J15" s="5"/>
      <c r="K15" s="4"/>
      <c r="L15" s="16" t="s">
        <v>21</v>
      </c>
      <c r="M15" s="16" t="s">
        <v>22</v>
      </c>
      <c r="N15" s="48">
        <v>24.5</v>
      </c>
      <c r="O15" s="62">
        <v>5</v>
      </c>
      <c r="P15" s="135" t="str">
        <f t="shared" ca="1" si="0"/>
        <v>0 ans 6 mois 13 jours</v>
      </c>
      <c r="Q15" s="29">
        <v>0.5</v>
      </c>
      <c r="R15" s="43">
        <f t="shared" ca="1" si="1"/>
        <v>0.53935660506502392</v>
      </c>
      <c r="S15" s="44" t="b">
        <f t="shared" ca="1" si="2"/>
        <v>0</v>
      </c>
      <c r="T15" s="68">
        <v>40725</v>
      </c>
      <c r="U15" s="62">
        <v>85</v>
      </c>
      <c r="V15" s="44" t="str">
        <f t="shared" ca="1" si="3"/>
        <v>0 ans 6 mois 13 jours</v>
      </c>
      <c r="W15" s="29">
        <v>0.5</v>
      </c>
      <c r="X15" s="43">
        <f t="shared" ca="1" si="4"/>
        <v>0.53935660506502392</v>
      </c>
      <c r="Y15" s="44" t="b">
        <f t="shared" ca="1" si="5"/>
        <v>0</v>
      </c>
      <c r="Z15" s="30">
        <v>40725</v>
      </c>
      <c r="AA15" s="71">
        <v>40179</v>
      </c>
      <c r="AB15" s="62">
        <v>7</v>
      </c>
      <c r="AC15" s="44">
        <f>IF(AG15&gt;0,VLOOKUP(AG15,Calculs!$B$3:$C$13,2),"")</f>
        <v>7</v>
      </c>
      <c r="AD15" s="30">
        <v>35801</v>
      </c>
      <c r="AE15" s="79">
        <f t="shared" si="6"/>
        <v>13.982203969883642</v>
      </c>
      <c r="AF15" s="44" t="str">
        <f t="shared" ca="1" si="7"/>
        <v>14 ans 0 mois 8 jours</v>
      </c>
      <c r="AG15" s="63">
        <v>13.98</v>
      </c>
      <c r="AH15" s="51">
        <v>48039</v>
      </c>
    </row>
    <row r="16" spans="1:34" x14ac:dyDescent="0.2">
      <c r="A16" s="109" t="s">
        <v>86</v>
      </c>
      <c r="B16" s="110"/>
      <c r="C16" s="110"/>
      <c r="D16" s="16"/>
      <c r="E16" s="2"/>
      <c r="F16" s="3"/>
      <c r="G16" s="3"/>
      <c r="H16" s="6"/>
      <c r="I16" s="4"/>
      <c r="J16" s="2"/>
      <c r="K16" s="4"/>
      <c r="L16" s="16" t="s">
        <v>29</v>
      </c>
      <c r="M16" s="16" t="s">
        <v>28</v>
      </c>
      <c r="N16" s="48"/>
      <c r="O16" s="62">
        <v>12</v>
      </c>
      <c r="P16" s="135" t="str">
        <f t="shared" ca="1" si="0"/>
        <v>4 ans 0 mois 13 jours</v>
      </c>
      <c r="Q16" s="29"/>
      <c r="R16" s="43">
        <f t="shared" ca="1" si="1"/>
        <v>4.0355920602327169</v>
      </c>
      <c r="S16" s="44" t="b">
        <f t="shared" ca="1" si="2"/>
        <v>0</v>
      </c>
      <c r="T16" s="68">
        <v>39448</v>
      </c>
      <c r="U16" s="62">
        <v>160</v>
      </c>
      <c r="V16" s="44" t="str">
        <f t="shared" ca="1" si="3"/>
        <v>4 ans 0 mois 13 jours</v>
      </c>
      <c r="W16" s="29"/>
      <c r="X16" s="43">
        <f t="shared" ca="1" si="4"/>
        <v>4.0355920602327169</v>
      </c>
      <c r="Y16" s="44" t="b">
        <f t="shared" ca="1" si="5"/>
        <v>1</v>
      </c>
      <c r="Z16" s="30">
        <v>39448</v>
      </c>
      <c r="AA16" s="71"/>
      <c r="AB16" s="62"/>
      <c r="AC16" s="44" t="str">
        <f>IF(AG16&gt;0,VLOOKUP(AG16,Calculs!$B$3:$C$13,2),"")</f>
        <v/>
      </c>
      <c r="AD16" s="30">
        <v>36759</v>
      </c>
      <c r="AE16" s="79">
        <f t="shared" si="6"/>
        <v>11.359342915811089</v>
      </c>
      <c r="AF16" s="44" t="str">
        <f t="shared" ca="1" si="7"/>
        <v>11 ans 4 mois 24 jours</v>
      </c>
      <c r="AG16" s="63"/>
      <c r="AH16" s="51"/>
    </row>
    <row r="17" spans="1:34" x14ac:dyDescent="0.2">
      <c r="A17" s="109" t="s">
        <v>73</v>
      </c>
      <c r="B17" s="110"/>
      <c r="C17" s="110"/>
      <c r="D17" s="16"/>
      <c r="E17" s="2"/>
      <c r="F17" s="3"/>
      <c r="G17" s="3"/>
      <c r="H17" s="3"/>
      <c r="I17" s="4"/>
      <c r="J17" s="5"/>
      <c r="K17" s="4"/>
      <c r="L17" s="16" t="s">
        <v>21</v>
      </c>
      <c r="M17" s="16" t="s">
        <v>22</v>
      </c>
      <c r="N17" s="48">
        <v>24</v>
      </c>
      <c r="O17" s="62">
        <v>4</v>
      </c>
      <c r="P17" s="135" t="str">
        <f t="shared" ca="1" si="0"/>
        <v>28 ans 9 mois 13 jours</v>
      </c>
      <c r="Q17" s="29">
        <v>28.75</v>
      </c>
      <c r="R17" s="43">
        <f t="shared" ca="1" si="1"/>
        <v>28.788501026694046</v>
      </c>
      <c r="S17" s="44" t="b">
        <f t="shared" ca="1" si="2"/>
        <v>1</v>
      </c>
      <c r="T17" s="68">
        <v>30407</v>
      </c>
      <c r="U17" s="62">
        <v>95</v>
      </c>
      <c r="V17" s="44" t="str">
        <f t="shared" ca="1" si="3"/>
        <v>2 ans 0 mois 13 jours</v>
      </c>
      <c r="W17" s="29">
        <v>2</v>
      </c>
      <c r="X17" s="43">
        <f t="shared" ca="1" si="4"/>
        <v>2.0342231348391513</v>
      </c>
      <c r="Y17" s="44" t="b">
        <f t="shared" ca="1" si="5"/>
        <v>0</v>
      </c>
      <c r="Z17" s="30">
        <v>40179</v>
      </c>
      <c r="AA17" s="71">
        <v>40179</v>
      </c>
      <c r="AB17" s="62">
        <v>11</v>
      </c>
      <c r="AC17" s="44">
        <f>IF(AG17&gt;0,VLOOKUP(AG17,Calculs!$B$3:$C$13,2),"")</f>
        <v>11</v>
      </c>
      <c r="AD17" s="30">
        <v>29150</v>
      </c>
      <c r="AE17" s="79">
        <f t="shared" si="6"/>
        <v>32.191649555099247</v>
      </c>
      <c r="AF17" s="44" t="str">
        <f t="shared" ca="1" si="7"/>
        <v>32 ans 2 mois 23 jours</v>
      </c>
      <c r="AG17" s="63">
        <v>33.93</v>
      </c>
      <c r="AH17" s="51">
        <v>40905</v>
      </c>
    </row>
    <row r="18" spans="1:34" x14ac:dyDescent="0.2">
      <c r="A18" s="109" t="s">
        <v>87</v>
      </c>
      <c r="B18" s="110"/>
      <c r="C18" s="110"/>
      <c r="D18" s="16"/>
      <c r="E18" s="2"/>
      <c r="F18" s="3"/>
      <c r="G18" s="3"/>
      <c r="H18" s="3"/>
      <c r="I18" s="4"/>
      <c r="J18" s="5"/>
      <c r="K18" s="4"/>
      <c r="L18" s="16" t="s">
        <v>21</v>
      </c>
      <c r="M18" s="16" t="s">
        <v>22</v>
      </c>
      <c r="N18" s="48">
        <v>24</v>
      </c>
      <c r="O18" s="62">
        <v>5</v>
      </c>
      <c r="P18" s="135" t="str">
        <f t="shared" ca="1" si="0"/>
        <v>19 ans 6 mois 12 jours</v>
      </c>
      <c r="Q18" s="29">
        <v>19.420000000000002</v>
      </c>
      <c r="R18" s="43">
        <f t="shared" ca="1" si="1"/>
        <v>19.534565366187543</v>
      </c>
      <c r="S18" s="44" t="b">
        <f t="shared" ca="1" si="2"/>
        <v>1</v>
      </c>
      <c r="T18" s="68">
        <v>33787</v>
      </c>
      <c r="U18" s="62">
        <v>95</v>
      </c>
      <c r="V18" s="44" t="str">
        <f t="shared" ca="1" si="3"/>
        <v>1 ans 0 mois 13 jours</v>
      </c>
      <c r="W18" s="29">
        <v>1</v>
      </c>
      <c r="X18" s="43">
        <f t="shared" ca="1" si="4"/>
        <v>1.0349075975359343</v>
      </c>
      <c r="Y18" s="44" t="b">
        <f t="shared" ca="1" si="5"/>
        <v>0</v>
      </c>
      <c r="Z18" s="30">
        <v>40544</v>
      </c>
      <c r="AA18" s="71">
        <v>40544</v>
      </c>
      <c r="AB18" s="62">
        <v>9</v>
      </c>
      <c r="AC18" s="44">
        <f>IF(AG18&gt;0,VLOOKUP(AG18,Calculs!$B$3:$C$13,2),"")</f>
        <v>9</v>
      </c>
      <c r="AD18" s="30">
        <v>32223</v>
      </c>
      <c r="AE18" s="79">
        <f t="shared" si="6"/>
        <v>23.7782340862423</v>
      </c>
      <c r="AF18" s="44" t="str">
        <f t="shared" ca="1" si="7"/>
        <v>23 ans 9 mois 24 jours</v>
      </c>
      <c r="AG18" s="63">
        <v>24.78</v>
      </c>
      <c r="AH18" s="51">
        <v>42063</v>
      </c>
    </row>
    <row r="19" spans="1:34" x14ac:dyDescent="0.2">
      <c r="A19" s="109" t="s">
        <v>88</v>
      </c>
      <c r="B19" s="110"/>
      <c r="C19" s="110"/>
      <c r="D19" s="16"/>
      <c r="E19" s="2"/>
      <c r="F19" s="3"/>
      <c r="G19" s="3"/>
      <c r="H19" s="3"/>
      <c r="I19" s="4"/>
      <c r="J19" s="2"/>
      <c r="K19" s="4"/>
      <c r="L19" s="16" t="s">
        <v>21</v>
      </c>
      <c r="M19" s="16" t="s">
        <v>22</v>
      </c>
      <c r="N19" s="48"/>
      <c r="O19" s="62"/>
      <c r="P19" s="135" t="str">
        <f t="shared" ca="1" si="0"/>
        <v/>
      </c>
      <c r="Q19" s="29"/>
      <c r="R19" s="43" t="str">
        <f t="shared" ca="1" si="1"/>
        <v/>
      </c>
      <c r="S19" s="44" t="str">
        <f t="shared" ca="1" si="2"/>
        <v/>
      </c>
      <c r="T19" s="68"/>
      <c r="U19" s="62"/>
      <c r="V19" s="44" t="str">
        <f t="shared" ca="1" si="3"/>
        <v/>
      </c>
      <c r="W19" s="29"/>
      <c r="X19" s="43" t="str">
        <f t="shared" ca="1" si="4"/>
        <v/>
      </c>
      <c r="Y19" s="44" t="str">
        <f t="shared" ca="1" si="5"/>
        <v/>
      </c>
      <c r="Z19" s="30"/>
      <c r="AA19" s="71"/>
      <c r="AB19" s="62"/>
      <c r="AC19" s="44" t="str">
        <f>IF(AG19&gt;0,VLOOKUP(AG19,Calculs!$B$3:$C$13,2),"")</f>
        <v/>
      </c>
      <c r="AD19" s="30"/>
      <c r="AE19" s="79" t="str">
        <f t="shared" si="6"/>
        <v/>
      </c>
      <c r="AF19" s="44" t="str">
        <f t="shared" ca="1" si="7"/>
        <v/>
      </c>
      <c r="AG19" s="63"/>
      <c r="AH19" s="51"/>
    </row>
    <row r="20" spans="1:34" x14ac:dyDescent="0.2">
      <c r="A20" s="109" t="s">
        <v>89</v>
      </c>
      <c r="B20" s="110"/>
      <c r="C20" s="110"/>
      <c r="D20" s="16"/>
      <c r="E20" s="2"/>
      <c r="F20" s="3"/>
      <c r="G20" s="3"/>
      <c r="H20" s="3"/>
      <c r="I20" s="4"/>
      <c r="J20" s="2"/>
      <c r="K20" s="4"/>
      <c r="L20" s="16" t="s">
        <v>23</v>
      </c>
      <c r="M20" s="16" t="s">
        <v>24</v>
      </c>
      <c r="N20" s="48">
        <v>24</v>
      </c>
      <c r="O20" s="62">
        <v>7</v>
      </c>
      <c r="P20" s="135" t="str">
        <f t="shared" ca="1" si="0"/>
        <v>1 ans 6 mois 13 jours</v>
      </c>
      <c r="Q20" s="29">
        <v>1.5</v>
      </c>
      <c r="R20" s="43">
        <f t="shared" ca="1" si="1"/>
        <v>1.538672142368241</v>
      </c>
      <c r="S20" s="44" t="b">
        <f t="shared" ca="1" si="2"/>
        <v>0</v>
      </c>
      <c r="T20" s="68">
        <v>40360</v>
      </c>
      <c r="U20" s="62">
        <v>110</v>
      </c>
      <c r="V20" s="44" t="str">
        <f t="shared" ca="1" si="3"/>
        <v>1 ans 6 mois 13 jours</v>
      </c>
      <c r="W20" s="29">
        <v>1.5</v>
      </c>
      <c r="X20" s="43">
        <f t="shared" ca="1" si="4"/>
        <v>1.538672142368241</v>
      </c>
      <c r="Y20" s="44" t="b">
        <f t="shared" ca="1" si="5"/>
        <v>0</v>
      </c>
      <c r="Z20" s="30">
        <v>40360</v>
      </c>
      <c r="AA20" s="71">
        <v>39814</v>
      </c>
      <c r="AB20" s="62">
        <v>9</v>
      </c>
      <c r="AC20" s="44">
        <f>IF(AG20&gt;0,VLOOKUP(AG20,Calculs!$B$3:$C$13,2),"")</f>
        <v>9</v>
      </c>
      <c r="AD20" s="30">
        <v>32938</v>
      </c>
      <c r="AE20" s="79">
        <f t="shared" si="6"/>
        <v>21.820670773442849</v>
      </c>
      <c r="AF20" s="44" t="str">
        <f t="shared" ca="1" si="7"/>
        <v>21 ans 10 mois 8 jours</v>
      </c>
      <c r="AG20" s="63">
        <v>23.17</v>
      </c>
      <c r="AH20" s="51">
        <v>46108</v>
      </c>
    </row>
    <row r="21" spans="1:34" x14ac:dyDescent="0.2">
      <c r="A21" s="109" t="s">
        <v>90</v>
      </c>
      <c r="B21" s="110"/>
      <c r="C21" s="110"/>
      <c r="D21" s="16"/>
      <c r="E21" s="2"/>
      <c r="F21" s="3"/>
      <c r="G21" s="3"/>
      <c r="H21" s="3"/>
      <c r="I21" s="4"/>
      <c r="J21" s="5"/>
      <c r="K21" s="4"/>
      <c r="L21" s="16" t="s">
        <v>21</v>
      </c>
      <c r="M21" s="16" t="s">
        <v>22</v>
      </c>
      <c r="N21" s="48">
        <v>24</v>
      </c>
      <c r="O21" s="62">
        <v>6</v>
      </c>
      <c r="P21" s="135" t="str">
        <f t="shared" ca="1" si="0"/>
        <v>13 ans 9 mois 13 jours</v>
      </c>
      <c r="Q21" s="29">
        <v>13.75</v>
      </c>
      <c r="R21" s="43">
        <f t="shared" ca="1" si="1"/>
        <v>13.787816563997263</v>
      </c>
      <c r="S21" s="44" t="b">
        <f t="shared" ca="1" si="2"/>
        <v>1</v>
      </c>
      <c r="T21" s="68">
        <v>35886</v>
      </c>
      <c r="U21" s="62">
        <v>100</v>
      </c>
      <c r="V21" s="44" t="str">
        <f t="shared" ca="1" si="3"/>
        <v>3 ans 0 mois 13 jours</v>
      </c>
      <c r="W21" s="29">
        <v>3</v>
      </c>
      <c r="X21" s="43">
        <f t="shared" ca="1" si="4"/>
        <v>3.0335386721423681</v>
      </c>
      <c r="Y21" s="44" t="b">
        <f t="shared" ca="1" si="5"/>
        <v>0</v>
      </c>
      <c r="Z21" s="30">
        <v>39814</v>
      </c>
      <c r="AA21" s="71">
        <v>39814</v>
      </c>
      <c r="AB21" s="62">
        <v>10</v>
      </c>
      <c r="AC21" s="44">
        <f>IF(AG21&gt;0,VLOOKUP(AG21,Calculs!$B$3:$C$13,2),"")</f>
        <v>10</v>
      </c>
      <c r="AD21" s="30">
        <v>30893</v>
      </c>
      <c r="AE21" s="79">
        <f t="shared" si="6"/>
        <v>27.419575633127995</v>
      </c>
      <c r="AF21" s="44" t="str">
        <f t="shared" ca="1" si="7"/>
        <v>27 ans 5 mois 15 jours</v>
      </c>
      <c r="AG21" s="63">
        <v>28.42</v>
      </c>
      <c r="AH21" s="51">
        <v>41305</v>
      </c>
    </row>
    <row r="22" spans="1:34" x14ac:dyDescent="0.2">
      <c r="A22" s="109" t="s">
        <v>91</v>
      </c>
      <c r="B22" s="110"/>
      <c r="C22" s="110"/>
      <c r="D22" s="16"/>
      <c r="E22" s="2"/>
      <c r="F22" s="3"/>
      <c r="G22" s="3"/>
      <c r="H22" s="3"/>
      <c r="I22" s="4"/>
      <c r="J22" s="5"/>
      <c r="K22" s="4"/>
      <c r="L22" s="16" t="s">
        <v>21</v>
      </c>
      <c r="M22" s="16" t="s">
        <v>22</v>
      </c>
      <c r="N22" s="48">
        <v>24.5</v>
      </c>
      <c r="O22" s="62">
        <v>5</v>
      </c>
      <c r="P22" s="135" t="str">
        <f t="shared" ca="1" si="0"/>
        <v>2 ans 8 mois 13 jours</v>
      </c>
      <c r="Q22" s="29">
        <v>2.67</v>
      </c>
      <c r="R22" s="43">
        <f t="shared" ca="1" si="1"/>
        <v>2.7049965776865159</v>
      </c>
      <c r="S22" s="44" t="b">
        <f t="shared" ca="1" si="2"/>
        <v>0</v>
      </c>
      <c r="T22" s="68">
        <v>39934</v>
      </c>
      <c r="U22" s="62">
        <v>75</v>
      </c>
      <c r="V22" s="44" t="str">
        <f t="shared" ca="1" si="3"/>
        <v>1 ans 0 mois 13 jours</v>
      </c>
      <c r="W22" s="29">
        <v>1</v>
      </c>
      <c r="X22" s="43">
        <f t="shared" ca="1" si="4"/>
        <v>1.0349075975359343</v>
      </c>
      <c r="Y22" s="44" t="b">
        <f t="shared" ca="1" si="5"/>
        <v>0</v>
      </c>
      <c r="Z22" s="30">
        <v>40544</v>
      </c>
      <c r="AA22" s="71">
        <v>40544</v>
      </c>
      <c r="AB22" s="62">
        <v>5</v>
      </c>
      <c r="AC22" s="44">
        <f>IF(AG22&gt;0,VLOOKUP(AG22,Calculs!$B$3:$C$13,2),"")</f>
        <v>5</v>
      </c>
      <c r="AD22" s="30">
        <v>38322</v>
      </c>
      <c r="AE22" s="79">
        <f t="shared" si="6"/>
        <v>7.0800821355236137</v>
      </c>
      <c r="AF22" s="44" t="str">
        <f t="shared" ca="1" si="7"/>
        <v>7 ans 1 mois 13 jours</v>
      </c>
      <c r="AG22" s="63">
        <v>7.08</v>
      </c>
      <c r="AH22" s="51">
        <v>50757</v>
      </c>
    </row>
    <row r="23" spans="1:34" x14ac:dyDescent="0.2">
      <c r="A23" s="109" t="s">
        <v>80</v>
      </c>
      <c r="B23" s="110"/>
      <c r="C23" s="110"/>
      <c r="D23" s="16"/>
      <c r="E23" s="2"/>
      <c r="F23" s="3"/>
      <c r="G23" s="3"/>
      <c r="H23" s="3"/>
      <c r="I23" s="4"/>
      <c r="J23" s="2"/>
      <c r="K23" s="4"/>
      <c r="L23" s="16" t="s">
        <v>21</v>
      </c>
      <c r="M23" s="16" t="s">
        <v>22</v>
      </c>
      <c r="N23" s="48">
        <v>24.5</v>
      </c>
      <c r="O23" s="62">
        <v>6</v>
      </c>
      <c r="P23" s="135" t="str">
        <f t="shared" ca="1" si="0"/>
        <v>4 ans 0 mois 13 jours</v>
      </c>
      <c r="Q23" s="29">
        <v>3.25</v>
      </c>
      <c r="R23" s="43">
        <f t="shared" ca="1" si="1"/>
        <v>4.0355920602327169</v>
      </c>
      <c r="S23" s="44" t="b">
        <f t="shared" ca="1" si="2"/>
        <v>0</v>
      </c>
      <c r="T23" s="68">
        <v>39448</v>
      </c>
      <c r="U23" s="62">
        <v>85</v>
      </c>
      <c r="V23" s="44" t="str">
        <f t="shared" ca="1" si="3"/>
        <v>1 ans 0 mois 13 jours</v>
      </c>
      <c r="W23" s="29">
        <v>1</v>
      </c>
      <c r="X23" s="43">
        <f t="shared" ca="1" si="4"/>
        <v>1.0349075975359343</v>
      </c>
      <c r="Y23" s="44" t="b">
        <f t="shared" ca="1" si="5"/>
        <v>0</v>
      </c>
      <c r="Z23" s="30">
        <v>40544</v>
      </c>
      <c r="AA23" s="71">
        <v>40544</v>
      </c>
      <c r="AB23" s="62">
        <v>6</v>
      </c>
      <c r="AC23" s="44">
        <f>IF(AG23&gt;0,VLOOKUP(AG23,Calculs!$B$3:$C$13,2),"")</f>
        <v>6</v>
      </c>
      <c r="AD23" s="30">
        <v>36514</v>
      </c>
      <c r="AE23" s="79">
        <f t="shared" si="6"/>
        <v>12.030116358658454</v>
      </c>
      <c r="AF23" s="44" t="str">
        <f t="shared" ca="1" si="7"/>
        <v>12 ans 0 mois 25 jours</v>
      </c>
      <c r="AG23" s="63">
        <v>12.03</v>
      </c>
      <c r="AH23" s="51">
        <v>47331</v>
      </c>
    </row>
    <row r="24" spans="1:34" x14ac:dyDescent="0.2">
      <c r="A24" s="109" t="s">
        <v>92</v>
      </c>
      <c r="B24" s="110"/>
      <c r="C24" s="110"/>
      <c r="D24" s="16"/>
      <c r="E24" s="2"/>
      <c r="F24" s="3"/>
      <c r="G24" s="3"/>
      <c r="H24" s="3"/>
      <c r="I24" s="4"/>
      <c r="J24" s="2"/>
      <c r="K24" s="4"/>
      <c r="L24" s="16" t="s">
        <v>21</v>
      </c>
      <c r="M24" s="16" t="s">
        <v>22</v>
      </c>
      <c r="N24" s="48">
        <v>24.5</v>
      </c>
      <c r="O24" s="62">
        <v>3</v>
      </c>
      <c r="P24" s="135" t="str">
        <f t="shared" ca="1" si="0"/>
        <v>3 ans 4 mois 13 jours</v>
      </c>
      <c r="Q24" s="29">
        <v>3.33</v>
      </c>
      <c r="R24" s="43">
        <f t="shared" ca="1" si="1"/>
        <v>3.3675564681724848</v>
      </c>
      <c r="S24" s="44" t="b">
        <f t="shared" ca="1" si="2"/>
        <v>0</v>
      </c>
      <c r="T24" s="68">
        <v>39692</v>
      </c>
      <c r="U24" s="62">
        <v>55</v>
      </c>
      <c r="V24" s="44" t="str">
        <f t="shared" ca="1" si="3"/>
        <v>2 ans 8 mois 13 jours</v>
      </c>
      <c r="W24" s="29">
        <v>2.67</v>
      </c>
      <c r="X24" s="43">
        <f t="shared" ca="1" si="4"/>
        <v>2.7049965776865159</v>
      </c>
      <c r="Y24" s="44" t="b">
        <f t="shared" ca="1" si="5"/>
        <v>0</v>
      </c>
      <c r="Z24" s="30">
        <v>39934</v>
      </c>
      <c r="AA24" s="71" t="s">
        <v>26</v>
      </c>
      <c r="AB24" s="62">
        <v>4</v>
      </c>
      <c r="AC24" s="44">
        <f>IF(AG24&gt;0,VLOOKUP(AG24,Calculs!$B$3:$C$13,2),"")</f>
        <v>3</v>
      </c>
      <c r="AD24" s="30">
        <v>39692</v>
      </c>
      <c r="AE24" s="79">
        <f t="shared" si="6"/>
        <v>3.3292265571526354</v>
      </c>
      <c r="AF24" s="44" t="str">
        <f t="shared" ca="1" si="7"/>
        <v>3 ans 4 mois 13 jours</v>
      </c>
      <c r="AG24" s="63">
        <v>3.33</v>
      </c>
      <c r="AH24" s="51">
        <v>52600</v>
      </c>
    </row>
    <row r="25" spans="1:34" x14ac:dyDescent="0.2">
      <c r="A25" s="109" t="s">
        <v>93</v>
      </c>
      <c r="B25" s="110"/>
      <c r="C25" s="110"/>
      <c r="D25" s="16"/>
      <c r="E25" s="2"/>
      <c r="F25" s="3"/>
      <c r="G25" s="3"/>
      <c r="H25" s="3"/>
      <c r="I25" s="4"/>
      <c r="J25" s="2"/>
      <c r="K25" s="4"/>
      <c r="L25" s="16" t="s">
        <v>21</v>
      </c>
      <c r="M25" s="16" t="s">
        <v>22</v>
      </c>
      <c r="N25" s="48">
        <v>24</v>
      </c>
      <c r="O25" s="62">
        <v>6</v>
      </c>
      <c r="P25" s="135" t="str">
        <f t="shared" ca="1" si="0"/>
        <v>6 ans 0 mois 13 jours</v>
      </c>
      <c r="Q25" s="29">
        <v>5.75</v>
      </c>
      <c r="R25" s="43">
        <f t="shared" ca="1" si="1"/>
        <v>6.0342231348391513</v>
      </c>
      <c r="S25" s="44" t="b">
        <f t="shared" ca="1" si="2"/>
        <v>0</v>
      </c>
      <c r="T25" s="68">
        <v>38718</v>
      </c>
      <c r="U25" s="62">
        <v>125</v>
      </c>
      <c r="V25" s="44" t="str">
        <f t="shared" ca="1" si="3"/>
        <v>1 ans 0 mois 13 jours</v>
      </c>
      <c r="W25" s="29">
        <v>1</v>
      </c>
      <c r="X25" s="43">
        <f t="shared" ca="1" si="4"/>
        <v>1.0349075975359343</v>
      </c>
      <c r="Y25" s="44" t="b">
        <f t="shared" ca="1" si="5"/>
        <v>0</v>
      </c>
      <c r="Z25" s="30">
        <v>40544</v>
      </c>
      <c r="AA25" s="71">
        <v>40544</v>
      </c>
      <c r="AB25" s="62">
        <v>10</v>
      </c>
      <c r="AC25" s="44">
        <f>IF(AG25&gt;0,VLOOKUP(AG25,Calculs!$B$3:$C$13,2),"")</f>
        <v>10</v>
      </c>
      <c r="AD25" s="30">
        <v>30560</v>
      </c>
      <c r="AE25" s="79">
        <f t="shared" si="6"/>
        <v>28.331279945242983</v>
      </c>
      <c r="AF25" s="44" t="str">
        <f t="shared" ca="1" si="7"/>
        <v>28 ans 4 mois 13 jours</v>
      </c>
      <c r="AG25" s="63">
        <v>29.33</v>
      </c>
      <c r="AH25" s="51">
        <v>42667</v>
      </c>
    </row>
    <row r="26" spans="1:34" x14ac:dyDescent="0.2">
      <c r="A26" s="109" t="s">
        <v>94</v>
      </c>
      <c r="B26" s="110"/>
      <c r="C26" s="110"/>
      <c r="D26" s="16"/>
      <c r="E26" s="2"/>
      <c r="F26" s="3"/>
      <c r="G26" s="3"/>
      <c r="H26" s="3"/>
      <c r="I26" s="4"/>
      <c r="J26" s="2"/>
      <c r="K26" s="4"/>
      <c r="L26" s="16" t="s">
        <v>21</v>
      </c>
      <c r="M26" s="16" t="s">
        <v>22</v>
      </c>
      <c r="N26" s="48"/>
      <c r="O26" s="62">
        <v>5</v>
      </c>
      <c r="P26" s="135" t="str">
        <f t="shared" ca="1" si="0"/>
        <v/>
      </c>
      <c r="Q26" s="29"/>
      <c r="R26" s="43" t="str">
        <f t="shared" ca="1" si="1"/>
        <v/>
      </c>
      <c r="S26" s="44" t="str">
        <f t="shared" ca="1" si="2"/>
        <v/>
      </c>
      <c r="T26" s="68"/>
      <c r="U26" s="62">
        <v>110</v>
      </c>
      <c r="V26" s="44" t="str">
        <f t="shared" ca="1" si="3"/>
        <v>2 ans 0 mois 13 jours</v>
      </c>
      <c r="W26" s="29"/>
      <c r="X26" s="43">
        <f t="shared" ca="1" si="4"/>
        <v>2.0342231348391513</v>
      </c>
      <c r="Y26" s="44" t="b">
        <f t="shared" ca="1" si="5"/>
        <v>0</v>
      </c>
      <c r="Z26" s="30">
        <v>40179</v>
      </c>
      <c r="AA26" s="71"/>
      <c r="AB26" s="62"/>
      <c r="AC26" s="44" t="str">
        <f>IF(AG26&gt;0,VLOOKUP(AG26,Calculs!$B$3:$C$13,2),"")</f>
        <v/>
      </c>
      <c r="AD26" s="30">
        <v>27487</v>
      </c>
      <c r="AE26" s="79">
        <f t="shared" si="6"/>
        <v>36.74469541409993</v>
      </c>
      <c r="AF26" s="44" t="str">
        <f t="shared" ca="1" si="7"/>
        <v>36 ans 9 mois 11 jours</v>
      </c>
      <c r="AG26" s="63"/>
      <c r="AH26" s="51"/>
    </row>
    <row r="27" spans="1:34" x14ac:dyDescent="0.2">
      <c r="A27" s="109" t="s">
        <v>95</v>
      </c>
      <c r="B27" s="110"/>
      <c r="C27" s="110"/>
      <c r="D27" s="16"/>
      <c r="E27" s="2"/>
      <c r="F27" s="3"/>
      <c r="G27" s="3"/>
      <c r="H27" s="3"/>
      <c r="I27" s="4"/>
      <c r="J27" s="2"/>
      <c r="K27" s="4"/>
      <c r="L27" s="16" t="s">
        <v>25</v>
      </c>
      <c r="M27" s="16" t="s">
        <v>22</v>
      </c>
      <c r="N27" s="48">
        <v>24</v>
      </c>
      <c r="O27" s="62">
        <v>3</v>
      </c>
      <c r="P27" s="135" t="str">
        <f t="shared" ca="1" si="0"/>
        <v>3 ans 1 mois 13 jours</v>
      </c>
      <c r="Q27" s="29">
        <v>3.08</v>
      </c>
      <c r="R27" s="43">
        <f t="shared" ca="1" si="1"/>
        <v>3.1184120465434635</v>
      </c>
      <c r="S27" s="44" t="b">
        <f t="shared" ca="1" si="2"/>
        <v>0</v>
      </c>
      <c r="T27" s="68">
        <v>39783</v>
      </c>
      <c r="U27" s="62">
        <v>60</v>
      </c>
      <c r="V27" s="44" t="str">
        <f t="shared" ca="1" si="3"/>
        <v>2 ans 0 mois 13 jours</v>
      </c>
      <c r="W27" s="29">
        <v>2</v>
      </c>
      <c r="X27" s="43">
        <f t="shared" ca="1" si="4"/>
        <v>2.0342231348391513</v>
      </c>
      <c r="Y27" s="44" t="b">
        <f t="shared" ca="1" si="5"/>
        <v>0</v>
      </c>
      <c r="Z27" s="30">
        <v>40179</v>
      </c>
      <c r="AA27" s="71">
        <v>40179</v>
      </c>
      <c r="AB27" s="62">
        <v>3</v>
      </c>
      <c r="AC27" s="44">
        <f>IF(AG27&gt;0,VLOOKUP(AG27,Calculs!$B$3:$C$13,2),"")</f>
        <v>3</v>
      </c>
      <c r="AD27" s="30">
        <v>39783</v>
      </c>
      <c r="AE27" s="79">
        <f t="shared" si="6"/>
        <v>3.0800821355236141</v>
      </c>
      <c r="AF27" s="44" t="str">
        <f t="shared" ca="1" si="7"/>
        <v>3 ans 1 mois 13 jours</v>
      </c>
      <c r="AG27" s="63">
        <v>3.08</v>
      </c>
      <c r="AH27" s="51">
        <v>51079</v>
      </c>
    </row>
    <row r="28" spans="1:34" x14ac:dyDescent="0.2">
      <c r="A28" s="109" t="s">
        <v>96</v>
      </c>
      <c r="B28" s="110"/>
      <c r="C28" s="110"/>
      <c r="D28" s="16"/>
      <c r="E28" s="2"/>
      <c r="F28" s="3"/>
      <c r="G28" s="3"/>
      <c r="H28" s="3"/>
      <c r="I28" s="4"/>
      <c r="J28" s="2"/>
      <c r="K28" s="4"/>
      <c r="L28" s="16" t="s">
        <v>21</v>
      </c>
      <c r="M28" s="16" t="s">
        <v>22</v>
      </c>
      <c r="N28" s="48">
        <v>24.5</v>
      </c>
      <c r="O28" s="62">
        <v>6</v>
      </c>
      <c r="P28" s="135" t="str">
        <f t="shared" ca="1" si="0"/>
        <v>0 ans 3 mois 13 jours</v>
      </c>
      <c r="Q28" s="29">
        <v>0.25</v>
      </c>
      <c r="R28" s="43">
        <f t="shared" ca="1" si="1"/>
        <v>0.28747433264887062</v>
      </c>
      <c r="S28" s="44" t="b">
        <f t="shared" ca="1" si="2"/>
        <v>0</v>
      </c>
      <c r="T28" s="68">
        <v>40817</v>
      </c>
      <c r="U28" s="62">
        <v>95</v>
      </c>
      <c r="V28" s="44" t="str">
        <f t="shared" ca="1" si="3"/>
        <v>0 ans 3 mois 13 jours</v>
      </c>
      <c r="W28" s="29">
        <v>0.25</v>
      </c>
      <c r="X28" s="43">
        <f t="shared" ca="1" si="4"/>
        <v>0.28747433264887062</v>
      </c>
      <c r="Y28" s="44" t="b">
        <f t="shared" ca="1" si="5"/>
        <v>0</v>
      </c>
      <c r="Z28" s="30">
        <v>40817</v>
      </c>
      <c r="AA28" s="71">
        <v>40544</v>
      </c>
      <c r="AB28" s="62">
        <v>8</v>
      </c>
      <c r="AC28" s="44">
        <f>IF(AG28&gt;0,VLOOKUP(AG28,Calculs!$B$3:$C$13,2),"")</f>
        <v>8</v>
      </c>
      <c r="AD28" s="30">
        <v>34759</v>
      </c>
      <c r="AE28" s="79">
        <f t="shared" si="6"/>
        <v>16.83504449007529</v>
      </c>
      <c r="AF28" s="44" t="str">
        <f t="shared" ca="1" si="7"/>
        <v>16 ans 10 mois 13 jours</v>
      </c>
      <c r="AG28" s="63">
        <v>17.670000000000002</v>
      </c>
      <c r="AH28" s="51">
        <v>46346</v>
      </c>
    </row>
    <row r="29" spans="1:34" x14ac:dyDescent="0.2">
      <c r="A29" s="109" t="s">
        <v>73</v>
      </c>
      <c r="B29" s="110"/>
      <c r="C29" s="110"/>
      <c r="D29" s="16"/>
      <c r="E29" s="2"/>
      <c r="F29" s="3"/>
      <c r="G29" s="3"/>
      <c r="H29" s="3"/>
      <c r="I29" s="4"/>
      <c r="J29" s="2"/>
      <c r="K29" s="4"/>
      <c r="L29" s="16" t="s">
        <v>23</v>
      </c>
      <c r="M29" s="16" t="s">
        <v>24</v>
      </c>
      <c r="N29" s="48">
        <v>24</v>
      </c>
      <c r="O29" s="62">
        <v>8</v>
      </c>
      <c r="P29" s="135" t="str">
        <f t="shared" ca="1" si="0"/>
        <v>0 ans 9 mois 13 jours</v>
      </c>
      <c r="Q29" s="29">
        <v>0.75</v>
      </c>
      <c r="R29" s="43">
        <f t="shared" ca="1" si="1"/>
        <v>0.7885010266940452</v>
      </c>
      <c r="S29" s="44" t="b">
        <f t="shared" ca="1" si="2"/>
        <v>0</v>
      </c>
      <c r="T29" s="68">
        <v>40634</v>
      </c>
      <c r="U29" s="62">
        <v>115</v>
      </c>
      <c r="V29" s="44" t="str">
        <f t="shared" ca="1" si="3"/>
        <v>0 ans 9 mois 13 jours</v>
      </c>
      <c r="W29" s="29">
        <v>0.75</v>
      </c>
      <c r="X29" s="43">
        <f t="shared" ca="1" si="4"/>
        <v>0.7885010266940452</v>
      </c>
      <c r="Y29" s="44" t="b">
        <f t="shared" ca="1" si="5"/>
        <v>0</v>
      </c>
      <c r="Z29" s="30">
        <v>40634</v>
      </c>
      <c r="AA29" s="71">
        <v>40179</v>
      </c>
      <c r="AB29" s="62">
        <v>8</v>
      </c>
      <c r="AC29" s="44">
        <f>IF(AG29&gt;0,VLOOKUP(AG29,Calculs!$B$3:$C$13,2),"")</f>
        <v>8</v>
      </c>
      <c r="AD29" s="30">
        <v>34548</v>
      </c>
      <c r="AE29" s="79">
        <f t="shared" si="6"/>
        <v>17.412731006160165</v>
      </c>
      <c r="AF29" s="44" t="str">
        <f t="shared" ca="1" si="7"/>
        <v>17 ans 5 mois 12 jours</v>
      </c>
      <c r="AG29" s="63">
        <v>19.3</v>
      </c>
      <c r="AH29" s="51">
        <v>46889</v>
      </c>
    </row>
    <row r="30" spans="1:34" x14ac:dyDescent="0.2">
      <c r="A30" s="109" t="s">
        <v>85</v>
      </c>
      <c r="B30" s="110"/>
      <c r="C30" s="110"/>
      <c r="D30" s="16"/>
      <c r="E30" s="2"/>
      <c r="F30" s="3"/>
      <c r="G30" s="3"/>
      <c r="H30" s="3"/>
      <c r="I30" s="4"/>
      <c r="J30" s="5"/>
      <c r="K30" s="4"/>
      <c r="L30" s="16" t="s">
        <v>21</v>
      </c>
      <c r="M30" s="16" t="s">
        <v>22</v>
      </c>
      <c r="N30" s="48">
        <v>24.5</v>
      </c>
      <c r="O30" s="62">
        <v>5</v>
      </c>
      <c r="P30" s="135" t="str">
        <f t="shared" ca="1" si="0"/>
        <v>3 ans 0 mois 13 jours</v>
      </c>
      <c r="Q30" s="29">
        <v>2.08</v>
      </c>
      <c r="R30" s="43">
        <f t="shared" ca="1" si="1"/>
        <v>3.0335386721423681</v>
      </c>
      <c r="S30" s="44" t="b">
        <f t="shared" ca="1" si="2"/>
        <v>0</v>
      </c>
      <c r="T30" s="68">
        <v>39814</v>
      </c>
      <c r="U30" s="62">
        <v>95</v>
      </c>
      <c r="V30" s="44" t="str">
        <f t="shared" ca="1" si="3"/>
        <v>1 ans 0 mois 13 jours</v>
      </c>
      <c r="W30" s="29">
        <v>1</v>
      </c>
      <c r="X30" s="43">
        <f t="shared" ca="1" si="4"/>
        <v>1.0349075975359343</v>
      </c>
      <c r="Y30" s="44" t="b">
        <f t="shared" ca="1" si="5"/>
        <v>0</v>
      </c>
      <c r="Z30" s="30">
        <v>40544</v>
      </c>
      <c r="AA30" s="71">
        <v>40544</v>
      </c>
      <c r="AB30" s="62">
        <v>10</v>
      </c>
      <c r="AC30" s="44">
        <f>IF(AG30&gt;0,VLOOKUP(AG30,Calculs!$B$3:$C$13,2),"")</f>
        <v>10</v>
      </c>
      <c r="AD30" s="30">
        <v>31030</v>
      </c>
      <c r="AE30" s="79">
        <f t="shared" si="6"/>
        <v>27.044490075290895</v>
      </c>
      <c r="AF30" s="44" t="str">
        <f t="shared" ca="1" si="7"/>
        <v>27 ans 1 mois 0 jours</v>
      </c>
      <c r="AG30" s="63">
        <v>27.28</v>
      </c>
      <c r="AH30" s="51">
        <v>43956</v>
      </c>
    </row>
    <row r="31" spans="1:34" x14ac:dyDescent="0.2">
      <c r="A31" s="109" t="s">
        <v>97</v>
      </c>
      <c r="B31" s="110"/>
      <c r="C31" s="110"/>
      <c r="D31" s="16"/>
      <c r="E31" s="2"/>
      <c r="F31" s="3"/>
      <c r="G31" s="3"/>
      <c r="H31" s="3"/>
      <c r="I31" s="4"/>
      <c r="J31" s="2"/>
      <c r="K31" s="4"/>
      <c r="L31" s="16" t="s">
        <v>25</v>
      </c>
      <c r="M31" s="16" t="s">
        <v>22</v>
      </c>
      <c r="N31" s="48">
        <v>24</v>
      </c>
      <c r="O31" s="62">
        <v>3</v>
      </c>
      <c r="P31" s="135" t="str">
        <f t="shared" ca="1" si="0"/>
        <v>4 ans 3 mois 6 jours</v>
      </c>
      <c r="Q31" s="29">
        <v>4.25</v>
      </c>
      <c r="R31" s="43">
        <f t="shared" ca="1" si="1"/>
        <v>4.2683093771389462</v>
      </c>
      <c r="S31" s="44" t="b">
        <f t="shared" ca="1" si="2"/>
        <v>0</v>
      </c>
      <c r="T31" s="68">
        <v>39363</v>
      </c>
      <c r="U31" s="62">
        <v>55</v>
      </c>
      <c r="V31" s="44" t="str">
        <f t="shared" ca="1" si="3"/>
        <v>2 ans 8 mois 13 jours</v>
      </c>
      <c r="W31" s="29">
        <v>2.67</v>
      </c>
      <c r="X31" s="43">
        <f t="shared" ca="1" si="4"/>
        <v>2.7049965776865159</v>
      </c>
      <c r="Y31" s="44" t="b">
        <f t="shared" ca="1" si="5"/>
        <v>0</v>
      </c>
      <c r="Z31" s="30">
        <v>39934</v>
      </c>
      <c r="AA31" s="71" t="s">
        <v>26</v>
      </c>
      <c r="AB31" s="62">
        <v>4</v>
      </c>
      <c r="AC31" s="44">
        <f>IF(AG31&gt;0,VLOOKUP(AG31,Calculs!$B$3:$C$13,2),"")</f>
        <v>4</v>
      </c>
      <c r="AD31" s="30">
        <v>39363</v>
      </c>
      <c r="AE31" s="79">
        <f t="shared" si="6"/>
        <v>4.2299794661190964</v>
      </c>
      <c r="AF31" s="44" t="str">
        <f t="shared" ca="1" si="7"/>
        <v>4 ans 3 mois 6 jours</v>
      </c>
      <c r="AG31" s="63">
        <v>4.2300000000000004</v>
      </c>
      <c r="AH31" s="51">
        <v>52438</v>
      </c>
    </row>
    <row r="32" spans="1:34" x14ac:dyDescent="0.2">
      <c r="A32" s="109" t="s">
        <v>98</v>
      </c>
      <c r="B32" s="110"/>
      <c r="C32" s="110"/>
      <c r="D32" s="16"/>
      <c r="E32" s="2"/>
      <c r="F32" s="3"/>
      <c r="G32" s="3"/>
      <c r="H32" s="3"/>
      <c r="I32" s="4"/>
      <c r="J32" s="2"/>
      <c r="K32" s="4"/>
      <c r="L32" s="16" t="s">
        <v>25</v>
      </c>
      <c r="M32" s="16" t="s">
        <v>22</v>
      </c>
      <c r="N32" s="48">
        <v>24</v>
      </c>
      <c r="O32" s="62">
        <v>3</v>
      </c>
      <c r="P32" s="135" t="str">
        <f t="shared" ca="1" si="0"/>
        <v>2 ans 4 mois 13 jours</v>
      </c>
      <c r="Q32" s="29">
        <v>2.33</v>
      </c>
      <c r="R32" s="43">
        <f t="shared" ca="1" si="1"/>
        <v>2.3682409308692676</v>
      </c>
      <c r="S32" s="44" t="b">
        <f t="shared" ca="1" si="2"/>
        <v>0</v>
      </c>
      <c r="T32" s="68">
        <v>40057</v>
      </c>
      <c r="U32" s="62">
        <v>60</v>
      </c>
      <c r="V32" s="44" t="str">
        <f t="shared" ca="1" si="3"/>
        <v>2 ans 0 mois 13 jours</v>
      </c>
      <c r="W32" s="29">
        <v>2</v>
      </c>
      <c r="X32" s="43">
        <f t="shared" ca="1" si="4"/>
        <v>2.0342231348391513</v>
      </c>
      <c r="Y32" s="44" t="b">
        <f t="shared" ca="1" si="5"/>
        <v>0</v>
      </c>
      <c r="Z32" s="30">
        <v>40179</v>
      </c>
      <c r="AA32" s="71">
        <v>40179</v>
      </c>
      <c r="AB32" s="62">
        <v>4</v>
      </c>
      <c r="AC32" s="44">
        <f>IF(AG32&gt;0,VLOOKUP(AG32,Calculs!$B$3:$C$13,2),"")</f>
        <v>3</v>
      </c>
      <c r="AD32" s="30">
        <v>40057</v>
      </c>
      <c r="AE32" s="79">
        <f t="shared" si="6"/>
        <v>2.3299110198494182</v>
      </c>
      <c r="AF32" s="44" t="str">
        <f t="shared" ca="1" si="7"/>
        <v>2 ans 4 mois 13 jours</v>
      </c>
      <c r="AG32" s="63">
        <v>2.33</v>
      </c>
      <c r="AH32" s="51">
        <v>51450</v>
      </c>
    </row>
    <row r="33" spans="1:34" x14ac:dyDescent="0.2">
      <c r="A33" s="109" t="s">
        <v>83</v>
      </c>
      <c r="B33" s="110"/>
      <c r="C33" s="110"/>
      <c r="D33" s="16"/>
      <c r="E33" s="2"/>
      <c r="F33" s="3"/>
      <c r="G33" s="3"/>
      <c r="H33" s="3"/>
      <c r="I33" s="4"/>
      <c r="J33" s="5"/>
      <c r="K33" s="4"/>
      <c r="L33" s="16" t="s">
        <v>21</v>
      </c>
      <c r="M33" s="16" t="s">
        <v>22</v>
      </c>
      <c r="N33" s="48">
        <v>24</v>
      </c>
      <c r="O33" s="62">
        <v>5</v>
      </c>
      <c r="P33" s="135" t="str">
        <f t="shared" ca="1" si="0"/>
        <v>9 ans 2 mois 13 jours</v>
      </c>
      <c r="Q33" s="29">
        <v>9.17</v>
      </c>
      <c r="R33" s="43">
        <f t="shared" ca="1" si="1"/>
        <v>9.2019164955509929</v>
      </c>
      <c r="S33" s="44" t="b">
        <f t="shared" ca="1" si="2"/>
        <v>1</v>
      </c>
      <c r="T33" s="68">
        <v>37561</v>
      </c>
      <c r="U33" s="62">
        <v>105</v>
      </c>
      <c r="V33" s="44" t="str">
        <f t="shared" ca="1" si="3"/>
        <v>2 ans 0 mois 13 jours</v>
      </c>
      <c r="W33" s="29">
        <v>2</v>
      </c>
      <c r="X33" s="43">
        <f t="shared" ca="1" si="4"/>
        <v>2.0342231348391513</v>
      </c>
      <c r="Y33" s="44" t="b">
        <f t="shared" ca="1" si="5"/>
        <v>0</v>
      </c>
      <c r="Z33" s="30">
        <v>40179</v>
      </c>
      <c r="AA33" s="71">
        <v>40179</v>
      </c>
      <c r="AB33" s="62">
        <v>10</v>
      </c>
      <c r="AC33" s="44">
        <f>IF(AG33&gt;0,VLOOKUP(AG33,Calculs!$B$3:$C$13,2),"")</f>
        <v>11</v>
      </c>
      <c r="AD33" s="30">
        <v>29983</v>
      </c>
      <c r="AE33" s="79">
        <f t="shared" si="6"/>
        <v>29.911019849418206</v>
      </c>
      <c r="AF33" s="44" t="str">
        <f t="shared" ca="1" si="7"/>
        <v>29 ans 11 mois 13 jours</v>
      </c>
      <c r="AG33" s="63">
        <v>30.92</v>
      </c>
      <c r="AH33" s="51">
        <v>42213</v>
      </c>
    </row>
    <row r="34" spans="1:34" x14ac:dyDescent="0.2">
      <c r="A34" s="109" t="s">
        <v>99</v>
      </c>
      <c r="B34" s="110"/>
      <c r="C34" s="110"/>
      <c r="D34" s="16"/>
      <c r="E34" s="2"/>
      <c r="F34" s="3"/>
      <c r="G34" s="3"/>
      <c r="H34" s="3"/>
      <c r="I34" s="4"/>
      <c r="J34" s="2"/>
      <c r="K34" s="4"/>
      <c r="L34" s="16" t="s">
        <v>21</v>
      </c>
      <c r="M34" s="16" t="s">
        <v>22</v>
      </c>
      <c r="N34" s="48">
        <v>24</v>
      </c>
      <c r="O34" s="62">
        <v>5</v>
      </c>
      <c r="P34" s="135" t="str">
        <f t="shared" ref="P34:P65" ca="1" si="8">IF(T34&gt;0,DATEDIF(T34,TODAY(),"y")&amp;" ans "&amp;DATEDIF(T34,TODAY(),"ym")&amp;" mois "&amp;DATEDIF(T34,TODAY(),"md")&amp;" jours","")</f>
        <v>9 ans 3 mois 13 jours</v>
      </c>
      <c r="Q34" s="29">
        <v>9.25</v>
      </c>
      <c r="R34" s="43">
        <f t="shared" ref="R34:R65" ca="1" si="9">IF(T34&gt;0,(TODAY()-T34)/365.25,"")</f>
        <v>9.2867898699520879</v>
      </c>
      <c r="S34" s="44" t="b">
        <f t="shared" ref="S34:S65" ca="1" si="10">IF(T34&gt;0,DATEDIF(T34,TODAY(),"m")&gt;=84,"")</f>
        <v>1</v>
      </c>
      <c r="T34" s="68">
        <v>37530</v>
      </c>
      <c r="U34" s="62">
        <v>100</v>
      </c>
      <c r="V34" s="44" t="str">
        <f t="shared" ref="V34:V65" ca="1" si="11">IF(Z34&gt;0,DATEDIF(Z34,TODAY(),"y")&amp;" ans "&amp;DATEDIF(Z34,TODAY(),"ym")&amp;" mois "&amp;DATEDIF(Z34,TODAY(),"md")&amp;" jours","")</f>
        <v>2 ans 0 mois 13 jours</v>
      </c>
      <c r="W34" s="29">
        <v>2</v>
      </c>
      <c r="X34" s="43">
        <f t="shared" ref="X34:X65" ca="1" si="12">IF(Z34&gt;0,(TODAY()-Z34)/365.25,"")</f>
        <v>2.0342231348391513</v>
      </c>
      <c r="Y34" s="44" t="b">
        <f t="shared" ref="Y34:Y65" ca="1" si="13">IF(Z34&gt;0,DATEDIF(Z34,TODAY(),"m")&gt;=48,"")</f>
        <v>0</v>
      </c>
      <c r="Z34" s="30">
        <v>40179</v>
      </c>
      <c r="AA34" s="71">
        <v>40179</v>
      </c>
      <c r="AB34" s="62">
        <v>10</v>
      </c>
      <c r="AC34" s="44">
        <f>IF(AG34&gt;0,VLOOKUP(AG34,Calculs!$B$3:$C$13,2),"")</f>
        <v>10</v>
      </c>
      <c r="AD34" s="30">
        <v>30725</v>
      </c>
      <c r="AE34" s="79">
        <f t="shared" ref="AE34:AE65" si="14">IF(AD34&gt;0,(DATE(2011,12,31)-AD34)/365.25,"")</f>
        <v>27.879534565366189</v>
      </c>
      <c r="AF34" s="44" t="str">
        <f t="shared" ref="AF34:AF65" ca="1" si="15">IF(AD34&gt;0,DATEDIF(AD34,TODAY(),"y")&amp;" ans "&amp;DATEDIF(AD34,TODAY(),"ym")&amp;" mois "&amp;DATEDIF(AD34,TODAY(),"md")&amp;" jours","")</f>
        <v>27 ans 11 mois 1 jours</v>
      </c>
      <c r="AG34" s="63">
        <v>29.34</v>
      </c>
      <c r="AH34" s="51">
        <v>43378</v>
      </c>
    </row>
    <row r="35" spans="1:34" x14ac:dyDescent="0.2">
      <c r="A35" s="109" t="s">
        <v>100</v>
      </c>
      <c r="B35" s="110"/>
      <c r="C35" s="110"/>
      <c r="D35" s="16"/>
      <c r="E35" s="2"/>
      <c r="F35" s="3"/>
      <c r="G35" s="3"/>
      <c r="H35" s="3"/>
      <c r="I35" s="4"/>
      <c r="J35" s="5"/>
      <c r="K35" s="4"/>
      <c r="L35" s="16" t="s">
        <v>21</v>
      </c>
      <c r="M35" s="16" t="s">
        <v>22</v>
      </c>
      <c r="N35" s="48">
        <v>24</v>
      </c>
      <c r="O35" s="62">
        <v>4</v>
      </c>
      <c r="P35" s="135" t="str">
        <f t="shared" ca="1" si="8"/>
        <v>21 ans 3 mois 12 jours</v>
      </c>
      <c r="Q35" s="29">
        <v>21.17</v>
      </c>
      <c r="R35" s="43">
        <f t="shared" ca="1" si="9"/>
        <v>21.284052019164957</v>
      </c>
      <c r="S35" s="44" t="b">
        <f t="shared" ca="1" si="10"/>
        <v>1</v>
      </c>
      <c r="T35" s="68">
        <v>33148</v>
      </c>
      <c r="U35" s="62">
        <v>105</v>
      </c>
      <c r="V35" s="44" t="str">
        <f t="shared" ca="1" si="11"/>
        <v>3 ans 0 mois 13 jours</v>
      </c>
      <c r="W35" s="29">
        <v>3</v>
      </c>
      <c r="X35" s="43">
        <f t="shared" ca="1" si="12"/>
        <v>3.0335386721423681</v>
      </c>
      <c r="Y35" s="44" t="b">
        <f t="shared" ca="1" si="13"/>
        <v>0</v>
      </c>
      <c r="Z35" s="30">
        <v>39814</v>
      </c>
      <c r="AA35" s="71">
        <v>39814</v>
      </c>
      <c r="AB35" s="62">
        <v>10</v>
      </c>
      <c r="AC35" s="44">
        <f>IF(AG35&gt;0,VLOOKUP(AG35,Calculs!$B$3:$C$13,2),"")</f>
        <v>10</v>
      </c>
      <c r="AD35" s="30">
        <v>30377</v>
      </c>
      <c r="AE35" s="79">
        <f t="shared" si="14"/>
        <v>28.832306639288159</v>
      </c>
      <c r="AF35" s="44" t="str">
        <f t="shared" ca="1" si="15"/>
        <v>28 ans 10 mois 12 jours</v>
      </c>
      <c r="AG35" s="63">
        <v>29.84</v>
      </c>
      <c r="AH35" s="51">
        <v>40709</v>
      </c>
    </row>
    <row r="36" spans="1:34" x14ac:dyDescent="0.2">
      <c r="A36" s="109" t="s">
        <v>79</v>
      </c>
      <c r="B36" s="110"/>
      <c r="C36" s="110"/>
      <c r="D36" s="16"/>
      <c r="E36" s="2"/>
      <c r="F36" s="3"/>
      <c r="G36" s="3"/>
      <c r="H36" s="3"/>
      <c r="I36" s="4"/>
      <c r="J36" s="5"/>
      <c r="K36" s="4"/>
      <c r="L36" s="16" t="s">
        <v>21</v>
      </c>
      <c r="M36" s="16" t="s">
        <v>22</v>
      </c>
      <c r="N36" s="48">
        <v>24.5</v>
      </c>
      <c r="O36" s="62">
        <v>5</v>
      </c>
      <c r="P36" s="135" t="str">
        <f t="shared" ca="1" si="8"/>
        <v>5 ans 0 mois 13 jours</v>
      </c>
      <c r="Q36" s="29">
        <v>5</v>
      </c>
      <c r="R36" s="43">
        <f t="shared" ca="1" si="9"/>
        <v>5.0349075975359341</v>
      </c>
      <c r="S36" s="44" t="b">
        <f t="shared" ca="1" si="10"/>
        <v>0</v>
      </c>
      <c r="T36" s="68">
        <v>39083</v>
      </c>
      <c r="U36" s="62">
        <v>85</v>
      </c>
      <c r="V36" s="44" t="str">
        <f t="shared" ca="1" si="11"/>
        <v>1 ans 0 mois 13 jours</v>
      </c>
      <c r="W36" s="29">
        <v>1</v>
      </c>
      <c r="X36" s="43">
        <f t="shared" ca="1" si="12"/>
        <v>1.0349075975359343</v>
      </c>
      <c r="Y36" s="44" t="b">
        <f t="shared" ca="1" si="13"/>
        <v>0</v>
      </c>
      <c r="Z36" s="30">
        <v>40544</v>
      </c>
      <c r="AA36" s="71">
        <v>40544</v>
      </c>
      <c r="AB36" s="62">
        <v>8</v>
      </c>
      <c r="AC36" s="44">
        <f>IF(AG36&gt;0,VLOOKUP(AG36,Calculs!$B$3:$C$13,2),"")</f>
        <v>8</v>
      </c>
      <c r="AD36" s="30">
        <v>34090</v>
      </c>
      <c r="AE36" s="79">
        <f t="shared" si="14"/>
        <v>18.666666666666668</v>
      </c>
      <c r="AF36" s="44" t="str">
        <f t="shared" ca="1" si="15"/>
        <v>18 ans 8 mois 13 jours</v>
      </c>
      <c r="AG36" s="63">
        <v>19.670000000000002</v>
      </c>
      <c r="AH36" s="51">
        <v>44884</v>
      </c>
    </row>
    <row r="37" spans="1:34" x14ac:dyDescent="0.2">
      <c r="A37" s="109" t="s">
        <v>101</v>
      </c>
      <c r="B37" s="110"/>
      <c r="C37" s="110"/>
      <c r="D37" s="16"/>
      <c r="E37" s="2"/>
      <c r="F37" s="3"/>
      <c r="G37" s="3"/>
      <c r="H37" s="3"/>
      <c r="I37" s="4"/>
      <c r="J37" s="5"/>
      <c r="K37" s="4"/>
      <c r="L37" s="16" t="s">
        <v>23</v>
      </c>
      <c r="M37" s="16" t="s">
        <v>24</v>
      </c>
      <c r="N37" s="48">
        <v>24</v>
      </c>
      <c r="O37" s="62">
        <v>8</v>
      </c>
      <c r="P37" s="135" t="str">
        <f t="shared" ca="1" si="8"/>
        <v>9 ans 4 mois 13 jours</v>
      </c>
      <c r="Q37" s="29">
        <v>9.33</v>
      </c>
      <c r="R37" s="43">
        <f t="shared" ca="1" si="9"/>
        <v>9.3689253935660499</v>
      </c>
      <c r="S37" s="44" t="b">
        <f t="shared" ca="1" si="10"/>
        <v>1</v>
      </c>
      <c r="T37" s="68">
        <v>37500</v>
      </c>
      <c r="U37" s="62">
        <v>130</v>
      </c>
      <c r="V37" s="44" t="str">
        <f t="shared" ca="1" si="11"/>
        <v>2 ans 0 mois 13 jours</v>
      </c>
      <c r="W37" s="29">
        <v>2</v>
      </c>
      <c r="X37" s="43">
        <f t="shared" ca="1" si="12"/>
        <v>2.0342231348391513</v>
      </c>
      <c r="Y37" s="44" t="b">
        <f t="shared" ca="1" si="13"/>
        <v>0</v>
      </c>
      <c r="Z37" s="30">
        <v>40179</v>
      </c>
      <c r="AA37" s="71">
        <v>40179</v>
      </c>
      <c r="AB37" s="62">
        <v>10</v>
      </c>
      <c r="AC37" s="44">
        <f>IF(AG37&gt;0,VLOOKUP(AG37,Calculs!$B$3:$C$13,2),"")</f>
        <v>10</v>
      </c>
      <c r="AD37" s="30">
        <v>30713</v>
      </c>
      <c r="AE37" s="79">
        <f t="shared" si="14"/>
        <v>27.912388774811774</v>
      </c>
      <c r="AF37" s="44" t="str">
        <f t="shared" ca="1" si="15"/>
        <v>27 ans 11 mois 13 jours</v>
      </c>
      <c r="AG37" s="63">
        <v>28.91</v>
      </c>
      <c r="AH37" s="51">
        <v>43353</v>
      </c>
    </row>
    <row r="38" spans="1:34" x14ac:dyDescent="0.2">
      <c r="A38" s="109" t="s">
        <v>102</v>
      </c>
      <c r="B38" s="110"/>
      <c r="C38" s="110"/>
      <c r="D38" s="16"/>
      <c r="E38" s="2"/>
      <c r="F38" s="3"/>
      <c r="G38" s="3"/>
      <c r="H38" s="3"/>
      <c r="I38" s="4"/>
      <c r="J38" s="2"/>
      <c r="K38" s="4"/>
      <c r="L38" s="16" t="s">
        <v>25</v>
      </c>
      <c r="M38" s="16" t="s">
        <v>22</v>
      </c>
      <c r="N38" s="48">
        <v>24.5</v>
      </c>
      <c r="O38" s="62">
        <v>4</v>
      </c>
      <c r="P38" s="135" t="str">
        <f t="shared" ca="1" si="8"/>
        <v>0 ans 6 mois 13 jours</v>
      </c>
      <c r="Q38" s="29">
        <v>0.5</v>
      </c>
      <c r="R38" s="43">
        <f t="shared" ca="1" si="9"/>
        <v>0.53935660506502392</v>
      </c>
      <c r="S38" s="44" t="b">
        <f t="shared" ca="1" si="10"/>
        <v>0</v>
      </c>
      <c r="T38" s="68">
        <v>40725</v>
      </c>
      <c r="U38" s="62">
        <v>80</v>
      </c>
      <c r="V38" s="44" t="str">
        <f t="shared" ca="1" si="11"/>
        <v>0 ans 6 mois 13 jours</v>
      </c>
      <c r="W38" s="29">
        <v>0.5</v>
      </c>
      <c r="X38" s="43">
        <f t="shared" ca="1" si="12"/>
        <v>0.53935660506502392</v>
      </c>
      <c r="Y38" s="44" t="b">
        <f t="shared" ca="1" si="13"/>
        <v>0</v>
      </c>
      <c r="Z38" s="30">
        <v>40725</v>
      </c>
      <c r="AA38" s="71">
        <v>40179</v>
      </c>
      <c r="AB38" s="62">
        <v>4</v>
      </c>
      <c r="AC38" s="44">
        <f>IF(AG38&gt;0,VLOOKUP(AG38,Calculs!$B$3:$C$13,2),"")</f>
        <v>4</v>
      </c>
      <c r="AD38" s="30">
        <v>39419</v>
      </c>
      <c r="AE38" s="79">
        <f t="shared" si="14"/>
        <v>4.0766598220396988</v>
      </c>
      <c r="AF38" s="44" t="str">
        <f t="shared" ca="1" si="15"/>
        <v>4 ans 1 mois 11 jours</v>
      </c>
      <c r="AG38" s="63">
        <v>4.08</v>
      </c>
      <c r="AH38" s="51">
        <v>51770</v>
      </c>
    </row>
    <row r="39" spans="1:34" x14ac:dyDescent="0.2">
      <c r="A39" s="109" t="s">
        <v>103</v>
      </c>
      <c r="B39" s="110"/>
      <c r="C39" s="110"/>
      <c r="D39" s="16"/>
      <c r="E39" s="2"/>
      <c r="F39" s="3"/>
      <c r="G39" s="3"/>
      <c r="H39" s="3"/>
      <c r="I39" s="4"/>
      <c r="J39" s="2"/>
      <c r="K39" s="4"/>
      <c r="L39" s="16" t="s">
        <v>21</v>
      </c>
      <c r="M39" s="16" t="s">
        <v>22</v>
      </c>
      <c r="N39" s="48">
        <v>24</v>
      </c>
      <c r="O39" s="62">
        <v>4</v>
      </c>
      <c r="P39" s="135" t="str">
        <f t="shared" ca="1" si="8"/>
        <v>15 ans 7 mois 13 jours</v>
      </c>
      <c r="Q39" s="29">
        <v>15.58</v>
      </c>
      <c r="R39" s="43">
        <f t="shared" ca="1" si="9"/>
        <v>15.619438740588638</v>
      </c>
      <c r="S39" s="44" t="b">
        <f t="shared" ca="1" si="10"/>
        <v>1</v>
      </c>
      <c r="T39" s="68">
        <v>35217</v>
      </c>
      <c r="U39" s="62">
        <v>70</v>
      </c>
      <c r="V39" s="44" t="str">
        <f t="shared" ca="1" si="11"/>
        <v>2 ans 0 mois 13 jours</v>
      </c>
      <c r="W39" s="29">
        <v>2</v>
      </c>
      <c r="X39" s="43">
        <f t="shared" ca="1" si="12"/>
        <v>2.0342231348391513</v>
      </c>
      <c r="Y39" s="44" t="b">
        <f t="shared" ca="1" si="13"/>
        <v>0</v>
      </c>
      <c r="Z39" s="30">
        <v>40179</v>
      </c>
      <c r="AA39" s="71">
        <v>40179</v>
      </c>
      <c r="AB39" s="62">
        <v>9</v>
      </c>
      <c r="AC39" s="44">
        <f>IF(AG39&gt;0,VLOOKUP(AG39,Calculs!$B$3:$C$13,2),"")</f>
        <v>9</v>
      </c>
      <c r="AD39" s="30">
        <v>33301</v>
      </c>
      <c r="AE39" s="79">
        <f t="shared" si="14"/>
        <v>20.826830937713893</v>
      </c>
      <c r="AF39" s="44" t="str">
        <f t="shared" ca="1" si="15"/>
        <v>20 ans 10 mois 10 jours</v>
      </c>
      <c r="AG39" s="63">
        <v>21.83</v>
      </c>
      <c r="AH39" s="51">
        <v>43249</v>
      </c>
    </row>
    <row r="40" spans="1:34" x14ac:dyDescent="0.2">
      <c r="A40" s="109" t="s">
        <v>104</v>
      </c>
      <c r="B40" s="110"/>
      <c r="C40" s="110"/>
      <c r="D40" s="16"/>
      <c r="E40" s="2"/>
      <c r="F40" s="3"/>
      <c r="G40" s="3"/>
      <c r="H40" s="3"/>
      <c r="I40" s="4"/>
      <c r="J40" s="2"/>
      <c r="K40" s="4"/>
      <c r="L40" s="16" t="s">
        <v>21</v>
      </c>
      <c r="M40" s="16" t="s">
        <v>22</v>
      </c>
      <c r="N40" s="48">
        <v>24</v>
      </c>
      <c r="O40" s="62">
        <v>6</v>
      </c>
      <c r="P40" s="135" t="str">
        <f t="shared" ca="1" si="8"/>
        <v>13 ans 0 mois 13 jours</v>
      </c>
      <c r="Q40" s="29">
        <v>12.92</v>
      </c>
      <c r="R40" s="43">
        <f t="shared" ca="1" si="9"/>
        <v>13.034907597535934</v>
      </c>
      <c r="S40" s="44" t="b">
        <f t="shared" ca="1" si="10"/>
        <v>1</v>
      </c>
      <c r="T40" s="68">
        <v>36161</v>
      </c>
      <c r="U40" s="62">
        <v>85</v>
      </c>
      <c r="V40" s="44" t="str">
        <f t="shared" ca="1" si="11"/>
        <v>5 ans 0 mois 13 jours</v>
      </c>
      <c r="W40" s="29">
        <v>5</v>
      </c>
      <c r="X40" s="43">
        <f t="shared" ca="1" si="12"/>
        <v>5.0349075975359341</v>
      </c>
      <c r="Y40" s="44" t="b">
        <f t="shared" ca="1" si="13"/>
        <v>1</v>
      </c>
      <c r="Z40" s="30">
        <v>39083</v>
      </c>
      <c r="AA40" s="71">
        <v>39083</v>
      </c>
      <c r="AB40" s="62">
        <v>11</v>
      </c>
      <c r="AC40" s="44">
        <f>IF(AG40&gt;0,VLOOKUP(AG40,Calculs!$B$3:$C$13,2),"")</f>
        <v>11</v>
      </c>
      <c r="AD40" s="30">
        <v>29434</v>
      </c>
      <c r="AE40" s="79">
        <f t="shared" si="14"/>
        <v>31.414099931553729</v>
      </c>
      <c r="AF40" s="44" t="str">
        <f t="shared" ca="1" si="15"/>
        <v>31 ans 5 mois 13 jours</v>
      </c>
      <c r="AG40" s="63">
        <v>32.42</v>
      </c>
      <c r="AH40" s="51">
        <v>41822</v>
      </c>
    </row>
    <row r="41" spans="1:34" x14ac:dyDescent="0.2">
      <c r="A41" s="109" t="s">
        <v>105</v>
      </c>
      <c r="B41" s="110"/>
      <c r="C41" s="110"/>
      <c r="D41" s="16"/>
      <c r="E41" s="2"/>
      <c r="F41" s="3"/>
      <c r="G41" s="3"/>
      <c r="H41" s="3"/>
      <c r="I41" s="4"/>
      <c r="J41" s="5"/>
      <c r="K41" s="4"/>
      <c r="L41" s="16" t="s">
        <v>21</v>
      </c>
      <c r="M41" s="16" t="s">
        <v>22</v>
      </c>
      <c r="N41" s="48">
        <v>24.5</v>
      </c>
      <c r="O41" s="62">
        <v>6</v>
      </c>
      <c r="P41" s="135" t="str">
        <f t="shared" ca="1" si="8"/>
        <v>2 ans 0 mois 13 jours</v>
      </c>
      <c r="Q41" s="29">
        <v>2</v>
      </c>
      <c r="R41" s="43">
        <f t="shared" ca="1" si="9"/>
        <v>2.0342231348391513</v>
      </c>
      <c r="S41" s="44" t="b">
        <f t="shared" ca="1" si="10"/>
        <v>0</v>
      </c>
      <c r="T41" s="68">
        <v>40179</v>
      </c>
      <c r="U41" s="62">
        <v>90</v>
      </c>
      <c r="V41" s="44" t="str">
        <f t="shared" ca="1" si="11"/>
        <v>2 ans 0 mois 13 jours</v>
      </c>
      <c r="W41" s="29">
        <v>2</v>
      </c>
      <c r="X41" s="43">
        <f t="shared" ca="1" si="12"/>
        <v>2.0342231348391513</v>
      </c>
      <c r="Y41" s="44" t="b">
        <f t="shared" ca="1" si="13"/>
        <v>0</v>
      </c>
      <c r="Z41" s="30">
        <v>40179</v>
      </c>
      <c r="AA41" s="71">
        <v>39814</v>
      </c>
      <c r="AB41" s="62">
        <v>8</v>
      </c>
      <c r="AC41" s="44">
        <f>IF(AG41&gt;0,VLOOKUP(AG41,Calculs!$B$3:$C$13,2),"")</f>
        <v>8</v>
      </c>
      <c r="AD41" s="30">
        <v>34029</v>
      </c>
      <c r="AE41" s="79">
        <f t="shared" si="14"/>
        <v>18.833675564681723</v>
      </c>
      <c r="AF41" s="44" t="str">
        <f t="shared" ca="1" si="15"/>
        <v>18 ans 10 mois 13 jours</v>
      </c>
      <c r="AG41" s="63">
        <v>19.829999999999998</v>
      </c>
      <c r="AH41" s="51">
        <v>45618</v>
      </c>
    </row>
    <row r="42" spans="1:34" x14ac:dyDescent="0.2">
      <c r="A42" s="109" t="s">
        <v>106</v>
      </c>
      <c r="B42" s="110"/>
      <c r="C42" s="110"/>
      <c r="D42" s="16"/>
      <c r="E42" s="2"/>
      <c r="F42" s="3"/>
      <c r="G42" s="3"/>
      <c r="H42" s="3"/>
      <c r="I42" s="4"/>
      <c r="J42" s="2"/>
      <c r="K42" s="4"/>
      <c r="L42" s="16" t="s">
        <v>21</v>
      </c>
      <c r="M42" s="16" t="s">
        <v>22</v>
      </c>
      <c r="N42" s="48">
        <v>24</v>
      </c>
      <c r="O42" s="62">
        <v>6</v>
      </c>
      <c r="P42" s="135" t="str">
        <f t="shared" ca="1" si="8"/>
        <v>4 ans 0 mois 13 jours</v>
      </c>
      <c r="Q42" s="29">
        <v>3.58</v>
      </c>
      <c r="R42" s="43">
        <f t="shared" ca="1" si="9"/>
        <v>4.0355920602327169</v>
      </c>
      <c r="S42" s="44" t="b">
        <f t="shared" ca="1" si="10"/>
        <v>0</v>
      </c>
      <c r="T42" s="68">
        <v>39448</v>
      </c>
      <c r="U42" s="62">
        <v>100</v>
      </c>
      <c r="V42" s="44" t="str">
        <f t="shared" ca="1" si="11"/>
        <v>2 ans 0 mois 13 jours</v>
      </c>
      <c r="W42" s="29">
        <v>2</v>
      </c>
      <c r="X42" s="43">
        <f t="shared" ca="1" si="12"/>
        <v>2.0342231348391513</v>
      </c>
      <c r="Y42" s="44" t="b">
        <f t="shared" ca="1" si="13"/>
        <v>0</v>
      </c>
      <c r="Z42" s="30">
        <v>40179</v>
      </c>
      <c r="AA42" s="71">
        <v>40179</v>
      </c>
      <c r="AB42" s="62">
        <v>8</v>
      </c>
      <c r="AC42" s="44">
        <f>IF(AG42&gt;0,VLOOKUP(AG42,Calculs!$B$3:$C$13,2),"")</f>
        <v>8</v>
      </c>
      <c r="AD42" s="30">
        <v>33817</v>
      </c>
      <c r="AE42" s="79">
        <f t="shared" si="14"/>
        <v>19.414099931553729</v>
      </c>
      <c r="AF42" s="44" t="str">
        <f t="shared" ca="1" si="15"/>
        <v>19 ans 5 mois 13 jours</v>
      </c>
      <c r="AG42" s="63">
        <v>19.420000000000002</v>
      </c>
      <c r="AH42" s="51">
        <v>46034</v>
      </c>
    </row>
    <row r="43" spans="1:34" x14ac:dyDescent="0.2">
      <c r="A43" s="109" t="s">
        <v>107</v>
      </c>
      <c r="B43" s="110"/>
      <c r="C43" s="110"/>
      <c r="D43" s="16"/>
      <c r="E43" s="2"/>
      <c r="F43" s="3"/>
      <c r="G43" s="3"/>
      <c r="H43" s="3"/>
      <c r="I43" s="4"/>
      <c r="J43" s="2"/>
      <c r="K43" s="4"/>
      <c r="L43" s="16" t="s">
        <v>21</v>
      </c>
      <c r="M43" s="16" t="s">
        <v>22</v>
      </c>
      <c r="N43" s="48">
        <v>24.5</v>
      </c>
      <c r="O43" s="62">
        <v>4</v>
      </c>
      <c r="P43" s="135" t="str">
        <f t="shared" ca="1" si="8"/>
        <v>2 ans 8 mois 13 jours</v>
      </c>
      <c r="Q43" s="29">
        <v>2.67</v>
      </c>
      <c r="R43" s="43">
        <f t="shared" ca="1" si="9"/>
        <v>2.7049965776865159</v>
      </c>
      <c r="S43" s="44" t="b">
        <f t="shared" ca="1" si="10"/>
        <v>0</v>
      </c>
      <c r="T43" s="68">
        <v>39934</v>
      </c>
      <c r="U43" s="62">
        <v>80</v>
      </c>
      <c r="V43" s="44" t="str">
        <f t="shared" ca="1" si="11"/>
        <v>2 ans 0 mois 13 jours</v>
      </c>
      <c r="W43" s="29">
        <v>2</v>
      </c>
      <c r="X43" s="43">
        <f t="shared" ca="1" si="12"/>
        <v>2.0342231348391513</v>
      </c>
      <c r="Y43" s="44" t="b">
        <f t="shared" ca="1" si="13"/>
        <v>0</v>
      </c>
      <c r="Z43" s="30">
        <v>40179</v>
      </c>
      <c r="AA43" s="71">
        <v>40179</v>
      </c>
      <c r="AB43" s="62">
        <v>4</v>
      </c>
      <c r="AC43" s="44">
        <f>IF(AG43&gt;0,VLOOKUP(AG43,Calculs!$B$3:$C$13,2),"")</f>
        <v>4</v>
      </c>
      <c r="AD43" s="30">
        <v>39077</v>
      </c>
      <c r="AE43" s="79">
        <f t="shared" si="14"/>
        <v>5.0130047912388775</v>
      </c>
      <c r="AF43" s="44" t="str">
        <f t="shared" ca="1" si="15"/>
        <v>5 ans 0 mois 19 jours</v>
      </c>
      <c r="AG43" s="63">
        <v>5.01</v>
      </c>
      <c r="AH43" s="51">
        <v>49090</v>
      </c>
    </row>
    <row r="44" spans="1:34" x14ac:dyDescent="0.2">
      <c r="A44" s="109" t="s">
        <v>108</v>
      </c>
      <c r="B44" s="110"/>
      <c r="C44" s="110"/>
      <c r="D44" s="16"/>
      <c r="E44" s="2"/>
      <c r="F44" s="3"/>
      <c r="G44" s="3"/>
      <c r="H44" s="3"/>
      <c r="I44" s="4"/>
      <c r="J44" s="2"/>
      <c r="K44" s="4"/>
      <c r="L44" s="16" t="s">
        <v>21</v>
      </c>
      <c r="M44" s="16" t="s">
        <v>22</v>
      </c>
      <c r="N44" s="48">
        <v>24</v>
      </c>
      <c r="O44" s="62">
        <v>6</v>
      </c>
      <c r="P44" s="135" t="str">
        <f t="shared" ca="1" si="8"/>
        <v>1 ans 0 mois 13 jours</v>
      </c>
      <c r="Q44" s="29">
        <v>1</v>
      </c>
      <c r="R44" s="43">
        <f t="shared" ca="1" si="9"/>
        <v>1.0349075975359343</v>
      </c>
      <c r="S44" s="44" t="b">
        <f t="shared" ca="1" si="10"/>
        <v>0</v>
      </c>
      <c r="T44" s="68">
        <v>40544</v>
      </c>
      <c r="U44" s="62">
        <v>95</v>
      </c>
      <c r="V44" s="44" t="str">
        <f t="shared" ca="1" si="11"/>
        <v>1 ans 0 mois 13 jours</v>
      </c>
      <c r="W44" s="29">
        <v>1</v>
      </c>
      <c r="X44" s="43">
        <f t="shared" ca="1" si="12"/>
        <v>1.0349075975359343</v>
      </c>
      <c r="Y44" s="44" t="b">
        <f t="shared" ca="1" si="13"/>
        <v>0</v>
      </c>
      <c r="Z44" s="30">
        <v>40544</v>
      </c>
      <c r="AA44" s="71">
        <v>39814</v>
      </c>
      <c r="AB44" s="62">
        <v>9</v>
      </c>
      <c r="AC44" s="44">
        <f>IF(AG44&gt;0,VLOOKUP(AG44,Calculs!$B$3:$C$13,2),"")</f>
        <v>9</v>
      </c>
      <c r="AD44" s="30">
        <v>33308</v>
      </c>
      <c r="AE44" s="79">
        <f t="shared" si="14"/>
        <v>20.807665982203972</v>
      </c>
      <c r="AF44" s="44" t="str">
        <f t="shared" ca="1" si="15"/>
        <v>20 ans 10 mois 3 jours</v>
      </c>
      <c r="AG44" s="63">
        <v>22.33</v>
      </c>
      <c r="AH44" s="51">
        <v>46343</v>
      </c>
    </row>
    <row r="45" spans="1:34" x14ac:dyDescent="0.2">
      <c r="A45" s="109" t="s">
        <v>99</v>
      </c>
      <c r="B45" s="110"/>
      <c r="C45" s="110"/>
      <c r="D45" s="16"/>
      <c r="E45" s="2"/>
      <c r="F45" s="3"/>
      <c r="G45" s="3"/>
      <c r="H45" s="3"/>
      <c r="I45" s="4"/>
      <c r="J45" s="2"/>
      <c r="K45" s="4"/>
      <c r="L45" s="16" t="s">
        <v>21</v>
      </c>
      <c r="M45" s="16" t="s">
        <v>22</v>
      </c>
      <c r="N45" s="48"/>
      <c r="O45" s="62">
        <v>4</v>
      </c>
      <c r="P45" s="135" t="str">
        <f t="shared" ca="1" si="8"/>
        <v>0 ans 0 mois 30 jours</v>
      </c>
      <c r="Q45" s="29"/>
      <c r="R45" s="43">
        <f t="shared" ca="1" si="9"/>
        <v>8.2135523613963035E-2</v>
      </c>
      <c r="S45" s="44" t="b">
        <f t="shared" ca="1" si="10"/>
        <v>0</v>
      </c>
      <c r="T45" s="68">
        <v>40892</v>
      </c>
      <c r="U45" s="62">
        <v>70</v>
      </c>
      <c r="V45" s="44" t="str">
        <f t="shared" ca="1" si="11"/>
        <v>0 ans 0 mois 30 jours</v>
      </c>
      <c r="W45" s="29"/>
      <c r="X45" s="43">
        <f t="shared" ca="1" si="12"/>
        <v>8.2135523613963035E-2</v>
      </c>
      <c r="Y45" s="44" t="b">
        <f t="shared" ca="1" si="13"/>
        <v>0</v>
      </c>
      <c r="Z45" s="30">
        <v>40892</v>
      </c>
      <c r="AA45" s="71"/>
      <c r="AB45" s="62"/>
      <c r="AC45" s="44" t="str">
        <f>IF(AG45&gt;0,VLOOKUP(AG45,Calculs!$B$3:$C$13,2),"")</f>
        <v/>
      </c>
      <c r="AD45" s="30">
        <v>39083</v>
      </c>
      <c r="AE45" s="79">
        <f t="shared" si="14"/>
        <v>4.9965776865160851</v>
      </c>
      <c r="AF45" s="44" t="str">
        <f t="shared" ca="1" si="15"/>
        <v>5 ans 0 mois 13 jours</v>
      </c>
      <c r="AG45" s="63"/>
      <c r="AH45" s="51"/>
    </row>
    <row r="46" spans="1:34" x14ac:dyDescent="0.2">
      <c r="A46" s="109" t="s">
        <v>109</v>
      </c>
      <c r="B46" s="110"/>
      <c r="C46" s="110"/>
      <c r="D46" s="16"/>
      <c r="E46" s="2"/>
      <c r="F46" s="3"/>
      <c r="G46" s="3"/>
      <c r="H46" s="3"/>
      <c r="I46" s="4"/>
      <c r="J46" s="2"/>
      <c r="K46" s="4"/>
      <c r="L46" s="16" t="s">
        <v>21</v>
      </c>
      <c r="M46" s="16" t="s">
        <v>22</v>
      </c>
      <c r="N46" s="48">
        <v>24</v>
      </c>
      <c r="O46" s="62">
        <v>4</v>
      </c>
      <c r="P46" s="135" t="str">
        <f t="shared" ca="1" si="8"/>
        <v>17 ans 0 mois 13 jours</v>
      </c>
      <c r="Q46" s="29">
        <v>17</v>
      </c>
      <c r="R46" s="43">
        <f t="shared" ca="1" si="9"/>
        <v>17.034907597535934</v>
      </c>
      <c r="S46" s="44" t="b">
        <f t="shared" ca="1" si="10"/>
        <v>1</v>
      </c>
      <c r="T46" s="68">
        <v>34700</v>
      </c>
      <c r="U46" s="62">
        <v>85</v>
      </c>
      <c r="V46" s="44" t="str">
        <f t="shared" ca="1" si="11"/>
        <v>1 ans 0 mois 13 jours</v>
      </c>
      <c r="W46" s="29">
        <v>1</v>
      </c>
      <c r="X46" s="43">
        <f t="shared" ca="1" si="12"/>
        <v>1.0349075975359343</v>
      </c>
      <c r="Y46" s="44" t="b">
        <f t="shared" ca="1" si="13"/>
        <v>0</v>
      </c>
      <c r="Z46" s="30">
        <v>40544</v>
      </c>
      <c r="AA46" s="71">
        <v>40544</v>
      </c>
      <c r="AB46" s="62">
        <v>8</v>
      </c>
      <c r="AC46" s="44">
        <f>IF(AG46&gt;0,VLOOKUP(AG46,Calculs!$B$3:$C$13,2),"")</f>
        <v>8</v>
      </c>
      <c r="AD46" s="30">
        <v>33800</v>
      </c>
      <c r="AE46" s="79">
        <f t="shared" si="14"/>
        <v>19.460643394934976</v>
      </c>
      <c r="AF46" s="44" t="str">
        <f t="shared" ca="1" si="15"/>
        <v>19 ans 5 mois 30 jours</v>
      </c>
      <c r="AG46" s="63">
        <v>20.46</v>
      </c>
      <c r="AH46" s="51">
        <v>40507</v>
      </c>
    </row>
    <row r="47" spans="1:34" x14ac:dyDescent="0.2">
      <c r="A47" s="109" t="s">
        <v>110</v>
      </c>
      <c r="B47" s="110"/>
      <c r="C47" s="110"/>
      <c r="D47" s="16"/>
      <c r="E47" s="2"/>
      <c r="F47" s="3"/>
      <c r="G47" s="3"/>
      <c r="H47" s="3"/>
      <c r="I47" s="4"/>
      <c r="J47" s="2"/>
      <c r="K47" s="4"/>
      <c r="L47" s="16" t="s">
        <v>21</v>
      </c>
      <c r="M47" s="16" t="s">
        <v>22</v>
      </c>
      <c r="N47" s="48">
        <v>24</v>
      </c>
      <c r="O47" s="62">
        <v>6</v>
      </c>
      <c r="P47" s="135" t="str">
        <f t="shared" ca="1" si="8"/>
        <v>15 ans 7 mois 13 jours</v>
      </c>
      <c r="Q47" s="29">
        <v>15.58</v>
      </c>
      <c r="R47" s="43">
        <f t="shared" ca="1" si="9"/>
        <v>15.619438740588638</v>
      </c>
      <c r="S47" s="44" t="b">
        <f t="shared" ca="1" si="10"/>
        <v>1</v>
      </c>
      <c r="T47" s="68">
        <v>35217</v>
      </c>
      <c r="U47" s="62">
        <v>110</v>
      </c>
      <c r="V47" s="44" t="str">
        <f t="shared" ca="1" si="11"/>
        <v>1 ans 0 mois 13 jours</v>
      </c>
      <c r="W47" s="29">
        <v>1</v>
      </c>
      <c r="X47" s="43">
        <f t="shared" ca="1" si="12"/>
        <v>1.0349075975359343</v>
      </c>
      <c r="Y47" s="44" t="b">
        <f t="shared" ca="1" si="13"/>
        <v>0</v>
      </c>
      <c r="Z47" s="30">
        <v>40544</v>
      </c>
      <c r="AA47" s="71">
        <v>40544</v>
      </c>
      <c r="AB47" s="62">
        <v>10</v>
      </c>
      <c r="AC47" s="44">
        <f>IF(AG47&gt;0,VLOOKUP(AG47,Calculs!$B$3:$C$13,2),"")</f>
        <v>10</v>
      </c>
      <c r="AD47" s="30">
        <v>30437</v>
      </c>
      <c r="AE47" s="79">
        <f t="shared" si="14"/>
        <v>28.668035592060232</v>
      </c>
      <c r="AF47" s="44" t="str">
        <f t="shared" ca="1" si="15"/>
        <v>28 ans 8 mois 13 jours</v>
      </c>
      <c r="AG47" s="63">
        <v>29.67</v>
      </c>
      <c r="AH47" s="51">
        <v>41953</v>
      </c>
    </row>
    <row r="48" spans="1:34" x14ac:dyDescent="0.2">
      <c r="A48" s="109" t="s">
        <v>99</v>
      </c>
      <c r="B48" s="110"/>
      <c r="C48" s="110"/>
      <c r="D48" s="16"/>
      <c r="E48" s="2"/>
      <c r="F48" s="3"/>
      <c r="G48" s="3"/>
      <c r="H48" s="3"/>
      <c r="I48" s="4"/>
      <c r="J48" s="2"/>
      <c r="K48" s="4"/>
      <c r="L48" s="16" t="s">
        <v>21</v>
      </c>
      <c r="M48" s="16" t="s">
        <v>22</v>
      </c>
      <c r="N48" s="48">
        <v>24</v>
      </c>
      <c r="O48" s="62">
        <v>5</v>
      </c>
      <c r="P48" s="135" t="str">
        <f t="shared" ca="1" si="8"/>
        <v>9 ans 9 mois 13 jours</v>
      </c>
      <c r="Q48" s="29">
        <v>9.75</v>
      </c>
      <c r="R48" s="43">
        <f t="shared" ca="1" si="9"/>
        <v>9.7878165639972625</v>
      </c>
      <c r="S48" s="44" t="b">
        <f t="shared" ca="1" si="10"/>
        <v>1</v>
      </c>
      <c r="T48" s="68">
        <v>37347</v>
      </c>
      <c r="U48" s="62">
        <v>80</v>
      </c>
      <c r="V48" s="44" t="str">
        <f t="shared" ca="1" si="11"/>
        <v>1 ans 0 mois 13 jours</v>
      </c>
      <c r="W48" s="29">
        <v>1</v>
      </c>
      <c r="X48" s="43">
        <f t="shared" ca="1" si="12"/>
        <v>1.0349075975359343</v>
      </c>
      <c r="Y48" s="44" t="b">
        <f t="shared" ca="1" si="13"/>
        <v>0</v>
      </c>
      <c r="Z48" s="30">
        <v>40544</v>
      </c>
      <c r="AA48" s="71">
        <v>40544</v>
      </c>
      <c r="AB48" s="62">
        <v>7</v>
      </c>
      <c r="AC48" s="44">
        <f>IF(AG48&gt;0,VLOOKUP(AG48,Calculs!$B$3:$C$13,2),"")</f>
        <v>7</v>
      </c>
      <c r="AD48" s="30">
        <v>35919</v>
      </c>
      <c r="AE48" s="79">
        <f t="shared" si="14"/>
        <v>13.659137577002053</v>
      </c>
      <c r="AF48" s="44" t="str">
        <f t="shared" ca="1" si="15"/>
        <v>13 ans 8 mois 10 jours</v>
      </c>
      <c r="AG48" s="63">
        <v>13.66</v>
      </c>
      <c r="AH48" s="51">
        <v>46297</v>
      </c>
    </row>
    <row r="49" spans="1:34" x14ac:dyDescent="0.2">
      <c r="A49" s="109" t="s">
        <v>111</v>
      </c>
      <c r="B49" s="110"/>
      <c r="C49" s="110"/>
      <c r="D49" s="16"/>
      <c r="E49" s="2"/>
      <c r="F49" s="3"/>
      <c r="G49" s="3"/>
      <c r="H49" s="3"/>
      <c r="I49" s="4"/>
      <c r="J49" s="5"/>
      <c r="K49" s="4"/>
      <c r="L49" s="16" t="s">
        <v>21</v>
      </c>
      <c r="M49" s="16" t="s">
        <v>22</v>
      </c>
      <c r="N49" s="48">
        <v>24.5</v>
      </c>
      <c r="O49" s="62">
        <v>5</v>
      </c>
      <c r="P49" s="135" t="str">
        <f t="shared" ca="1" si="8"/>
        <v>4 ans 0 mois 13 jours</v>
      </c>
      <c r="Q49" s="29">
        <v>3.17</v>
      </c>
      <c r="R49" s="43">
        <f t="shared" ca="1" si="9"/>
        <v>4.0355920602327169</v>
      </c>
      <c r="S49" s="44" t="b">
        <f t="shared" ca="1" si="10"/>
        <v>0</v>
      </c>
      <c r="T49" s="68">
        <v>39448</v>
      </c>
      <c r="U49" s="62">
        <v>75</v>
      </c>
      <c r="V49" s="44" t="str">
        <f t="shared" ca="1" si="11"/>
        <v>3 ans 2 mois 13 jours</v>
      </c>
      <c r="W49" s="29">
        <v>3.17</v>
      </c>
      <c r="X49" s="43">
        <f t="shared" ca="1" si="12"/>
        <v>3.2005475701574264</v>
      </c>
      <c r="Y49" s="44" t="b">
        <f t="shared" ca="1" si="13"/>
        <v>0</v>
      </c>
      <c r="Z49" s="30">
        <v>39753</v>
      </c>
      <c r="AA49" s="71">
        <v>39448</v>
      </c>
      <c r="AB49" s="62">
        <v>8</v>
      </c>
      <c r="AC49" s="44">
        <f>IF(AG49&gt;0,VLOOKUP(AG49,Calculs!$B$3:$C$13,2),"")</f>
        <v>8</v>
      </c>
      <c r="AD49" s="30">
        <v>34912</v>
      </c>
      <c r="AE49" s="79">
        <f t="shared" si="14"/>
        <v>16.416153319644078</v>
      </c>
      <c r="AF49" s="44" t="str">
        <f t="shared" ca="1" si="15"/>
        <v>16 ans 5 mois 13 jours</v>
      </c>
      <c r="AG49" s="63">
        <v>17.52</v>
      </c>
      <c r="AH49" s="51">
        <v>47639</v>
      </c>
    </row>
    <row r="50" spans="1:34" x14ac:dyDescent="0.2">
      <c r="A50" s="109" t="s">
        <v>112</v>
      </c>
      <c r="B50" s="110"/>
      <c r="C50" s="110"/>
      <c r="D50" s="16"/>
      <c r="E50" s="2"/>
      <c r="F50" s="3"/>
      <c r="G50" s="3"/>
      <c r="H50" s="3"/>
      <c r="I50" s="4"/>
      <c r="J50" s="2"/>
      <c r="K50" s="4"/>
      <c r="L50" s="16" t="s">
        <v>25</v>
      </c>
      <c r="M50" s="16" t="s">
        <v>22</v>
      </c>
      <c r="N50" s="48">
        <v>24</v>
      </c>
      <c r="O50" s="62">
        <v>4</v>
      </c>
      <c r="P50" s="135" t="str">
        <f t="shared" ca="1" si="8"/>
        <v>0 ans 9 mois 13 jours</v>
      </c>
      <c r="Q50" s="29">
        <v>0.75</v>
      </c>
      <c r="R50" s="43">
        <f t="shared" ca="1" si="9"/>
        <v>0.7885010266940452</v>
      </c>
      <c r="S50" s="44" t="b">
        <f t="shared" ca="1" si="10"/>
        <v>0</v>
      </c>
      <c r="T50" s="68">
        <v>40634</v>
      </c>
      <c r="U50" s="62">
        <v>80</v>
      </c>
      <c r="V50" s="44" t="str">
        <f t="shared" ca="1" si="11"/>
        <v>0 ans 9 mois 13 jours</v>
      </c>
      <c r="W50" s="29">
        <v>0.75</v>
      </c>
      <c r="X50" s="43">
        <f t="shared" ca="1" si="12"/>
        <v>0.7885010266940452</v>
      </c>
      <c r="Y50" s="44" t="b">
        <f t="shared" ca="1" si="13"/>
        <v>0</v>
      </c>
      <c r="Z50" s="30">
        <v>40634</v>
      </c>
      <c r="AA50" s="71">
        <v>40179</v>
      </c>
      <c r="AB50" s="62">
        <v>3</v>
      </c>
      <c r="AC50" s="44">
        <f>IF(AG50&gt;0,VLOOKUP(AG50,Calculs!$B$3:$C$13,2),"")</f>
        <v>3</v>
      </c>
      <c r="AD50" s="30">
        <v>39692</v>
      </c>
      <c r="AE50" s="79">
        <f t="shared" si="14"/>
        <v>3.3292265571526354</v>
      </c>
      <c r="AF50" s="44" t="str">
        <f t="shared" ca="1" si="15"/>
        <v>3 ans 4 mois 13 jours</v>
      </c>
      <c r="AG50" s="63">
        <v>3.33</v>
      </c>
      <c r="AH50" s="51">
        <v>49635</v>
      </c>
    </row>
    <row r="51" spans="1:34" x14ac:dyDescent="0.2">
      <c r="A51" s="109" t="s">
        <v>113</v>
      </c>
      <c r="B51" s="110"/>
      <c r="C51" s="110"/>
      <c r="D51" s="16"/>
      <c r="E51" s="2"/>
      <c r="F51" s="3"/>
      <c r="G51" s="3"/>
      <c r="H51" s="3"/>
      <c r="I51" s="4"/>
      <c r="J51" s="2"/>
      <c r="K51" s="4"/>
      <c r="L51" s="16" t="s">
        <v>21</v>
      </c>
      <c r="M51" s="16" t="s">
        <v>22</v>
      </c>
      <c r="N51" s="48">
        <v>24</v>
      </c>
      <c r="O51" s="62">
        <v>5</v>
      </c>
      <c r="P51" s="135" t="str">
        <f t="shared" ca="1" si="8"/>
        <v>6 ans 0 mois 13 jours</v>
      </c>
      <c r="Q51" s="29">
        <v>5.5</v>
      </c>
      <c r="R51" s="43">
        <f t="shared" ca="1" si="9"/>
        <v>6.0342231348391513</v>
      </c>
      <c r="S51" s="44" t="b">
        <f t="shared" ca="1" si="10"/>
        <v>0</v>
      </c>
      <c r="T51" s="68">
        <v>38718</v>
      </c>
      <c r="U51" s="62">
        <v>70</v>
      </c>
      <c r="V51" s="44" t="str">
        <f t="shared" ca="1" si="11"/>
        <v>2 ans 0 mois 13 jours</v>
      </c>
      <c r="W51" s="29">
        <v>2</v>
      </c>
      <c r="X51" s="43">
        <f t="shared" ca="1" si="12"/>
        <v>2.0342231348391513</v>
      </c>
      <c r="Y51" s="44" t="b">
        <f t="shared" ca="1" si="13"/>
        <v>0</v>
      </c>
      <c r="Z51" s="30">
        <v>40179</v>
      </c>
      <c r="AA51" s="71">
        <v>40179</v>
      </c>
      <c r="AB51" s="62">
        <v>8</v>
      </c>
      <c r="AC51" s="44">
        <f>IF(AG51&gt;0,VLOOKUP(AG51,Calculs!$B$3:$C$13,2),"")</f>
        <v>8</v>
      </c>
      <c r="AD51" s="30">
        <v>35313</v>
      </c>
      <c r="AE51" s="79">
        <f t="shared" si="14"/>
        <v>15.318275154004107</v>
      </c>
      <c r="AF51" s="44" t="str">
        <f t="shared" ca="1" si="15"/>
        <v>15 ans 4 mois 9 jours</v>
      </c>
      <c r="AG51" s="63">
        <v>17.32</v>
      </c>
      <c r="AH51" s="51">
        <v>48619</v>
      </c>
    </row>
    <row r="52" spans="1:34" x14ac:dyDescent="0.2">
      <c r="A52" s="109" t="s">
        <v>85</v>
      </c>
      <c r="B52" s="110"/>
      <c r="C52" s="110"/>
      <c r="D52" s="16"/>
      <c r="E52" s="2"/>
      <c r="F52" s="3"/>
      <c r="G52" s="3"/>
      <c r="H52" s="3"/>
      <c r="I52" s="4"/>
      <c r="J52" s="2"/>
      <c r="K52" s="4"/>
      <c r="L52" s="16" t="s">
        <v>21</v>
      </c>
      <c r="M52" s="16" t="s">
        <v>22</v>
      </c>
      <c r="N52" s="48">
        <v>24</v>
      </c>
      <c r="O52" s="62">
        <v>5</v>
      </c>
      <c r="P52" s="135" t="str">
        <f t="shared" ca="1" si="8"/>
        <v>20 ans 9 mois 13 jours</v>
      </c>
      <c r="Q52" s="29">
        <v>20.75</v>
      </c>
      <c r="R52" s="43">
        <f t="shared" ca="1" si="9"/>
        <v>20.788501026694046</v>
      </c>
      <c r="S52" s="44" t="b">
        <f t="shared" ca="1" si="10"/>
        <v>1</v>
      </c>
      <c r="T52" s="68">
        <v>33329</v>
      </c>
      <c r="U52" s="62">
        <v>115</v>
      </c>
      <c r="V52" s="44" t="str">
        <f t="shared" ca="1" si="11"/>
        <v>1 ans 0 mois 13 jours</v>
      </c>
      <c r="W52" s="29">
        <v>1</v>
      </c>
      <c r="X52" s="43">
        <f t="shared" ca="1" si="12"/>
        <v>1.0349075975359343</v>
      </c>
      <c r="Y52" s="44" t="b">
        <f t="shared" ca="1" si="13"/>
        <v>0</v>
      </c>
      <c r="Z52" s="30">
        <v>40544</v>
      </c>
      <c r="AA52" s="71">
        <v>40544</v>
      </c>
      <c r="AB52" s="62">
        <v>11</v>
      </c>
      <c r="AC52" s="44">
        <f>IF(AG52&gt;0,VLOOKUP(AG52,Calculs!$B$3:$C$13,2),"")</f>
        <v>11</v>
      </c>
      <c r="AD52" s="30">
        <v>29682</v>
      </c>
      <c r="AE52" s="79">
        <f t="shared" si="14"/>
        <v>30.735112936344969</v>
      </c>
      <c r="AF52" s="44" t="str">
        <f t="shared" ca="1" si="15"/>
        <v>30 ans 9 mois 8 jours</v>
      </c>
      <c r="AG52" s="63">
        <v>31.74</v>
      </c>
      <c r="AH52" s="51">
        <v>42216</v>
      </c>
    </row>
    <row r="53" spans="1:34" x14ac:dyDescent="0.2">
      <c r="A53" s="109" t="s">
        <v>114</v>
      </c>
      <c r="B53" s="110"/>
      <c r="C53" s="110"/>
      <c r="D53" s="16"/>
      <c r="E53" s="2"/>
      <c r="F53" s="3"/>
      <c r="G53" s="3"/>
      <c r="H53" s="3"/>
      <c r="I53" s="4"/>
      <c r="J53" s="2"/>
      <c r="K53" s="4"/>
      <c r="L53" s="16" t="s">
        <v>21</v>
      </c>
      <c r="M53" s="16" t="s">
        <v>22</v>
      </c>
      <c r="N53" s="48">
        <v>24.5</v>
      </c>
      <c r="O53" s="62">
        <v>5</v>
      </c>
      <c r="P53" s="135" t="str">
        <f t="shared" ca="1" si="8"/>
        <v>23 ans 3 mois 12 jours</v>
      </c>
      <c r="Q53" s="29">
        <v>23.17</v>
      </c>
      <c r="R53" s="43">
        <f t="shared" ca="1" si="9"/>
        <v>23.282683093771389</v>
      </c>
      <c r="S53" s="44" t="b">
        <f t="shared" ca="1" si="10"/>
        <v>1</v>
      </c>
      <c r="T53" s="68">
        <v>32418</v>
      </c>
      <c r="U53" s="62">
        <v>115</v>
      </c>
      <c r="V53" s="44" t="str">
        <f t="shared" ca="1" si="11"/>
        <v>2 ans 0 mois 13 jours</v>
      </c>
      <c r="W53" s="29">
        <v>2</v>
      </c>
      <c r="X53" s="43">
        <f t="shared" ca="1" si="12"/>
        <v>2.0342231348391513</v>
      </c>
      <c r="Y53" s="44" t="b">
        <f t="shared" ca="1" si="13"/>
        <v>0</v>
      </c>
      <c r="Z53" s="30">
        <v>40179</v>
      </c>
      <c r="AA53" s="71">
        <v>40179</v>
      </c>
      <c r="AB53" s="62">
        <v>11</v>
      </c>
      <c r="AC53" s="44">
        <f>IF(AG53&gt;0,VLOOKUP(AG53,Calculs!$B$3:$C$13,2),"")</f>
        <v>11</v>
      </c>
      <c r="AD53" s="30">
        <v>29598</v>
      </c>
      <c r="AE53" s="79">
        <f t="shared" si="14"/>
        <v>30.965092402464066</v>
      </c>
      <c r="AF53" s="44" t="str">
        <f t="shared" ca="1" si="15"/>
        <v>31 ans 0 mois 2 jours</v>
      </c>
      <c r="AG53" s="63">
        <v>31.97</v>
      </c>
      <c r="AH53" s="51">
        <v>41310</v>
      </c>
    </row>
    <row r="54" spans="1:34" x14ac:dyDescent="0.2">
      <c r="A54" s="109" t="s">
        <v>101</v>
      </c>
      <c r="B54" s="110"/>
      <c r="C54" s="110"/>
      <c r="D54" s="16"/>
      <c r="E54" s="2"/>
      <c r="F54" s="3"/>
      <c r="G54" s="3"/>
      <c r="H54" s="3"/>
      <c r="I54" s="4"/>
      <c r="J54" s="2"/>
      <c r="K54" s="4"/>
      <c r="L54" s="16" t="s">
        <v>21</v>
      </c>
      <c r="M54" s="16" t="s">
        <v>22</v>
      </c>
      <c r="N54" s="48">
        <v>24</v>
      </c>
      <c r="O54" s="62">
        <v>6</v>
      </c>
      <c r="P54" s="135" t="str">
        <f t="shared" ca="1" si="8"/>
        <v>1 ans 3 mois 13 jours</v>
      </c>
      <c r="Q54" s="29">
        <v>1.25</v>
      </c>
      <c r="R54" s="43">
        <f t="shared" ca="1" si="9"/>
        <v>1.2867898699520877</v>
      </c>
      <c r="S54" s="44" t="b">
        <f t="shared" ca="1" si="10"/>
        <v>0</v>
      </c>
      <c r="T54" s="68">
        <v>40452</v>
      </c>
      <c r="U54" s="62">
        <v>110</v>
      </c>
      <c r="V54" s="44" t="str">
        <f t="shared" ca="1" si="11"/>
        <v>1 ans 3 mois 13 jours</v>
      </c>
      <c r="W54" s="29">
        <v>1.25</v>
      </c>
      <c r="X54" s="43">
        <f t="shared" ca="1" si="12"/>
        <v>1.2867898699520877</v>
      </c>
      <c r="Y54" s="44" t="b">
        <f t="shared" ca="1" si="13"/>
        <v>0</v>
      </c>
      <c r="Z54" s="30">
        <v>40452</v>
      </c>
      <c r="AA54" s="71">
        <v>39814</v>
      </c>
      <c r="AB54" s="62">
        <v>10</v>
      </c>
      <c r="AC54" s="44">
        <f>IF(AG54&gt;0,VLOOKUP(AG54,Calculs!$B$3:$C$13,2),"")</f>
        <v>10</v>
      </c>
      <c r="AD54" s="30">
        <v>31565</v>
      </c>
      <c r="AE54" s="79">
        <f t="shared" si="14"/>
        <v>25.579739904175224</v>
      </c>
      <c r="AF54" s="44" t="str">
        <f t="shared" ca="1" si="15"/>
        <v>25 ans 7 mois 12 jours</v>
      </c>
      <c r="AG54" s="63">
        <v>26.58</v>
      </c>
      <c r="AH54" s="51">
        <v>43371</v>
      </c>
    </row>
    <row r="55" spans="1:34" x14ac:dyDescent="0.2">
      <c r="A55" s="109" t="s">
        <v>96</v>
      </c>
      <c r="B55" s="110"/>
      <c r="C55" s="110"/>
      <c r="D55" s="16"/>
      <c r="E55" s="2"/>
      <c r="F55" s="3"/>
      <c r="G55" s="3"/>
      <c r="H55" s="3"/>
      <c r="I55" s="4"/>
      <c r="J55" s="2"/>
      <c r="K55" s="4"/>
      <c r="L55" s="16" t="s">
        <v>21</v>
      </c>
      <c r="M55" s="16" t="s">
        <v>22</v>
      </c>
      <c r="N55" s="48">
        <v>24</v>
      </c>
      <c r="O55" s="62">
        <v>5</v>
      </c>
      <c r="P55" s="135" t="str">
        <f t="shared" ca="1" si="8"/>
        <v>6 ans 0 mois 13 jours</v>
      </c>
      <c r="Q55" s="29">
        <v>5.58</v>
      </c>
      <c r="R55" s="43">
        <f t="shared" ca="1" si="9"/>
        <v>6.0342231348391513</v>
      </c>
      <c r="S55" s="44" t="b">
        <f t="shared" ca="1" si="10"/>
        <v>0</v>
      </c>
      <c r="T55" s="68">
        <v>38718</v>
      </c>
      <c r="U55" s="62">
        <v>70</v>
      </c>
      <c r="V55" s="44" t="str">
        <f t="shared" ca="1" si="11"/>
        <v>2 ans 8 mois 13 jours</v>
      </c>
      <c r="W55" s="29">
        <v>2.67</v>
      </c>
      <c r="X55" s="43">
        <f t="shared" ca="1" si="12"/>
        <v>2.7049965776865159</v>
      </c>
      <c r="Y55" s="44" t="b">
        <f t="shared" ca="1" si="13"/>
        <v>0</v>
      </c>
      <c r="Z55" s="30">
        <v>39934</v>
      </c>
      <c r="AA55" s="71">
        <v>39814</v>
      </c>
      <c r="AB55" s="62">
        <v>7</v>
      </c>
      <c r="AC55" s="44">
        <f>IF(AG55&gt;0,VLOOKUP(AG55,Calculs!$B$3:$C$13,2),"")</f>
        <v>7</v>
      </c>
      <c r="AD55" s="30">
        <v>36039</v>
      </c>
      <c r="AE55" s="79">
        <f t="shared" si="14"/>
        <v>13.330595482546201</v>
      </c>
      <c r="AF55" s="44" t="str">
        <f t="shared" ca="1" si="15"/>
        <v>13 ans 4 mois 13 jours</v>
      </c>
      <c r="AG55" s="63">
        <v>13.25</v>
      </c>
      <c r="AH55" s="51">
        <v>48912</v>
      </c>
    </row>
    <row r="56" spans="1:34" x14ac:dyDescent="0.2">
      <c r="A56" s="109" t="s">
        <v>82</v>
      </c>
      <c r="B56" s="110"/>
      <c r="C56" s="110"/>
      <c r="D56" s="16"/>
      <c r="E56" s="2"/>
      <c r="F56" s="3"/>
      <c r="G56" s="3"/>
      <c r="H56" s="3"/>
      <c r="I56" s="4"/>
      <c r="J56" s="5"/>
      <c r="K56" s="4"/>
      <c r="L56" s="16" t="s">
        <v>21</v>
      </c>
      <c r="M56" s="16" t="s">
        <v>22</v>
      </c>
      <c r="N56" s="48">
        <v>24.5</v>
      </c>
      <c r="O56" s="62">
        <v>5</v>
      </c>
      <c r="P56" s="135" t="str">
        <f t="shared" ca="1" si="8"/>
        <v>14 ans 6 mois 13 jours</v>
      </c>
      <c r="Q56" s="29">
        <v>14.5</v>
      </c>
      <c r="R56" s="43">
        <f t="shared" ca="1" si="9"/>
        <v>14.537987679671458</v>
      </c>
      <c r="S56" s="44" t="b">
        <f t="shared" ca="1" si="10"/>
        <v>1</v>
      </c>
      <c r="T56" s="68">
        <v>35612</v>
      </c>
      <c r="U56" s="62">
        <v>90</v>
      </c>
      <c r="V56" s="44" t="str">
        <f t="shared" ca="1" si="11"/>
        <v>4 ans 0 mois 13 jours</v>
      </c>
      <c r="W56" s="29">
        <v>4</v>
      </c>
      <c r="X56" s="43">
        <f t="shared" ca="1" si="12"/>
        <v>4.0355920602327169</v>
      </c>
      <c r="Y56" s="44" t="b">
        <f t="shared" ca="1" si="13"/>
        <v>1</v>
      </c>
      <c r="Z56" s="30">
        <v>39448</v>
      </c>
      <c r="AA56" s="71">
        <v>39448</v>
      </c>
      <c r="AB56" s="62">
        <v>10</v>
      </c>
      <c r="AC56" s="44">
        <f>IF(AG56&gt;0,VLOOKUP(AG56,Calculs!$B$3:$C$13,2),"")</f>
        <v>11</v>
      </c>
      <c r="AD56" s="30">
        <v>30225</v>
      </c>
      <c r="AE56" s="79">
        <f t="shared" si="14"/>
        <v>29.248459958932237</v>
      </c>
      <c r="AF56" s="44" t="str">
        <f t="shared" ca="1" si="15"/>
        <v>29 ans 3 mois 13 jours</v>
      </c>
      <c r="AG56" s="63">
        <v>30.25</v>
      </c>
      <c r="AH56" s="51">
        <v>42904</v>
      </c>
    </row>
    <row r="57" spans="1:34" x14ac:dyDescent="0.2">
      <c r="A57" s="109" t="s">
        <v>74</v>
      </c>
      <c r="B57" s="110"/>
      <c r="C57" s="110"/>
      <c r="D57" s="16"/>
      <c r="E57" s="2"/>
      <c r="F57" s="3"/>
      <c r="G57" s="3"/>
      <c r="H57" s="3"/>
      <c r="I57" s="4"/>
      <c r="J57" s="2"/>
      <c r="K57" s="4"/>
      <c r="L57" s="16" t="s">
        <v>23</v>
      </c>
      <c r="M57" s="16" t="s">
        <v>24</v>
      </c>
      <c r="N57" s="48">
        <v>24</v>
      </c>
      <c r="O57" s="62">
        <v>10</v>
      </c>
      <c r="P57" s="135" t="str">
        <f t="shared" ca="1" si="8"/>
        <v>10 ans 8 mois 13 jours</v>
      </c>
      <c r="Q57" s="29">
        <v>10.67</v>
      </c>
      <c r="R57" s="43">
        <f t="shared" ca="1" si="9"/>
        <v>10.704996577686517</v>
      </c>
      <c r="S57" s="44" t="b">
        <f t="shared" ca="1" si="10"/>
        <v>1</v>
      </c>
      <c r="T57" s="68">
        <v>37012</v>
      </c>
      <c r="U57" s="62">
        <v>155</v>
      </c>
      <c r="V57" s="44" t="str">
        <f t="shared" ca="1" si="11"/>
        <v>3 ans 0 mois 13 jours</v>
      </c>
      <c r="W57" s="29">
        <v>3</v>
      </c>
      <c r="X57" s="43">
        <f t="shared" ca="1" si="12"/>
        <v>3.0335386721423681</v>
      </c>
      <c r="Y57" s="44" t="b">
        <f t="shared" ca="1" si="13"/>
        <v>0</v>
      </c>
      <c r="Z57" s="30">
        <v>39814</v>
      </c>
      <c r="AA57" s="71">
        <v>39814</v>
      </c>
      <c r="AB57" s="62">
        <v>12</v>
      </c>
      <c r="AC57" s="44">
        <f>IF(AG57&gt;0,VLOOKUP(AG57,Calculs!$B$3:$C$13,2),"")</f>
        <v>12</v>
      </c>
      <c r="AD57" s="30">
        <v>28591</v>
      </c>
      <c r="AE57" s="79">
        <f t="shared" si="14"/>
        <v>33.722108145106091</v>
      </c>
      <c r="AF57" s="44" t="str">
        <f t="shared" ca="1" si="15"/>
        <v>33 ans 9 mois 3 jours</v>
      </c>
      <c r="AG57" s="63">
        <v>35.19</v>
      </c>
      <c r="AH57" s="51">
        <v>41922</v>
      </c>
    </row>
    <row r="58" spans="1:34" x14ac:dyDescent="0.2">
      <c r="A58" s="109" t="s">
        <v>115</v>
      </c>
      <c r="B58" s="110"/>
      <c r="C58" s="110"/>
      <c r="D58" s="16"/>
      <c r="E58" s="2"/>
      <c r="F58" s="3"/>
      <c r="G58" s="3"/>
      <c r="H58" s="3"/>
      <c r="I58" s="4"/>
      <c r="J58" s="2"/>
      <c r="K58" s="4"/>
      <c r="L58" s="16" t="s">
        <v>21</v>
      </c>
      <c r="M58" s="16" t="s">
        <v>22</v>
      </c>
      <c r="N58" s="48">
        <v>24</v>
      </c>
      <c r="O58" s="62">
        <v>5</v>
      </c>
      <c r="P58" s="135" t="str">
        <f t="shared" ca="1" si="8"/>
        <v>15 ans 7 mois 13 jours</v>
      </c>
      <c r="Q58" s="29">
        <v>15.58</v>
      </c>
      <c r="R58" s="43">
        <f t="shared" ca="1" si="9"/>
        <v>15.619438740588638</v>
      </c>
      <c r="S58" s="44" t="b">
        <f t="shared" ca="1" si="10"/>
        <v>1</v>
      </c>
      <c r="T58" s="68">
        <v>35217</v>
      </c>
      <c r="U58" s="62">
        <v>95</v>
      </c>
      <c r="V58" s="44" t="str">
        <f t="shared" ca="1" si="11"/>
        <v>2 ans 0 mois 13 jours</v>
      </c>
      <c r="W58" s="29">
        <v>2</v>
      </c>
      <c r="X58" s="43">
        <f t="shared" ca="1" si="12"/>
        <v>2.0342231348391513</v>
      </c>
      <c r="Y58" s="44" t="b">
        <f t="shared" ca="1" si="13"/>
        <v>0</v>
      </c>
      <c r="Z58" s="30">
        <v>40179</v>
      </c>
      <c r="AA58" s="71">
        <v>40179</v>
      </c>
      <c r="AB58" s="62">
        <v>8</v>
      </c>
      <c r="AC58" s="44">
        <f>IF(AG58&gt;0,VLOOKUP(AG58,Calculs!$B$3:$C$13,2),"")</f>
        <v>9</v>
      </c>
      <c r="AD58" s="30">
        <v>34029</v>
      </c>
      <c r="AE58" s="79">
        <f t="shared" si="14"/>
        <v>18.833675564681723</v>
      </c>
      <c r="AF58" s="44" t="str">
        <f t="shared" ca="1" si="15"/>
        <v>18 ans 10 mois 13 jours</v>
      </c>
      <c r="AG58" s="63">
        <v>23.83</v>
      </c>
      <c r="AH58" s="51">
        <v>39235</v>
      </c>
    </row>
    <row r="59" spans="1:34" x14ac:dyDescent="0.2">
      <c r="A59" s="109" t="s">
        <v>116</v>
      </c>
      <c r="B59" s="110"/>
      <c r="C59" s="110"/>
      <c r="D59" s="16"/>
      <c r="E59" s="2"/>
      <c r="F59" s="3"/>
      <c r="G59" s="3"/>
      <c r="H59" s="3"/>
      <c r="I59" s="4"/>
      <c r="J59" s="2"/>
      <c r="K59" s="4"/>
      <c r="L59" s="16" t="s">
        <v>21</v>
      </c>
      <c r="M59" s="16" t="s">
        <v>22</v>
      </c>
      <c r="N59" s="48">
        <v>24.5</v>
      </c>
      <c r="O59" s="62">
        <v>5</v>
      </c>
      <c r="P59" s="135" t="str">
        <f t="shared" ca="1" si="8"/>
        <v>1 ans 4 mois 13 jours</v>
      </c>
      <c r="Q59" s="29">
        <v>1.25</v>
      </c>
      <c r="R59" s="43">
        <f t="shared" ca="1" si="9"/>
        <v>1.3689253935660506</v>
      </c>
      <c r="S59" s="44" t="b">
        <f t="shared" ca="1" si="10"/>
        <v>0</v>
      </c>
      <c r="T59" s="68">
        <v>40422</v>
      </c>
      <c r="U59" s="62">
        <v>80</v>
      </c>
      <c r="V59" s="44" t="str">
        <f t="shared" ca="1" si="11"/>
        <v>1 ans 3 mois 13 jours</v>
      </c>
      <c r="W59" s="29">
        <v>1.25</v>
      </c>
      <c r="X59" s="43">
        <f t="shared" ca="1" si="12"/>
        <v>1.2867898699520877</v>
      </c>
      <c r="Y59" s="44" t="b">
        <f t="shared" ca="1" si="13"/>
        <v>0</v>
      </c>
      <c r="Z59" s="30">
        <v>40452</v>
      </c>
      <c r="AA59" s="71">
        <v>40179</v>
      </c>
      <c r="AB59" s="62">
        <v>5</v>
      </c>
      <c r="AC59" s="44">
        <f>IF(AG59&gt;0,VLOOKUP(AG59,Calculs!$B$3:$C$13,2),"")</f>
        <v>4</v>
      </c>
      <c r="AD59" s="30">
        <v>38596</v>
      </c>
      <c r="AE59" s="79">
        <f t="shared" si="14"/>
        <v>6.3299110198494182</v>
      </c>
      <c r="AF59" s="44" t="str">
        <f t="shared" ca="1" si="15"/>
        <v>6 ans 4 mois 13 jours</v>
      </c>
      <c r="AG59" s="63">
        <v>5.92</v>
      </c>
      <c r="AH59" s="51">
        <v>51737</v>
      </c>
    </row>
    <row r="60" spans="1:34" x14ac:dyDescent="0.2">
      <c r="A60" s="109" t="s">
        <v>105</v>
      </c>
      <c r="B60" s="110"/>
      <c r="C60" s="110"/>
      <c r="D60" s="16"/>
      <c r="E60" s="2"/>
      <c r="F60" s="3"/>
      <c r="G60" s="3"/>
      <c r="H60" s="3"/>
      <c r="I60" s="4"/>
      <c r="J60" s="2"/>
      <c r="K60" s="4"/>
      <c r="L60" s="16" t="s">
        <v>23</v>
      </c>
      <c r="M60" s="16" t="s">
        <v>24</v>
      </c>
      <c r="N60" s="48">
        <v>24.5</v>
      </c>
      <c r="O60" s="62">
        <v>10</v>
      </c>
      <c r="P60" s="135" t="str">
        <f t="shared" ca="1" si="8"/>
        <v>2 ans 2 mois 13 jours</v>
      </c>
      <c r="Q60" s="29">
        <v>2.17</v>
      </c>
      <c r="R60" s="43">
        <f t="shared" ca="1" si="9"/>
        <v>2.2012320328542097</v>
      </c>
      <c r="S60" s="44" t="b">
        <f t="shared" ca="1" si="10"/>
        <v>0</v>
      </c>
      <c r="T60" s="68">
        <v>40118</v>
      </c>
      <c r="U60" s="62">
        <v>150</v>
      </c>
      <c r="V60" s="44" t="str">
        <f t="shared" ca="1" si="11"/>
        <v>1 ans 0 mois 13 jours</v>
      </c>
      <c r="W60" s="29">
        <v>1</v>
      </c>
      <c r="X60" s="43">
        <f t="shared" ca="1" si="12"/>
        <v>1.0349075975359343</v>
      </c>
      <c r="Y60" s="44" t="b">
        <f t="shared" ca="1" si="13"/>
        <v>0</v>
      </c>
      <c r="Z60" s="30">
        <v>40544</v>
      </c>
      <c r="AA60" s="71">
        <v>40544</v>
      </c>
      <c r="AB60" s="62">
        <v>10</v>
      </c>
      <c r="AC60" s="44">
        <f>IF(AG60&gt;0,VLOOKUP(AG60,Calculs!$B$3:$C$13,2),"")</f>
        <v>10</v>
      </c>
      <c r="AD60" s="30">
        <v>32225</v>
      </c>
      <c r="AE60" s="79">
        <f t="shared" si="14"/>
        <v>23.772758384668034</v>
      </c>
      <c r="AF60" s="44" t="str">
        <f t="shared" ca="1" si="15"/>
        <v>23 ans 9 mois 22 jours</v>
      </c>
      <c r="AG60" s="63">
        <v>25.22</v>
      </c>
      <c r="AH60" s="51">
        <v>45295</v>
      </c>
    </row>
    <row r="61" spans="1:34" x14ac:dyDescent="0.2">
      <c r="A61" s="109" t="s">
        <v>117</v>
      </c>
      <c r="B61" s="110"/>
      <c r="C61" s="110"/>
      <c r="D61" s="16"/>
      <c r="E61" s="2"/>
      <c r="F61" s="3"/>
      <c r="G61" s="3"/>
      <c r="H61" s="3"/>
      <c r="I61" s="4"/>
      <c r="J61" s="2"/>
      <c r="K61" s="4"/>
      <c r="L61" s="16" t="s">
        <v>23</v>
      </c>
      <c r="M61" s="16" t="s">
        <v>24</v>
      </c>
      <c r="N61" s="48">
        <v>24</v>
      </c>
      <c r="O61" s="62">
        <v>8</v>
      </c>
      <c r="P61" s="135" t="str">
        <f t="shared" ca="1" si="8"/>
        <v>2 ans 6 mois 13 jours</v>
      </c>
      <c r="Q61" s="29">
        <v>2.5</v>
      </c>
      <c r="R61" s="43">
        <f t="shared" ca="1" si="9"/>
        <v>2.537987679671458</v>
      </c>
      <c r="S61" s="44" t="b">
        <f t="shared" ca="1" si="10"/>
        <v>0</v>
      </c>
      <c r="T61" s="68">
        <v>39995</v>
      </c>
      <c r="U61" s="62">
        <v>130</v>
      </c>
      <c r="V61" s="44" t="str">
        <f t="shared" ca="1" si="11"/>
        <v>1 ans 0 mois 13 jours</v>
      </c>
      <c r="W61" s="29">
        <v>1</v>
      </c>
      <c r="X61" s="43">
        <f t="shared" ca="1" si="12"/>
        <v>1.0349075975359343</v>
      </c>
      <c r="Y61" s="44" t="b">
        <f t="shared" ca="1" si="13"/>
        <v>0</v>
      </c>
      <c r="Z61" s="30">
        <v>40544</v>
      </c>
      <c r="AA61" s="71">
        <v>40544</v>
      </c>
      <c r="AB61" s="62">
        <v>10</v>
      </c>
      <c r="AC61" s="44">
        <f>IF(AG61&gt;0,VLOOKUP(AG61,Calculs!$B$3:$C$13,2),"")</f>
        <v>10</v>
      </c>
      <c r="AD61" s="30">
        <v>31397</v>
      </c>
      <c r="AE61" s="79">
        <f t="shared" si="14"/>
        <v>26.039698836413415</v>
      </c>
      <c r="AF61" s="44" t="str">
        <f t="shared" ca="1" si="15"/>
        <v>26 ans 0 mois 29 jours</v>
      </c>
      <c r="AG61" s="63">
        <v>26.04</v>
      </c>
      <c r="AH61" s="51">
        <v>40945</v>
      </c>
    </row>
    <row r="62" spans="1:34" x14ac:dyDescent="0.2">
      <c r="A62" s="109" t="s">
        <v>118</v>
      </c>
      <c r="B62" s="110"/>
      <c r="C62" s="110"/>
      <c r="D62" s="16"/>
      <c r="E62" s="2"/>
      <c r="F62" s="3"/>
      <c r="G62" s="3"/>
      <c r="H62" s="3"/>
      <c r="I62" s="4"/>
      <c r="J62" s="2"/>
      <c r="K62" s="4"/>
      <c r="L62" s="16" t="s">
        <v>27</v>
      </c>
      <c r="M62" s="16" t="s">
        <v>24</v>
      </c>
      <c r="N62" s="48">
        <v>24</v>
      </c>
      <c r="O62" s="62">
        <v>8</v>
      </c>
      <c r="P62" s="135" t="str">
        <f t="shared" ca="1" si="8"/>
        <v>2 ans 4 mois 13 jours</v>
      </c>
      <c r="Q62" s="29">
        <v>2.33</v>
      </c>
      <c r="R62" s="43">
        <f t="shared" ca="1" si="9"/>
        <v>2.3682409308692676</v>
      </c>
      <c r="S62" s="44" t="b">
        <f t="shared" ca="1" si="10"/>
        <v>0</v>
      </c>
      <c r="T62" s="68">
        <v>40057</v>
      </c>
      <c r="U62" s="62">
        <v>95</v>
      </c>
      <c r="V62" s="44" t="str">
        <f t="shared" ca="1" si="11"/>
        <v>1 ans 0 mois 13 jours</v>
      </c>
      <c r="W62" s="29">
        <v>1</v>
      </c>
      <c r="X62" s="43">
        <f t="shared" ca="1" si="12"/>
        <v>1.0349075975359343</v>
      </c>
      <c r="Y62" s="44" t="b">
        <f t="shared" ca="1" si="13"/>
        <v>0</v>
      </c>
      <c r="Z62" s="30">
        <v>40544</v>
      </c>
      <c r="AA62" s="71">
        <v>40544</v>
      </c>
      <c r="AB62" s="62">
        <v>4</v>
      </c>
      <c r="AC62" s="44">
        <f>IF(AG62&gt;0,VLOOKUP(AG62,Calculs!$B$3:$C$13,2),"")</f>
        <v>3</v>
      </c>
      <c r="AD62" s="30">
        <v>40057</v>
      </c>
      <c r="AE62" s="79">
        <f t="shared" si="14"/>
        <v>2.3299110198494182</v>
      </c>
      <c r="AF62" s="44" t="str">
        <f t="shared" ca="1" si="15"/>
        <v>2 ans 4 mois 13 jours</v>
      </c>
      <c r="AG62" s="63">
        <v>2.33</v>
      </c>
      <c r="AH62" s="51">
        <v>53086</v>
      </c>
    </row>
    <row r="63" spans="1:34" x14ac:dyDescent="0.2">
      <c r="A63" s="109" t="s">
        <v>83</v>
      </c>
      <c r="B63" s="110"/>
      <c r="C63" s="110"/>
      <c r="D63" s="16"/>
      <c r="E63" s="2"/>
      <c r="F63" s="3"/>
      <c r="G63" s="3"/>
      <c r="H63" s="3"/>
      <c r="I63" s="4"/>
      <c r="J63" s="5"/>
      <c r="K63" s="4"/>
      <c r="L63" s="16" t="s">
        <v>23</v>
      </c>
      <c r="M63" s="16" t="s">
        <v>24</v>
      </c>
      <c r="N63" s="48">
        <v>24</v>
      </c>
      <c r="O63" s="62">
        <v>8</v>
      </c>
      <c r="P63" s="135" t="str">
        <f t="shared" ca="1" si="8"/>
        <v>6 ans 0 mois 13 jours</v>
      </c>
      <c r="Q63" s="29">
        <v>5.83</v>
      </c>
      <c r="R63" s="43">
        <f t="shared" ca="1" si="9"/>
        <v>6.0342231348391513</v>
      </c>
      <c r="S63" s="44" t="b">
        <f t="shared" ca="1" si="10"/>
        <v>0</v>
      </c>
      <c r="T63" s="68">
        <v>38718</v>
      </c>
      <c r="U63" s="62">
        <v>115</v>
      </c>
      <c r="V63" s="44" t="str">
        <f t="shared" ca="1" si="11"/>
        <v>2 ans 0 mois 13 jours</v>
      </c>
      <c r="W63" s="29">
        <v>2</v>
      </c>
      <c r="X63" s="43">
        <f t="shared" ca="1" si="12"/>
        <v>2.0342231348391513</v>
      </c>
      <c r="Y63" s="44" t="b">
        <f t="shared" ca="1" si="13"/>
        <v>0</v>
      </c>
      <c r="Z63" s="30">
        <v>40179</v>
      </c>
      <c r="AA63" s="71">
        <v>40179</v>
      </c>
      <c r="AB63" s="62">
        <v>10</v>
      </c>
      <c r="AC63" s="44">
        <f>IF(AG63&gt;0,VLOOKUP(AG63,Calculs!$B$3:$C$13,2),"")</f>
        <v>10</v>
      </c>
      <c r="AD63" s="30">
        <v>30354</v>
      </c>
      <c r="AE63" s="79">
        <f t="shared" si="14"/>
        <v>28.895277207392198</v>
      </c>
      <c r="AF63" s="44" t="str">
        <f t="shared" ca="1" si="15"/>
        <v>28 ans 11 mois 7 jours</v>
      </c>
      <c r="AG63" s="63">
        <v>29.9</v>
      </c>
      <c r="AH63" s="51">
        <v>41669</v>
      </c>
    </row>
    <row r="64" spans="1:34" x14ac:dyDescent="0.2">
      <c r="A64" s="109" t="s">
        <v>81</v>
      </c>
      <c r="B64" s="110"/>
      <c r="C64" s="110"/>
      <c r="D64" s="16"/>
      <c r="E64" s="2"/>
      <c r="F64" s="3"/>
      <c r="G64" s="3"/>
      <c r="H64" s="3"/>
      <c r="I64" s="4"/>
      <c r="J64" s="2"/>
      <c r="K64" s="4"/>
      <c r="L64" s="16" t="s">
        <v>25</v>
      </c>
      <c r="M64" s="16" t="s">
        <v>22</v>
      </c>
      <c r="N64" s="48">
        <v>24</v>
      </c>
      <c r="O64" s="62">
        <v>3</v>
      </c>
      <c r="P64" s="135" t="str">
        <f t="shared" ca="1" si="8"/>
        <v>0 ans 4 mois 13 jours</v>
      </c>
      <c r="Q64" s="29">
        <v>1.33</v>
      </c>
      <c r="R64" s="43">
        <f t="shared" ca="1" si="9"/>
        <v>0.36960985626283366</v>
      </c>
      <c r="S64" s="44" t="b">
        <f t="shared" ca="1" si="10"/>
        <v>0</v>
      </c>
      <c r="T64" s="68">
        <v>40787</v>
      </c>
      <c r="U64" s="62">
        <v>50</v>
      </c>
      <c r="V64" s="44" t="str">
        <f t="shared" ca="1" si="11"/>
        <v>1 ans 4 mois 13 jours</v>
      </c>
      <c r="W64" s="29">
        <v>1.33</v>
      </c>
      <c r="X64" s="43">
        <f t="shared" ca="1" si="12"/>
        <v>1.3689253935660506</v>
      </c>
      <c r="Y64" s="44" t="b">
        <f t="shared" ca="1" si="13"/>
        <v>0</v>
      </c>
      <c r="Z64" s="30">
        <v>40422</v>
      </c>
      <c r="AA64" s="71" t="s">
        <v>26</v>
      </c>
      <c r="AB64" s="62">
        <v>3</v>
      </c>
      <c r="AC64" s="44">
        <f>IF(AG64&gt;0,VLOOKUP(AG64,Calculs!$B$3:$C$13,2),"")</f>
        <v>2</v>
      </c>
      <c r="AD64" s="30">
        <v>40422</v>
      </c>
      <c r="AE64" s="79">
        <f t="shared" si="14"/>
        <v>1.3305954825462012</v>
      </c>
      <c r="AF64" s="44" t="str">
        <f t="shared" ca="1" si="15"/>
        <v>1 ans 4 mois 13 jours</v>
      </c>
      <c r="AG64" s="63">
        <v>1.33</v>
      </c>
      <c r="AH64" s="51">
        <v>53441</v>
      </c>
    </row>
    <row r="65" spans="1:34" x14ac:dyDescent="0.2">
      <c r="A65" s="109" t="s">
        <v>119</v>
      </c>
      <c r="B65" s="110"/>
      <c r="C65" s="110"/>
      <c r="D65" s="16"/>
      <c r="E65" s="2"/>
      <c r="F65" s="3"/>
      <c r="G65" s="3"/>
      <c r="H65" s="3"/>
      <c r="I65" s="4"/>
      <c r="J65" s="2"/>
      <c r="K65" s="4"/>
      <c r="L65" s="16" t="s">
        <v>21</v>
      </c>
      <c r="M65" s="16" t="s">
        <v>22</v>
      </c>
      <c r="N65" s="48">
        <v>24</v>
      </c>
      <c r="O65" s="62">
        <v>6</v>
      </c>
      <c r="P65" s="135" t="str">
        <f t="shared" ca="1" si="8"/>
        <v>14 ans 2 mois 13 jours</v>
      </c>
      <c r="Q65" s="29">
        <v>14.17</v>
      </c>
      <c r="R65" s="43">
        <f t="shared" ca="1" si="9"/>
        <v>14.201232032854209</v>
      </c>
      <c r="S65" s="44" t="b">
        <f t="shared" ca="1" si="10"/>
        <v>1</v>
      </c>
      <c r="T65" s="68">
        <v>35735</v>
      </c>
      <c r="U65" s="62">
        <v>120</v>
      </c>
      <c r="V65" s="44" t="str">
        <f t="shared" ca="1" si="11"/>
        <v>1 ans 0 mois 13 jours</v>
      </c>
      <c r="W65" s="29">
        <v>1</v>
      </c>
      <c r="X65" s="43">
        <f t="shared" ca="1" si="12"/>
        <v>1.0349075975359343</v>
      </c>
      <c r="Y65" s="44" t="b">
        <f t="shared" ca="1" si="13"/>
        <v>0</v>
      </c>
      <c r="Z65" s="30">
        <v>40544</v>
      </c>
      <c r="AA65" s="71">
        <v>40544</v>
      </c>
      <c r="AB65" s="62">
        <v>10</v>
      </c>
      <c r="AC65" s="44">
        <f>IF(AG65&gt;0,VLOOKUP(AG65,Calculs!$B$3:$C$13,2),"")</f>
        <v>10</v>
      </c>
      <c r="AD65" s="30">
        <v>30872</v>
      </c>
      <c r="AE65" s="79">
        <f t="shared" si="14"/>
        <v>27.477070499657767</v>
      </c>
      <c r="AF65" s="44" t="str">
        <f t="shared" ca="1" si="15"/>
        <v>27 ans 6 mois 5 jours</v>
      </c>
      <c r="AG65" s="63">
        <v>28.48</v>
      </c>
      <c r="AH65" s="51">
        <v>41977</v>
      </c>
    </row>
    <row r="66" spans="1:34" x14ac:dyDescent="0.2">
      <c r="A66" s="109" t="s">
        <v>120</v>
      </c>
      <c r="B66" s="110"/>
      <c r="C66" s="110"/>
      <c r="D66" s="16"/>
      <c r="E66" s="2"/>
      <c r="F66" s="3"/>
      <c r="G66" s="3"/>
      <c r="H66" s="3"/>
      <c r="I66" s="4"/>
      <c r="J66" s="5"/>
      <c r="K66" s="4"/>
      <c r="L66" s="16" t="s">
        <v>21</v>
      </c>
      <c r="M66" s="16" t="s">
        <v>22</v>
      </c>
      <c r="N66" s="48">
        <v>24</v>
      </c>
      <c r="O66" s="62">
        <v>4</v>
      </c>
      <c r="P66" s="135" t="str">
        <f t="shared" ref="P66:P97" ca="1" si="16">IF(T66&gt;0,DATEDIF(T66,TODAY(),"y")&amp;" ans "&amp;DATEDIF(T66,TODAY(),"ym")&amp;" mois "&amp;DATEDIF(T66,TODAY(),"md")&amp;" jours","")</f>
        <v>18 ans 6 mois 12 jours</v>
      </c>
      <c r="Q66" s="29">
        <v>18.5</v>
      </c>
      <c r="R66" s="43">
        <f t="shared" ref="R66:R97" ca="1" si="17">IF(T66&gt;0,(TODAY()-T66)/365.25,"")</f>
        <v>18.535249828884325</v>
      </c>
      <c r="S66" s="44" t="b">
        <f t="shared" ref="S66:S97" ca="1" si="18">IF(T66&gt;0,DATEDIF(T66,TODAY(),"m")&gt;=84,"")</f>
        <v>1</v>
      </c>
      <c r="T66" s="68">
        <v>34152</v>
      </c>
      <c r="U66" s="62">
        <v>85</v>
      </c>
      <c r="V66" s="44" t="str">
        <f t="shared" ref="V66:V97" ca="1" si="19">IF(Z66&gt;0,DATEDIF(Z66,TODAY(),"y")&amp;" ans "&amp;DATEDIF(Z66,TODAY(),"ym")&amp;" mois "&amp;DATEDIF(Z66,TODAY(),"md")&amp;" jours","")</f>
        <v>4 ans 0 mois 13 jours</v>
      </c>
      <c r="W66" s="29">
        <v>4</v>
      </c>
      <c r="X66" s="43">
        <f t="shared" ref="X66:X97" ca="1" si="20">IF(Z66&gt;0,(TODAY()-Z66)/365.25,"")</f>
        <v>4.0355920602327169</v>
      </c>
      <c r="Y66" s="44" t="b">
        <f t="shared" ref="Y66:Y97" ca="1" si="21">IF(Z66&gt;0,DATEDIF(Z66,TODAY(),"m")&gt;=48,"")</f>
        <v>1</v>
      </c>
      <c r="Z66" s="30">
        <v>39448</v>
      </c>
      <c r="AA66" s="71">
        <v>39448</v>
      </c>
      <c r="AB66" s="62">
        <v>10</v>
      </c>
      <c r="AC66" s="44">
        <f>IF(AG66&gt;0,VLOOKUP(AG66,Calculs!$B$3:$C$13,2),"")</f>
        <v>11</v>
      </c>
      <c r="AD66" s="30">
        <v>30073</v>
      </c>
      <c r="AE66" s="79">
        <f t="shared" ref="AE66:AE97" si="22">IF(AD66&gt;0,(DATE(2011,12,31)-AD66)/365.25,"")</f>
        <v>29.664613278576319</v>
      </c>
      <c r="AF66" s="44" t="str">
        <f t="shared" ref="AF66:AF97" ca="1" si="23">IF(AD66&gt;0,DATEDIF(AD66,TODAY(),"y")&amp;" ans "&amp;DATEDIF(AD66,TODAY(),"ym")&amp;" mois "&amp;DATEDIF(AD66,TODAY(),"md")&amp;" jours","")</f>
        <v>29 ans 8 mois 12 jours</v>
      </c>
      <c r="AG66" s="63">
        <v>30.67</v>
      </c>
      <c r="AH66" s="51">
        <v>42189</v>
      </c>
    </row>
    <row r="67" spans="1:34" x14ac:dyDescent="0.2">
      <c r="A67" s="109" t="s">
        <v>122</v>
      </c>
      <c r="B67" s="110"/>
      <c r="C67" s="110"/>
      <c r="D67" s="16"/>
      <c r="E67" s="2"/>
      <c r="F67" s="3"/>
      <c r="G67" s="3"/>
      <c r="H67" s="3"/>
      <c r="I67" s="4"/>
      <c r="J67" s="2"/>
      <c r="K67" s="4"/>
      <c r="L67" s="16" t="s">
        <v>21</v>
      </c>
      <c r="M67" s="16" t="s">
        <v>22</v>
      </c>
      <c r="N67" s="48">
        <v>24</v>
      </c>
      <c r="O67" s="62">
        <v>6</v>
      </c>
      <c r="P67" s="135" t="str">
        <f t="shared" ca="1" si="16"/>
        <v>1 ans 0 mois 13 jours</v>
      </c>
      <c r="Q67" s="29">
        <v>1</v>
      </c>
      <c r="R67" s="43">
        <f t="shared" ca="1" si="17"/>
        <v>1.0349075975359343</v>
      </c>
      <c r="S67" s="44" t="b">
        <f t="shared" ca="1" si="18"/>
        <v>0</v>
      </c>
      <c r="T67" s="68">
        <v>40544</v>
      </c>
      <c r="U67" s="62">
        <v>85</v>
      </c>
      <c r="V67" s="44" t="str">
        <f t="shared" ca="1" si="19"/>
        <v>1 ans 0 mois 13 jours</v>
      </c>
      <c r="W67" s="29">
        <v>1</v>
      </c>
      <c r="X67" s="43">
        <f t="shared" ca="1" si="20"/>
        <v>1.0349075975359343</v>
      </c>
      <c r="Y67" s="44" t="b">
        <f t="shared" ca="1" si="21"/>
        <v>0</v>
      </c>
      <c r="Z67" s="30">
        <v>40544</v>
      </c>
      <c r="AA67" s="71">
        <v>38353</v>
      </c>
      <c r="AB67" s="62">
        <v>5</v>
      </c>
      <c r="AC67" s="44">
        <f>IF(AG67&gt;0,VLOOKUP(AG67,Calculs!$B$3:$C$13,2),"")</f>
        <v>5</v>
      </c>
      <c r="AD67" s="30">
        <v>37500</v>
      </c>
      <c r="AE67" s="79">
        <f t="shared" si="22"/>
        <v>9.330595482546201</v>
      </c>
      <c r="AF67" s="44" t="str">
        <f t="shared" ca="1" si="23"/>
        <v>9 ans 4 mois 13 jours</v>
      </c>
      <c r="AG67" s="63">
        <v>9.33</v>
      </c>
      <c r="AH67" s="51">
        <v>49407</v>
      </c>
    </row>
    <row r="68" spans="1:34" x14ac:dyDescent="0.2">
      <c r="A68" s="109" t="s">
        <v>74</v>
      </c>
      <c r="B68" s="110"/>
      <c r="C68" s="110"/>
      <c r="D68" s="16"/>
      <c r="E68" s="2"/>
      <c r="F68" s="3"/>
      <c r="G68" s="3"/>
      <c r="H68" s="3"/>
      <c r="I68" s="4"/>
      <c r="J68" s="5"/>
      <c r="K68" s="4"/>
      <c r="L68" s="16" t="s">
        <v>21</v>
      </c>
      <c r="M68" s="16" t="s">
        <v>22</v>
      </c>
      <c r="N68" s="48">
        <v>24</v>
      </c>
      <c r="O68" s="62">
        <v>5</v>
      </c>
      <c r="P68" s="135" t="str">
        <f t="shared" ca="1" si="16"/>
        <v>4 ans 0 mois 13 jours</v>
      </c>
      <c r="Q68" s="29">
        <v>3.58</v>
      </c>
      <c r="R68" s="43">
        <f t="shared" ca="1" si="17"/>
        <v>4.0355920602327169</v>
      </c>
      <c r="S68" s="44" t="b">
        <f t="shared" ca="1" si="18"/>
        <v>0</v>
      </c>
      <c r="T68" s="68">
        <v>39448</v>
      </c>
      <c r="U68" s="62">
        <v>90</v>
      </c>
      <c r="V68" s="44" t="str">
        <f t="shared" ca="1" si="19"/>
        <v>3 ans 7 mois 13 jours</v>
      </c>
      <c r="W68" s="29">
        <v>3.58</v>
      </c>
      <c r="X68" s="43">
        <f t="shared" ca="1" si="20"/>
        <v>3.6194387405886381</v>
      </c>
      <c r="Y68" s="44" t="b">
        <f t="shared" ca="1" si="21"/>
        <v>0</v>
      </c>
      <c r="Z68" s="30">
        <v>39600</v>
      </c>
      <c r="AA68" s="71">
        <v>38353</v>
      </c>
      <c r="AB68" s="62">
        <v>10</v>
      </c>
      <c r="AC68" s="44">
        <f>IF(AG68&gt;0,VLOOKUP(AG68,Calculs!$B$3:$C$13,2),"")</f>
        <v>10</v>
      </c>
      <c r="AD68" s="30">
        <v>31397</v>
      </c>
      <c r="AE68" s="79">
        <f t="shared" si="22"/>
        <v>26.039698836413415</v>
      </c>
      <c r="AF68" s="44" t="str">
        <f t="shared" ca="1" si="23"/>
        <v>26 ans 0 mois 29 jours</v>
      </c>
      <c r="AG68" s="63">
        <v>27.04</v>
      </c>
      <c r="AH68" s="51">
        <v>43155</v>
      </c>
    </row>
    <row r="69" spans="1:34" x14ac:dyDescent="0.2">
      <c r="A69" s="109" t="s">
        <v>123</v>
      </c>
      <c r="B69" s="110"/>
      <c r="C69" s="110"/>
      <c r="D69" s="16"/>
      <c r="E69" s="2"/>
      <c r="F69" s="3"/>
      <c r="G69" s="3"/>
      <c r="H69" s="3"/>
      <c r="I69" s="4"/>
      <c r="J69" s="2"/>
      <c r="K69" s="4"/>
      <c r="L69" s="16" t="s">
        <v>27</v>
      </c>
      <c r="M69" s="16" t="s">
        <v>24</v>
      </c>
      <c r="N69" s="48">
        <v>24.5</v>
      </c>
      <c r="O69" s="62">
        <v>8</v>
      </c>
      <c r="P69" s="135" t="str">
        <f t="shared" ca="1" si="16"/>
        <v>2 ans 4 mois 13 jours</v>
      </c>
      <c r="Q69" s="29">
        <v>2.33</v>
      </c>
      <c r="R69" s="43">
        <f t="shared" ca="1" si="17"/>
        <v>2.3682409308692676</v>
      </c>
      <c r="S69" s="44" t="b">
        <f t="shared" ca="1" si="18"/>
        <v>0</v>
      </c>
      <c r="T69" s="68">
        <v>40057</v>
      </c>
      <c r="U69" s="62">
        <v>100</v>
      </c>
      <c r="V69" s="44" t="str">
        <f t="shared" ca="1" si="19"/>
        <v>2 ans 0 mois 13 jours</v>
      </c>
      <c r="W69" s="29">
        <v>2</v>
      </c>
      <c r="X69" s="43">
        <f t="shared" ca="1" si="20"/>
        <v>2.0342231348391513</v>
      </c>
      <c r="Y69" s="44" t="b">
        <f t="shared" ca="1" si="21"/>
        <v>0</v>
      </c>
      <c r="Z69" s="30">
        <v>40179</v>
      </c>
      <c r="AA69" s="71">
        <v>40179</v>
      </c>
      <c r="AB69" s="62">
        <v>4</v>
      </c>
      <c r="AC69" s="44">
        <f>IF(AG69&gt;0,VLOOKUP(AG69,Calculs!$B$3:$C$13,2),"")</f>
        <v>3</v>
      </c>
      <c r="AD69" s="30">
        <v>40057</v>
      </c>
      <c r="AE69" s="46">
        <f t="shared" si="22"/>
        <v>2.3299110198494182</v>
      </c>
      <c r="AF69" s="44" t="str">
        <f t="shared" ca="1" si="23"/>
        <v>2 ans 4 mois 13 jours</v>
      </c>
      <c r="AG69" s="63">
        <v>2.33</v>
      </c>
      <c r="AH69" s="51">
        <v>51971</v>
      </c>
    </row>
    <row r="70" spans="1:34" x14ac:dyDescent="0.2">
      <c r="A70" s="109" t="s">
        <v>103</v>
      </c>
      <c r="B70" s="110"/>
      <c r="C70" s="110"/>
      <c r="D70" s="16"/>
      <c r="E70" s="2"/>
      <c r="F70" s="3"/>
      <c r="G70" s="3"/>
      <c r="H70" s="3"/>
      <c r="I70" s="4"/>
      <c r="J70" s="2"/>
      <c r="K70" s="4"/>
      <c r="L70" s="16" t="s">
        <v>23</v>
      </c>
      <c r="M70" s="16" t="s">
        <v>24</v>
      </c>
      <c r="N70" s="48">
        <v>24</v>
      </c>
      <c r="O70" s="62">
        <v>8</v>
      </c>
      <c r="P70" s="135" t="str">
        <f t="shared" ca="1" si="16"/>
        <v>0 ans 0 mois 30 jours</v>
      </c>
      <c r="Q70" s="29">
        <v>12.17</v>
      </c>
      <c r="R70" s="43">
        <f t="shared" ca="1" si="17"/>
        <v>8.2135523613963035E-2</v>
      </c>
      <c r="S70" s="44" t="b">
        <f t="shared" ca="1" si="18"/>
        <v>0</v>
      </c>
      <c r="T70" s="68">
        <v>40892</v>
      </c>
      <c r="U70" s="62">
        <v>125</v>
      </c>
      <c r="V70" s="44" t="str">
        <f t="shared" ca="1" si="19"/>
        <v>2 ans 0 mois 13 jours</v>
      </c>
      <c r="W70" s="29">
        <v>2</v>
      </c>
      <c r="X70" s="43">
        <f t="shared" ca="1" si="20"/>
        <v>2.0342231348391513</v>
      </c>
      <c r="Y70" s="44" t="b">
        <f t="shared" ca="1" si="21"/>
        <v>0</v>
      </c>
      <c r="Z70" s="30">
        <v>40179</v>
      </c>
      <c r="AA70" s="71">
        <v>40179</v>
      </c>
      <c r="AB70" s="62">
        <v>7</v>
      </c>
      <c r="AC70" s="44">
        <f>IF(AG70&gt;0,VLOOKUP(AG70,Calculs!$B$3:$C$13,2),"")</f>
        <v>6</v>
      </c>
      <c r="AD70" s="30">
        <v>36472</v>
      </c>
      <c r="AE70" s="79">
        <f t="shared" si="22"/>
        <v>12.145106091718</v>
      </c>
      <c r="AF70" s="44" t="str">
        <f t="shared" ca="1" si="23"/>
        <v>12 ans 2 mois 6 jours</v>
      </c>
      <c r="AG70" s="63">
        <v>12.99</v>
      </c>
      <c r="AH70" s="51">
        <v>46797</v>
      </c>
    </row>
    <row r="71" spans="1:34" x14ac:dyDescent="0.2">
      <c r="A71" s="109" t="s">
        <v>99</v>
      </c>
      <c r="B71" s="110"/>
      <c r="C71" s="110"/>
      <c r="D71" s="16"/>
      <c r="E71" s="2"/>
      <c r="F71" s="3"/>
      <c r="G71" s="3"/>
      <c r="H71" s="3"/>
      <c r="I71" s="4"/>
      <c r="J71" s="2"/>
      <c r="K71" s="4"/>
      <c r="L71" s="16" t="s">
        <v>23</v>
      </c>
      <c r="M71" s="16" t="s">
        <v>24</v>
      </c>
      <c r="N71" s="48">
        <v>24.5</v>
      </c>
      <c r="O71" s="62">
        <v>9</v>
      </c>
      <c r="P71" s="135" t="str">
        <f t="shared" ca="1" si="16"/>
        <v>4 ans 0 mois 13 jours</v>
      </c>
      <c r="Q71" s="29">
        <v>3.25</v>
      </c>
      <c r="R71" s="43">
        <f t="shared" ca="1" si="17"/>
        <v>4.0355920602327169</v>
      </c>
      <c r="S71" s="44" t="b">
        <f t="shared" ca="1" si="18"/>
        <v>0</v>
      </c>
      <c r="T71" s="68">
        <v>39448</v>
      </c>
      <c r="U71" s="62">
        <v>135</v>
      </c>
      <c r="V71" s="44" t="str">
        <f t="shared" ca="1" si="19"/>
        <v>1 ans 0 mois 13 jours</v>
      </c>
      <c r="W71" s="29">
        <v>1</v>
      </c>
      <c r="X71" s="43">
        <f t="shared" ca="1" si="20"/>
        <v>1.0349075975359343</v>
      </c>
      <c r="Y71" s="44" t="b">
        <f t="shared" ca="1" si="21"/>
        <v>0</v>
      </c>
      <c r="Z71" s="30">
        <v>40544</v>
      </c>
      <c r="AA71" s="71">
        <v>40544</v>
      </c>
      <c r="AB71" s="62">
        <v>11</v>
      </c>
      <c r="AC71" s="44">
        <f>IF(AG71&gt;0,VLOOKUP(AG71,Calculs!$B$3:$C$13,2),"")</f>
        <v>11</v>
      </c>
      <c r="AD71" s="30">
        <v>29099</v>
      </c>
      <c r="AE71" s="79">
        <f t="shared" si="22"/>
        <v>32.331279945242983</v>
      </c>
      <c r="AF71" s="44" t="str">
        <f t="shared" ca="1" si="23"/>
        <v>32 ans 4 mois 13 jours</v>
      </c>
      <c r="AG71" s="63">
        <v>33.33</v>
      </c>
      <c r="AH71" s="51">
        <v>41626</v>
      </c>
    </row>
    <row r="72" spans="1:34" x14ac:dyDescent="0.2">
      <c r="A72" s="109" t="s">
        <v>124</v>
      </c>
      <c r="B72" s="110"/>
      <c r="C72" s="110"/>
      <c r="D72" s="16"/>
      <c r="E72" s="2"/>
      <c r="F72" s="3"/>
      <c r="G72" s="3"/>
      <c r="H72" s="3"/>
      <c r="I72" s="4"/>
      <c r="J72" s="5"/>
      <c r="K72" s="4"/>
      <c r="L72" s="16" t="s">
        <v>21</v>
      </c>
      <c r="M72" s="16" t="s">
        <v>22</v>
      </c>
      <c r="N72" s="48"/>
      <c r="O72" s="62">
        <v>4</v>
      </c>
      <c r="P72" s="135" t="str">
        <f t="shared" ca="1" si="16"/>
        <v>0 ans 0 mois 30 jours</v>
      </c>
      <c r="Q72" s="29"/>
      <c r="R72" s="43">
        <f t="shared" ca="1" si="17"/>
        <v>8.2135523613963035E-2</v>
      </c>
      <c r="S72" s="44" t="b">
        <f t="shared" ca="1" si="18"/>
        <v>0</v>
      </c>
      <c r="T72" s="68">
        <v>40892</v>
      </c>
      <c r="U72" s="62">
        <v>75</v>
      </c>
      <c r="V72" s="44" t="str">
        <f t="shared" ca="1" si="19"/>
        <v>0 ans 0 mois 30 jours</v>
      </c>
      <c r="W72" s="29"/>
      <c r="X72" s="43">
        <f t="shared" ca="1" si="20"/>
        <v>8.2135523613963035E-2</v>
      </c>
      <c r="Y72" s="44" t="b">
        <f t="shared" ca="1" si="21"/>
        <v>0</v>
      </c>
      <c r="Z72" s="30">
        <v>40892</v>
      </c>
      <c r="AA72" s="71"/>
      <c r="AB72" s="62"/>
      <c r="AC72" s="44" t="str">
        <f>IF(AG72&gt;0,VLOOKUP(AG72,Calculs!$B$3:$C$13,2),"")</f>
        <v/>
      </c>
      <c r="AD72" s="30">
        <v>39937</v>
      </c>
      <c r="AE72" s="79">
        <f t="shared" si="22"/>
        <v>2.6584531143052703</v>
      </c>
      <c r="AF72" s="44" t="str">
        <f t="shared" ca="1" si="23"/>
        <v>2 ans 8 mois 10 jours</v>
      </c>
      <c r="AG72" s="63"/>
      <c r="AH72" s="51"/>
    </row>
    <row r="73" spans="1:34" x14ac:dyDescent="0.2">
      <c r="A73" s="109" t="s">
        <v>99</v>
      </c>
      <c r="B73" s="110"/>
      <c r="C73" s="110"/>
      <c r="D73" s="16"/>
      <c r="E73" s="2"/>
      <c r="F73" s="3"/>
      <c r="G73" s="3"/>
      <c r="H73" s="3"/>
      <c r="I73" s="4"/>
      <c r="J73" s="2"/>
      <c r="K73" s="4"/>
      <c r="L73" s="16" t="s">
        <v>21</v>
      </c>
      <c r="M73" s="16" t="s">
        <v>22</v>
      </c>
      <c r="N73" s="48">
        <v>24</v>
      </c>
      <c r="O73" s="62">
        <v>5</v>
      </c>
      <c r="P73" s="135" t="str">
        <f t="shared" ca="1" si="16"/>
        <v>2 ans 8 mois 13 jours</v>
      </c>
      <c r="Q73" s="29">
        <v>2.67</v>
      </c>
      <c r="R73" s="43">
        <f t="shared" ca="1" si="17"/>
        <v>2.7049965776865159</v>
      </c>
      <c r="S73" s="44" t="b">
        <f t="shared" ca="1" si="18"/>
        <v>0</v>
      </c>
      <c r="T73" s="68">
        <v>39934</v>
      </c>
      <c r="U73" s="62">
        <v>100</v>
      </c>
      <c r="V73" s="44" t="str">
        <f t="shared" ca="1" si="19"/>
        <v>2 ans 8 mois 13 jours</v>
      </c>
      <c r="W73" s="29">
        <v>2.67</v>
      </c>
      <c r="X73" s="43">
        <f t="shared" ca="1" si="20"/>
        <v>2.7049965776865159</v>
      </c>
      <c r="Y73" s="44" t="b">
        <f t="shared" ca="1" si="21"/>
        <v>0</v>
      </c>
      <c r="Z73" s="30">
        <v>39934</v>
      </c>
      <c r="AA73" s="71">
        <v>39448</v>
      </c>
      <c r="AB73" s="62">
        <v>11</v>
      </c>
      <c r="AC73" s="44">
        <f>IF(AG73&gt;0,VLOOKUP(AG73,Calculs!$B$3:$C$13,2),"")</f>
        <v>11</v>
      </c>
      <c r="AD73" s="30">
        <v>29526</v>
      </c>
      <c r="AE73" s="79">
        <f t="shared" si="22"/>
        <v>31.162217659137578</v>
      </c>
      <c r="AF73" s="44" t="str">
        <f t="shared" ca="1" si="23"/>
        <v>31 ans 2 mois 13 jours</v>
      </c>
      <c r="AG73" s="63">
        <v>32.72</v>
      </c>
      <c r="AH73" s="51">
        <v>42187</v>
      </c>
    </row>
    <row r="74" spans="1:34" x14ac:dyDescent="0.2">
      <c r="A74" s="109" t="s">
        <v>85</v>
      </c>
      <c r="B74" s="110"/>
      <c r="C74" s="110"/>
      <c r="D74" s="16"/>
      <c r="E74" s="2"/>
      <c r="F74" s="3"/>
      <c r="G74" s="3"/>
      <c r="H74" s="3"/>
      <c r="I74" s="4"/>
      <c r="J74" s="2"/>
      <c r="K74" s="4"/>
      <c r="L74" s="16" t="s">
        <v>23</v>
      </c>
      <c r="M74" s="16" t="s">
        <v>24</v>
      </c>
      <c r="N74" s="48">
        <v>24</v>
      </c>
      <c r="O74" s="62">
        <v>7</v>
      </c>
      <c r="P74" s="135" t="str">
        <f t="shared" ca="1" si="16"/>
        <v>4 ans 0 mois 13 jours</v>
      </c>
      <c r="Q74" s="29">
        <v>3.58</v>
      </c>
      <c r="R74" s="43">
        <f t="shared" ca="1" si="17"/>
        <v>4.0355920602327169</v>
      </c>
      <c r="S74" s="44" t="b">
        <f t="shared" ca="1" si="18"/>
        <v>0</v>
      </c>
      <c r="T74" s="68">
        <v>39448</v>
      </c>
      <c r="U74" s="62">
        <v>125</v>
      </c>
      <c r="V74" s="44" t="str">
        <f t="shared" ca="1" si="19"/>
        <v>1 ans 0 mois 13 jours</v>
      </c>
      <c r="W74" s="29">
        <v>1</v>
      </c>
      <c r="X74" s="43">
        <f t="shared" ca="1" si="20"/>
        <v>1.0349075975359343</v>
      </c>
      <c r="Y74" s="44" t="b">
        <f t="shared" ca="1" si="21"/>
        <v>0</v>
      </c>
      <c r="Z74" s="30">
        <v>40544</v>
      </c>
      <c r="AA74" s="71">
        <v>40544</v>
      </c>
      <c r="AB74" s="62">
        <v>11</v>
      </c>
      <c r="AC74" s="44">
        <f>IF(AG74&gt;0,VLOOKUP(AG74,Calculs!$B$3:$C$13,2),"")</f>
        <v>11</v>
      </c>
      <c r="AD74" s="30">
        <v>29891</v>
      </c>
      <c r="AE74" s="79">
        <f t="shared" si="22"/>
        <v>30.16290212183436</v>
      </c>
      <c r="AF74" s="44" t="str">
        <f t="shared" ca="1" si="23"/>
        <v>30 ans 2 mois 13 jours</v>
      </c>
      <c r="AG74" s="63">
        <v>31.16</v>
      </c>
      <c r="AH74" s="51">
        <v>42179</v>
      </c>
    </row>
    <row r="75" spans="1:34" x14ac:dyDescent="0.2">
      <c r="A75" s="109" t="s">
        <v>121</v>
      </c>
      <c r="B75" s="110"/>
      <c r="C75" s="110"/>
      <c r="D75" s="16"/>
      <c r="E75" s="2"/>
      <c r="F75" s="3"/>
      <c r="G75" s="3"/>
      <c r="H75" s="3"/>
      <c r="I75" s="4"/>
      <c r="J75" s="5"/>
      <c r="K75" s="4"/>
      <c r="L75" s="16" t="s">
        <v>21</v>
      </c>
      <c r="M75" s="16" t="s">
        <v>22</v>
      </c>
      <c r="N75" s="48">
        <v>24.5</v>
      </c>
      <c r="O75" s="62">
        <v>4</v>
      </c>
      <c r="P75" s="135" t="str">
        <f t="shared" ca="1" si="16"/>
        <v>0 ans 9 mois 13 jours</v>
      </c>
      <c r="Q75" s="29">
        <v>0.75</v>
      </c>
      <c r="R75" s="43">
        <f t="shared" ca="1" si="17"/>
        <v>0.7885010266940452</v>
      </c>
      <c r="S75" s="44" t="b">
        <f t="shared" ca="1" si="18"/>
        <v>0</v>
      </c>
      <c r="T75" s="68">
        <v>40634</v>
      </c>
      <c r="U75" s="62">
        <v>65</v>
      </c>
      <c r="V75" s="44" t="str">
        <f t="shared" ca="1" si="19"/>
        <v>0 ans 9 mois 13 jours</v>
      </c>
      <c r="W75" s="29">
        <v>0.75</v>
      </c>
      <c r="X75" s="43">
        <f t="shared" ca="1" si="20"/>
        <v>0.7885010266940452</v>
      </c>
      <c r="Y75" s="44" t="b">
        <f t="shared" ca="1" si="21"/>
        <v>0</v>
      </c>
      <c r="Z75" s="30">
        <v>40634</v>
      </c>
      <c r="AA75" s="71">
        <v>39814</v>
      </c>
      <c r="AB75" s="62">
        <v>4</v>
      </c>
      <c r="AC75" s="44">
        <f>IF(AG75&gt;0,VLOOKUP(AG75,Calculs!$B$3:$C$13,2),"")</f>
        <v>6</v>
      </c>
      <c r="AD75" s="30">
        <v>39069</v>
      </c>
      <c r="AE75" s="79">
        <f t="shared" si="22"/>
        <v>5.0349075975359341</v>
      </c>
      <c r="AF75" s="44" t="str">
        <f t="shared" ca="1" si="23"/>
        <v>5 ans 0 mois 27 jours</v>
      </c>
      <c r="AG75" s="63">
        <v>10.95</v>
      </c>
      <c r="AH75" s="51">
        <v>48075</v>
      </c>
    </row>
    <row r="76" spans="1:34" x14ac:dyDescent="0.2">
      <c r="A76" s="109" t="s">
        <v>91</v>
      </c>
      <c r="B76" s="110"/>
      <c r="C76" s="110"/>
      <c r="D76" s="16"/>
      <c r="E76" s="2"/>
      <c r="F76" s="3"/>
      <c r="G76" s="3"/>
      <c r="H76" s="3"/>
      <c r="I76" s="4"/>
      <c r="J76" s="2"/>
      <c r="K76" s="4"/>
      <c r="L76" s="16" t="s">
        <v>25</v>
      </c>
      <c r="M76" s="16" t="s">
        <v>22</v>
      </c>
      <c r="N76" s="48">
        <v>24</v>
      </c>
      <c r="O76" s="62">
        <v>4</v>
      </c>
      <c r="P76" s="135" t="str">
        <f t="shared" ca="1" si="16"/>
        <v>0 ans 6 mois 13 jours</v>
      </c>
      <c r="Q76" s="29">
        <v>0.57999999999999996</v>
      </c>
      <c r="R76" s="43">
        <f t="shared" ca="1" si="17"/>
        <v>0.53935660506502392</v>
      </c>
      <c r="S76" s="44" t="b">
        <f t="shared" ca="1" si="18"/>
        <v>0</v>
      </c>
      <c r="T76" s="68">
        <v>40725</v>
      </c>
      <c r="U76" s="62">
        <v>65</v>
      </c>
      <c r="V76" s="44" t="str">
        <f t="shared" ca="1" si="19"/>
        <v>0 ans 7 mois 13 jours</v>
      </c>
      <c r="W76" s="29">
        <v>0.57999999999999996</v>
      </c>
      <c r="X76" s="43">
        <f t="shared" ca="1" si="20"/>
        <v>0.62149212867898695</v>
      </c>
      <c r="Y76" s="44" t="b">
        <f t="shared" ca="1" si="21"/>
        <v>0</v>
      </c>
      <c r="Z76" s="30">
        <v>40695</v>
      </c>
      <c r="AA76" s="71" t="s">
        <v>26</v>
      </c>
      <c r="AB76" s="62">
        <v>4</v>
      </c>
      <c r="AC76" s="44">
        <f>IF(AG76&gt;0,VLOOKUP(AG76,Calculs!$B$3:$C$13,2),"")</f>
        <v>4</v>
      </c>
      <c r="AD76" s="30">
        <v>39419</v>
      </c>
      <c r="AE76" s="79">
        <f t="shared" si="22"/>
        <v>4.0766598220396988</v>
      </c>
      <c r="AF76" s="44" t="str">
        <f t="shared" ca="1" si="23"/>
        <v>4 ans 1 mois 11 jours</v>
      </c>
      <c r="AG76" s="63">
        <v>4.08</v>
      </c>
      <c r="AH76" s="51">
        <v>49234</v>
      </c>
    </row>
    <row r="77" spans="1:34" x14ac:dyDescent="0.2">
      <c r="A77" s="109" t="s">
        <v>125</v>
      </c>
      <c r="B77" s="110"/>
      <c r="C77" s="110"/>
      <c r="D77" s="16"/>
      <c r="E77" s="2"/>
      <c r="F77" s="3"/>
      <c r="G77" s="3"/>
      <c r="H77" s="3"/>
      <c r="I77" s="4"/>
      <c r="J77" s="5"/>
      <c r="K77" s="4"/>
      <c r="L77" s="16" t="s">
        <v>21</v>
      </c>
      <c r="M77" s="16" t="s">
        <v>22</v>
      </c>
      <c r="N77" s="48">
        <v>24.5</v>
      </c>
      <c r="O77" s="62">
        <v>6</v>
      </c>
      <c r="P77" s="135" t="str">
        <f t="shared" ca="1" si="16"/>
        <v>5 ans 0 mois 13 jours</v>
      </c>
      <c r="Q77" s="29">
        <v>4.25</v>
      </c>
      <c r="R77" s="43">
        <f t="shared" ca="1" si="17"/>
        <v>5.0349075975359341</v>
      </c>
      <c r="S77" s="44" t="b">
        <f t="shared" ca="1" si="18"/>
        <v>0</v>
      </c>
      <c r="T77" s="68">
        <v>39083</v>
      </c>
      <c r="U77" s="62">
        <v>125</v>
      </c>
      <c r="V77" s="44" t="str">
        <f t="shared" ca="1" si="19"/>
        <v>1 ans 0 mois 13 jours</v>
      </c>
      <c r="W77" s="29">
        <v>1</v>
      </c>
      <c r="X77" s="43">
        <f t="shared" ca="1" si="20"/>
        <v>1.0349075975359343</v>
      </c>
      <c r="Y77" s="44" t="b">
        <f t="shared" ca="1" si="21"/>
        <v>0</v>
      </c>
      <c r="Z77" s="30">
        <v>40544</v>
      </c>
      <c r="AA77" s="71">
        <v>40544</v>
      </c>
      <c r="AB77" s="62">
        <v>10</v>
      </c>
      <c r="AC77" s="44">
        <f>IF(AG77&gt;0,VLOOKUP(AG77,Calculs!$B$3:$C$13,2),"")</f>
        <v>11</v>
      </c>
      <c r="AD77" s="30">
        <v>29891</v>
      </c>
      <c r="AE77" s="79">
        <f t="shared" si="22"/>
        <v>30.16290212183436</v>
      </c>
      <c r="AF77" s="44" t="str">
        <f t="shared" ca="1" si="23"/>
        <v>30 ans 2 mois 13 jours</v>
      </c>
      <c r="AG77" s="63">
        <v>30.17</v>
      </c>
      <c r="AH77" s="51">
        <v>40965</v>
      </c>
    </row>
    <row r="78" spans="1:34" x14ac:dyDescent="0.2">
      <c r="A78" s="109" t="s">
        <v>126</v>
      </c>
      <c r="B78" s="110"/>
      <c r="C78" s="110"/>
      <c r="D78" s="16"/>
      <c r="E78" s="2"/>
      <c r="F78" s="3"/>
      <c r="G78" s="3"/>
      <c r="H78" s="3"/>
      <c r="I78" s="4"/>
      <c r="J78" s="5"/>
      <c r="K78" s="4"/>
      <c r="L78" s="16" t="s">
        <v>23</v>
      </c>
      <c r="M78" s="16" t="s">
        <v>24</v>
      </c>
      <c r="N78" s="48">
        <v>24.5</v>
      </c>
      <c r="O78" s="62">
        <v>7</v>
      </c>
      <c r="P78" s="135" t="str">
        <f t="shared" ca="1" si="16"/>
        <v>1 ans 4 mois 13 jours</v>
      </c>
      <c r="Q78" s="29">
        <v>1.25</v>
      </c>
      <c r="R78" s="43">
        <f t="shared" ca="1" si="17"/>
        <v>1.3689253935660506</v>
      </c>
      <c r="S78" s="44" t="b">
        <f t="shared" ca="1" si="18"/>
        <v>0</v>
      </c>
      <c r="T78" s="68">
        <v>40422</v>
      </c>
      <c r="U78" s="62">
        <v>125</v>
      </c>
      <c r="V78" s="44" t="str">
        <f t="shared" ca="1" si="19"/>
        <v>1 ans 3 mois 13 jours</v>
      </c>
      <c r="W78" s="29">
        <v>1.25</v>
      </c>
      <c r="X78" s="43">
        <f t="shared" ca="1" si="20"/>
        <v>1.2867898699520877</v>
      </c>
      <c r="Y78" s="44" t="b">
        <f t="shared" ca="1" si="21"/>
        <v>0</v>
      </c>
      <c r="Z78" s="30">
        <v>40452</v>
      </c>
      <c r="AA78" s="71">
        <v>39083</v>
      </c>
      <c r="AB78" s="62">
        <v>10</v>
      </c>
      <c r="AC78" s="44">
        <f>IF(AG78&gt;0,VLOOKUP(AG78,Calculs!$B$3:$C$13,2),"")</f>
        <v>11</v>
      </c>
      <c r="AD78" s="30">
        <v>30186</v>
      </c>
      <c r="AE78" s="79">
        <f t="shared" si="22"/>
        <v>29.355236139630389</v>
      </c>
      <c r="AF78" s="44" t="str">
        <f t="shared" ca="1" si="23"/>
        <v>29 ans 4 mois 22 jours</v>
      </c>
      <c r="AG78" s="63">
        <v>30.36</v>
      </c>
      <c r="AH78" s="51">
        <v>42791</v>
      </c>
    </row>
    <row r="79" spans="1:34" x14ac:dyDescent="0.2">
      <c r="A79" s="109" t="s">
        <v>127</v>
      </c>
      <c r="B79" s="110"/>
      <c r="C79" s="110"/>
      <c r="D79" s="16"/>
      <c r="E79" s="2"/>
      <c r="F79" s="3"/>
      <c r="G79" s="3"/>
      <c r="H79" s="3"/>
      <c r="I79" s="4"/>
      <c r="J79" s="5"/>
      <c r="K79" s="4"/>
      <c r="L79" s="16" t="s">
        <v>21</v>
      </c>
      <c r="M79" s="16" t="s">
        <v>22</v>
      </c>
      <c r="N79" s="48">
        <v>24</v>
      </c>
      <c r="O79" s="62">
        <v>5</v>
      </c>
      <c r="P79" s="135" t="str">
        <f t="shared" ca="1" si="16"/>
        <v>4 ans 0 mois 13 jours</v>
      </c>
      <c r="Q79" s="29">
        <v>4</v>
      </c>
      <c r="R79" s="43">
        <f t="shared" ca="1" si="17"/>
        <v>4.0355920602327169</v>
      </c>
      <c r="S79" s="44" t="b">
        <f t="shared" ca="1" si="18"/>
        <v>0</v>
      </c>
      <c r="T79" s="68">
        <v>39448</v>
      </c>
      <c r="U79" s="62">
        <v>65</v>
      </c>
      <c r="V79" s="44" t="str">
        <f t="shared" ca="1" si="19"/>
        <v>2 ans 8 mois 13 jours</v>
      </c>
      <c r="W79" s="29">
        <v>2.67</v>
      </c>
      <c r="X79" s="43">
        <f t="shared" ca="1" si="20"/>
        <v>2.7049965776865159</v>
      </c>
      <c r="Y79" s="44" t="b">
        <f t="shared" ca="1" si="21"/>
        <v>0</v>
      </c>
      <c r="Z79" s="30">
        <v>39934</v>
      </c>
      <c r="AA79" s="71" t="s">
        <v>26</v>
      </c>
      <c r="AB79" s="62">
        <v>6</v>
      </c>
      <c r="AC79" s="44">
        <f>IF(AG79&gt;0,VLOOKUP(AG79,Calculs!$B$3:$C$13,2),"")</f>
        <v>6</v>
      </c>
      <c r="AD79" s="30">
        <v>36542</v>
      </c>
      <c r="AE79" s="79">
        <f t="shared" si="22"/>
        <v>11.953456536618754</v>
      </c>
      <c r="AF79" s="44" t="str">
        <f t="shared" ca="1" si="23"/>
        <v>11 ans 11 mois 28 jours</v>
      </c>
      <c r="AG79" s="63">
        <v>11.96</v>
      </c>
      <c r="AH79" s="51">
        <v>48496</v>
      </c>
    </row>
    <row r="80" spans="1:34" x14ac:dyDescent="0.2">
      <c r="A80" s="109" t="s">
        <v>127</v>
      </c>
      <c r="B80" s="110"/>
      <c r="C80" s="110"/>
      <c r="D80" s="16"/>
      <c r="E80" s="2"/>
      <c r="F80" s="3"/>
      <c r="G80" s="3"/>
      <c r="H80" s="3"/>
      <c r="I80" s="4"/>
      <c r="J80" s="2"/>
      <c r="K80" s="4"/>
      <c r="L80" s="16" t="s">
        <v>21</v>
      </c>
      <c r="M80" s="16" t="s">
        <v>22</v>
      </c>
      <c r="N80" s="48">
        <v>24</v>
      </c>
      <c r="O80" s="62">
        <v>5</v>
      </c>
      <c r="P80" s="135" t="str">
        <f t="shared" ca="1" si="16"/>
        <v>1 ans 6 mois 13 jours</v>
      </c>
      <c r="Q80" s="29">
        <v>1.33</v>
      </c>
      <c r="R80" s="43">
        <f t="shared" ca="1" si="17"/>
        <v>1.538672142368241</v>
      </c>
      <c r="S80" s="44" t="b">
        <f t="shared" ca="1" si="18"/>
        <v>0</v>
      </c>
      <c r="T80" s="68">
        <v>40360</v>
      </c>
      <c r="U80" s="62">
        <v>75</v>
      </c>
      <c r="V80" s="44" t="str">
        <f t="shared" ca="1" si="19"/>
        <v>1 ans 4 mois 13 jours</v>
      </c>
      <c r="W80" s="29">
        <v>1.33</v>
      </c>
      <c r="X80" s="43">
        <f t="shared" ca="1" si="20"/>
        <v>1.3689253935660506</v>
      </c>
      <c r="Y80" s="44" t="b">
        <f t="shared" ca="1" si="21"/>
        <v>0</v>
      </c>
      <c r="Z80" s="30">
        <v>40422</v>
      </c>
      <c r="AA80" s="71">
        <v>38718</v>
      </c>
      <c r="AB80" s="62">
        <v>7</v>
      </c>
      <c r="AC80" s="44">
        <f>IF(AG80&gt;0,VLOOKUP(AG80,Calculs!$B$3:$C$13,2),"")</f>
        <v>7</v>
      </c>
      <c r="AD80" s="30">
        <v>36458</v>
      </c>
      <c r="AE80" s="79">
        <f t="shared" si="22"/>
        <v>12.183436002737851</v>
      </c>
      <c r="AF80" s="44" t="str">
        <f t="shared" ca="1" si="23"/>
        <v>12 ans 2 mois 20 jours</v>
      </c>
      <c r="AG80" s="63">
        <v>13.02</v>
      </c>
      <c r="AH80" s="51">
        <v>47587</v>
      </c>
    </row>
    <row r="81" spans="1:34" x14ac:dyDescent="0.2">
      <c r="A81" s="109" t="s">
        <v>96</v>
      </c>
      <c r="B81" s="110"/>
      <c r="C81" s="110"/>
      <c r="D81" s="16"/>
      <c r="E81" s="2"/>
      <c r="F81" s="3"/>
      <c r="G81" s="3"/>
      <c r="H81" s="3"/>
      <c r="I81" s="4"/>
      <c r="J81" s="2"/>
      <c r="K81" s="4"/>
      <c r="L81" s="16" t="s">
        <v>21</v>
      </c>
      <c r="M81" s="16" t="s">
        <v>22</v>
      </c>
      <c r="N81" s="48">
        <v>24</v>
      </c>
      <c r="O81" s="62">
        <v>5</v>
      </c>
      <c r="P81" s="135" t="str">
        <f t="shared" ca="1" si="16"/>
        <v>12 ans 0 mois 13 jours</v>
      </c>
      <c r="Q81" s="29">
        <v>12</v>
      </c>
      <c r="R81" s="43">
        <f t="shared" ca="1" si="17"/>
        <v>12.035592060232718</v>
      </c>
      <c r="S81" s="44" t="b">
        <f t="shared" ca="1" si="18"/>
        <v>1</v>
      </c>
      <c r="T81" s="68">
        <v>36526</v>
      </c>
      <c r="U81" s="62">
        <v>100</v>
      </c>
      <c r="V81" s="44" t="str">
        <f t="shared" ca="1" si="19"/>
        <v>4 ans 0 mois 13 jours</v>
      </c>
      <c r="W81" s="29">
        <v>4</v>
      </c>
      <c r="X81" s="43">
        <f t="shared" ca="1" si="20"/>
        <v>4.0355920602327169</v>
      </c>
      <c r="Y81" s="44" t="b">
        <f t="shared" ca="1" si="21"/>
        <v>1</v>
      </c>
      <c r="Z81" s="30">
        <v>39448</v>
      </c>
      <c r="AA81" s="71">
        <v>39448</v>
      </c>
      <c r="AB81" s="62">
        <v>11</v>
      </c>
      <c r="AC81" s="44">
        <f>IF(AG81&gt;0,VLOOKUP(AG81,Calculs!$B$3:$C$13,2),"")</f>
        <v>11</v>
      </c>
      <c r="AD81" s="30">
        <v>29829</v>
      </c>
      <c r="AE81" s="79">
        <f t="shared" si="22"/>
        <v>30.33264887063655</v>
      </c>
      <c r="AF81" s="44" t="str">
        <f t="shared" ca="1" si="23"/>
        <v>30 ans 4 mois 14 jours</v>
      </c>
      <c r="AG81" s="63">
        <v>31.34</v>
      </c>
      <c r="AH81" s="51">
        <v>41801</v>
      </c>
    </row>
    <row r="82" spans="1:34" x14ac:dyDescent="0.2">
      <c r="A82" s="109" t="s">
        <v>93</v>
      </c>
      <c r="B82" s="110"/>
      <c r="C82" s="110"/>
      <c r="D82" s="16"/>
      <c r="E82" s="2"/>
      <c r="F82" s="3"/>
      <c r="G82" s="3"/>
      <c r="H82" s="3"/>
      <c r="I82" s="4"/>
      <c r="J82" s="2"/>
      <c r="K82" s="4"/>
      <c r="L82" s="16" t="s">
        <v>21</v>
      </c>
      <c r="M82" s="16" t="s">
        <v>22</v>
      </c>
      <c r="N82" s="48">
        <v>24</v>
      </c>
      <c r="O82" s="62">
        <v>6</v>
      </c>
      <c r="P82" s="135" t="str">
        <f t="shared" ca="1" si="16"/>
        <v>14 ans 0 mois 13 jours</v>
      </c>
      <c r="Q82" s="29">
        <v>14</v>
      </c>
      <c r="R82" s="43">
        <f t="shared" ca="1" si="17"/>
        <v>14.03422313483915</v>
      </c>
      <c r="S82" s="44" t="b">
        <f t="shared" ca="1" si="18"/>
        <v>1</v>
      </c>
      <c r="T82" s="68">
        <v>35796</v>
      </c>
      <c r="U82" s="62">
        <v>100</v>
      </c>
      <c r="V82" s="44" t="str">
        <f t="shared" ca="1" si="19"/>
        <v>1 ans 0 mois 13 jours</v>
      </c>
      <c r="W82" s="29">
        <v>1</v>
      </c>
      <c r="X82" s="43">
        <f t="shared" ca="1" si="20"/>
        <v>1.0349075975359343</v>
      </c>
      <c r="Y82" s="44" t="b">
        <f t="shared" ca="1" si="21"/>
        <v>0</v>
      </c>
      <c r="Z82" s="30">
        <v>40544</v>
      </c>
      <c r="AA82" s="71">
        <v>40544</v>
      </c>
      <c r="AB82" s="62">
        <v>9</v>
      </c>
      <c r="AC82" s="44">
        <f>IF(AG82&gt;0,VLOOKUP(AG82,Calculs!$B$3:$C$13,2),"")</f>
        <v>9</v>
      </c>
      <c r="AD82" s="30">
        <v>32203</v>
      </c>
      <c r="AE82" s="79">
        <f t="shared" si="22"/>
        <v>23.832991101984941</v>
      </c>
      <c r="AF82" s="44" t="str">
        <f t="shared" ca="1" si="23"/>
        <v>23 ans 10 mois 13 jours</v>
      </c>
      <c r="AG82" s="63">
        <v>24.84</v>
      </c>
      <c r="AH82" s="51">
        <v>43733</v>
      </c>
    </row>
    <row r="83" spans="1:34" x14ac:dyDescent="0.2">
      <c r="A83" s="109" t="s">
        <v>106</v>
      </c>
      <c r="B83" s="110"/>
      <c r="C83" s="110"/>
      <c r="D83" s="16"/>
      <c r="E83" s="2"/>
      <c r="F83" s="3"/>
      <c r="G83" s="3"/>
      <c r="H83" s="3"/>
      <c r="I83" s="4"/>
      <c r="J83" s="2"/>
      <c r="K83" s="4"/>
      <c r="L83" s="16" t="s">
        <v>25</v>
      </c>
      <c r="M83" s="16" t="s">
        <v>22</v>
      </c>
      <c r="N83" s="48">
        <v>24.5</v>
      </c>
      <c r="O83" s="62">
        <v>4</v>
      </c>
      <c r="P83" s="135" t="str">
        <f t="shared" ca="1" si="16"/>
        <v>1 ans 0 mois 13 jours</v>
      </c>
      <c r="Q83" s="29">
        <v>1</v>
      </c>
      <c r="R83" s="43">
        <f t="shared" ca="1" si="17"/>
        <v>1.0349075975359343</v>
      </c>
      <c r="S83" s="44" t="b">
        <f t="shared" ca="1" si="18"/>
        <v>0</v>
      </c>
      <c r="T83" s="68">
        <v>40544</v>
      </c>
      <c r="U83" s="62">
        <v>65</v>
      </c>
      <c r="V83" s="44" t="str">
        <f t="shared" ca="1" si="19"/>
        <v>1 ans 0 mois 13 jours</v>
      </c>
      <c r="W83" s="29">
        <v>1</v>
      </c>
      <c r="X83" s="43">
        <f t="shared" ca="1" si="20"/>
        <v>1.0349075975359343</v>
      </c>
      <c r="Y83" s="44" t="b">
        <f t="shared" ca="1" si="21"/>
        <v>0</v>
      </c>
      <c r="Z83" s="30">
        <v>40544</v>
      </c>
      <c r="AA83" s="71" t="s">
        <v>26</v>
      </c>
      <c r="AB83" s="62">
        <v>4</v>
      </c>
      <c r="AC83" s="44">
        <f>IF(AG83&gt;0,VLOOKUP(AG83,Calculs!$B$3:$C$13,2),"")</f>
        <v>4</v>
      </c>
      <c r="AD83" s="30">
        <v>39419</v>
      </c>
      <c r="AE83" s="79">
        <f t="shared" si="22"/>
        <v>4.0766598220396988</v>
      </c>
      <c r="AF83" s="44" t="str">
        <f t="shared" ca="1" si="23"/>
        <v>4 ans 1 mois 11 jours</v>
      </c>
      <c r="AG83" s="63">
        <v>4.08</v>
      </c>
      <c r="AH83" s="51">
        <v>48603</v>
      </c>
    </row>
    <row r="84" spans="1:34" x14ac:dyDescent="0.2">
      <c r="A84" s="109" t="s">
        <v>88</v>
      </c>
      <c r="B84" s="110"/>
      <c r="C84" s="110"/>
      <c r="D84" s="16"/>
      <c r="E84" s="2"/>
      <c r="F84" s="3"/>
      <c r="G84" s="3"/>
      <c r="H84" s="3"/>
      <c r="I84" s="4"/>
      <c r="J84" s="2"/>
      <c r="K84" s="4"/>
      <c r="L84" s="16" t="s">
        <v>21</v>
      </c>
      <c r="M84" s="16" t="s">
        <v>22</v>
      </c>
      <c r="N84" s="48">
        <v>24</v>
      </c>
      <c r="O84" s="62">
        <v>5</v>
      </c>
      <c r="P84" s="135" t="str">
        <f t="shared" ca="1" si="16"/>
        <v>0 ans 6 mois 13 jours</v>
      </c>
      <c r="Q84" s="29">
        <v>1.25</v>
      </c>
      <c r="R84" s="43">
        <f t="shared" ca="1" si="17"/>
        <v>0.53935660506502392</v>
      </c>
      <c r="S84" s="44" t="b">
        <f t="shared" ca="1" si="18"/>
        <v>0</v>
      </c>
      <c r="T84" s="68">
        <v>40725</v>
      </c>
      <c r="U84" s="62">
        <v>75</v>
      </c>
      <c r="V84" s="44" t="str">
        <f t="shared" ca="1" si="19"/>
        <v>1 ans 3 mois 13 jours</v>
      </c>
      <c r="W84" s="29">
        <v>1.25</v>
      </c>
      <c r="X84" s="43">
        <f t="shared" ca="1" si="20"/>
        <v>1.2867898699520877</v>
      </c>
      <c r="Y84" s="44" t="b">
        <f t="shared" ca="1" si="21"/>
        <v>0</v>
      </c>
      <c r="Z84" s="30">
        <v>40452</v>
      </c>
      <c r="AA84" s="71">
        <v>39448</v>
      </c>
      <c r="AB84" s="62">
        <v>5</v>
      </c>
      <c r="AC84" s="44">
        <f>IF(AG84&gt;0,VLOOKUP(AG84,Calculs!$B$3:$C$13,2),"")</f>
        <v>5</v>
      </c>
      <c r="AD84" s="30">
        <v>37956</v>
      </c>
      <c r="AE84" s="79">
        <f t="shared" si="22"/>
        <v>8.0821355236139638</v>
      </c>
      <c r="AF84" s="44" t="str">
        <f t="shared" ca="1" si="23"/>
        <v>8 ans 1 mois 13 jours</v>
      </c>
      <c r="AG84" s="63">
        <v>8.08</v>
      </c>
      <c r="AH84" s="51">
        <v>46463</v>
      </c>
    </row>
    <row r="85" spans="1:34" x14ac:dyDescent="0.2">
      <c r="A85" s="109" t="s">
        <v>107</v>
      </c>
      <c r="B85" s="110"/>
      <c r="C85" s="110"/>
      <c r="D85" s="16"/>
      <c r="E85" s="2"/>
      <c r="F85" s="3"/>
      <c r="G85" s="3"/>
      <c r="H85" s="3"/>
      <c r="I85" s="4"/>
      <c r="J85" s="2"/>
      <c r="K85" s="4"/>
      <c r="L85" s="16" t="s">
        <v>21</v>
      </c>
      <c r="M85" s="16" t="s">
        <v>22</v>
      </c>
      <c r="N85" s="48">
        <v>24</v>
      </c>
      <c r="O85" s="62">
        <v>5</v>
      </c>
      <c r="P85" s="135" t="str">
        <f t="shared" ca="1" si="16"/>
        <v>4 ans 0 mois 13 jours</v>
      </c>
      <c r="Q85" s="29">
        <v>3.58</v>
      </c>
      <c r="R85" s="43">
        <f t="shared" ca="1" si="17"/>
        <v>4.0355920602327169</v>
      </c>
      <c r="S85" s="44" t="b">
        <f t="shared" ca="1" si="18"/>
        <v>0</v>
      </c>
      <c r="T85" s="68">
        <v>39448</v>
      </c>
      <c r="U85" s="62">
        <v>75</v>
      </c>
      <c r="V85" s="44" t="str">
        <f t="shared" ca="1" si="19"/>
        <v>2 ans 0 mois 13 jours</v>
      </c>
      <c r="W85" s="29">
        <v>2</v>
      </c>
      <c r="X85" s="43">
        <f t="shared" ca="1" si="20"/>
        <v>2.0342231348391513</v>
      </c>
      <c r="Y85" s="44" t="b">
        <f t="shared" ca="1" si="21"/>
        <v>0</v>
      </c>
      <c r="Z85" s="30">
        <v>40179</v>
      </c>
      <c r="AA85" s="71">
        <v>40179</v>
      </c>
      <c r="AB85" s="62">
        <v>6</v>
      </c>
      <c r="AC85" s="44">
        <f>IF(AG85&gt;0,VLOOKUP(AG85,Calculs!$B$3:$C$13,2),"")</f>
        <v>6</v>
      </c>
      <c r="AD85" s="30">
        <v>36906</v>
      </c>
      <c r="AE85" s="79">
        <f t="shared" si="22"/>
        <v>10.956878850102669</v>
      </c>
      <c r="AF85" s="44" t="str">
        <f t="shared" ca="1" si="23"/>
        <v>10 ans 11 mois 30 jours</v>
      </c>
      <c r="AG85" s="63">
        <v>10.96</v>
      </c>
      <c r="AH85" s="51">
        <v>48359</v>
      </c>
    </row>
    <row r="86" spans="1:34" x14ac:dyDescent="0.2">
      <c r="A86" s="109" t="s">
        <v>128</v>
      </c>
      <c r="B86" s="110"/>
      <c r="C86" s="110"/>
      <c r="D86" s="16"/>
      <c r="E86" s="2"/>
      <c r="F86" s="3"/>
      <c r="G86" s="3"/>
      <c r="H86" s="3"/>
      <c r="I86" s="4"/>
      <c r="J86" s="2"/>
      <c r="K86" s="4"/>
      <c r="L86" s="16" t="s">
        <v>23</v>
      </c>
      <c r="M86" s="16" t="s">
        <v>24</v>
      </c>
      <c r="N86" s="48">
        <v>24.5</v>
      </c>
      <c r="O86" s="62">
        <v>9</v>
      </c>
      <c r="P86" s="135" t="str">
        <f t="shared" ca="1" si="16"/>
        <v>0 ans 6 mois 13 jours</v>
      </c>
      <c r="Q86" s="29">
        <v>0.5</v>
      </c>
      <c r="R86" s="43">
        <f t="shared" ca="1" si="17"/>
        <v>0.53935660506502392</v>
      </c>
      <c r="S86" s="44" t="b">
        <f t="shared" ca="1" si="18"/>
        <v>0</v>
      </c>
      <c r="T86" s="68">
        <v>40725</v>
      </c>
      <c r="U86" s="62">
        <v>150</v>
      </c>
      <c r="V86" s="44" t="str">
        <f t="shared" ca="1" si="19"/>
        <v>0 ans 6 mois 13 jours</v>
      </c>
      <c r="W86" s="29">
        <v>0.5</v>
      </c>
      <c r="X86" s="43">
        <f t="shared" ca="1" si="20"/>
        <v>0.53935660506502392</v>
      </c>
      <c r="Y86" s="44" t="b">
        <f t="shared" ca="1" si="21"/>
        <v>0</v>
      </c>
      <c r="Z86" s="30">
        <v>40725</v>
      </c>
      <c r="AA86" s="71">
        <v>40179</v>
      </c>
      <c r="AB86" s="62">
        <v>11</v>
      </c>
      <c r="AC86" s="44">
        <f>IF(AG86&gt;0,VLOOKUP(AG86,Calculs!$B$3:$C$13,2),"")</f>
        <v>11</v>
      </c>
      <c r="AD86" s="30">
        <v>29466</v>
      </c>
      <c r="AE86" s="79">
        <f t="shared" si="22"/>
        <v>31.326488706365502</v>
      </c>
      <c r="AF86" s="44" t="str">
        <f t="shared" ca="1" si="23"/>
        <v>31 ans 4 mois 12 jours</v>
      </c>
      <c r="AG86" s="63">
        <v>32.33</v>
      </c>
      <c r="AH86" s="51">
        <v>41036</v>
      </c>
    </row>
    <row r="87" spans="1:34" x14ac:dyDescent="0.2">
      <c r="A87" s="109" t="s">
        <v>109</v>
      </c>
      <c r="B87" s="110"/>
      <c r="C87" s="110"/>
      <c r="D87" s="16"/>
      <c r="E87" s="2"/>
      <c r="F87" s="3"/>
      <c r="G87" s="3"/>
      <c r="H87" s="3"/>
      <c r="I87" s="4"/>
      <c r="J87" s="2"/>
      <c r="K87" s="4"/>
      <c r="L87" s="16" t="s">
        <v>21</v>
      </c>
      <c r="M87" s="16" t="s">
        <v>22</v>
      </c>
      <c r="N87" s="48">
        <v>24.5</v>
      </c>
      <c r="O87" s="62">
        <v>5</v>
      </c>
      <c r="P87" s="135" t="str">
        <f t="shared" ca="1" si="16"/>
        <v>0 ans 0 mois 30 jours</v>
      </c>
      <c r="Q87" s="29">
        <v>2.5</v>
      </c>
      <c r="R87" s="43">
        <f t="shared" ca="1" si="17"/>
        <v>8.2135523613963035E-2</v>
      </c>
      <c r="S87" s="44" t="b">
        <f t="shared" ca="1" si="18"/>
        <v>0</v>
      </c>
      <c r="T87" s="68">
        <v>40892</v>
      </c>
      <c r="U87" s="62">
        <v>80</v>
      </c>
      <c r="V87" s="44" t="str">
        <f t="shared" ca="1" si="19"/>
        <v>2 ans 0 mois 13 jours</v>
      </c>
      <c r="W87" s="29">
        <v>2</v>
      </c>
      <c r="X87" s="43">
        <f t="shared" ca="1" si="20"/>
        <v>2.0342231348391513</v>
      </c>
      <c r="Y87" s="44" t="b">
        <f t="shared" ca="1" si="21"/>
        <v>0</v>
      </c>
      <c r="Z87" s="30">
        <v>40179</v>
      </c>
      <c r="AA87" s="71">
        <v>40179</v>
      </c>
      <c r="AB87" s="62">
        <v>9</v>
      </c>
      <c r="AC87" s="44">
        <f>IF(AG87&gt;0,VLOOKUP(AG87,Calculs!$B$3:$C$13,2),"")</f>
        <v>7</v>
      </c>
      <c r="AD87" s="30">
        <v>39995</v>
      </c>
      <c r="AE87" s="79">
        <f t="shared" si="22"/>
        <v>2.4996577686516086</v>
      </c>
      <c r="AF87" s="44" t="str">
        <f t="shared" ca="1" si="23"/>
        <v>2 ans 6 mois 13 jours</v>
      </c>
      <c r="AG87" s="63">
        <v>16</v>
      </c>
      <c r="AH87" s="51">
        <v>44549</v>
      </c>
    </row>
    <row r="88" spans="1:34" x14ac:dyDescent="0.2">
      <c r="A88" s="109" t="s">
        <v>99</v>
      </c>
      <c r="B88" s="110"/>
      <c r="C88" s="110"/>
      <c r="D88" s="16"/>
      <c r="E88" s="2"/>
      <c r="F88" s="3"/>
      <c r="G88" s="3"/>
      <c r="H88" s="3"/>
      <c r="I88" s="4"/>
      <c r="J88" s="5"/>
      <c r="K88" s="4"/>
      <c r="L88" s="16" t="s">
        <v>23</v>
      </c>
      <c r="M88" s="16" t="s">
        <v>24</v>
      </c>
      <c r="N88" s="48">
        <v>24</v>
      </c>
      <c r="O88" s="62">
        <v>7</v>
      </c>
      <c r="P88" s="135" t="str">
        <f t="shared" ca="1" si="16"/>
        <v>17 ans 7 mois 13 jours</v>
      </c>
      <c r="Q88" s="29">
        <v>17.579999999999998</v>
      </c>
      <c r="R88" s="43">
        <f t="shared" ca="1" si="17"/>
        <v>17.620807665982205</v>
      </c>
      <c r="S88" s="44" t="b">
        <f t="shared" ca="1" si="18"/>
        <v>1</v>
      </c>
      <c r="T88" s="68">
        <v>34486</v>
      </c>
      <c r="U88" s="62">
        <v>115</v>
      </c>
      <c r="V88" s="44" t="str">
        <f t="shared" ca="1" si="19"/>
        <v>2 ans 0 mois 13 jours</v>
      </c>
      <c r="W88" s="29">
        <v>2</v>
      </c>
      <c r="X88" s="43">
        <f t="shared" ca="1" si="20"/>
        <v>2.0342231348391513</v>
      </c>
      <c r="Y88" s="44" t="b">
        <f t="shared" ca="1" si="21"/>
        <v>0</v>
      </c>
      <c r="Z88" s="30">
        <v>40179</v>
      </c>
      <c r="AA88" s="71">
        <v>40179</v>
      </c>
      <c r="AB88" s="62">
        <v>10</v>
      </c>
      <c r="AC88" s="44">
        <f>IF(AG88&gt;0,VLOOKUP(AG88,Calculs!$B$3:$C$13,2),"")</f>
        <v>11</v>
      </c>
      <c r="AD88" s="30">
        <v>29678</v>
      </c>
      <c r="AE88" s="79">
        <f t="shared" si="22"/>
        <v>30.746064339493497</v>
      </c>
      <c r="AF88" s="44" t="str">
        <f t="shared" ca="1" si="23"/>
        <v>30 ans 9 mois 12 jours</v>
      </c>
      <c r="AG88" s="63">
        <v>30.75</v>
      </c>
      <c r="AH88" s="51">
        <v>41800</v>
      </c>
    </row>
    <row r="89" spans="1:34" x14ac:dyDescent="0.2">
      <c r="A89" s="109" t="s">
        <v>129</v>
      </c>
      <c r="B89" s="110"/>
      <c r="C89" s="110"/>
      <c r="D89" s="16"/>
      <c r="E89" s="2"/>
      <c r="F89" s="3"/>
      <c r="G89" s="3"/>
      <c r="H89" s="3"/>
      <c r="I89" s="4"/>
      <c r="J89" s="2"/>
      <c r="K89" s="4"/>
      <c r="L89" s="16" t="s">
        <v>21</v>
      </c>
      <c r="M89" s="16" t="s">
        <v>22</v>
      </c>
      <c r="N89" s="48">
        <v>24</v>
      </c>
      <c r="O89" s="62">
        <v>6</v>
      </c>
      <c r="P89" s="135" t="str">
        <f t="shared" ca="1" si="16"/>
        <v>1 ans 4 mois 13 jours</v>
      </c>
      <c r="Q89" s="29">
        <v>1.25</v>
      </c>
      <c r="R89" s="43">
        <f t="shared" ca="1" si="17"/>
        <v>1.3689253935660506</v>
      </c>
      <c r="S89" s="44" t="b">
        <f t="shared" ca="1" si="18"/>
        <v>0</v>
      </c>
      <c r="T89" s="68">
        <v>40422</v>
      </c>
      <c r="U89" s="62">
        <v>75</v>
      </c>
      <c r="V89" s="44" t="str">
        <f t="shared" ca="1" si="19"/>
        <v>1 ans 3 mois 13 jours</v>
      </c>
      <c r="W89" s="29">
        <v>1.25</v>
      </c>
      <c r="X89" s="43">
        <f t="shared" ca="1" si="20"/>
        <v>1.2867898699520877</v>
      </c>
      <c r="Y89" s="44" t="b">
        <f t="shared" ca="1" si="21"/>
        <v>0</v>
      </c>
      <c r="Z89" s="30">
        <v>40452</v>
      </c>
      <c r="AA89" s="71">
        <v>39083</v>
      </c>
      <c r="AB89" s="62">
        <v>6</v>
      </c>
      <c r="AC89" s="44">
        <f>IF(AG89&gt;0,VLOOKUP(AG89,Calculs!$B$3:$C$13,2),"")</f>
        <v>6</v>
      </c>
      <c r="AD89" s="30">
        <v>37507</v>
      </c>
      <c r="AE89" s="79">
        <f t="shared" si="22"/>
        <v>9.3114305270362774</v>
      </c>
      <c r="AF89" s="44" t="str">
        <f t="shared" ca="1" si="23"/>
        <v>9 ans 4 mois 6 jours</v>
      </c>
      <c r="AG89" s="63">
        <v>12.39</v>
      </c>
      <c r="AH89" s="51">
        <v>48371</v>
      </c>
    </row>
    <row r="90" spans="1:34" x14ac:dyDescent="0.2">
      <c r="A90" s="109" t="s">
        <v>130</v>
      </c>
      <c r="B90" s="110"/>
      <c r="C90" s="110"/>
      <c r="D90" s="16"/>
      <c r="E90" s="2"/>
      <c r="F90" s="3"/>
      <c r="G90" s="3"/>
      <c r="H90" s="3"/>
      <c r="I90" s="4"/>
      <c r="J90" s="2"/>
      <c r="K90" s="4"/>
      <c r="L90" s="16" t="s">
        <v>21</v>
      </c>
      <c r="M90" s="16" t="s">
        <v>22</v>
      </c>
      <c r="N90" s="48">
        <v>24.5</v>
      </c>
      <c r="O90" s="62">
        <v>5</v>
      </c>
      <c r="P90" s="135" t="str">
        <f t="shared" ca="1" si="16"/>
        <v>13 ans 6 mois 13 jours</v>
      </c>
      <c r="Q90" s="29">
        <v>13.5</v>
      </c>
      <c r="R90" s="43">
        <f t="shared" ca="1" si="17"/>
        <v>13.538672142368242</v>
      </c>
      <c r="S90" s="44" t="b">
        <f t="shared" ca="1" si="18"/>
        <v>1</v>
      </c>
      <c r="T90" s="68">
        <v>35977</v>
      </c>
      <c r="U90" s="62">
        <v>95</v>
      </c>
      <c r="V90" s="44" t="str">
        <f t="shared" ca="1" si="19"/>
        <v>6 ans 0 mois 13 jours</v>
      </c>
      <c r="W90" s="29">
        <v>6</v>
      </c>
      <c r="X90" s="43">
        <f t="shared" ca="1" si="20"/>
        <v>6.0342231348391513</v>
      </c>
      <c r="Y90" s="44" t="b">
        <f t="shared" ca="1" si="21"/>
        <v>1</v>
      </c>
      <c r="Z90" s="30">
        <v>38718</v>
      </c>
      <c r="AA90" s="71">
        <v>38718</v>
      </c>
      <c r="AB90" s="62">
        <v>11</v>
      </c>
      <c r="AC90" s="44">
        <f>IF(AG90&gt;0,VLOOKUP(AG90,Calculs!$B$3:$C$13,2),"")</f>
        <v>11</v>
      </c>
      <c r="AD90" s="30">
        <v>29094</v>
      </c>
      <c r="AE90" s="79">
        <f t="shared" si="22"/>
        <v>32.344969199178642</v>
      </c>
      <c r="AF90" s="44" t="str">
        <f t="shared" ca="1" si="23"/>
        <v>32 ans 4 mois 18 jours</v>
      </c>
      <c r="AG90" s="63">
        <v>33.340000000000003</v>
      </c>
      <c r="AH90" s="51">
        <v>41694</v>
      </c>
    </row>
    <row r="91" spans="1:34" x14ac:dyDescent="0.2">
      <c r="A91" s="109" t="s">
        <v>85</v>
      </c>
      <c r="B91" s="110"/>
      <c r="C91" s="110"/>
      <c r="D91" s="16"/>
      <c r="E91" s="2"/>
      <c r="F91" s="3"/>
      <c r="G91" s="3"/>
      <c r="H91" s="3"/>
      <c r="I91" s="4"/>
      <c r="J91" s="5"/>
      <c r="K91" s="4"/>
      <c r="L91" s="16" t="s">
        <v>21</v>
      </c>
      <c r="M91" s="16" t="s">
        <v>22</v>
      </c>
      <c r="N91" s="48">
        <v>24.5</v>
      </c>
      <c r="O91" s="62">
        <v>6</v>
      </c>
      <c r="P91" s="135" t="str">
        <f t="shared" ca="1" si="16"/>
        <v>2 ans 3 mois 13 jours</v>
      </c>
      <c r="Q91" s="29">
        <v>2.25</v>
      </c>
      <c r="R91" s="43">
        <f t="shared" ca="1" si="17"/>
        <v>2.2861054072553046</v>
      </c>
      <c r="S91" s="44" t="b">
        <f t="shared" ca="1" si="18"/>
        <v>0</v>
      </c>
      <c r="T91" s="68">
        <v>40087</v>
      </c>
      <c r="U91" s="62">
        <v>115</v>
      </c>
      <c r="V91" s="44" t="str">
        <f t="shared" ca="1" si="19"/>
        <v>2 ans 3 mois 13 jours</v>
      </c>
      <c r="W91" s="29">
        <v>2.25</v>
      </c>
      <c r="X91" s="43">
        <f t="shared" ca="1" si="20"/>
        <v>2.2861054072553046</v>
      </c>
      <c r="Y91" s="44" t="b">
        <f t="shared" ca="1" si="21"/>
        <v>0</v>
      </c>
      <c r="Z91" s="30">
        <v>40087</v>
      </c>
      <c r="AA91" s="71">
        <v>39083</v>
      </c>
      <c r="AB91" s="62">
        <v>10</v>
      </c>
      <c r="AC91" s="44">
        <f>IF(AG91&gt;0,VLOOKUP(AG91,Calculs!$B$3:$C$13,2),"")</f>
        <v>11</v>
      </c>
      <c r="AD91" s="30">
        <v>31691</v>
      </c>
      <c r="AE91" s="79">
        <f t="shared" si="22"/>
        <v>25.234770704996578</v>
      </c>
      <c r="AF91" s="44" t="str">
        <f t="shared" ca="1" si="23"/>
        <v>25 ans 3 mois 8 jours</v>
      </c>
      <c r="AG91" s="63">
        <v>30.21</v>
      </c>
      <c r="AH91" s="51">
        <v>42486</v>
      </c>
    </row>
    <row r="92" spans="1:34" x14ac:dyDescent="0.2">
      <c r="A92" s="109" t="s">
        <v>101</v>
      </c>
      <c r="B92" s="110"/>
      <c r="C92" s="110"/>
      <c r="D92" s="16"/>
      <c r="E92" s="2"/>
      <c r="F92" s="3"/>
      <c r="G92" s="3"/>
      <c r="H92" s="3"/>
      <c r="I92" s="4"/>
      <c r="J92" s="2"/>
      <c r="K92" s="4"/>
      <c r="L92" s="16" t="s">
        <v>27</v>
      </c>
      <c r="M92" s="16" t="s">
        <v>24</v>
      </c>
      <c r="N92" s="48">
        <v>24</v>
      </c>
      <c r="O92" s="62">
        <v>8</v>
      </c>
      <c r="P92" s="135" t="str">
        <f t="shared" ca="1" si="16"/>
        <v>2 ans 6 mois 13 jours</v>
      </c>
      <c r="Q92" s="29">
        <v>2.5</v>
      </c>
      <c r="R92" s="43">
        <f t="shared" ca="1" si="17"/>
        <v>2.537987679671458</v>
      </c>
      <c r="S92" s="44" t="b">
        <f t="shared" ca="1" si="18"/>
        <v>0</v>
      </c>
      <c r="T92" s="68">
        <v>39995</v>
      </c>
      <c r="U92" s="62">
        <v>95</v>
      </c>
      <c r="V92" s="44" t="str">
        <f t="shared" ca="1" si="19"/>
        <v>1 ans 0 mois 13 jours</v>
      </c>
      <c r="W92" s="29">
        <v>1</v>
      </c>
      <c r="X92" s="43">
        <f t="shared" ca="1" si="20"/>
        <v>1.0349075975359343</v>
      </c>
      <c r="Y92" s="44" t="b">
        <f t="shared" ca="1" si="21"/>
        <v>0</v>
      </c>
      <c r="Z92" s="30">
        <v>40544</v>
      </c>
      <c r="AA92" s="71">
        <v>40544</v>
      </c>
      <c r="AB92" s="62">
        <v>3</v>
      </c>
      <c r="AC92" s="44">
        <f>IF(AG92&gt;0,VLOOKUP(AG92,Calculs!$B$3:$C$13,2),"")</f>
        <v>3</v>
      </c>
      <c r="AD92" s="30">
        <v>39995</v>
      </c>
      <c r="AE92" s="79">
        <f t="shared" si="22"/>
        <v>2.4996577686516086</v>
      </c>
      <c r="AF92" s="44" t="str">
        <f t="shared" ca="1" si="23"/>
        <v>2 ans 6 mois 13 jours</v>
      </c>
      <c r="AG92" s="63">
        <v>2.5</v>
      </c>
      <c r="AH92" s="51">
        <v>46812</v>
      </c>
    </row>
    <row r="93" spans="1:34" x14ac:dyDescent="0.2">
      <c r="A93" s="109" t="s">
        <v>131</v>
      </c>
      <c r="B93" s="110"/>
      <c r="C93" s="110"/>
      <c r="D93" s="16"/>
      <c r="E93" s="2"/>
      <c r="F93" s="3"/>
      <c r="G93" s="3"/>
      <c r="H93" s="3"/>
      <c r="I93" s="4"/>
      <c r="J93" s="2"/>
      <c r="K93" s="4"/>
      <c r="L93" s="16" t="s">
        <v>21</v>
      </c>
      <c r="M93" s="16" t="s">
        <v>22</v>
      </c>
      <c r="N93" s="48">
        <v>24</v>
      </c>
      <c r="O93" s="62">
        <v>6</v>
      </c>
      <c r="P93" s="135" t="str">
        <f t="shared" ca="1" si="16"/>
        <v>13 ans 7 mois 13 jours</v>
      </c>
      <c r="Q93" s="29">
        <v>13.58</v>
      </c>
      <c r="R93" s="43">
        <f t="shared" ca="1" si="17"/>
        <v>13.620807665982204</v>
      </c>
      <c r="S93" s="44" t="b">
        <f t="shared" ca="1" si="18"/>
        <v>1</v>
      </c>
      <c r="T93" s="68">
        <v>35947</v>
      </c>
      <c r="U93" s="62">
        <v>115</v>
      </c>
      <c r="V93" s="44" t="str">
        <f t="shared" ca="1" si="19"/>
        <v>2 ans 0 mois 13 jours</v>
      </c>
      <c r="W93" s="29">
        <v>2</v>
      </c>
      <c r="X93" s="43">
        <f t="shared" ca="1" si="20"/>
        <v>2.0342231348391513</v>
      </c>
      <c r="Y93" s="44" t="b">
        <f t="shared" ca="1" si="21"/>
        <v>0</v>
      </c>
      <c r="Z93" s="30">
        <v>40179</v>
      </c>
      <c r="AA93" s="71">
        <v>40179</v>
      </c>
      <c r="AB93" s="62">
        <v>11</v>
      </c>
      <c r="AC93" s="44">
        <f>IF(AG93&gt;0,VLOOKUP(AG93,Calculs!$B$3:$C$13,2),"")</f>
        <v>11</v>
      </c>
      <c r="AD93" s="30">
        <v>29886</v>
      </c>
      <c r="AE93" s="79">
        <f t="shared" si="22"/>
        <v>30.17659137577002</v>
      </c>
      <c r="AF93" s="44" t="str">
        <f t="shared" ca="1" si="23"/>
        <v>30 ans 2 mois 18 jours</v>
      </c>
      <c r="AG93" s="63">
        <v>31.61</v>
      </c>
      <c r="AH93" s="51">
        <v>41692</v>
      </c>
    </row>
    <row r="94" spans="1:34" x14ac:dyDescent="0.2">
      <c r="A94" s="109" t="s">
        <v>126</v>
      </c>
      <c r="B94" s="110"/>
      <c r="C94" s="110"/>
      <c r="D94" s="16"/>
      <c r="E94" s="2"/>
      <c r="F94" s="3"/>
      <c r="G94" s="3"/>
      <c r="H94" s="3"/>
      <c r="I94" s="4"/>
      <c r="J94" s="2"/>
      <c r="K94" s="4"/>
      <c r="L94" s="16" t="s">
        <v>21</v>
      </c>
      <c r="M94" s="16" t="s">
        <v>22</v>
      </c>
      <c r="N94" s="48">
        <v>24.5</v>
      </c>
      <c r="O94" s="62">
        <v>5</v>
      </c>
      <c r="P94" s="135" t="str">
        <f t="shared" ca="1" si="16"/>
        <v>17 ans 0 mois 13 jours</v>
      </c>
      <c r="Q94" s="29">
        <v>17</v>
      </c>
      <c r="R94" s="43">
        <f t="shared" ca="1" si="17"/>
        <v>17.034907597535934</v>
      </c>
      <c r="S94" s="44" t="b">
        <f t="shared" ca="1" si="18"/>
        <v>1</v>
      </c>
      <c r="T94" s="68">
        <v>34700</v>
      </c>
      <c r="U94" s="62">
        <v>110</v>
      </c>
      <c r="V94" s="44" t="str">
        <f t="shared" ca="1" si="19"/>
        <v>2 ans 0 mois 13 jours</v>
      </c>
      <c r="W94" s="29">
        <v>2</v>
      </c>
      <c r="X94" s="43">
        <f t="shared" ca="1" si="20"/>
        <v>2.0342231348391513</v>
      </c>
      <c r="Y94" s="44" t="b">
        <f t="shared" ca="1" si="21"/>
        <v>0</v>
      </c>
      <c r="Z94" s="30">
        <v>40179</v>
      </c>
      <c r="AA94" s="71">
        <v>40179</v>
      </c>
      <c r="AB94" s="62">
        <v>11</v>
      </c>
      <c r="AC94" s="44">
        <f>IF(AG94&gt;0,VLOOKUP(AG94,Calculs!$B$3:$C$13,2),"")</f>
        <v>11</v>
      </c>
      <c r="AD94" s="30">
        <v>29682</v>
      </c>
      <c r="AE94" s="79">
        <f t="shared" si="22"/>
        <v>30.735112936344969</v>
      </c>
      <c r="AF94" s="44" t="str">
        <f t="shared" ca="1" si="23"/>
        <v>30 ans 9 mois 8 jours</v>
      </c>
      <c r="AG94" s="63">
        <v>31.74</v>
      </c>
      <c r="AH94" s="51">
        <v>41484</v>
      </c>
    </row>
    <row r="95" spans="1:34" x14ac:dyDescent="0.2">
      <c r="A95" s="109" t="s">
        <v>87</v>
      </c>
      <c r="B95" s="110"/>
      <c r="C95" s="110"/>
      <c r="D95" s="16"/>
      <c r="E95" s="2"/>
      <c r="F95" s="3"/>
      <c r="G95" s="3"/>
      <c r="H95" s="3"/>
      <c r="I95" s="4"/>
      <c r="J95" s="2"/>
      <c r="K95" s="4"/>
      <c r="L95" s="16" t="s">
        <v>23</v>
      </c>
      <c r="M95" s="16" t="s">
        <v>24</v>
      </c>
      <c r="N95" s="48">
        <v>24.5</v>
      </c>
      <c r="O95" s="62">
        <v>9</v>
      </c>
      <c r="P95" s="135" t="str">
        <f t="shared" ca="1" si="16"/>
        <v>7 ans 0 mois 13 jours</v>
      </c>
      <c r="Q95" s="29">
        <v>7</v>
      </c>
      <c r="R95" s="43">
        <f t="shared" ca="1" si="17"/>
        <v>7.0335386721423685</v>
      </c>
      <c r="S95" s="44" t="b">
        <f t="shared" ca="1" si="18"/>
        <v>1</v>
      </c>
      <c r="T95" s="68">
        <v>38353</v>
      </c>
      <c r="U95" s="62">
        <v>140</v>
      </c>
      <c r="V95" s="44" t="str">
        <f t="shared" ca="1" si="19"/>
        <v>1 ans 0 mois 13 jours</v>
      </c>
      <c r="W95" s="29">
        <v>1</v>
      </c>
      <c r="X95" s="43">
        <f t="shared" ca="1" si="20"/>
        <v>1.0349075975359343</v>
      </c>
      <c r="Y95" s="44" t="b">
        <f t="shared" ca="1" si="21"/>
        <v>0</v>
      </c>
      <c r="Z95" s="30">
        <v>40544</v>
      </c>
      <c r="AA95" s="71">
        <v>40544</v>
      </c>
      <c r="AB95" s="62">
        <v>6</v>
      </c>
      <c r="AC95" s="44">
        <f>IF(AG95&gt;0,VLOOKUP(AG95,Calculs!$B$3:$C$13,2),"")</f>
        <v>6</v>
      </c>
      <c r="AD95" s="30">
        <v>36528</v>
      </c>
      <c r="AE95" s="79">
        <f t="shared" si="22"/>
        <v>11.991786447638603</v>
      </c>
      <c r="AF95" s="44" t="str">
        <f t="shared" ca="1" si="23"/>
        <v>12 ans 0 mois 11 jours</v>
      </c>
      <c r="AG95" s="63">
        <v>12.83</v>
      </c>
      <c r="AH95" s="51">
        <v>47259</v>
      </c>
    </row>
    <row r="96" spans="1:34" x14ac:dyDescent="0.2">
      <c r="A96" s="109" t="s">
        <v>132</v>
      </c>
      <c r="B96" s="110"/>
      <c r="C96" s="110"/>
      <c r="D96" s="16"/>
      <c r="E96" s="2"/>
      <c r="F96" s="3"/>
      <c r="G96" s="3"/>
      <c r="H96" s="3"/>
      <c r="I96" s="4"/>
      <c r="J96" s="5"/>
      <c r="K96" s="4"/>
      <c r="L96" s="16" t="s">
        <v>21</v>
      </c>
      <c r="M96" s="16" t="s">
        <v>22</v>
      </c>
      <c r="N96" s="48">
        <v>24.5</v>
      </c>
      <c r="O96" s="62">
        <v>4</v>
      </c>
      <c r="P96" s="135" t="str">
        <f t="shared" ca="1" si="16"/>
        <v>2 ans 6 mois 13 jours</v>
      </c>
      <c r="Q96" s="29">
        <v>2.5</v>
      </c>
      <c r="R96" s="43">
        <f t="shared" ca="1" si="17"/>
        <v>2.537987679671458</v>
      </c>
      <c r="S96" s="44" t="b">
        <f t="shared" ca="1" si="18"/>
        <v>0</v>
      </c>
      <c r="T96" s="68">
        <v>39995</v>
      </c>
      <c r="U96" s="62">
        <v>75</v>
      </c>
      <c r="V96" s="44" t="str">
        <f t="shared" ca="1" si="19"/>
        <v>2 ans 6 mois 13 jours</v>
      </c>
      <c r="W96" s="29">
        <v>2.5</v>
      </c>
      <c r="X96" s="43">
        <f t="shared" ca="1" si="20"/>
        <v>2.537987679671458</v>
      </c>
      <c r="Y96" s="44" t="b">
        <f t="shared" ca="1" si="21"/>
        <v>0</v>
      </c>
      <c r="Z96" s="30">
        <v>39995</v>
      </c>
      <c r="AA96" s="71">
        <v>39448</v>
      </c>
      <c r="AB96" s="62">
        <v>5</v>
      </c>
      <c r="AC96" s="44">
        <f>IF(AG96&gt;0,VLOOKUP(AG96,Calculs!$B$3:$C$13,2),"")</f>
        <v>5</v>
      </c>
      <c r="AD96" s="30">
        <v>38334</v>
      </c>
      <c r="AE96" s="79">
        <f t="shared" si="22"/>
        <v>7.0472279260780288</v>
      </c>
      <c r="AF96" s="44" t="str">
        <f t="shared" ca="1" si="23"/>
        <v>7 ans 1 mois 1 jours</v>
      </c>
      <c r="AG96" s="63">
        <v>7.05</v>
      </c>
      <c r="AH96" s="51">
        <v>50271</v>
      </c>
    </row>
    <row r="97" spans="1:34" x14ac:dyDescent="0.2">
      <c r="A97" s="114" t="s">
        <v>133</v>
      </c>
      <c r="B97" s="110"/>
      <c r="C97" s="110"/>
      <c r="D97" s="16"/>
      <c r="E97" s="4"/>
      <c r="F97" s="3"/>
      <c r="G97" s="3"/>
      <c r="H97" s="3"/>
      <c r="I97" s="4"/>
      <c r="J97" s="2"/>
      <c r="K97" s="4"/>
      <c r="L97" s="16" t="s">
        <v>21</v>
      </c>
      <c r="M97" s="16" t="s">
        <v>22</v>
      </c>
      <c r="N97" s="48">
        <v>24</v>
      </c>
      <c r="O97" s="62">
        <v>5</v>
      </c>
      <c r="P97" s="135" t="str">
        <f t="shared" ca="1" si="16"/>
        <v>9 ans 9 mois 13 jours</v>
      </c>
      <c r="Q97" s="29">
        <v>9.67</v>
      </c>
      <c r="R97" s="43">
        <f t="shared" ca="1" si="17"/>
        <v>9.7878165639972625</v>
      </c>
      <c r="S97" s="44" t="b">
        <f t="shared" ca="1" si="18"/>
        <v>1</v>
      </c>
      <c r="T97" s="68">
        <v>37347</v>
      </c>
      <c r="U97" s="62">
        <v>105</v>
      </c>
      <c r="V97" s="44" t="str">
        <f t="shared" ca="1" si="19"/>
        <v>1 ans 0 mois 13 jours</v>
      </c>
      <c r="W97" s="29">
        <v>1</v>
      </c>
      <c r="X97" s="43">
        <f t="shared" ca="1" si="20"/>
        <v>1.0349075975359343</v>
      </c>
      <c r="Y97" s="44" t="b">
        <f t="shared" ca="1" si="21"/>
        <v>0</v>
      </c>
      <c r="Z97" s="30">
        <v>40544</v>
      </c>
      <c r="AA97" s="71">
        <v>40544</v>
      </c>
      <c r="AB97" s="62">
        <v>9</v>
      </c>
      <c r="AC97" s="44">
        <f>IF(AG97&gt;0,VLOOKUP(AG97,Calculs!$B$3:$C$13,2),"")</f>
        <v>9</v>
      </c>
      <c r="AD97" s="30">
        <v>32953</v>
      </c>
      <c r="AE97" s="79">
        <f t="shared" si="22"/>
        <v>21.779603011635867</v>
      </c>
      <c r="AF97" s="44" t="str">
        <f t="shared" ca="1" si="23"/>
        <v>21 ans 9 mois 24 jours</v>
      </c>
      <c r="AG97" s="63">
        <v>22.77</v>
      </c>
      <c r="AH97" s="51">
        <v>45133</v>
      </c>
    </row>
    <row r="98" spans="1:34" x14ac:dyDescent="0.2">
      <c r="A98" s="109" t="s">
        <v>73</v>
      </c>
      <c r="B98" s="110"/>
      <c r="C98" s="110"/>
      <c r="D98" s="16"/>
      <c r="E98" s="2"/>
      <c r="F98" s="3"/>
      <c r="G98" s="3"/>
      <c r="H98" s="3"/>
      <c r="I98" s="4"/>
      <c r="J98" s="5"/>
      <c r="K98" s="4"/>
      <c r="L98" s="16" t="s">
        <v>21</v>
      </c>
      <c r="M98" s="16" t="s">
        <v>22</v>
      </c>
      <c r="N98" s="48">
        <v>24</v>
      </c>
      <c r="O98" s="62">
        <v>5</v>
      </c>
      <c r="P98" s="135" t="str">
        <f t="shared" ref="P98:P129" ca="1" si="24">IF(T98&gt;0,DATEDIF(T98,TODAY(),"y")&amp;" ans "&amp;DATEDIF(T98,TODAY(),"ym")&amp;" mois "&amp;DATEDIF(T98,TODAY(),"md")&amp;" jours","")</f>
        <v>8 ans 6 mois 13 jours</v>
      </c>
      <c r="Q98" s="29">
        <v>8.5</v>
      </c>
      <c r="R98" s="43">
        <f t="shared" ref="R98:R129" ca="1" si="25">IF(T98&gt;0,(TODAY()-T98)/365.25,"")</f>
        <v>8.5393566050650236</v>
      </c>
      <c r="S98" s="44" t="b">
        <f t="shared" ref="S98:S129" ca="1" si="26">IF(T98&gt;0,DATEDIF(T98,TODAY(),"m")&gt;=84,"")</f>
        <v>1</v>
      </c>
      <c r="T98" s="68">
        <v>37803</v>
      </c>
      <c r="U98" s="62">
        <v>90</v>
      </c>
      <c r="V98" s="44" t="str">
        <f t="shared" ref="V98:V129" ca="1" si="27">IF(Z98&gt;0,DATEDIF(Z98,TODAY(),"y")&amp;" ans "&amp;DATEDIF(Z98,TODAY(),"ym")&amp;" mois "&amp;DATEDIF(Z98,TODAY(),"md")&amp;" jours","")</f>
        <v>1 ans 0 mois 13 jours</v>
      </c>
      <c r="W98" s="29">
        <v>1</v>
      </c>
      <c r="X98" s="43">
        <f t="shared" ref="X98:X129" ca="1" si="28">IF(Z98&gt;0,(TODAY()-Z98)/365.25,"")</f>
        <v>1.0349075975359343</v>
      </c>
      <c r="Y98" s="44" t="b">
        <f t="shared" ref="Y98:Y129" ca="1" si="29">IF(Z98&gt;0,DATEDIF(Z98,TODAY(),"m")&gt;=48,"")</f>
        <v>0</v>
      </c>
      <c r="Z98" s="30">
        <v>40544</v>
      </c>
      <c r="AA98" s="71">
        <v>40544</v>
      </c>
      <c r="AB98" s="62">
        <v>8</v>
      </c>
      <c r="AC98" s="44">
        <f>IF(AG98&gt;0,VLOOKUP(AG98,Calculs!$B$3:$C$13,2),"")</f>
        <v>8</v>
      </c>
      <c r="AD98" s="30">
        <v>33970</v>
      </c>
      <c r="AE98" s="79">
        <f t="shared" ref="AE98:AE129" si="30">IF(AD98&gt;0,(DATE(2011,12,31)-AD98)/365.25,"")</f>
        <v>18.99520876112252</v>
      </c>
      <c r="AF98" s="44" t="str">
        <f t="shared" ref="AF98:AF129" ca="1" si="31">IF(AD98&gt;0,DATEDIF(AD98,TODAY(),"y")&amp;" ans "&amp;DATEDIF(AD98,TODAY(),"ym")&amp;" mois "&amp;DATEDIF(AD98,TODAY(),"md")&amp;" jours","")</f>
        <v>19 ans 0 mois 13 jours</v>
      </c>
      <c r="AG98" s="63">
        <v>20</v>
      </c>
      <c r="AH98" s="51">
        <v>41738</v>
      </c>
    </row>
    <row r="99" spans="1:34" x14ac:dyDescent="0.2">
      <c r="A99" s="109" t="s">
        <v>134</v>
      </c>
      <c r="B99" s="110"/>
      <c r="C99" s="110"/>
      <c r="D99" s="16"/>
      <c r="E99" s="2"/>
      <c r="F99" s="3"/>
      <c r="G99" s="3"/>
      <c r="H99" s="3"/>
      <c r="I99" s="4"/>
      <c r="J99" s="5"/>
      <c r="K99" s="4"/>
      <c r="L99" s="16" t="s">
        <v>21</v>
      </c>
      <c r="M99" s="16" t="s">
        <v>22</v>
      </c>
      <c r="N99" s="48">
        <v>24.5</v>
      </c>
      <c r="O99" s="62">
        <v>5</v>
      </c>
      <c r="P99" s="135" t="str">
        <f t="shared" ca="1" si="24"/>
        <v>1 ans 9 mois 13 jours</v>
      </c>
      <c r="Q99" s="29">
        <v>1.75</v>
      </c>
      <c r="R99" s="43">
        <f t="shared" ca="1" si="25"/>
        <v>1.7878165639972621</v>
      </c>
      <c r="S99" s="44" t="b">
        <f t="shared" ca="1" si="26"/>
        <v>0</v>
      </c>
      <c r="T99" s="68">
        <v>40269</v>
      </c>
      <c r="U99" s="62">
        <v>95</v>
      </c>
      <c r="V99" s="44" t="str">
        <f t="shared" ca="1" si="27"/>
        <v>1 ans 9 mois 13 jours</v>
      </c>
      <c r="W99" s="29">
        <v>1.75</v>
      </c>
      <c r="X99" s="43">
        <f t="shared" ca="1" si="28"/>
        <v>1.7878165639972621</v>
      </c>
      <c r="Y99" s="44" t="b">
        <f t="shared" ca="1" si="29"/>
        <v>0</v>
      </c>
      <c r="Z99" s="30">
        <v>40269</v>
      </c>
      <c r="AA99" s="71">
        <v>39083</v>
      </c>
      <c r="AB99" s="62">
        <v>10</v>
      </c>
      <c r="AC99" s="44">
        <f>IF(AG99&gt;0,VLOOKUP(AG99,Calculs!$B$3:$C$13,2),"")</f>
        <v>10</v>
      </c>
      <c r="AD99" s="30">
        <v>30225</v>
      </c>
      <c r="AE99" s="79">
        <f t="shared" si="30"/>
        <v>29.248459958932237</v>
      </c>
      <c r="AF99" s="44" t="str">
        <f t="shared" ca="1" si="31"/>
        <v>29 ans 3 mois 13 jours</v>
      </c>
      <c r="AG99" s="63">
        <v>29.25</v>
      </c>
      <c r="AH99" s="51">
        <v>41197</v>
      </c>
    </row>
    <row r="100" spans="1:34" x14ac:dyDescent="0.2">
      <c r="A100" s="109" t="s">
        <v>111</v>
      </c>
      <c r="B100" s="110"/>
      <c r="C100" s="110"/>
      <c r="D100" s="16"/>
      <c r="E100" s="2"/>
      <c r="F100" s="3"/>
      <c r="G100" s="3"/>
      <c r="H100" s="3"/>
      <c r="I100" s="4"/>
      <c r="J100" s="2"/>
      <c r="K100" s="4"/>
      <c r="L100" s="16" t="s">
        <v>21</v>
      </c>
      <c r="M100" s="16" t="s">
        <v>22</v>
      </c>
      <c r="N100" s="48"/>
      <c r="O100" s="62"/>
      <c r="P100" s="135" t="str">
        <f t="shared" ca="1" si="24"/>
        <v/>
      </c>
      <c r="Q100" s="29"/>
      <c r="R100" s="43" t="str">
        <f t="shared" ca="1" si="25"/>
        <v/>
      </c>
      <c r="S100" s="44" t="str">
        <f t="shared" ca="1" si="26"/>
        <v/>
      </c>
      <c r="T100" s="68"/>
      <c r="U100" s="62"/>
      <c r="V100" s="44" t="str">
        <f t="shared" ca="1" si="27"/>
        <v/>
      </c>
      <c r="W100" s="29"/>
      <c r="X100" s="43" t="str">
        <f t="shared" ca="1" si="28"/>
        <v/>
      </c>
      <c r="Y100" s="44" t="str">
        <f t="shared" ca="1" si="29"/>
        <v/>
      </c>
      <c r="Z100" s="30"/>
      <c r="AA100" s="71"/>
      <c r="AB100" s="62"/>
      <c r="AC100" s="44" t="str">
        <f>IF(AG100&gt;0,VLOOKUP(AG100,Calculs!$B$3:$C$13,2),"")</f>
        <v/>
      </c>
      <c r="AD100" s="30"/>
      <c r="AE100" s="79" t="str">
        <f t="shared" si="30"/>
        <v/>
      </c>
      <c r="AF100" s="44" t="str">
        <f t="shared" ca="1" si="31"/>
        <v/>
      </c>
      <c r="AG100" s="63"/>
      <c r="AH100" s="51"/>
    </row>
    <row r="101" spans="1:34" x14ac:dyDescent="0.2">
      <c r="A101" s="109" t="s">
        <v>101</v>
      </c>
      <c r="B101" s="110"/>
      <c r="C101" s="110"/>
      <c r="D101" s="16"/>
      <c r="E101" s="2"/>
      <c r="F101" s="3"/>
      <c r="G101" s="3"/>
      <c r="H101" s="3"/>
      <c r="I101" s="4"/>
      <c r="J101" s="2"/>
      <c r="K101" s="4"/>
      <c r="L101" s="16" t="s">
        <v>23</v>
      </c>
      <c r="M101" s="16" t="s">
        <v>24</v>
      </c>
      <c r="N101" s="48">
        <v>24</v>
      </c>
      <c r="O101" s="62">
        <v>10</v>
      </c>
      <c r="P101" s="135" t="str">
        <f t="shared" ca="1" si="24"/>
        <v>4 ans 0 mois 13 jours</v>
      </c>
      <c r="Q101" s="29">
        <v>3.58</v>
      </c>
      <c r="R101" s="43">
        <f t="shared" ca="1" si="25"/>
        <v>4.0355920602327169</v>
      </c>
      <c r="S101" s="44" t="b">
        <f t="shared" ca="1" si="26"/>
        <v>0</v>
      </c>
      <c r="T101" s="68">
        <v>39448</v>
      </c>
      <c r="U101" s="62">
        <v>160</v>
      </c>
      <c r="V101" s="44" t="str">
        <f t="shared" ca="1" si="27"/>
        <v>1 ans 0 mois 13 jours</v>
      </c>
      <c r="W101" s="29">
        <v>1</v>
      </c>
      <c r="X101" s="43">
        <f t="shared" ca="1" si="28"/>
        <v>1.0349075975359343</v>
      </c>
      <c r="Y101" s="44" t="b">
        <f t="shared" ca="1" si="29"/>
        <v>0</v>
      </c>
      <c r="Z101" s="30">
        <v>40544</v>
      </c>
      <c r="AA101" s="71">
        <v>40544</v>
      </c>
      <c r="AB101" s="62">
        <v>11</v>
      </c>
      <c r="AC101" s="44">
        <f>IF(AG101&gt;0,VLOOKUP(AG101,Calculs!$B$3:$C$13,2),"")</f>
        <v>11</v>
      </c>
      <c r="AD101" s="30">
        <v>29808</v>
      </c>
      <c r="AE101" s="79">
        <f t="shared" si="30"/>
        <v>30.390143737166323</v>
      </c>
      <c r="AF101" s="44" t="str">
        <f t="shared" ca="1" si="31"/>
        <v>30 ans 5 mois 4 jours</v>
      </c>
      <c r="AG101" s="63">
        <v>31.39</v>
      </c>
      <c r="AH101" s="51">
        <v>42601</v>
      </c>
    </row>
    <row r="102" spans="1:34" x14ac:dyDescent="0.2">
      <c r="A102" s="109" t="s">
        <v>87</v>
      </c>
      <c r="B102" s="110"/>
      <c r="C102" s="110"/>
      <c r="D102" s="16"/>
      <c r="E102" s="2"/>
      <c r="F102" s="3"/>
      <c r="G102" s="3"/>
      <c r="H102" s="3"/>
      <c r="I102" s="4"/>
      <c r="J102" s="2"/>
      <c r="K102" s="4"/>
      <c r="L102" s="16" t="s">
        <v>23</v>
      </c>
      <c r="M102" s="16" t="s">
        <v>24</v>
      </c>
      <c r="N102" s="48">
        <v>24.5</v>
      </c>
      <c r="O102" s="62">
        <v>10</v>
      </c>
      <c r="P102" s="135" t="str">
        <f t="shared" ca="1" si="24"/>
        <v>4 ans 0 mois 13 jours</v>
      </c>
      <c r="Q102" s="29">
        <v>4</v>
      </c>
      <c r="R102" s="43">
        <f t="shared" ca="1" si="25"/>
        <v>4.0355920602327169</v>
      </c>
      <c r="S102" s="44" t="b">
        <f t="shared" ca="1" si="26"/>
        <v>0</v>
      </c>
      <c r="T102" s="68">
        <v>39448</v>
      </c>
      <c r="U102" s="62">
        <v>150</v>
      </c>
      <c r="V102" s="44" t="str">
        <f t="shared" ca="1" si="27"/>
        <v>1 ans 0 mois 13 jours</v>
      </c>
      <c r="W102" s="29">
        <v>1</v>
      </c>
      <c r="X102" s="43">
        <f t="shared" ca="1" si="28"/>
        <v>1.0349075975359343</v>
      </c>
      <c r="Y102" s="44" t="b">
        <f t="shared" ca="1" si="29"/>
        <v>0</v>
      </c>
      <c r="Z102" s="30">
        <v>40544</v>
      </c>
      <c r="AA102" s="71">
        <v>40544</v>
      </c>
      <c r="AB102" s="62">
        <v>11</v>
      </c>
      <c r="AC102" s="44">
        <f>IF(AG102&gt;0,VLOOKUP(AG102,Calculs!$B$3:$C$13,2),"")</f>
        <v>11</v>
      </c>
      <c r="AD102" s="30">
        <v>29099</v>
      </c>
      <c r="AE102" s="79">
        <f t="shared" si="30"/>
        <v>32.331279945242983</v>
      </c>
      <c r="AF102" s="44" t="str">
        <f t="shared" ca="1" si="31"/>
        <v>32 ans 4 mois 13 jours</v>
      </c>
      <c r="AG102" s="63">
        <v>33.33</v>
      </c>
      <c r="AH102" s="51">
        <v>41188</v>
      </c>
    </row>
    <row r="103" spans="1:34" x14ac:dyDescent="0.2">
      <c r="A103" s="109" t="s">
        <v>135</v>
      </c>
      <c r="B103" s="110"/>
      <c r="C103" s="110"/>
      <c r="D103" s="16"/>
      <c r="E103" s="2"/>
      <c r="F103" s="3"/>
      <c r="G103" s="3"/>
      <c r="H103" s="3"/>
      <c r="I103" s="4"/>
      <c r="J103" s="2"/>
      <c r="K103" s="4"/>
      <c r="L103" s="16" t="s">
        <v>21</v>
      </c>
      <c r="M103" s="16" t="s">
        <v>22</v>
      </c>
      <c r="N103" s="48">
        <v>24</v>
      </c>
      <c r="O103" s="62">
        <v>5</v>
      </c>
      <c r="P103" s="135" t="str">
        <f t="shared" ca="1" si="24"/>
        <v>0 ans 0 mois 30 jours</v>
      </c>
      <c r="Q103" s="29">
        <v>6.25</v>
      </c>
      <c r="R103" s="43">
        <f t="shared" ca="1" si="25"/>
        <v>8.2135523613963035E-2</v>
      </c>
      <c r="S103" s="44" t="b">
        <f t="shared" ca="1" si="26"/>
        <v>0</v>
      </c>
      <c r="T103" s="68">
        <v>40892</v>
      </c>
      <c r="U103" s="62">
        <v>75</v>
      </c>
      <c r="V103" s="44" t="str">
        <f t="shared" ca="1" si="27"/>
        <v>3 ans 0 mois 13 jours</v>
      </c>
      <c r="W103" s="29">
        <v>3</v>
      </c>
      <c r="X103" s="43">
        <f t="shared" ca="1" si="28"/>
        <v>3.0335386721423681</v>
      </c>
      <c r="Y103" s="44" t="b">
        <f t="shared" ca="1" si="29"/>
        <v>0</v>
      </c>
      <c r="Z103" s="30">
        <v>39814</v>
      </c>
      <c r="AA103" s="71">
        <v>40544</v>
      </c>
      <c r="AB103" s="62">
        <v>8</v>
      </c>
      <c r="AC103" s="44">
        <f>IF(AG103&gt;0,VLOOKUP(AG103,Calculs!$B$3:$C$13,2),"")</f>
        <v>8</v>
      </c>
      <c r="AD103" s="30">
        <v>34182</v>
      </c>
      <c r="AE103" s="79">
        <f t="shared" si="30"/>
        <v>18.414784394250514</v>
      </c>
      <c r="AF103" s="44" t="str">
        <f t="shared" ca="1" si="31"/>
        <v>18 ans 5 mois 13 jours</v>
      </c>
      <c r="AG103" s="63">
        <v>19.53</v>
      </c>
      <c r="AH103" s="51">
        <v>47130</v>
      </c>
    </row>
    <row r="104" spans="1:34" x14ac:dyDescent="0.2">
      <c r="A104" s="109" t="s">
        <v>102</v>
      </c>
      <c r="B104" s="110"/>
      <c r="C104" s="110"/>
      <c r="D104" s="16"/>
      <c r="E104" s="2"/>
      <c r="F104" s="3"/>
      <c r="G104" s="3"/>
      <c r="H104" s="3"/>
      <c r="I104" s="4"/>
      <c r="J104" s="2"/>
      <c r="K104" s="4"/>
      <c r="L104" s="16" t="s">
        <v>25</v>
      </c>
      <c r="M104" s="16" t="s">
        <v>22</v>
      </c>
      <c r="N104" s="48">
        <v>24.5</v>
      </c>
      <c r="O104" s="62">
        <v>3</v>
      </c>
      <c r="P104" s="135" t="str">
        <f t="shared" ca="1" si="24"/>
        <v>0 ans 4 mois 13 jours</v>
      </c>
      <c r="Q104" s="29">
        <v>1.33</v>
      </c>
      <c r="R104" s="43">
        <f t="shared" ca="1" si="25"/>
        <v>0.36960985626283366</v>
      </c>
      <c r="S104" s="44" t="b">
        <f t="shared" ca="1" si="26"/>
        <v>0</v>
      </c>
      <c r="T104" s="68">
        <v>40787</v>
      </c>
      <c r="U104" s="62">
        <v>50</v>
      </c>
      <c r="V104" s="44" t="str">
        <f t="shared" ca="1" si="27"/>
        <v>1 ans 4 mois 13 jours</v>
      </c>
      <c r="W104" s="29">
        <v>1.33</v>
      </c>
      <c r="X104" s="43">
        <f t="shared" ca="1" si="28"/>
        <v>1.3689253935660506</v>
      </c>
      <c r="Y104" s="44" t="b">
        <f t="shared" ca="1" si="29"/>
        <v>0</v>
      </c>
      <c r="Z104" s="30">
        <v>40422</v>
      </c>
      <c r="AA104" s="71" t="s">
        <v>26</v>
      </c>
      <c r="AB104" s="62">
        <v>3</v>
      </c>
      <c r="AC104" s="44">
        <f>IF(AG104&gt;0,VLOOKUP(AG104,Calculs!$B$3:$C$13,2),"")</f>
        <v>2</v>
      </c>
      <c r="AD104" s="30">
        <v>40422</v>
      </c>
      <c r="AE104" s="79">
        <f t="shared" si="30"/>
        <v>1.3305954825462012</v>
      </c>
      <c r="AF104" s="44" t="str">
        <f t="shared" ca="1" si="31"/>
        <v>1 ans 4 mois 13 jours</v>
      </c>
      <c r="AG104" s="63">
        <v>1.33</v>
      </c>
      <c r="AH104" s="51">
        <v>52111</v>
      </c>
    </row>
    <row r="105" spans="1:34" x14ac:dyDescent="0.2">
      <c r="A105" s="109" t="s">
        <v>93</v>
      </c>
      <c r="B105" s="110"/>
      <c r="C105" s="110"/>
      <c r="D105" s="16"/>
      <c r="E105" s="2"/>
      <c r="F105" s="3"/>
      <c r="G105" s="3"/>
      <c r="H105" s="3"/>
      <c r="I105" s="4"/>
      <c r="J105" s="2"/>
      <c r="K105" s="4"/>
      <c r="L105" s="16" t="s">
        <v>21</v>
      </c>
      <c r="M105" s="16" t="s">
        <v>22</v>
      </c>
      <c r="N105" s="48">
        <v>24.5</v>
      </c>
      <c r="O105" s="62">
        <v>5</v>
      </c>
      <c r="P105" s="135" t="str">
        <f t="shared" ca="1" si="24"/>
        <v>26 ans 0 mois 13 jours</v>
      </c>
      <c r="Q105" s="29">
        <v>26</v>
      </c>
      <c r="R105" s="43">
        <f t="shared" ca="1" si="25"/>
        <v>26.034223134839152</v>
      </c>
      <c r="S105" s="44" t="b">
        <f t="shared" ca="1" si="26"/>
        <v>1</v>
      </c>
      <c r="T105" s="68">
        <v>31413</v>
      </c>
      <c r="U105" s="62">
        <v>110</v>
      </c>
      <c r="V105" s="44" t="str">
        <f t="shared" ca="1" si="27"/>
        <v>3 ans 0 mois 13 jours</v>
      </c>
      <c r="W105" s="29">
        <v>3</v>
      </c>
      <c r="X105" s="43">
        <f t="shared" ca="1" si="28"/>
        <v>3.0335386721423681</v>
      </c>
      <c r="Y105" s="44" t="b">
        <f t="shared" ca="1" si="29"/>
        <v>0</v>
      </c>
      <c r="Z105" s="30">
        <v>39814</v>
      </c>
      <c r="AA105" s="71">
        <v>39814</v>
      </c>
      <c r="AB105" s="62">
        <v>11</v>
      </c>
      <c r="AC105" s="44">
        <f>IF(AG105&gt;0,VLOOKUP(AG105,Calculs!$B$3:$C$13,2),"")</f>
        <v>11</v>
      </c>
      <c r="AD105" s="30">
        <v>29199</v>
      </c>
      <c r="AE105" s="79">
        <f t="shared" si="30"/>
        <v>32.057494866529773</v>
      </c>
      <c r="AF105" s="44" t="str">
        <f t="shared" ca="1" si="31"/>
        <v>32 ans 1 mois 4 jours</v>
      </c>
      <c r="AG105" s="63">
        <v>33.06</v>
      </c>
      <c r="AH105" s="51">
        <v>40679</v>
      </c>
    </row>
    <row r="106" spans="1:34" x14ac:dyDescent="0.2">
      <c r="A106" s="109" t="s">
        <v>136</v>
      </c>
      <c r="B106" s="110"/>
      <c r="C106" s="110"/>
      <c r="D106" s="16"/>
      <c r="E106" s="2"/>
      <c r="F106" s="3"/>
      <c r="G106" s="3"/>
      <c r="H106" s="3"/>
      <c r="I106" s="4"/>
      <c r="J106" s="2"/>
      <c r="K106" s="4"/>
      <c r="L106" s="16" t="s">
        <v>23</v>
      </c>
      <c r="M106" s="16" t="s">
        <v>24</v>
      </c>
      <c r="N106" s="48">
        <v>24</v>
      </c>
      <c r="O106" s="62">
        <v>8</v>
      </c>
      <c r="P106" s="135" t="str">
        <f t="shared" ca="1" si="24"/>
        <v>2 ans 6 mois 13 jours</v>
      </c>
      <c r="Q106" s="29">
        <v>2.5</v>
      </c>
      <c r="R106" s="43">
        <f t="shared" ca="1" si="25"/>
        <v>2.537987679671458</v>
      </c>
      <c r="S106" s="44" t="b">
        <f t="shared" ca="1" si="26"/>
        <v>0</v>
      </c>
      <c r="T106" s="68">
        <v>39995</v>
      </c>
      <c r="U106" s="62">
        <v>115</v>
      </c>
      <c r="V106" s="44" t="str">
        <f t="shared" ca="1" si="27"/>
        <v>2 ans 6 mois 13 jours</v>
      </c>
      <c r="W106" s="29">
        <v>2.5</v>
      </c>
      <c r="X106" s="43">
        <f t="shared" ca="1" si="28"/>
        <v>2.537987679671458</v>
      </c>
      <c r="Y106" s="44" t="b">
        <f t="shared" ca="1" si="29"/>
        <v>0</v>
      </c>
      <c r="Z106" s="30">
        <v>39995</v>
      </c>
      <c r="AA106" s="71" t="s">
        <v>26</v>
      </c>
      <c r="AB106" s="62">
        <v>3</v>
      </c>
      <c r="AC106" s="44">
        <f>IF(AG106&gt;0,VLOOKUP(AG106,Calculs!$B$3:$C$13,2),"")</f>
        <v>3</v>
      </c>
      <c r="AD106" s="30">
        <v>39995</v>
      </c>
      <c r="AE106" s="79">
        <f t="shared" si="30"/>
        <v>2.4996577686516086</v>
      </c>
      <c r="AF106" s="44" t="str">
        <f t="shared" ca="1" si="31"/>
        <v>2 ans 6 mois 13 jours</v>
      </c>
      <c r="AG106" s="63">
        <v>2.5</v>
      </c>
      <c r="AH106" s="51">
        <v>48853</v>
      </c>
    </row>
    <row r="107" spans="1:34" x14ac:dyDescent="0.2">
      <c r="A107" s="109" t="s">
        <v>137</v>
      </c>
      <c r="B107" s="110"/>
      <c r="C107" s="110"/>
      <c r="D107" s="16"/>
      <c r="E107" s="2"/>
      <c r="F107" s="3"/>
      <c r="G107" s="3"/>
      <c r="H107" s="3"/>
      <c r="I107" s="4"/>
      <c r="J107" s="2"/>
      <c r="K107" s="4"/>
      <c r="L107" s="16" t="s">
        <v>21</v>
      </c>
      <c r="M107" s="16" t="s">
        <v>22</v>
      </c>
      <c r="N107" s="48">
        <v>24</v>
      </c>
      <c r="O107" s="62">
        <v>6</v>
      </c>
      <c r="P107" s="135" t="str">
        <f t="shared" ca="1" si="24"/>
        <v>1 ans 0 mois 13 jours</v>
      </c>
      <c r="Q107" s="29">
        <v>1</v>
      </c>
      <c r="R107" s="43">
        <f t="shared" ca="1" si="25"/>
        <v>1.0349075975359343</v>
      </c>
      <c r="S107" s="44" t="b">
        <f t="shared" ca="1" si="26"/>
        <v>0</v>
      </c>
      <c r="T107" s="68">
        <v>40544</v>
      </c>
      <c r="U107" s="62">
        <v>110</v>
      </c>
      <c r="V107" s="44" t="str">
        <f t="shared" ca="1" si="27"/>
        <v>1 ans 0 mois 13 jours</v>
      </c>
      <c r="W107" s="29">
        <v>1</v>
      </c>
      <c r="X107" s="43">
        <f t="shared" ca="1" si="28"/>
        <v>1.0349075975359343</v>
      </c>
      <c r="Y107" s="44" t="b">
        <f t="shared" ca="1" si="29"/>
        <v>0</v>
      </c>
      <c r="Z107" s="30">
        <v>40544</v>
      </c>
      <c r="AA107" s="71">
        <v>39814</v>
      </c>
      <c r="AB107" s="62">
        <v>10</v>
      </c>
      <c r="AC107" s="44">
        <f>IF(AG107&gt;0,VLOOKUP(AG107,Calculs!$B$3:$C$13,2),"")</f>
        <v>11</v>
      </c>
      <c r="AD107" s="30">
        <v>30018</v>
      </c>
      <c r="AE107" s="79">
        <f t="shared" si="30"/>
        <v>29.815195071868583</v>
      </c>
      <c r="AF107" s="44" t="str">
        <f t="shared" ca="1" si="31"/>
        <v>29 ans 10 mois 6 jours</v>
      </c>
      <c r="AG107" s="63">
        <v>30.82</v>
      </c>
      <c r="AH107" s="51">
        <v>42735</v>
      </c>
    </row>
    <row r="108" spans="1:34" x14ac:dyDescent="0.2">
      <c r="A108" s="109" t="s">
        <v>138</v>
      </c>
      <c r="B108" s="110"/>
      <c r="C108" s="110"/>
      <c r="D108" s="16"/>
      <c r="E108" s="2"/>
      <c r="F108" s="3"/>
      <c r="G108" s="3"/>
      <c r="H108" s="3"/>
      <c r="I108" s="4"/>
      <c r="J108" s="2"/>
      <c r="K108" s="4"/>
      <c r="L108" s="16" t="s">
        <v>25</v>
      </c>
      <c r="M108" s="16" t="s">
        <v>22</v>
      </c>
      <c r="N108" s="48">
        <v>24.5</v>
      </c>
      <c r="O108" s="62">
        <v>3</v>
      </c>
      <c r="P108" s="135" t="str">
        <f t="shared" ca="1" si="24"/>
        <v>2 ans 0 mois 10 jours</v>
      </c>
      <c r="Q108" s="29">
        <v>2</v>
      </c>
      <c r="R108" s="43">
        <f t="shared" ca="1" si="25"/>
        <v>2.0260095824777551</v>
      </c>
      <c r="S108" s="44" t="b">
        <f t="shared" ca="1" si="26"/>
        <v>0</v>
      </c>
      <c r="T108" s="68">
        <v>40182</v>
      </c>
      <c r="U108" s="62">
        <v>55</v>
      </c>
      <c r="V108" s="44" t="str">
        <f t="shared" ca="1" si="27"/>
        <v>1 ans 0 mois 13 jours</v>
      </c>
      <c r="W108" s="29">
        <v>1</v>
      </c>
      <c r="X108" s="43">
        <f t="shared" ca="1" si="28"/>
        <v>1.0349075975359343</v>
      </c>
      <c r="Y108" s="44" t="b">
        <f t="shared" ca="1" si="29"/>
        <v>0</v>
      </c>
      <c r="Z108" s="30">
        <v>40544</v>
      </c>
      <c r="AA108" s="71">
        <v>40544</v>
      </c>
      <c r="AB108" s="62">
        <v>2</v>
      </c>
      <c r="AC108" s="44">
        <f>IF(AG108&gt;0,VLOOKUP(AG108,Calculs!$B$3:$C$13,2),"")</f>
        <v>2</v>
      </c>
      <c r="AD108" s="30">
        <v>40182</v>
      </c>
      <c r="AE108" s="79">
        <f t="shared" si="30"/>
        <v>1.9876796714579055</v>
      </c>
      <c r="AF108" s="44" t="str">
        <f t="shared" ca="1" si="31"/>
        <v>2 ans 0 mois 10 jours</v>
      </c>
      <c r="AG108" s="63">
        <v>1.99</v>
      </c>
      <c r="AH108" s="51">
        <v>52203</v>
      </c>
    </row>
    <row r="109" spans="1:34" x14ac:dyDescent="0.2">
      <c r="A109" s="109" t="s">
        <v>109</v>
      </c>
      <c r="B109" s="110"/>
      <c r="C109" s="110"/>
      <c r="D109" s="16"/>
      <c r="E109" s="2"/>
      <c r="F109" s="3"/>
      <c r="G109" s="3"/>
      <c r="H109" s="3"/>
      <c r="I109" s="4"/>
      <c r="J109" s="2"/>
      <c r="K109" s="4"/>
      <c r="L109" s="16" t="s">
        <v>23</v>
      </c>
      <c r="M109" s="16" t="s">
        <v>24</v>
      </c>
      <c r="N109" s="48">
        <v>24</v>
      </c>
      <c r="O109" s="62">
        <v>11</v>
      </c>
      <c r="P109" s="135" t="str">
        <f t="shared" ca="1" si="24"/>
        <v>1 ans 6 mois 13 jours</v>
      </c>
      <c r="Q109" s="29">
        <v>1.5</v>
      </c>
      <c r="R109" s="43">
        <f t="shared" ca="1" si="25"/>
        <v>1.538672142368241</v>
      </c>
      <c r="S109" s="44" t="b">
        <f t="shared" ca="1" si="26"/>
        <v>0</v>
      </c>
      <c r="T109" s="68">
        <v>40360</v>
      </c>
      <c r="U109" s="62">
        <v>170</v>
      </c>
      <c r="V109" s="44" t="str">
        <f t="shared" ca="1" si="27"/>
        <v>1 ans 6 mois 13 jours</v>
      </c>
      <c r="W109" s="29">
        <v>1.5</v>
      </c>
      <c r="X109" s="43">
        <f t="shared" ca="1" si="28"/>
        <v>1.538672142368241</v>
      </c>
      <c r="Y109" s="44" t="b">
        <f t="shared" ca="1" si="29"/>
        <v>0</v>
      </c>
      <c r="Z109" s="30">
        <v>40360</v>
      </c>
      <c r="AA109" s="71">
        <v>39448</v>
      </c>
      <c r="AB109" s="62">
        <v>11</v>
      </c>
      <c r="AC109" s="44">
        <f>IF(AG109&gt;0,VLOOKUP(AG109,Calculs!$B$3:$C$13,2),"")</f>
        <v>11</v>
      </c>
      <c r="AD109" s="30">
        <v>30055</v>
      </c>
      <c r="AE109" s="79">
        <f t="shared" si="30"/>
        <v>29.713894592744694</v>
      </c>
      <c r="AF109" s="44" t="str">
        <f t="shared" ca="1" si="31"/>
        <v>29 ans 9 mois 0 jours</v>
      </c>
      <c r="AG109" s="63">
        <v>31.22</v>
      </c>
      <c r="AH109" s="51">
        <v>42951</v>
      </c>
    </row>
    <row r="110" spans="1:34" x14ac:dyDescent="0.2">
      <c r="A110" s="109" t="s">
        <v>95</v>
      </c>
      <c r="B110" s="110"/>
      <c r="C110" s="110"/>
      <c r="D110" s="16"/>
      <c r="E110" s="2"/>
      <c r="F110" s="3"/>
      <c r="G110" s="3"/>
      <c r="H110" s="3"/>
      <c r="I110" s="4"/>
      <c r="J110" s="2"/>
      <c r="K110" s="4"/>
      <c r="L110" s="16" t="s">
        <v>27</v>
      </c>
      <c r="M110" s="16" t="s">
        <v>24</v>
      </c>
      <c r="N110" s="48">
        <v>24</v>
      </c>
      <c r="O110" s="62">
        <v>8</v>
      </c>
      <c r="P110" s="135" t="str">
        <f t="shared" ca="1" si="24"/>
        <v>0 ans 4 mois 13 jours</v>
      </c>
      <c r="Q110" s="29">
        <v>1.33</v>
      </c>
      <c r="R110" s="43">
        <f t="shared" ca="1" si="25"/>
        <v>0.36960985626283366</v>
      </c>
      <c r="S110" s="44" t="b">
        <f t="shared" ca="1" si="26"/>
        <v>0</v>
      </c>
      <c r="T110" s="68">
        <v>40787</v>
      </c>
      <c r="U110" s="62">
        <v>90</v>
      </c>
      <c r="V110" s="44" t="str">
        <f t="shared" ca="1" si="27"/>
        <v>1 ans 4 mois 13 jours</v>
      </c>
      <c r="W110" s="29">
        <v>1.33</v>
      </c>
      <c r="X110" s="43">
        <f t="shared" ca="1" si="28"/>
        <v>1.3689253935660506</v>
      </c>
      <c r="Y110" s="44" t="b">
        <f t="shared" ca="1" si="29"/>
        <v>0</v>
      </c>
      <c r="Z110" s="30">
        <v>40422</v>
      </c>
      <c r="AA110" s="71" t="s">
        <v>26</v>
      </c>
      <c r="AB110" s="62">
        <v>3</v>
      </c>
      <c r="AC110" s="44">
        <f>IF(AG110&gt;0,VLOOKUP(AG110,Calculs!$B$3:$C$13,2),"")</f>
        <v>2</v>
      </c>
      <c r="AD110" s="30">
        <v>40422</v>
      </c>
      <c r="AE110" s="79">
        <f t="shared" si="30"/>
        <v>1.3305954825462012</v>
      </c>
      <c r="AF110" s="44" t="str">
        <f t="shared" ca="1" si="31"/>
        <v>1 ans 4 mois 13 jours</v>
      </c>
      <c r="AG110" s="63">
        <v>1.33</v>
      </c>
      <c r="AH110" s="51">
        <v>54211</v>
      </c>
    </row>
    <row r="111" spans="1:34" x14ac:dyDescent="0.2">
      <c r="A111" s="109" t="s">
        <v>84</v>
      </c>
      <c r="B111" s="110"/>
      <c r="C111" s="110"/>
      <c r="D111" s="16"/>
      <c r="E111" s="2"/>
      <c r="F111" s="3"/>
      <c r="G111" s="3"/>
      <c r="H111" s="3"/>
      <c r="I111" s="4"/>
      <c r="J111" s="2"/>
      <c r="K111" s="4"/>
      <c r="L111" s="16" t="s">
        <v>25</v>
      </c>
      <c r="M111" s="16" t="s">
        <v>22</v>
      </c>
      <c r="N111" s="48">
        <v>24</v>
      </c>
      <c r="O111" s="62">
        <v>3</v>
      </c>
      <c r="P111" s="135" t="str">
        <f t="shared" ca="1" si="24"/>
        <v>0 ans 4 mois 13 jours</v>
      </c>
      <c r="Q111" s="29">
        <v>0.33</v>
      </c>
      <c r="R111" s="43">
        <f t="shared" ca="1" si="25"/>
        <v>0.36960985626283366</v>
      </c>
      <c r="S111" s="44" t="b">
        <f t="shared" ca="1" si="26"/>
        <v>0</v>
      </c>
      <c r="T111" s="68">
        <v>40787</v>
      </c>
      <c r="U111" s="62">
        <v>50</v>
      </c>
      <c r="V111" s="44" t="str">
        <f t="shared" ca="1" si="27"/>
        <v>0 ans 4 mois 13 jours</v>
      </c>
      <c r="W111" s="29">
        <v>0.33</v>
      </c>
      <c r="X111" s="43">
        <f t="shared" ca="1" si="28"/>
        <v>0.36960985626283366</v>
      </c>
      <c r="Y111" s="44" t="b">
        <f t="shared" ca="1" si="29"/>
        <v>0</v>
      </c>
      <c r="Z111" s="30">
        <v>40787</v>
      </c>
      <c r="AA111" s="71" t="s">
        <v>26</v>
      </c>
      <c r="AB111" s="62">
        <v>3</v>
      </c>
      <c r="AC111" s="44">
        <f>IF(AG111&gt;0,VLOOKUP(AG111,Calculs!$B$3:$C$13,2),"")</f>
        <v>2</v>
      </c>
      <c r="AD111" s="30">
        <v>40787</v>
      </c>
      <c r="AE111" s="79">
        <f t="shared" si="30"/>
        <v>0.33127994524298426</v>
      </c>
      <c r="AF111" s="44" t="str">
        <f t="shared" ca="1" si="31"/>
        <v>0 ans 4 mois 13 jours</v>
      </c>
      <c r="AG111" s="63">
        <v>0.34</v>
      </c>
      <c r="AH111" s="52" t="s">
        <v>26</v>
      </c>
    </row>
    <row r="112" spans="1:34" x14ac:dyDescent="0.2">
      <c r="A112" s="109" t="s">
        <v>88</v>
      </c>
      <c r="B112" s="110"/>
      <c r="C112" s="110"/>
      <c r="D112" s="16"/>
      <c r="E112" s="2"/>
      <c r="F112" s="3"/>
      <c r="G112" s="3"/>
      <c r="H112" s="3"/>
      <c r="I112" s="4"/>
      <c r="J112" s="2"/>
      <c r="K112" s="4"/>
      <c r="L112" s="16" t="s">
        <v>21</v>
      </c>
      <c r="M112" s="16" t="s">
        <v>22</v>
      </c>
      <c r="N112" s="48">
        <v>24.5</v>
      </c>
      <c r="O112" s="62">
        <v>5</v>
      </c>
      <c r="P112" s="135" t="str">
        <f t="shared" ca="1" si="24"/>
        <v>7 ans 6 mois 13 jours</v>
      </c>
      <c r="Q112" s="29">
        <v>7.5</v>
      </c>
      <c r="R112" s="43">
        <f t="shared" ca="1" si="25"/>
        <v>7.5373032169746752</v>
      </c>
      <c r="S112" s="44" t="b">
        <f t="shared" ca="1" si="26"/>
        <v>1</v>
      </c>
      <c r="T112" s="68">
        <v>38169</v>
      </c>
      <c r="U112" s="62">
        <v>90</v>
      </c>
      <c r="V112" s="44" t="str">
        <f t="shared" ca="1" si="27"/>
        <v>1 ans 0 mois 13 jours</v>
      </c>
      <c r="W112" s="29">
        <v>1</v>
      </c>
      <c r="X112" s="43">
        <f t="shared" ca="1" si="28"/>
        <v>1.0349075975359343</v>
      </c>
      <c r="Y112" s="44" t="b">
        <f t="shared" ca="1" si="29"/>
        <v>0</v>
      </c>
      <c r="Z112" s="30">
        <v>40544</v>
      </c>
      <c r="AA112" s="71">
        <v>40544</v>
      </c>
      <c r="AB112" s="62">
        <v>8</v>
      </c>
      <c r="AC112" s="44">
        <f>IF(AG112&gt;0,VLOOKUP(AG112,Calculs!$B$3:$C$13,2),"")</f>
        <v>8</v>
      </c>
      <c r="AD112" s="30">
        <v>33945</v>
      </c>
      <c r="AE112" s="79">
        <f t="shared" si="30"/>
        <v>19.06365503080082</v>
      </c>
      <c r="AF112" s="44" t="str">
        <f t="shared" ca="1" si="31"/>
        <v>19 ans 1 mois 7 jours</v>
      </c>
      <c r="AG112" s="63">
        <v>20.07</v>
      </c>
      <c r="AH112" s="51">
        <v>45757</v>
      </c>
    </row>
    <row r="113" spans="1:34" x14ac:dyDescent="0.2">
      <c r="A113" s="109" t="s">
        <v>89</v>
      </c>
      <c r="B113" s="110"/>
      <c r="C113" s="110"/>
      <c r="D113" s="16"/>
      <c r="E113" s="2"/>
      <c r="F113" s="3"/>
      <c r="G113" s="3"/>
      <c r="H113" s="3"/>
      <c r="I113" s="4"/>
      <c r="J113" s="2"/>
      <c r="K113" s="4"/>
      <c r="L113" s="16" t="s">
        <v>23</v>
      </c>
      <c r="M113" s="16" t="s">
        <v>24</v>
      </c>
      <c r="N113" s="48">
        <v>24.5</v>
      </c>
      <c r="O113" s="62">
        <v>9</v>
      </c>
      <c r="P113" s="135" t="str">
        <f t="shared" ca="1" si="24"/>
        <v>1 ans 6 mois 13 jours</v>
      </c>
      <c r="Q113" s="29">
        <v>1.5</v>
      </c>
      <c r="R113" s="43">
        <f t="shared" ca="1" si="25"/>
        <v>1.538672142368241</v>
      </c>
      <c r="S113" s="44" t="b">
        <f t="shared" ca="1" si="26"/>
        <v>0</v>
      </c>
      <c r="T113" s="68">
        <v>40360</v>
      </c>
      <c r="U113" s="62">
        <v>135</v>
      </c>
      <c r="V113" s="44" t="str">
        <f t="shared" ca="1" si="27"/>
        <v>1 ans 6 mois 13 jours</v>
      </c>
      <c r="W113" s="29">
        <v>1.5</v>
      </c>
      <c r="X113" s="43">
        <f t="shared" ca="1" si="28"/>
        <v>1.538672142368241</v>
      </c>
      <c r="Y113" s="44" t="b">
        <f t="shared" ca="1" si="29"/>
        <v>0</v>
      </c>
      <c r="Z113" s="30">
        <v>40360</v>
      </c>
      <c r="AA113" s="71">
        <v>39814</v>
      </c>
      <c r="AB113" s="62">
        <v>9</v>
      </c>
      <c r="AC113" s="44">
        <f>IF(AG113&gt;0,VLOOKUP(AG113,Calculs!$B$3:$C$13,2),"")</f>
        <v>9</v>
      </c>
      <c r="AD113" s="30">
        <v>32721</v>
      </c>
      <c r="AE113" s="79">
        <f t="shared" si="30"/>
        <v>22.414784394250514</v>
      </c>
      <c r="AF113" s="44" t="str">
        <f t="shared" ca="1" si="31"/>
        <v>22 ans 5 mois 13 jours</v>
      </c>
      <c r="AG113" s="63">
        <v>23.81</v>
      </c>
      <c r="AH113" s="51">
        <v>45831</v>
      </c>
    </row>
    <row r="114" spans="1:34" x14ac:dyDescent="0.2">
      <c r="A114" s="109" t="s">
        <v>98</v>
      </c>
      <c r="B114" s="110"/>
      <c r="C114" s="110"/>
      <c r="D114" s="16"/>
      <c r="E114" s="2"/>
      <c r="F114" s="3"/>
      <c r="G114" s="3"/>
      <c r="H114" s="3"/>
      <c r="I114" s="4"/>
      <c r="J114" s="2"/>
      <c r="K114" s="4"/>
      <c r="L114" s="16" t="s">
        <v>25</v>
      </c>
      <c r="M114" s="16" t="s">
        <v>22</v>
      </c>
      <c r="N114" s="48">
        <v>24</v>
      </c>
      <c r="O114" s="62">
        <v>3</v>
      </c>
      <c r="P114" s="135" t="str">
        <f t="shared" ca="1" si="24"/>
        <v>2 ans 0 mois 10 jours</v>
      </c>
      <c r="Q114" s="29">
        <v>2</v>
      </c>
      <c r="R114" s="43">
        <f t="shared" ca="1" si="25"/>
        <v>2.0260095824777551</v>
      </c>
      <c r="S114" s="44" t="b">
        <f t="shared" ca="1" si="26"/>
        <v>0</v>
      </c>
      <c r="T114" s="68">
        <v>40182</v>
      </c>
      <c r="U114" s="62">
        <v>50</v>
      </c>
      <c r="V114" s="44" t="str">
        <f t="shared" ca="1" si="27"/>
        <v>1 ans 0 mois 13 jours</v>
      </c>
      <c r="W114" s="29">
        <v>1</v>
      </c>
      <c r="X114" s="43">
        <f t="shared" ca="1" si="28"/>
        <v>1.0349075975359343</v>
      </c>
      <c r="Y114" s="44" t="b">
        <f t="shared" ca="1" si="29"/>
        <v>0</v>
      </c>
      <c r="Z114" s="30">
        <v>40544</v>
      </c>
      <c r="AA114" s="71">
        <v>40544</v>
      </c>
      <c r="AB114" s="62">
        <v>2</v>
      </c>
      <c r="AC114" s="44">
        <f>IF(AG114&gt;0,VLOOKUP(AG114,Calculs!$B$3:$C$13,2),"")</f>
        <v>2</v>
      </c>
      <c r="AD114" s="30">
        <v>40182</v>
      </c>
      <c r="AE114" s="79">
        <f t="shared" si="30"/>
        <v>1.9876796714579055</v>
      </c>
      <c r="AF114" s="44" t="str">
        <f t="shared" ca="1" si="31"/>
        <v>2 ans 0 mois 10 jours</v>
      </c>
      <c r="AG114" s="63">
        <v>1.99</v>
      </c>
      <c r="AH114" s="51">
        <v>50858</v>
      </c>
    </row>
    <row r="115" spans="1:34" x14ac:dyDescent="0.2">
      <c r="A115" s="109" t="s">
        <v>116</v>
      </c>
      <c r="B115" s="110"/>
      <c r="C115" s="110"/>
      <c r="D115" s="16"/>
      <c r="E115" s="2"/>
      <c r="F115" s="3"/>
      <c r="G115" s="3"/>
      <c r="H115" s="3"/>
      <c r="I115" s="4"/>
      <c r="J115" s="2"/>
      <c r="K115" s="4"/>
      <c r="L115" s="16" t="s">
        <v>25</v>
      </c>
      <c r="M115" s="16" t="s">
        <v>22</v>
      </c>
      <c r="N115" s="48">
        <v>24.5</v>
      </c>
      <c r="O115" s="62">
        <v>3</v>
      </c>
      <c r="P115" s="135" t="str">
        <f t="shared" ca="1" si="24"/>
        <v>2 ans 4 mois 13 jours</v>
      </c>
      <c r="Q115" s="29">
        <v>2.33</v>
      </c>
      <c r="R115" s="43">
        <f t="shared" ca="1" si="25"/>
        <v>2.3682409308692676</v>
      </c>
      <c r="S115" s="44" t="b">
        <f t="shared" ca="1" si="26"/>
        <v>0</v>
      </c>
      <c r="T115" s="68">
        <v>40057</v>
      </c>
      <c r="U115" s="62">
        <v>60</v>
      </c>
      <c r="V115" s="44" t="str">
        <f t="shared" ca="1" si="27"/>
        <v>1 ans 0 mois 13 jours</v>
      </c>
      <c r="W115" s="29">
        <v>1</v>
      </c>
      <c r="X115" s="43">
        <f t="shared" ca="1" si="28"/>
        <v>1.0349075975359343</v>
      </c>
      <c r="Y115" s="44" t="b">
        <f t="shared" ca="1" si="29"/>
        <v>0</v>
      </c>
      <c r="Z115" s="30">
        <v>40544</v>
      </c>
      <c r="AA115" s="71">
        <v>40544</v>
      </c>
      <c r="AB115" s="62">
        <v>3</v>
      </c>
      <c r="AC115" s="44">
        <f>IF(AG115&gt;0,VLOOKUP(AG115,Calculs!$B$3:$C$13,2),"")</f>
        <v>3</v>
      </c>
      <c r="AD115" s="30">
        <v>40057</v>
      </c>
      <c r="AE115" s="79">
        <f t="shared" si="30"/>
        <v>2.3299110198494182</v>
      </c>
      <c r="AF115" s="44" t="str">
        <f t="shared" ca="1" si="31"/>
        <v>2 ans 4 mois 13 jours</v>
      </c>
      <c r="AG115" s="63">
        <v>2.33</v>
      </c>
      <c r="AH115" s="51">
        <v>52433</v>
      </c>
    </row>
    <row r="116" spans="1:34" x14ac:dyDescent="0.2">
      <c r="A116" s="109" t="s">
        <v>118</v>
      </c>
      <c r="B116" s="110"/>
      <c r="C116" s="110"/>
      <c r="D116" s="16"/>
      <c r="E116" s="2"/>
      <c r="F116" s="3"/>
      <c r="G116" s="3"/>
      <c r="H116" s="3"/>
      <c r="I116" s="4"/>
      <c r="J116" s="2"/>
      <c r="K116" s="4"/>
      <c r="L116" s="16" t="s">
        <v>21</v>
      </c>
      <c r="M116" s="16" t="s">
        <v>22</v>
      </c>
      <c r="N116" s="48">
        <v>24.5</v>
      </c>
      <c r="O116" s="62">
        <v>6</v>
      </c>
      <c r="P116" s="135" t="str">
        <f t="shared" ca="1" si="24"/>
        <v>1 ans 6 mois 13 jours</v>
      </c>
      <c r="Q116" s="29">
        <v>1.5</v>
      </c>
      <c r="R116" s="43">
        <f t="shared" ca="1" si="25"/>
        <v>1.538672142368241</v>
      </c>
      <c r="S116" s="44" t="b">
        <f t="shared" ca="1" si="26"/>
        <v>0</v>
      </c>
      <c r="T116" s="68">
        <v>40360</v>
      </c>
      <c r="U116" s="62">
        <v>120</v>
      </c>
      <c r="V116" s="44" t="str">
        <f t="shared" ca="1" si="27"/>
        <v>1 ans 6 mois 13 jours</v>
      </c>
      <c r="W116" s="29">
        <v>1.5</v>
      </c>
      <c r="X116" s="43">
        <f t="shared" ca="1" si="28"/>
        <v>1.538672142368241</v>
      </c>
      <c r="Y116" s="44" t="b">
        <f t="shared" ca="1" si="29"/>
        <v>0</v>
      </c>
      <c r="Z116" s="30">
        <v>40360</v>
      </c>
      <c r="AA116" s="71">
        <v>39814</v>
      </c>
      <c r="AB116" s="62">
        <v>10</v>
      </c>
      <c r="AC116" s="44">
        <f>IF(AG116&gt;0,VLOOKUP(AG116,Calculs!$B$3:$C$13,2),"")</f>
        <v>10</v>
      </c>
      <c r="AD116" s="30">
        <v>30713</v>
      </c>
      <c r="AE116" s="79">
        <f t="shared" si="30"/>
        <v>27.912388774811774</v>
      </c>
      <c r="AF116" s="44" t="str">
        <f t="shared" ca="1" si="31"/>
        <v>27 ans 11 mois 13 jours</v>
      </c>
      <c r="AG116" s="63">
        <v>28.91</v>
      </c>
      <c r="AH116" s="51">
        <v>40067</v>
      </c>
    </row>
    <row r="117" spans="1:34" x14ac:dyDescent="0.2">
      <c r="A117" s="109" t="s">
        <v>102</v>
      </c>
      <c r="B117" s="110"/>
      <c r="C117" s="110"/>
      <c r="D117" s="16"/>
      <c r="E117" s="2"/>
      <c r="F117" s="3"/>
      <c r="G117" s="3"/>
      <c r="H117" s="3"/>
      <c r="I117" s="4"/>
      <c r="J117" s="5"/>
      <c r="K117" s="4"/>
      <c r="L117" s="16" t="s">
        <v>21</v>
      </c>
      <c r="M117" s="16" t="s">
        <v>22</v>
      </c>
      <c r="N117" s="48">
        <v>24</v>
      </c>
      <c r="O117" s="62">
        <v>5</v>
      </c>
      <c r="P117" s="135" t="str">
        <f t="shared" ca="1" si="24"/>
        <v>1 ans 9 mois 13 jours</v>
      </c>
      <c r="Q117" s="29">
        <v>1.75</v>
      </c>
      <c r="R117" s="43">
        <f t="shared" ca="1" si="25"/>
        <v>1.7878165639972621</v>
      </c>
      <c r="S117" s="44" t="b">
        <f t="shared" ca="1" si="26"/>
        <v>0</v>
      </c>
      <c r="T117" s="68">
        <v>40269</v>
      </c>
      <c r="U117" s="62">
        <v>75</v>
      </c>
      <c r="V117" s="44" t="str">
        <f t="shared" ca="1" si="27"/>
        <v>1 ans 9 mois 13 jours</v>
      </c>
      <c r="W117" s="29">
        <v>1.75</v>
      </c>
      <c r="X117" s="43">
        <f t="shared" ca="1" si="28"/>
        <v>1.7878165639972621</v>
      </c>
      <c r="Y117" s="44" t="b">
        <f t="shared" ca="1" si="29"/>
        <v>0</v>
      </c>
      <c r="Z117" s="30">
        <v>40269</v>
      </c>
      <c r="AA117" s="71">
        <v>37987</v>
      </c>
      <c r="AB117" s="62">
        <v>7</v>
      </c>
      <c r="AC117" s="44">
        <f>IF(AG117&gt;0,VLOOKUP(AG117,Calculs!$B$3:$C$13,2),"")</f>
        <v>7</v>
      </c>
      <c r="AD117" s="30">
        <v>35968</v>
      </c>
      <c r="AE117" s="79">
        <f t="shared" si="30"/>
        <v>13.52498288843258</v>
      </c>
      <c r="AF117" s="44" t="str">
        <f t="shared" ca="1" si="31"/>
        <v>13 ans 6 mois 23 jours</v>
      </c>
      <c r="AG117" s="63">
        <v>14.36</v>
      </c>
      <c r="AH117" s="51">
        <v>46262</v>
      </c>
    </row>
    <row r="118" spans="1:34" x14ac:dyDescent="0.2">
      <c r="A118" s="109" t="s">
        <v>139</v>
      </c>
      <c r="B118" s="110"/>
      <c r="C118" s="110"/>
      <c r="D118" s="16"/>
      <c r="E118" s="2"/>
      <c r="F118" s="3"/>
      <c r="G118" s="3"/>
      <c r="H118" s="3"/>
      <c r="I118" s="4"/>
      <c r="J118" s="2"/>
      <c r="K118" s="4"/>
      <c r="L118" s="16" t="s">
        <v>21</v>
      </c>
      <c r="M118" s="16" t="s">
        <v>22</v>
      </c>
      <c r="N118" s="48">
        <v>24</v>
      </c>
      <c r="O118" s="62">
        <v>6</v>
      </c>
      <c r="P118" s="135" t="str">
        <f t="shared" ca="1" si="24"/>
        <v>1 ans 0 mois 13 jours</v>
      </c>
      <c r="Q118" s="29">
        <v>1</v>
      </c>
      <c r="R118" s="43">
        <f t="shared" ca="1" si="25"/>
        <v>1.0349075975359343</v>
      </c>
      <c r="S118" s="44" t="b">
        <f t="shared" ca="1" si="26"/>
        <v>0</v>
      </c>
      <c r="T118" s="68">
        <v>40544</v>
      </c>
      <c r="U118" s="62">
        <v>120</v>
      </c>
      <c r="V118" s="44" t="str">
        <f t="shared" ca="1" si="27"/>
        <v>1 ans 0 mois 13 jours</v>
      </c>
      <c r="W118" s="29">
        <v>1</v>
      </c>
      <c r="X118" s="43">
        <f t="shared" ca="1" si="28"/>
        <v>1.0349075975359343</v>
      </c>
      <c r="Y118" s="44" t="b">
        <f t="shared" ca="1" si="29"/>
        <v>0</v>
      </c>
      <c r="Z118" s="30">
        <v>40544</v>
      </c>
      <c r="AA118" s="71">
        <v>39083</v>
      </c>
      <c r="AB118" s="62">
        <v>12</v>
      </c>
      <c r="AC118" s="44">
        <f>IF(AG118&gt;0,VLOOKUP(AG118,Calculs!$B$3:$C$13,2),"")</f>
        <v>12</v>
      </c>
      <c r="AD118" s="30">
        <v>28416</v>
      </c>
      <c r="AE118" s="79">
        <f t="shared" si="30"/>
        <v>34.201232032854207</v>
      </c>
      <c r="AF118" s="44" t="str">
        <f t="shared" ca="1" si="31"/>
        <v>34 ans 2 mois 27 jours</v>
      </c>
      <c r="AG118" s="63">
        <v>35.71</v>
      </c>
      <c r="AH118" s="51">
        <v>41747</v>
      </c>
    </row>
    <row r="119" spans="1:34" x14ac:dyDescent="0.2">
      <c r="A119" s="109" t="s">
        <v>74</v>
      </c>
      <c r="B119" s="110"/>
      <c r="C119" s="110"/>
      <c r="D119" s="16"/>
      <c r="E119" s="2"/>
      <c r="F119" s="3"/>
      <c r="G119" s="3"/>
      <c r="H119" s="3"/>
      <c r="I119" s="4"/>
      <c r="J119" s="2"/>
      <c r="K119" s="4"/>
      <c r="L119" s="16" t="s">
        <v>21</v>
      </c>
      <c r="M119" s="16" t="s">
        <v>22</v>
      </c>
      <c r="N119" s="48">
        <v>24</v>
      </c>
      <c r="O119" s="62">
        <v>6</v>
      </c>
      <c r="P119" s="135" t="str">
        <f t="shared" ca="1" si="24"/>
        <v>0 ans 3 mois 13 jours</v>
      </c>
      <c r="Q119" s="29">
        <v>0.25</v>
      </c>
      <c r="R119" s="43">
        <f t="shared" ca="1" si="25"/>
        <v>0.28747433264887062</v>
      </c>
      <c r="S119" s="44" t="b">
        <f t="shared" ca="1" si="26"/>
        <v>0</v>
      </c>
      <c r="T119" s="68">
        <v>40817</v>
      </c>
      <c r="U119" s="62">
        <v>120</v>
      </c>
      <c r="V119" s="44" t="str">
        <f t="shared" ca="1" si="27"/>
        <v>0 ans 3 mois 13 jours</v>
      </c>
      <c r="W119" s="29">
        <v>0.25</v>
      </c>
      <c r="X119" s="43">
        <f t="shared" ca="1" si="28"/>
        <v>0.28747433264887062</v>
      </c>
      <c r="Y119" s="44" t="b">
        <f t="shared" ca="1" si="29"/>
        <v>0</v>
      </c>
      <c r="Z119" s="30">
        <v>40817</v>
      </c>
      <c r="AA119" s="71">
        <v>40544</v>
      </c>
      <c r="AB119" s="62">
        <v>10</v>
      </c>
      <c r="AC119" s="44">
        <f>IF(AG119&gt;0,VLOOKUP(AG119,Calculs!$B$3:$C$13,2),"")</f>
        <v>10</v>
      </c>
      <c r="AD119" s="30">
        <v>30407</v>
      </c>
      <c r="AE119" s="79">
        <f t="shared" si="30"/>
        <v>28.750171115674195</v>
      </c>
      <c r="AF119" s="44" t="str">
        <f t="shared" ca="1" si="31"/>
        <v>28 ans 9 mois 13 jours</v>
      </c>
      <c r="AG119" s="63">
        <v>29.75</v>
      </c>
      <c r="AH119" s="51">
        <v>42432</v>
      </c>
    </row>
    <row r="120" spans="1:34" x14ac:dyDescent="0.2">
      <c r="A120" s="109" t="s">
        <v>109</v>
      </c>
      <c r="B120" s="110"/>
      <c r="C120" s="110"/>
      <c r="D120" s="16"/>
      <c r="E120" s="2"/>
      <c r="F120" s="3"/>
      <c r="G120" s="3"/>
      <c r="H120" s="3"/>
      <c r="I120" s="4"/>
      <c r="J120" s="5"/>
      <c r="K120" s="4"/>
      <c r="L120" s="16" t="s">
        <v>21</v>
      </c>
      <c r="M120" s="16" t="s">
        <v>22</v>
      </c>
      <c r="N120" s="48">
        <v>24</v>
      </c>
      <c r="O120" s="62">
        <v>6</v>
      </c>
      <c r="P120" s="135" t="str">
        <f t="shared" ca="1" si="24"/>
        <v>9 ans 10 mois 13 jours</v>
      </c>
      <c r="Q120" s="29">
        <v>9.83</v>
      </c>
      <c r="R120" s="43">
        <f t="shared" ca="1" si="25"/>
        <v>9.8726899383983575</v>
      </c>
      <c r="S120" s="44" t="b">
        <f t="shared" ca="1" si="26"/>
        <v>1</v>
      </c>
      <c r="T120" s="68">
        <v>37316</v>
      </c>
      <c r="U120" s="62">
        <v>125</v>
      </c>
      <c r="V120" s="44" t="str">
        <f t="shared" ca="1" si="27"/>
        <v>1 ans 0 mois 13 jours</v>
      </c>
      <c r="W120" s="29">
        <v>1</v>
      </c>
      <c r="X120" s="43">
        <f t="shared" ca="1" si="28"/>
        <v>1.0349075975359343</v>
      </c>
      <c r="Y120" s="44" t="b">
        <f t="shared" ca="1" si="29"/>
        <v>0</v>
      </c>
      <c r="Z120" s="30">
        <v>40544</v>
      </c>
      <c r="AA120" s="71">
        <v>40544</v>
      </c>
      <c r="AB120" s="62">
        <v>11</v>
      </c>
      <c r="AC120" s="44">
        <f>IF(AG120&gt;0,VLOOKUP(AG120,Calculs!$B$3:$C$13,2),"")</f>
        <v>11</v>
      </c>
      <c r="AD120" s="30">
        <v>29099</v>
      </c>
      <c r="AE120" s="79">
        <f t="shared" si="30"/>
        <v>32.331279945242983</v>
      </c>
      <c r="AF120" s="44" t="str">
        <f t="shared" ca="1" si="31"/>
        <v>32 ans 4 mois 13 jours</v>
      </c>
      <c r="AG120" s="63">
        <v>33.33</v>
      </c>
      <c r="AH120" s="51">
        <v>41617</v>
      </c>
    </row>
    <row r="121" spans="1:34" x14ac:dyDescent="0.2">
      <c r="A121" s="109" t="s">
        <v>100</v>
      </c>
      <c r="B121" s="110"/>
      <c r="C121" s="110"/>
      <c r="D121" s="16"/>
      <c r="E121" s="2"/>
      <c r="F121" s="3"/>
      <c r="G121" s="3"/>
      <c r="H121" s="3"/>
      <c r="I121" s="4"/>
      <c r="J121" s="2"/>
      <c r="K121" s="4"/>
      <c r="L121" s="16" t="s">
        <v>23</v>
      </c>
      <c r="M121" s="16" t="s">
        <v>24</v>
      </c>
      <c r="N121" s="48">
        <v>24</v>
      </c>
      <c r="O121" s="62">
        <v>11</v>
      </c>
      <c r="P121" s="135" t="str">
        <f t="shared" ca="1" si="24"/>
        <v>6 ans 0 mois 13 jours</v>
      </c>
      <c r="Q121" s="29">
        <v>5.58</v>
      </c>
      <c r="R121" s="43">
        <f t="shared" ca="1" si="25"/>
        <v>6.0342231348391513</v>
      </c>
      <c r="S121" s="44" t="b">
        <f t="shared" ca="1" si="26"/>
        <v>0</v>
      </c>
      <c r="T121" s="68">
        <v>38718</v>
      </c>
      <c r="U121" s="62">
        <v>180</v>
      </c>
      <c r="V121" s="44" t="str">
        <f t="shared" ca="1" si="27"/>
        <v>1 ans 0 mois 13 jours</v>
      </c>
      <c r="W121" s="29">
        <v>1</v>
      </c>
      <c r="X121" s="43">
        <f t="shared" ca="1" si="28"/>
        <v>1.0349075975359343</v>
      </c>
      <c r="Y121" s="44" t="b">
        <f t="shared" ca="1" si="29"/>
        <v>0</v>
      </c>
      <c r="Z121" s="30">
        <v>40544</v>
      </c>
      <c r="AA121" s="71">
        <v>40544</v>
      </c>
      <c r="AB121" s="62">
        <v>12</v>
      </c>
      <c r="AC121" s="44">
        <f>IF(AG121&gt;0,VLOOKUP(AG121,Calculs!$B$3:$C$13,2),"")</f>
        <v>12</v>
      </c>
      <c r="AD121" s="30">
        <v>28593</v>
      </c>
      <c r="AE121" s="79">
        <f t="shared" si="30"/>
        <v>33.716632443531829</v>
      </c>
      <c r="AF121" s="44" t="str">
        <f t="shared" ca="1" si="31"/>
        <v>33 ans 9 mois 1 jours</v>
      </c>
      <c r="AG121" s="63">
        <v>35.22</v>
      </c>
      <c r="AH121" s="51">
        <v>41685</v>
      </c>
    </row>
    <row r="122" spans="1:34" x14ac:dyDescent="0.2">
      <c r="A122" s="109" t="s">
        <v>87</v>
      </c>
      <c r="B122" s="110"/>
      <c r="C122" s="110"/>
      <c r="D122" s="16"/>
      <c r="E122" s="2"/>
      <c r="F122" s="3"/>
      <c r="G122" s="3"/>
      <c r="H122" s="3"/>
      <c r="I122" s="4"/>
      <c r="J122" s="5"/>
      <c r="K122" s="4"/>
      <c r="L122" s="16" t="s">
        <v>23</v>
      </c>
      <c r="M122" s="16" t="s">
        <v>24</v>
      </c>
      <c r="N122" s="48">
        <v>24</v>
      </c>
      <c r="O122" s="62">
        <v>9</v>
      </c>
      <c r="P122" s="135" t="str">
        <f t="shared" ca="1" si="24"/>
        <v>1 ans 9 mois 13 jours</v>
      </c>
      <c r="Q122" s="29">
        <v>1.75</v>
      </c>
      <c r="R122" s="43">
        <f t="shared" ca="1" si="25"/>
        <v>1.7878165639972621</v>
      </c>
      <c r="S122" s="44" t="b">
        <f t="shared" ca="1" si="26"/>
        <v>0</v>
      </c>
      <c r="T122" s="68">
        <v>40269</v>
      </c>
      <c r="U122" s="62">
        <v>155</v>
      </c>
      <c r="V122" s="44" t="str">
        <f t="shared" ca="1" si="27"/>
        <v>1 ans 9 mois 13 jours</v>
      </c>
      <c r="W122" s="29">
        <v>1.75</v>
      </c>
      <c r="X122" s="43">
        <f t="shared" ca="1" si="28"/>
        <v>1.7878165639972621</v>
      </c>
      <c r="Y122" s="44" t="b">
        <f t="shared" ca="1" si="29"/>
        <v>0</v>
      </c>
      <c r="Z122" s="30">
        <v>40269</v>
      </c>
      <c r="AA122" s="71">
        <v>39814</v>
      </c>
      <c r="AB122" s="62">
        <v>12</v>
      </c>
      <c r="AC122" s="44">
        <f>IF(AG122&gt;0,VLOOKUP(AG122,Calculs!$B$3:$C$13,2),"")</f>
        <v>12</v>
      </c>
      <c r="AD122" s="30">
        <v>28034</v>
      </c>
      <c r="AE122" s="79">
        <f t="shared" si="30"/>
        <v>35.247091033538673</v>
      </c>
      <c r="AF122" s="44" t="str">
        <f t="shared" ca="1" si="31"/>
        <v>35 ans 3 mois 13 jours</v>
      </c>
      <c r="AG122" s="63">
        <v>36.25</v>
      </c>
      <c r="AH122" s="51">
        <v>40374</v>
      </c>
    </row>
    <row r="123" spans="1:34" x14ac:dyDescent="0.2">
      <c r="A123" s="109" t="s">
        <v>74</v>
      </c>
      <c r="B123" s="110"/>
      <c r="C123" s="110"/>
      <c r="D123" s="16"/>
      <c r="E123" s="2"/>
      <c r="F123" s="3"/>
      <c r="G123" s="3"/>
      <c r="H123" s="3"/>
      <c r="I123" s="4"/>
      <c r="J123" s="2"/>
      <c r="K123" s="4"/>
      <c r="L123" s="16" t="s">
        <v>21</v>
      </c>
      <c r="M123" s="16" t="s">
        <v>22</v>
      </c>
      <c r="N123" s="48">
        <v>24.5</v>
      </c>
      <c r="O123" s="62">
        <v>5</v>
      </c>
      <c r="P123" s="135" t="str">
        <f t="shared" ca="1" si="24"/>
        <v>17 ans 9 mois 13 jours</v>
      </c>
      <c r="Q123" s="29">
        <v>17.75</v>
      </c>
      <c r="R123" s="43">
        <f t="shared" ca="1" si="25"/>
        <v>17.787816563997261</v>
      </c>
      <c r="S123" s="44" t="b">
        <f t="shared" ca="1" si="26"/>
        <v>1</v>
      </c>
      <c r="T123" s="68">
        <v>34425</v>
      </c>
      <c r="U123" s="62">
        <v>105</v>
      </c>
      <c r="V123" s="44" t="str">
        <f t="shared" ca="1" si="27"/>
        <v>1 ans 0 mois 13 jours</v>
      </c>
      <c r="W123" s="29">
        <v>1</v>
      </c>
      <c r="X123" s="43">
        <f t="shared" ca="1" si="28"/>
        <v>1.0349075975359343</v>
      </c>
      <c r="Y123" s="44" t="b">
        <f t="shared" ca="1" si="29"/>
        <v>0</v>
      </c>
      <c r="Z123" s="30">
        <v>40544</v>
      </c>
      <c r="AA123" s="71">
        <v>40544</v>
      </c>
      <c r="AB123" s="62">
        <v>10</v>
      </c>
      <c r="AC123" s="44">
        <f>IF(AG123&gt;0,VLOOKUP(AG123,Calculs!$B$3:$C$13,2),"")</f>
        <v>11</v>
      </c>
      <c r="AD123" s="30">
        <v>30207</v>
      </c>
      <c r="AE123" s="79">
        <f t="shared" si="30"/>
        <v>29.297741273100616</v>
      </c>
      <c r="AF123" s="44" t="str">
        <f t="shared" ca="1" si="31"/>
        <v>29 ans 4 mois 1 jours</v>
      </c>
      <c r="AG123" s="63">
        <v>30.3</v>
      </c>
      <c r="AH123" s="51">
        <v>40678</v>
      </c>
    </row>
    <row r="124" spans="1:34" x14ac:dyDescent="0.2">
      <c r="A124" s="109" t="s">
        <v>89</v>
      </c>
      <c r="B124" s="110"/>
      <c r="C124" s="110"/>
      <c r="D124" s="16"/>
      <c r="E124" s="2"/>
      <c r="F124" s="3"/>
      <c r="G124" s="3"/>
      <c r="H124" s="3"/>
      <c r="I124" s="4"/>
      <c r="J124" s="2"/>
      <c r="K124" s="4"/>
      <c r="L124" s="16" t="s">
        <v>21</v>
      </c>
      <c r="M124" s="16" t="s">
        <v>22</v>
      </c>
      <c r="N124" s="48">
        <v>24</v>
      </c>
      <c r="O124" s="62">
        <v>6</v>
      </c>
      <c r="P124" s="135" t="str">
        <f t="shared" ca="1" si="24"/>
        <v>8 ans 6 mois 13 jours</v>
      </c>
      <c r="Q124" s="29">
        <v>8.5</v>
      </c>
      <c r="R124" s="43">
        <f t="shared" ca="1" si="25"/>
        <v>8.5393566050650236</v>
      </c>
      <c r="S124" s="44" t="b">
        <f t="shared" ca="1" si="26"/>
        <v>1</v>
      </c>
      <c r="T124" s="68">
        <v>37803</v>
      </c>
      <c r="U124" s="62">
        <v>90</v>
      </c>
      <c r="V124" s="44" t="str">
        <f t="shared" ca="1" si="27"/>
        <v>4 ans 0 mois 13 jours</v>
      </c>
      <c r="W124" s="29">
        <v>4</v>
      </c>
      <c r="X124" s="43">
        <f t="shared" ca="1" si="28"/>
        <v>4.0355920602327169</v>
      </c>
      <c r="Y124" s="44" t="b">
        <f t="shared" ca="1" si="29"/>
        <v>1</v>
      </c>
      <c r="Z124" s="30">
        <v>39448</v>
      </c>
      <c r="AA124" s="71">
        <v>39448</v>
      </c>
      <c r="AB124" s="62">
        <v>10</v>
      </c>
      <c r="AC124" s="44">
        <f>IF(AG124&gt;0,VLOOKUP(AG124,Calculs!$B$3:$C$13,2),"")</f>
        <v>10</v>
      </c>
      <c r="AD124" s="30">
        <v>32062</v>
      </c>
      <c r="AE124" s="79">
        <f t="shared" si="30"/>
        <v>24.219028062970569</v>
      </c>
      <c r="AF124" s="44" t="str">
        <f t="shared" ca="1" si="31"/>
        <v>24 ans 3 mois 2 jours</v>
      </c>
      <c r="AG124" s="63">
        <v>25.65</v>
      </c>
      <c r="AH124" s="51">
        <v>44985</v>
      </c>
    </row>
    <row r="125" spans="1:34" x14ac:dyDescent="0.2">
      <c r="A125" s="109" t="s">
        <v>140</v>
      </c>
      <c r="B125" s="110"/>
      <c r="C125" s="110"/>
      <c r="D125" s="16"/>
      <c r="E125" s="2"/>
      <c r="F125" s="3"/>
      <c r="G125" s="3"/>
      <c r="H125" s="3"/>
      <c r="I125" s="4"/>
      <c r="J125" s="2"/>
      <c r="K125" s="4"/>
      <c r="L125" s="16" t="s">
        <v>21</v>
      </c>
      <c r="M125" s="16" t="s">
        <v>22</v>
      </c>
      <c r="N125" s="48">
        <v>24</v>
      </c>
      <c r="O125" s="62">
        <v>5</v>
      </c>
      <c r="P125" s="135" t="str">
        <f t="shared" ca="1" si="24"/>
        <v>5 ans 0 mois 13 jours</v>
      </c>
      <c r="Q125" s="29">
        <v>4.5</v>
      </c>
      <c r="R125" s="43">
        <f t="shared" ca="1" si="25"/>
        <v>5.0349075975359341</v>
      </c>
      <c r="S125" s="44" t="b">
        <f t="shared" ca="1" si="26"/>
        <v>0</v>
      </c>
      <c r="T125" s="68">
        <v>39083</v>
      </c>
      <c r="U125" s="62">
        <v>80</v>
      </c>
      <c r="V125" s="44" t="str">
        <f t="shared" ca="1" si="27"/>
        <v>1 ans 0 mois 13 jours</v>
      </c>
      <c r="W125" s="29">
        <v>1</v>
      </c>
      <c r="X125" s="43">
        <f t="shared" ca="1" si="28"/>
        <v>1.0349075975359343</v>
      </c>
      <c r="Y125" s="44" t="b">
        <f t="shared" ca="1" si="29"/>
        <v>0</v>
      </c>
      <c r="Z125" s="30">
        <v>40544</v>
      </c>
      <c r="AA125" s="71">
        <v>40544</v>
      </c>
      <c r="AB125" s="62">
        <v>8</v>
      </c>
      <c r="AC125" s="44">
        <f>IF(AG125&gt;0,VLOOKUP(AG125,Calculs!$B$3:$C$13,2),"")</f>
        <v>8</v>
      </c>
      <c r="AD125" s="30">
        <v>33848</v>
      </c>
      <c r="AE125" s="79">
        <f t="shared" si="30"/>
        <v>19.329226557152634</v>
      </c>
      <c r="AF125" s="44" t="str">
        <f t="shared" ca="1" si="31"/>
        <v>19 ans 4 mois 13 jours</v>
      </c>
      <c r="AG125" s="63">
        <v>20.329999999999998</v>
      </c>
      <c r="AH125" s="51">
        <v>44110</v>
      </c>
    </row>
    <row r="126" spans="1:34" x14ac:dyDescent="0.2">
      <c r="A126" s="109" t="s">
        <v>141</v>
      </c>
      <c r="B126" s="110"/>
      <c r="C126" s="110"/>
      <c r="D126" s="16"/>
      <c r="E126" s="2"/>
      <c r="F126" s="3"/>
      <c r="G126" s="3"/>
      <c r="H126" s="3"/>
      <c r="I126" s="4"/>
      <c r="J126" s="2"/>
      <c r="K126" s="4"/>
      <c r="L126" s="16" t="s">
        <v>23</v>
      </c>
      <c r="M126" s="16" t="s">
        <v>24</v>
      </c>
      <c r="N126" s="48">
        <v>24</v>
      </c>
      <c r="O126" s="62">
        <v>9</v>
      </c>
      <c r="P126" s="135" t="str">
        <f t="shared" ca="1" si="24"/>
        <v>8 ans 0 mois 13 jours</v>
      </c>
      <c r="Q126" s="29">
        <v>8</v>
      </c>
      <c r="R126" s="43">
        <f t="shared" ca="1" si="25"/>
        <v>8.0355920602327178</v>
      </c>
      <c r="S126" s="44" t="b">
        <f t="shared" ca="1" si="26"/>
        <v>1</v>
      </c>
      <c r="T126" s="68">
        <v>37987</v>
      </c>
      <c r="U126" s="62">
        <v>130</v>
      </c>
      <c r="V126" s="44" t="str">
        <f t="shared" ca="1" si="27"/>
        <v>3 ans 0 mois 13 jours</v>
      </c>
      <c r="W126" s="29">
        <v>3</v>
      </c>
      <c r="X126" s="43">
        <f t="shared" ca="1" si="28"/>
        <v>3.0335386721423681</v>
      </c>
      <c r="Y126" s="44" t="b">
        <f t="shared" ca="1" si="29"/>
        <v>0</v>
      </c>
      <c r="Z126" s="30">
        <v>39814</v>
      </c>
      <c r="AA126" s="71">
        <v>39814</v>
      </c>
      <c r="AB126" s="62">
        <v>6</v>
      </c>
      <c r="AC126" s="44">
        <f>IF(AG126&gt;0,VLOOKUP(AG126,Calculs!$B$3:$C$13,2),"")</f>
        <v>6</v>
      </c>
      <c r="AD126" s="30">
        <v>36495</v>
      </c>
      <c r="AE126" s="79">
        <f t="shared" si="30"/>
        <v>12.082135523613964</v>
      </c>
      <c r="AF126" s="44" t="str">
        <f t="shared" ca="1" si="31"/>
        <v>12 ans 1 mois 13 jours</v>
      </c>
      <c r="AG126" s="63">
        <v>12.92</v>
      </c>
      <c r="AH126" s="51">
        <v>46544</v>
      </c>
    </row>
    <row r="127" spans="1:34" x14ac:dyDescent="0.2">
      <c r="A127" s="109" t="s">
        <v>104</v>
      </c>
      <c r="B127" s="110"/>
      <c r="C127" s="110"/>
      <c r="D127" s="16"/>
      <c r="E127" s="2"/>
      <c r="F127" s="3"/>
      <c r="G127" s="3"/>
      <c r="H127" s="3"/>
      <c r="I127" s="4"/>
      <c r="J127" s="2"/>
      <c r="K127" s="4"/>
      <c r="L127" s="16" t="s">
        <v>21</v>
      </c>
      <c r="M127" s="16" t="s">
        <v>22</v>
      </c>
      <c r="N127" s="48">
        <v>24</v>
      </c>
      <c r="O127" s="62">
        <v>6</v>
      </c>
      <c r="P127" s="135" t="str">
        <f t="shared" ca="1" si="24"/>
        <v>23 ans 0 mois 13 jours</v>
      </c>
      <c r="Q127" s="29">
        <v>23</v>
      </c>
      <c r="R127" s="43">
        <f t="shared" ca="1" si="25"/>
        <v>23.033538672142367</v>
      </c>
      <c r="S127" s="44" t="b">
        <f t="shared" ca="1" si="26"/>
        <v>1</v>
      </c>
      <c r="T127" s="68">
        <v>32509</v>
      </c>
      <c r="U127" s="62">
        <v>110</v>
      </c>
      <c r="V127" s="44" t="str">
        <f t="shared" ca="1" si="27"/>
        <v>1 ans 0 mois 13 jours</v>
      </c>
      <c r="W127" s="29">
        <v>1</v>
      </c>
      <c r="X127" s="43">
        <f t="shared" ca="1" si="28"/>
        <v>1.0349075975359343</v>
      </c>
      <c r="Y127" s="44" t="b">
        <f t="shared" ca="1" si="29"/>
        <v>0</v>
      </c>
      <c r="Z127" s="30">
        <v>40544</v>
      </c>
      <c r="AA127" s="71">
        <v>40544</v>
      </c>
      <c r="AB127" s="62">
        <v>11</v>
      </c>
      <c r="AC127" s="44">
        <f>IF(AG127&gt;0,VLOOKUP(AG127,Calculs!$B$3:$C$13,2),"")</f>
        <v>11</v>
      </c>
      <c r="AD127" s="30">
        <v>29458</v>
      </c>
      <c r="AE127" s="79">
        <f t="shared" si="30"/>
        <v>31.348391512662559</v>
      </c>
      <c r="AF127" s="44" t="str">
        <f t="shared" ca="1" si="31"/>
        <v>31 ans 4 mois 20 jours</v>
      </c>
      <c r="AG127" s="63">
        <v>32.35</v>
      </c>
      <c r="AH127" s="51">
        <v>41945</v>
      </c>
    </row>
    <row r="128" spans="1:34" x14ac:dyDescent="0.2">
      <c r="A128" s="109" t="s">
        <v>117</v>
      </c>
      <c r="B128" s="110"/>
      <c r="C128" s="110"/>
      <c r="D128" s="16"/>
      <c r="E128" s="2"/>
      <c r="F128" s="3"/>
      <c r="G128" s="3"/>
      <c r="H128" s="3"/>
      <c r="I128" s="4"/>
      <c r="J128" s="5"/>
      <c r="K128" s="4"/>
      <c r="L128" s="16" t="s">
        <v>21</v>
      </c>
      <c r="M128" s="16" t="s">
        <v>22</v>
      </c>
      <c r="N128" s="48">
        <v>24.5</v>
      </c>
      <c r="O128" s="62">
        <v>6</v>
      </c>
      <c r="P128" s="135" t="str">
        <f t="shared" ca="1" si="24"/>
        <v>4 ans 0 mois 13 jours</v>
      </c>
      <c r="Q128" s="29">
        <v>3.33</v>
      </c>
      <c r="R128" s="43">
        <f t="shared" ca="1" si="25"/>
        <v>4.0355920602327169</v>
      </c>
      <c r="S128" s="44" t="b">
        <f t="shared" ca="1" si="26"/>
        <v>0</v>
      </c>
      <c r="T128" s="68">
        <v>39448</v>
      </c>
      <c r="U128" s="62">
        <v>120</v>
      </c>
      <c r="V128" s="44" t="str">
        <f t="shared" ca="1" si="27"/>
        <v>3 ans 4 mois 13 jours</v>
      </c>
      <c r="W128" s="29">
        <v>3.33</v>
      </c>
      <c r="X128" s="43">
        <f t="shared" ca="1" si="28"/>
        <v>3.3675564681724848</v>
      </c>
      <c r="Y128" s="44" t="b">
        <f t="shared" ca="1" si="29"/>
        <v>0</v>
      </c>
      <c r="Z128" s="30">
        <v>39692</v>
      </c>
      <c r="AA128" s="71">
        <v>39083</v>
      </c>
      <c r="AB128" s="62">
        <v>11</v>
      </c>
      <c r="AC128" s="44">
        <f>IF(AG128&gt;0,VLOOKUP(AG128,Calculs!$B$3:$C$13,2),"")</f>
        <v>11</v>
      </c>
      <c r="AD128" s="30">
        <v>29830</v>
      </c>
      <c r="AE128" s="79">
        <f t="shared" si="30"/>
        <v>30.329911019849419</v>
      </c>
      <c r="AF128" s="44" t="str">
        <f t="shared" ca="1" si="31"/>
        <v>30 ans 4 mois 13 jours</v>
      </c>
      <c r="AG128" s="63">
        <v>31.33</v>
      </c>
      <c r="AH128" s="51">
        <v>40657</v>
      </c>
    </row>
    <row r="129" spans="1:34" x14ac:dyDescent="0.2">
      <c r="A129" s="109" t="s">
        <v>127</v>
      </c>
      <c r="B129" s="110"/>
      <c r="C129" s="110"/>
      <c r="D129" s="16"/>
      <c r="E129" s="2"/>
      <c r="F129" s="3"/>
      <c r="G129" s="3"/>
      <c r="H129" s="3"/>
      <c r="I129" s="4"/>
      <c r="J129" s="2"/>
      <c r="K129" s="4"/>
      <c r="L129" s="16" t="s">
        <v>23</v>
      </c>
      <c r="M129" s="16" t="s">
        <v>24</v>
      </c>
      <c r="N129" s="48">
        <v>24</v>
      </c>
      <c r="O129" s="62">
        <v>9</v>
      </c>
      <c r="P129" s="135" t="str">
        <f t="shared" ca="1" si="24"/>
        <v>5 ans 0 mois 13 jours</v>
      </c>
      <c r="Q129" s="29">
        <v>4.25</v>
      </c>
      <c r="R129" s="43">
        <f t="shared" ca="1" si="25"/>
        <v>5.0349075975359341</v>
      </c>
      <c r="S129" s="44" t="b">
        <f t="shared" ca="1" si="26"/>
        <v>0</v>
      </c>
      <c r="T129" s="68">
        <v>39083</v>
      </c>
      <c r="U129" s="62">
        <v>125</v>
      </c>
      <c r="V129" s="44" t="str">
        <f t="shared" ca="1" si="27"/>
        <v>1 ans 0 mois 13 jours</v>
      </c>
      <c r="W129" s="29">
        <v>1</v>
      </c>
      <c r="X129" s="43">
        <f t="shared" ca="1" si="28"/>
        <v>1.0349075975359343</v>
      </c>
      <c r="Y129" s="44" t="b">
        <f t="shared" ca="1" si="29"/>
        <v>0</v>
      </c>
      <c r="Z129" s="30">
        <v>40544</v>
      </c>
      <c r="AA129" s="71">
        <v>40544</v>
      </c>
      <c r="AB129" s="62">
        <v>5</v>
      </c>
      <c r="AC129" s="44">
        <f>IF(AG129&gt;0,VLOOKUP(AG129,Calculs!$B$3:$C$13,2),"")</f>
        <v>5</v>
      </c>
      <c r="AD129" s="30">
        <v>38336</v>
      </c>
      <c r="AE129" s="79">
        <f t="shared" si="30"/>
        <v>7.0417522245037647</v>
      </c>
      <c r="AF129" s="44" t="str">
        <f t="shared" ca="1" si="31"/>
        <v>7 ans 0 mois 30 jours</v>
      </c>
      <c r="AG129" s="63">
        <v>7.04</v>
      </c>
      <c r="AH129" s="51">
        <v>48398</v>
      </c>
    </row>
    <row r="130" spans="1:34" x14ac:dyDescent="0.2">
      <c r="A130" s="109" t="s">
        <v>142</v>
      </c>
      <c r="B130" s="110"/>
      <c r="C130" s="110"/>
      <c r="D130" s="16"/>
      <c r="E130" s="2"/>
      <c r="F130" s="3"/>
      <c r="G130" s="3"/>
      <c r="H130" s="3"/>
      <c r="I130" s="4"/>
      <c r="J130" s="2"/>
      <c r="K130" s="4"/>
      <c r="L130" s="16" t="s">
        <v>29</v>
      </c>
      <c r="M130" s="16" t="s">
        <v>28</v>
      </c>
      <c r="N130" s="48"/>
      <c r="O130" s="62">
        <v>14</v>
      </c>
      <c r="P130" s="135" t="str">
        <f t="shared" ref="P130:P161" ca="1" si="32">IF(T130&gt;0,DATEDIF(T130,TODAY(),"y")&amp;" ans "&amp;DATEDIF(T130,TODAY(),"ym")&amp;" mois "&amp;DATEDIF(T130,TODAY(),"md")&amp;" jours","")</f>
        <v>5 ans 0 mois 13 jours</v>
      </c>
      <c r="Q130" s="29"/>
      <c r="R130" s="43">
        <f t="shared" ref="R130:R161" ca="1" si="33">IF(T130&gt;0,(TODAY()-T130)/365.25,"")</f>
        <v>5.0349075975359341</v>
      </c>
      <c r="S130" s="44" t="b">
        <f t="shared" ref="S130:S161" ca="1" si="34">IF(T130&gt;0,DATEDIF(T130,TODAY(),"m")&gt;=84,"")</f>
        <v>0</v>
      </c>
      <c r="T130" s="68">
        <v>39083</v>
      </c>
      <c r="U130" s="62">
        <v>225</v>
      </c>
      <c r="V130" s="44" t="str">
        <f t="shared" ref="V130:V161" ca="1" si="35">IF(Z130&gt;0,DATEDIF(Z130,TODAY(),"y")&amp;" ans "&amp;DATEDIF(Z130,TODAY(),"ym")&amp;" mois "&amp;DATEDIF(Z130,TODAY(),"md")&amp;" jours","")</f>
        <v>3 ans 0 mois 13 jours</v>
      </c>
      <c r="W130" s="29"/>
      <c r="X130" s="43">
        <f t="shared" ref="X130:X161" ca="1" si="36">IF(Z130&gt;0,(TODAY()-Z130)/365.25,"")</f>
        <v>3.0335386721423681</v>
      </c>
      <c r="Y130" s="44" t="b">
        <f t="shared" ref="Y130:Y161" ca="1" si="37">IF(Z130&gt;0,DATEDIF(Z130,TODAY(),"m")&gt;=48,"")</f>
        <v>0</v>
      </c>
      <c r="Z130" s="30">
        <v>39814</v>
      </c>
      <c r="AA130" s="71"/>
      <c r="AB130" s="62"/>
      <c r="AC130" s="44" t="str">
        <f>IF(AG130&gt;0,VLOOKUP(AG130,Calculs!$B$3:$C$13,2),"")</f>
        <v/>
      </c>
      <c r="AD130" s="30">
        <v>29099</v>
      </c>
      <c r="AE130" s="79">
        <f t="shared" ref="AE130:AE161" si="38">IF(AD130&gt;0,(DATE(2011,12,31)-AD130)/365.25,"")</f>
        <v>32.331279945242983</v>
      </c>
      <c r="AF130" s="44" t="str">
        <f t="shared" ref="AF130:AF161" ca="1" si="39">IF(AD130&gt;0,DATEDIF(AD130,TODAY(),"y")&amp;" ans "&amp;DATEDIF(AD130,TODAY(),"ym")&amp;" mois "&amp;DATEDIF(AD130,TODAY(),"md")&amp;" jours","")</f>
        <v>32 ans 4 mois 13 jours</v>
      </c>
      <c r="AG130" s="63"/>
      <c r="AH130" s="51"/>
    </row>
    <row r="131" spans="1:34" x14ac:dyDescent="0.2">
      <c r="A131" s="109" t="s">
        <v>143</v>
      </c>
      <c r="B131" s="110"/>
      <c r="C131" s="110"/>
      <c r="D131" s="16"/>
      <c r="E131" s="2"/>
      <c r="F131" s="3"/>
      <c r="G131" s="3"/>
      <c r="H131" s="3"/>
      <c r="I131" s="4"/>
      <c r="J131" s="5"/>
      <c r="K131" s="4"/>
      <c r="L131" s="16" t="s">
        <v>23</v>
      </c>
      <c r="M131" s="16" t="s">
        <v>24</v>
      </c>
      <c r="N131" s="48">
        <v>24.5</v>
      </c>
      <c r="O131" s="62">
        <v>10</v>
      </c>
      <c r="P131" s="135" t="str">
        <f t="shared" ca="1" si="32"/>
        <v>0 ans 0 mois 30 jours</v>
      </c>
      <c r="Q131" s="29">
        <v>2.17</v>
      </c>
      <c r="R131" s="43">
        <f t="shared" ca="1" si="33"/>
        <v>8.2135523613963035E-2</v>
      </c>
      <c r="S131" s="44" t="b">
        <f t="shared" ca="1" si="34"/>
        <v>0</v>
      </c>
      <c r="T131" s="68">
        <v>40892</v>
      </c>
      <c r="U131" s="62">
        <v>150</v>
      </c>
      <c r="V131" s="44" t="str">
        <f t="shared" ca="1" si="35"/>
        <v>2 ans 2 mois 13 jours</v>
      </c>
      <c r="W131" s="29">
        <v>2.17</v>
      </c>
      <c r="X131" s="43">
        <f t="shared" ca="1" si="36"/>
        <v>2.2012320328542097</v>
      </c>
      <c r="Y131" s="44" t="b">
        <f t="shared" ca="1" si="37"/>
        <v>0</v>
      </c>
      <c r="Z131" s="30">
        <v>40118</v>
      </c>
      <c r="AA131" s="71">
        <v>39448</v>
      </c>
      <c r="AB131" s="62">
        <v>11</v>
      </c>
      <c r="AC131" s="44">
        <f>IF(AG131&gt;0,VLOOKUP(AG131,Calculs!$B$3:$C$13,2),"")</f>
        <v>11</v>
      </c>
      <c r="AD131" s="30">
        <v>29570</v>
      </c>
      <c r="AE131" s="79">
        <f t="shared" si="38"/>
        <v>31.041752224503764</v>
      </c>
      <c r="AF131" s="44" t="str">
        <f t="shared" ca="1" si="39"/>
        <v>31 ans 0 mois 30 jours</v>
      </c>
      <c r="AG131" s="63">
        <v>32.049999999999997</v>
      </c>
      <c r="AH131" s="51">
        <v>42342</v>
      </c>
    </row>
    <row r="132" spans="1:34" x14ac:dyDescent="0.2">
      <c r="A132" s="109" t="s">
        <v>80</v>
      </c>
      <c r="B132" s="110"/>
      <c r="C132" s="110"/>
      <c r="D132" s="16"/>
      <c r="E132" s="2"/>
      <c r="F132" s="3"/>
      <c r="G132" s="3"/>
      <c r="H132" s="3"/>
      <c r="I132" s="4"/>
      <c r="J132" s="5"/>
      <c r="K132" s="4"/>
      <c r="L132" s="16" t="s">
        <v>21</v>
      </c>
      <c r="M132" s="16" t="s">
        <v>22</v>
      </c>
      <c r="N132" s="48">
        <v>24.5</v>
      </c>
      <c r="O132" s="62">
        <v>6</v>
      </c>
      <c r="P132" s="135" t="str">
        <f t="shared" ca="1" si="32"/>
        <v>3 ans 0 mois 13 jours</v>
      </c>
      <c r="Q132" s="29">
        <v>3</v>
      </c>
      <c r="R132" s="43">
        <f t="shared" ca="1" si="33"/>
        <v>3.0335386721423681</v>
      </c>
      <c r="S132" s="44" t="b">
        <f t="shared" ca="1" si="34"/>
        <v>0</v>
      </c>
      <c r="T132" s="68">
        <v>39814</v>
      </c>
      <c r="U132" s="62">
        <v>115</v>
      </c>
      <c r="V132" s="44" t="str">
        <f t="shared" ca="1" si="35"/>
        <v>1 ans 0 mois 13 jours</v>
      </c>
      <c r="W132" s="29">
        <v>1</v>
      </c>
      <c r="X132" s="43">
        <f t="shared" ca="1" si="36"/>
        <v>1.0349075975359343</v>
      </c>
      <c r="Y132" s="44" t="b">
        <f t="shared" ca="1" si="37"/>
        <v>0</v>
      </c>
      <c r="Z132" s="30">
        <v>40544</v>
      </c>
      <c r="AA132" s="71">
        <v>40544</v>
      </c>
      <c r="AB132" s="62">
        <v>10</v>
      </c>
      <c r="AC132" s="44">
        <f>IF(AG132&gt;0,VLOOKUP(AG132,Calculs!$B$3:$C$13,2),"")</f>
        <v>11</v>
      </c>
      <c r="AD132" s="30">
        <v>30130</v>
      </c>
      <c r="AE132" s="79">
        <f t="shared" si="38"/>
        <v>29.508555783709788</v>
      </c>
      <c r="AF132" s="44" t="str">
        <f t="shared" ca="1" si="39"/>
        <v>29 ans 6 mois 17 jours</v>
      </c>
      <c r="AG132" s="63">
        <v>30.51</v>
      </c>
      <c r="AH132" s="51">
        <v>42255</v>
      </c>
    </row>
    <row r="133" spans="1:34" x14ac:dyDescent="0.2">
      <c r="A133" s="109" t="s">
        <v>103</v>
      </c>
      <c r="B133" s="110"/>
      <c r="C133" s="110"/>
      <c r="D133" s="16"/>
      <c r="E133" s="2"/>
      <c r="F133" s="3"/>
      <c r="G133" s="3"/>
      <c r="H133" s="3"/>
      <c r="I133" s="4"/>
      <c r="J133" s="5"/>
      <c r="K133" s="4"/>
      <c r="L133" s="16" t="s">
        <v>21</v>
      </c>
      <c r="M133" s="16" t="s">
        <v>22</v>
      </c>
      <c r="N133" s="48">
        <v>24.5</v>
      </c>
      <c r="O133" s="62">
        <v>5</v>
      </c>
      <c r="P133" s="135" t="str">
        <f t="shared" ca="1" si="32"/>
        <v>13 ans 5 mois 13 jours</v>
      </c>
      <c r="Q133" s="29">
        <v>13.42</v>
      </c>
      <c r="R133" s="43">
        <f t="shared" ca="1" si="33"/>
        <v>13.453798767967145</v>
      </c>
      <c r="S133" s="44" t="b">
        <f t="shared" ca="1" si="34"/>
        <v>1</v>
      </c>
      <c r="T133" s="68">
        <v>36008</v>
      </c>
      <c r="U133" s="62">
        <v>80</v>
      </c>
      <c r="V133" s="44" t="str">
        <f t="shared" ca="1" si="35"/>
        <v>2 ans 0 mois 13 jours</v>
      </c>
      <c r="W133" s="29">
        <v>2</v>
      </c>
      <c r="X133" s="43">
        <f t="shared" ca="1" si="36"/>
        <v>2.0342231348391513</v>
      </c>
      <c r="Y133" s="44" t="b">
        <f t="shared" ca="1" si="37"/>
        <v>0</v>
      </c>
      <c r="Z133" s="30">
        <v>40179</v>
      </c>
      <c r="AA133" s="71">
        <v>40179</v>
      </c>
      <c r="AB133" s="62">
        <v>9</v>
      </c>
      <c r="AC133" s="44">
        <f>IF(AG133&gt;0,VLOOKUP(AG133,Calculs!$B$3:$C$13,2),"")</f>
        <v>9</v>
      </c>
      <c r="AD133" s="30">
        <v>32559</v>
      </c>
      <c r="AE133" s="79">
        <f t="shared" si="38"/>
        <v>22.858316221765914</v>
      </c>
      <c r="AF133" s="44" t="str">
        <f t="shared" ca="1" si="39"/>
        <v>22 ans 10 mois 25 jours</v>
      </c>
      <c r="AG133" s="63">
        <v>23.86</v>
      </c>
      <c r="AH133" s="51">
        <v>41196</v>
      </c>
    </row>
    <row r="134" spans="1:34" x14ac:dyDescent="0.2">
      <c r="A134" s="114" t="s">
        <v>74</v>
      </c>
      <c r="B134" s="110"/>
      <c r="C134" s="110"/>
      <c r="D134" s="16"/>
      <c r="E134" s="4"/>
      <c r="F134" s="3"/>
      <c r="G134" s="3"/>
      <c r="H134" s="3"/>
      <c r="I134" s="4"/>
      <c r="J134" s="2"/>
      <c r="K134" s="4"/>
      <c r="L134" s="16" t="s">
        <v>23</v>
      </c>
      <c r="M134" s="16" t="s">
        <v>24</v>
      </c>
      <c r="N134" s="48">
        <v>24</v>
      </c>
      <c r="O134" s="62">
        <v>8</v>
      </c>
      <c r="P134" s="135" t="str">
        <f t="shared" ca="1" si="32"/>
        <v>9 ans 10 mois 10 jours</v>
      </c>
      <c r="Q134" s="29">
        <v>9.83</v>
      </c>
      <c r="R134" s="43">
        <f t="shared" ca="1" si="33"/>
        <v>9.8644763860369604</v>
      </c>
      <c r="S134" s="44" t="b">
        <f t="shared" ca="1" si="34"/>
        <v>1</v>
      </c>
      <c r="T134" s="68">
        <v>37319</v>
      </c>
      <c r="U134" s="62">
        <v>120</v>
      </c>
      <c r="V134" s="44" t="str">
        <f t="shared" ca="1" si="35"/>
        <v>5 ans 0 mois 13 jours</v>
      </c>
      <c r="W134" s="29">
        <v>5</v>
      </c>
      <c r="X134" s="43">
        <f t="shared" ca="1" si="36"/>
        <v>5.0349075975359341</v>
      </c>
      <c r="Y134" s="44" t="b">
        <f t="shared" ca="1" si="37"/>
        <v>1</v>
      </c>
      <c r="Z134" s="30">
        <v>39083</v>
      </c>
      <c r="AA134" s="71">
        <v>39083</v>
      </c>
      <c r="AB134" s="62">
        <v>10</v>
      </c>
      <c r="AC134" s="44">
        <f>IF(AG134&gt;0,VLOOKUP(AG134,Calculs!$B$3:$C$13,2),"")</f>
        <v>10</v>
      </c>
      <c r="AD134" s="30">
        <v>31306</v>
      </c>
      <c r="AE134" s="79">
        <f t="shared" si="38"/>
        <v>26.288843258042437</v>
      </c>
      <c r="AF134" s="44" t="str">
        <f t="shared" ca="1" si="39"/>
        <v>26 ans 3 mois 29 jours</v>
      </c>
      <c r="AG134" s="63">
        <v>25.54</v>
      </c>
      <c r="AH134" s="51">
        <v>42951</v>
      </c>
    </row>
    <row r="135" spans="1:34" x14ac:dyDescent="0.2">
      <c r="A135" s="109" t="s">
        <v>144</v>
      </c>
      <c r="B135" s="110"/>
      <c r="C135" s="110"/>
      <c r="D135" s="16"/>
      <c r="E135" s="2"/>
      <c r="F135" s="3"/>
      <c r="G135" s="3"/>
      <c r="H135" s="3"/>
      <c r="I135" s="4"/>
      <c r="J135" s="2"/>
      <c r="K135" s="4"/>
      <c r="L135" s="16" t="s">
        <v>25</v>
      </c>
      <c r="M135" s="16" t="s">
        <v>22</v>
      </c>
      <c r="N135" s="48">
        <v>24</v>
      </c>
      <c r="O135" s="62">
        <v>3</v>
      </c>
      <c r="P135" s="135" t="str">
        <f t="shared" ca="1" si="32"/>
        <v>0 ans 4 mois 13 jours</v>
      </c>
      <c r="Q135" s="29">
        <v>0.33</v>
      </c>
      <c r="R135" s="43">
        <f t="shared" ca="1" si="33"/>
        <v>0.36960985626283366</v>
      </c>
      <c r="S135" s="44" t="b">
        <f t="shared" ca="1" si="34"/>
        <v>0</v>
      </c>
      <c r="T135" s="68">
        <v>40787</v>
      </c>
      <c r="U135" s="62">
        <v>50</v>
      </c>
      <c r="V135" s="44" t="str">
        <f t="shared" ca="1" si="35"/>
        <v>0 ans 4 mois 13 jours</v>
      </c>
      <c r="W135" s="29">
        <v>0.33</v>
      </c>
      <c r="X135" s="43">
        <f t="shared" ca="1" si="36"/>
        <v>0.36960985626283366</v>
      </c>
      <c r="Y135" s="44" t="b">
        <f t="shared" ca="1" si="37"/>
        <v>0</v>
      </c>
      <c r="Z135" s="30">
        <v>40787</v>
      </c>
      <c r="AA135" s="71" t="s">
        <v>26</v>
      </c>
      <c r="AB135" s="62">
        <v>3</v>
      </c>
      <c r="AC135" s="44">
        <f>IF(AG135&gt;0,VLOOKUP(AG135,Calculs!$B$3:$C$13,2),"")</f>
        <v>2</v>
      </c>
      <c r="AD135" s="30">
        <v>40787</v>
      </c>
      <c r="AE135" s="79">
        <f t="shared" si="38"/>
        <v>0.33127994524298426</v>
      </c>
      <c r="AF135" s="44" t="str">
        <f t="shared" ca="1" si="39"/>
        <v>0 ans 4 mois 13 jours</v>
      </c>
      <c r="AG135" s="63">
        <v>0.34</v>
      </c>
      <c r="AH135" s="52" t="s">
        <v>26</v>
      </c>
    </row>
    <row r="136" spans="1:34" x14ac:dyDescent="0.2">
      <c r="A136" s="109" t="s">
        <v>109</v>
      </c>
      <c r="B136" s="110"/>
      <c r="C136" s="110"/>
      <c r="D136" s="16"/>
      <c r="E136" s="2"/>
      <c r="F136" s="3"/>
      <c r="G136" s="3"/>
      <c r="H136" s="3"/>
      <c r="I136" s="4"/>
      <c r="J136" s="5"/>
      <c r="K136" s="4"/>
      <c r="L136" s="16" t="s">
        <v>21</v>
      </c>
      <c r="M136" s="16" t="s">
        <v>22</v>
      </c>
      <c r="N136" s="48">
        <v>24</v>
      </c>
      <c r="O136" s="62">
        <v>5</v>
      </c>
      <c r="P136" s="135" t="str">
        <f t="shared" ca="1" si="32"/>
        <v>15 ans 0 mois 13 jours</v>
      </c>
      <c r="Q136" s="29">
        <v>15</v>
      </c>
      <c r="R136" s="43">
        <f t="shared" ca="1" si="33"/>
        <v>15.033538672142368</v>
      </c>
      <c r="S136" s="44" t="b">
        <f t="shared" ca="1" si="34"/>
        <v>1</v>
      </c>
      <c r="T136" s="68">
        <v>35431</v>
      </c>
      <c r="U136" s="62">
        <v>85</v>
      </c>
      <c r="V136" s="44" t="str">
        <f t="shared" ca="1" si="35"/>
        <v>2 ans 0 mois 13 jours</v>
      </c>
      <c r="W136" s="29">
        <v>2</v>
      </c>
      <c r="X136" s="43">
        <f t="shared" ca="1" si="36"/>
        <v>2.0342231348391513</v>
      </c>
      <c r="Y136" s="44" t="b">
        <f t="shared" ca="1" si="37"/>
        <v>0</v>
      </c>
      <c r="Z136" s="30">
        <v>40179</v>
      </c>
      <c r="AA136" s="71">
        <v>40179</v>
      </c>
      <c r="AB136" s="62">
        <v>11</v>
      </c>
      <c r="AC136" s="44">
        <f>IF(AG136&gt;0,VLOOKUP(AG136,Calculs!$B$3:$C$13,2),"")</f>
        <v>12</v>
      </c>
      <c r="AD136" s="30">
        <v>33848</v>
      </c>
      <c r="AE136" s="79">
        <f t="shared" si="38"/>
        <v>19.329226557152634</v>
      </c>
      <c r="AF136" s="44" t="str">
        <f t="shared" ca="1" si="39"/>
        <v>19 ans 4 mois 13 jours</v>
      </c>
      <c r="AG136" s="63">
        <v>34.78</v>
      </c>
      <c r="AH136" s="51">
        <v>41011</v>
      </c>
    </row>
    <row r="137" spans="1:34" x14ac:dyDescent="0.2">
      <c r="A137" s="109" t="s">
        <v>135</v>
      </c>
      <c r="B137" s="110"/>
      <c r="C137" s="110"/>
      <c r="D137" s="16"/>
      <c r="E137" s="2"/>
      <c r="F137" s="3"/>
      <c r="G137" s="3"/>
      <c r="H137" s="3"/>
      <c r="I137" s="4"/>
      <c r="J137" s="2"/>
      <c r="K137" s="4"/>
      <c r="L137" s="16" t="s">
        <v>29</v>
      </c>
      <c r="M137" s="16" t="s">
        <v>28</v>
      </c>
      <c r="N137" s="48"/>
      <c r="O137" s="62">
        <v>14</v>
      </c>
      <c r="P137" s="135" t="str">
        <f t="shared" ca="1" si="32"/>
        <v>5 ans 0 mois 13 jours</v>
      </c>
      <c r="Q137" s="29"/>
      <c r="R137" s="43">
        <f t="shared" ca="1" si="33"/>
        <v>5.0349075975359341</v>
      </c>
      <c r="S137" s="44" t="b">
        <f t="shared" ca="1" si="34"/>
        <v>0</v>
      </c>
      <c r="T137" s="68">
        <v>39083</v>
      </c>
      <c r="U137" s="62">
        <v>225</v>
      </c>
      <c r="V137" s="44" t="str">
        <f t="shared" ca="1" si="35"/>
        <v>5 ans 0 mois 13 jours</v>
      </c>
      <c r="W137" s="29"/>
      <c r="X137" s="43">
        <f t="shared" ca="1" si="36"/>
        <v>5.0349075975359341</v>
      </c>
      <c r="Y137" s="44" t="b">
        <f t="shared" ca="1" si="37"/>
        <v>1</v>
      </c>
      <c r="Z137" s="30">
        <v>39083</v>
      </c>
      <c r="AA137" s="71"/>
      <c r="AB137" s="62"/>
      <c r="AC137" s="44" t="str">
        <f>IF(AG137&gt;0,VLOOKUP(AG137,Calculs!$B$3:$C$13,2),"")</f>
        <v/>
      </c>
      <c r="AD137" s="30">
        <v>29262</v>
      </c>
      <c r="AE137" s="79">
        <f t="shared" si="38"/>
        <v>31.885010266940451</v>
      </c>
      <c r="AF137" s="44" t="str">
        <f t="shared" ca="1" si="39"/>
        <v>31 ans 11 mois 3 jours</v>
      </c>
      <c r="AG137" s="63"/>
      <c r="AH137" s="51"/>
    </row>
    <row r="138" spans="1:34" x14ac:dyDescent="0.2">
      <c r="A138" s="109" t="s">
        <v>145</v>
      </c>
      <c r="B138" s="110"/>
      <c r="C138" s="110"/>
      <c r="D138" s="16"/>
      <c r="E138" s="2"/>
      <c r="F138" s="3"/>
      <c r="G138" s="3"/>
      <c r="H138" s="3"/>
      <c r="I138" s="4"/>
      <c r="J138" s="2"/>
      <c r="K138" s="4"/>
      <c r="L138" s="16" t="s">
        <v>21</v>
      </c>
      <c r="M138" s="16" t="s">
        <v>22</v>
      </c>
      <c r="N138" s="48">
        <v>24</v>
      </c>
      <c r="O138" s="62">
        <v>5</v>
      </c>
      <c r="P138" s="135" t="str">
        <f t="shared" ca="1" si="32"/>
        <v>28 ans 0 mois 13 jours</v>
      </c>
      <c r="Q138" s="29">
        <v>28</v>
      </c>
      <c r="R138" s="43">
        <f t="shared" ca="1" si="33"/>
        <v>28.035592060232716</v>
      </c>
      <c r="S138" s="44" t="b">
        <f t="shared" ca="1" si="34"/>
        <v>1</v>
      </c>
      <c r="T138" s="68">
        <v>30682</v>
      </c>
      <c r="U138" s="62">
        <v>115</v>
      </c>
      <c r="V138" s="44" t="str">
        <f t="shared" ca="1" si="35"/>
        <v>2 ans 0 mois 13 jours</v>
      </c>
      <c r="W138" s="29">
        <v>2</v>
      </c>
      <c r="X138" s="43">
        <f t="shared" ca="1" si="36"/>
        <v>2.0342231348391513</v>
      </c>
      <c r="Y138" s="44" t="b">
        <f t="shared" ca="1" si="37"/>
        <v>0</v>
      </c>
      <c r="Z138" s="30">
        <v>40179</v>
      </c>
      <c r="AA138" s="71">
        <v>40179</v>
      </c>
      <c r="AB138" s="62">
        <v>11</v>
      </c>
      <c r="AC138" s="44">
        <f>IF(AG138&gt;0,VLOOKUP(AG138,Calculs!$B$3:$C$13,2),"")</f>
        <v>12</v>
      </c>
      <c r="AD138" s="30">
        <v>28604</v>
      </c>
      <c r="AE138" s="79">
        <f t="shared" si="38"/>
        <v>33.686516084873375</v>
      </c>
      <c r="AF138" s="44" t="str">
        <f t="shared" ca="1" si="39"/>
        <v>33 ans 8 mois 21 jours</v>
      </c>
      <c r="AG138" s="63">
        <v>34.68</v>
      </c>
      <c r="AH138" s="51">
        <v>41103</v>
      </c>
    </row>
    <row r="139" spans="1:34" x14ac:dyDescent="0.2">
      <c r="A139" s="109" t="s">
        <v>146</v>
      </c>
      <c r="B139" s="110"/>
      <c r="C139" s="110"/>
      <c r="D139" s="16"/>
      <c r="E139" s="2"/>
      <c r="F139" s="3"/>
      <c r="G139" s="3"/>
      <c r="H139" s="3"/>
      <c r="I139" s="4"/>
      <c r="J139" s="2"/>
      <c r="K139" s="4"/>
      <c r="L139" s="16" t="s">
        <v>21</v>
      </c>
      <c r="M139" s="16" t="s">
        <v>22</v>
      </c>
      <c r="N139" s="48"/>
      <c r="O139" s="62"/>
      <c r="P139" s="135" t="str">
        <f t="shared" ca="1" si="32"/>
        <v/>
      </c>
      <c r="Q139" s="29"/>
      <c r="R139" s="43" t="str">
        <f t="shared" ca="1" si="33"/>
        <v/>
      </c>
      <c r="S139" s="44" t="str">
        <f t="shared" ca="1" si="34"/>
        <v/>
      </c>
      <c r="T139" s="68"/>
      <c r="U139" s="62"/>
      <c r="V139" s="44" t="str">
        <f t="shared" ca="1" si="35"/>
        <v/>
      </c>
      <c r="W139" s="29"/>
      <c r="X139" s="43" t="str">
        <f t="shared" ca="1" si="36"/>
        <v/>
      </c>
      <c r="Y139" s="44" t="str">
        <f t="shared" ca="1" si="37"/>
        <v/>
      </c>
      <c r="Z139" s="30"/>
      <c r="AA139" s="71"/>
      <c r="AB139" s="62"/>
      <c r="AC139" s="44" t="str">
        <f>IF(AG139&gt;0,VLOOKUP(AG139,Calculs!$B$3:$C$13,2),"")</f>
        <v/>
      </c>
      <c r="AD139" s="30"/>
      <c r="AE139" s="79" t="str">
        <f t="shared" si="38"/>
        <v/>
      </c>
      <c r="AF139" s="44" t="str">
        <f t="shared" ca="1" si="39"/>
        <v/>
      </c>
      <c r="AG139" s="63"/>
      <c r="AH139" s="51"/>
    </row>
    <row r="140" spans="1:34" x14ac:dyDescent="0.2">
      <c r="A140" s="109" t="s">
        <v>147</v>
      </c>
      <c r="B140" s="110"/>
      <c r="C140" s="110"/>
      <c r="D140" s="16"/>
      <c r="E140" s="2"/>
      <c r="F140" s="3"/>
      <c r="G140" s="3"/>
      <c r="H140" s="3"/>
      <c r="I140" s="4"/>
      <c r="J140" s="2"/>
      <c r="K140" s="4"/>
      <c r="L140" s="16" t="s">
        <v>21</v>
      </c>
      <c r="M140" s="16" t="s">
        <v>22</v>
      </c>
      <c r="N140" s="48">
        <v>24.5</v>
      </c>
      <c r="O140" s="62">
        <v>6</v>
      </c>
      <c r="P140" s="135" t="str">
        <f t="shared" ca="1" si="32"/>
        <v>1 ans 4 mois 13 jours</v>
      </c>
      <c r="Q140" s="29">
        <v>1.25</v>
      </c>
      <c r="R140" s="43">
        <f t="shared" ca="1" si="33"/>
        <v>1.3689253935660506</v>
      </c>
      <c r="S140" s="44" t="b">
        <f t="shared" ca="1" si="34"/>
        <v>0</v>
      </c>
      <c r="T140" s="68">
        <v>40422</v>
      </c>
      <c r="U140" s="62">
        <v>90</v>
      </c>
      <c r="V140" s="44" t="str">
        <f t="shared" ca="1" si="35"/>
        <v>1 ans 3 mois 13 jours</v>
      </c>
      <c r="W140" s="29">
        <v>1.25</v>
      </c>
      <c r="X140" s="43">
        <f t="shared" ca="1" si="36"/>
        <v>1.2867898699520877</v>
      </c>
      <c r="Y140" s="44" t="b">
        <f t="shared" ca="1" si="37"/>
        <v>0</v>
      </c>
      <c r="Z140" s="30">
        <v>40452</v>
      </c>
      <c r="AA140" s="71">
        <v>39814</v>
      </c>
      <c r="AB140" s="62">
        <v>6</v>
      </c>
      <c r="AC140" s="44">
        <f>IF(AG140&gt;0,VLOOKUP(AG140,Calculs!$B$3:$C$13,2),"")</f>
        <v>6</v>
      </c>
      <c r="AD140" s="30">
        <v>36861</v>
      </c>
      <c r="AE140" s="79">
        <f t="shared" si="38"/>
        <v>11.080082135523615</v>
      </c>
      <c r="AF140" s="44" t="str">
        <f t="shared" ca="1" si="39"/>
        <v>11 ans 1 mois 13 jours</v>
      </c>
      <c r="AG140" s="63">
        <v>11.92</v>
      </c>
      <c r="AH140" s="51">
        <v>47322</v>
      </c>
    </row>
    <row r="141" spans="1:34" x14ac:dyDescent="0.2">
      <c r="A141" s="109" t="s">
        <v>139</v>
      </c>
      <c r="B141" s="110"/>
      <c r="C141" s="110"/>
      <c r="D141" s="16"/>
      <c r="E141" s="2"/>
      <c r="F141" s="3"/>
      <c r="G141" s="3"/>
      <c r="H141" s="3"/>
      <c r="I141" s="4"/>
      <c r="J141" s="2"/>
      <c r="K141" s="4"/>
      <c r="L141" s="16" t="s">
        <v>21</v>
      </c>
      <c r="M141" s="16" t="s">
        <v>22</v>
      </c>
      <c r="N141" s="48">
        <v>24</v>
      </c>
      <c r="O141" s="62">
        <v>6</v>
      </c>
      <c r="P141" s="135" t="str">
        <f t="shared" ca="1" si="32"/>
        <v>12 ans 11 mois 13 jours</v>
      </c>
      <c r="Q141" s="29">
        <v>12.92</v>
      </c>
      <c r="R141" s="43">
        <f t="shared" ca="1" si="33"/>
        <v>12.950034223134839</v>
      </c>
      <c r="S141" s="44" t="b">
        <f t="shared" ca="1" si="34"/>
        <v>1</v>
      </c>
      <c r="T141" s="68">
        <v>36192</v>
      </c>
      <c r="U141" s="62">
        <v>100</v>
      </c>
      <c r="V141" s="44" t="str">
        <f t="shared" ca="1" si="35"/>
        <v>3 ans 0 mois 13 jours</v>
      </c>
      <c r="W141" s="29">
        <v>3</v>
      </c>
      <c r="X141" s="43">
        <f t="shared" ca="1" si="36"/>
        <v>3.0335386721423681</v>
      </c>
      <c r="Y141" s="44" t="b">
        <f t="shared" ca="1" si="37"/>
        <v>0</v>
      </c>
      <c r="Z141" s="30">
        <v>39814</v>
      </c>
      <c r="AA141" s="71">
        <v>39814</v>
      </c>
      <c r="AB141" s="62">
        <v>9</v>
      </c>
      <c r="AC141" s="44">
        <f>IF(AG141&gt;0,VLOOKUP(AG141,Calculs!$B$3:$C$13,2),"")</f>
        <v>9</v>
      </c>
      <c r="AD141" s="30">
        <v>32478</v>
      </c>
      <c r="AE141" s="79">
        <f t="shared" si="38"/>
        <v>23.080082135523615</v>
      </c>
      <c r="AF141" s="44" t="str">
        <f t="shared" ca="1" si="39"/>
        <v>23 ans 1 mois 13 jours</v>
      </c>
      <c r="AG141" s="63">
        <v>23.08</v>
      </c>
      <c r="AH141" s="51">
        <v>42436</v>
      </c>
    </row>
    <row r="142" spans="1:34" x14ac:dyDescent="0.2">
      <c r="A142" s="109" t="s">
        <v>101</v>
      </c>
      <c r="B142" s="110"/>
      <c r="C142" s="110"/>
      <c r="D142" s="16"/>
      <c r="E142" s="2"/>
      <c r="F142" s="3"/>
      <c r="G142" s="3"/>
      <c r="H142" s="3"/>
      <c r="I142" s="4"/>
      <c r="J142" s="5"/>
      <c r="K142" s="4"/>
      <c r="L142" s="16" t="s">
        <v>21</v>
      </c>
      <c r="M142" s="16" t="s">
        <v>22</v>
      </c>
      <c r="N142" s="48">
        <v>24.5</v>
      </c>
      <c r="O142" s="62">
        <v>5</v>
      </c>
      <c r="P142" s="135" t="str">
        <f t="shared" ca="1" si="32"/>
        <v>26 ans 9 mois 13 jours</v>
      </c>
      <c r="Q142" s="29">
        <v>26.75</v>
      </c>
      <c r="R142" s="43">
        <f t="shared" ca="1" si="33"/>
        <v>26.787132101300479</v>
      </c>
      <c r="S142" s="44" t="b">
        <f t="shared" ca="1" si="34"/>
        <v>1</v>
      </c>
      <c r="T142" s="68">
        <v>31138</v>
      </c>
      <c r="U142" s="62">
        <v>85</v>
      </c>
      <c r="V142" s="44" t="str">
        <f t="shared" ca="1" si="35"/>
        <v>3 ans 0 mois 13 jours</v>
      </c>
      <c r="W142" s="29">
        <v>3</v>
      </c>
      <c r="X142" s="43">
        <f t="shared" ca="1" si="36"/>
        <v>3.0335386721423681</v>
      </c>
      <c r="Y142" s="44" t="b">
        <f t="shared" ca="1" si="37"/>
        <v>0</v>
      </c>
      <c r="Z142" s="30">
        <v>39814</v>
      </c>
      <c r="AA142" s="71">
        <v>39814</v>
      </c>
      <c r="AB142" s="62">
        <v>11</v>
      </c>
      <c r="AC142" s="44">
        <f>IF(AG142&gt;0,VLOOKUP(AG142,Calculs!$B$3:$C$13,2),"")</f>
        <v>11</v>
      </c>
      <c r="AD142" s="30">
        <v>29598</v>
      </c>
      <c r="AE142" s="79">
        <f t="shared" si="38"/>
        <v>30.965092402464066</v>
      </c>
      <c r="AF142" s="44" t="str">
        <f t="shared" ca="1" si="39"/>
        <v>31 ans 0 mois 2 jours</v>
      </c>
      <c r="AG142" s="63">
        <v>31.97</v>
      </c>
      <c r="AH142" s="51">
        <v>42088</v>
      </c>
    </row>
    <row r="143" spans="1:34" x14ac:dyDescent="0.2">
      <c r="A143" s="109" t="s">
        <v>90</v>
      </c>
      <c r="B143" s="110"/>
      <c r="C143" s="110"/>
      <c r="D143" s="16"/>
      <c r="E143" s="2"/>
      <c r="F143" s="3"/>
      <c r="G143" s="3"/>
      <c r="H143" s="3"/>
      <c r="I143" s="4"/>
      <c r="J143" s="5"/>
      <c r="K143" s="4"/>
      <c r="L143" s="16" t="s">
        <v>21</v>
      </c>
      <c r="M143" s="16" t="s">
        <v>22</v>
      </c>
      <c r="N143" s="48">
        <v>24.5</v>
      </c>
      <c r="O143" s="62">
        <v>5</v>
      </c>
      <c r="P143" s="135" t="str">
        <f t="shared" ca="1" si="32"/>
        <v>14 ans 0 mois 13 jours</v>
      </c>
      <c r="Q143" s="29">
        <v>14</v>
      </c>
      <c r="R143" s="43">
        <f t="shared" ca="1" si="33"/>
        <v>14.03422313483915</v>
      </c>
      <c r="S143" s="44" t="b">
        <f t="shared" ca="1" si="34"/>
        <v>1</v>
      </c>
      <c r="T143" s="68">
        <v>35796</v>
      </c>
      <c r="U143" s="62">
        <v>100</v>
      </c>
      <c r="V143" s="44" t="str">
        <f t="shared" ca="1" si="35"/>
        <v>3 ans 0 mois 13 jours</v>
      </c>
      <c r="W143" s="29">
        <v>3</v>
      </c>
      <c r="X143" s="43">
        <f t="shared" ca="1" si="36"/>
        <v>3.0335386721423681</v>
      </c>
      <c r="Y143" s="44" t="b">
        <f t="shared" ca="1" si="37"/>
        <v>0</v>
      </c>
      <c r="Z143" s="30">
        <v>39814</v>
      </c>
      <c r="AA143" s="71">
        <v>39814</v>
      </c>
      <c r="AB143" s="62">
        <v>10</v>
      </c>
      <c r="AC143" s="44">
        <f>IF(AG143&gt;0,VLOOKUP(AG143,Calculs!$B$3:$C$13,2),"")</f>
        <v>11</v>
      </c>
      <c r="AD143" s="30">
        <v>30200</v>
      </c>
      <c r="AE143" s="79">
        <f t="shared" si="38"/>
        <v>29.316906228610542</v>
      </c>
      <c r="AF143" s="44" t="str">
        <f t="shared" ca="1" si="39"/>
        <v>29 ans 4 mois 8 jours</v>
      </c>
      <c r="AG143" s="63">
        <v>30.32</v>
      </c>
      <c r="AH143" s="51">
        <v>42571</v>
      </c>
    </row>
    <row r="144" spans="1:34" x14ac:dyDescent="0.2">
      <c r="A144" s="109" t="s">
        <v>132</v>
      </c>
      <c r="B144" s="110"/>
      <c r="C144" s="110"/>
      <c r="D144" s="16"/>
      <c r="E144" s="2"/>
      <c r="F144" s="3"/>
      <c r="G144" s="3"/>
      <c r="H144" s="3"/>
      <c r="I144" s="4"/>
      <c r="J144" s="2"/>
      <c r="K144" s="4"/>
      <c r="L144" s="16" t="s">
        <v>21</v>
      </c>
      <c r="M144" s="16" t="s">
        <v>22</v>
      </c>
      <c r="N144" s="48"/>
      <c r="O144" s="62"/>
      <c r="P144" s="135" t="str">
        <f t="shared" ca="1" si="32"/>
        <v/>
      </c>
      <c r="Q144" s="29"/>
      <c r="R144" s="43" t="str">
        <f t="shared" ca="1" si="33"/>
        <v/>
      </c>
      <c r="S144" s="44" t="str">
        <f t="shared" ca="1" si="34"/>
        <v/>
      </c>
      <c r="T144" s="68"/>
      <c r="U144" s="62"/>
      <c r="V144" s="44" t="str">
        <f t="shared" ca="1" si="35"/>
        <v/>
      </c>
      <c r="W144" s="29"/>
      <c r="X144" s="43" t="str">
        <f t="shared" ca="1" si="36"/>
        <v/>
      </c>
      <c r="Y144" s="44" t="str">
        <f t="shared" ca="1" si="37"/>
        <v/>
      </c>
      <c r="Z144" s="30"/>
      <c r="AA144" s="71"/>
      <c r="AB144" s="62"/>
      <c r="AC144" s="44" t="str">
        <f>IF(AG144&gt;0,VLOOKUP(AG144,Calculs!$B$3:$C$13,2),"")</f>
        <v/>
      </c>
      <c r="AD144" s="30"/>
      <c r="AE144" s="79" t="str">
        <f t="shared" si="38"/>
        <v/>
      </c>
      <c r="AF144" s="44" t="str">
        <f t="shared" ca="1" si="39"/>
        <v/>
      </c>
      <c r="AG144" s="63"/>
      <c r="AH144" s="51"/>
    </row>
    <row r="145" spans="1:34" x14ac:dyDescent="0.2">
      <c r="A145" s="109" t="s">
        <v>83</v>
      </c>
      <c r="B145" s="110"/>
      <c r="C145" s="110"/>
      <c r="D145" s="16"/>
      <c r="E145" s="2"/>
      <c r="F145" s="3"/>
      <c r="G145" s="3"/>
      <c r="H145" s="3"/>
      <c r="I145" s="4"/>
      <c r="J145" s="5"/>
      <c r="K145" s="4"/>
      <c r="L145" s="16" t="s">
        <v>21</v>
      </c>
      <c r="M145" s="16" t="s">
        <v>22</v>
      </c>
      <c r="N145" s="48">
        <v>24</v>
      </c>
      <c r="O145" s="62">
        <v>6</v>
      </c>
      <c r="P145" s="135" t="str">
        <f t="shared" ca="1" si="32"/>
        <v>0 ans 3 mois 13 jours</v>
      </c>
      <c r="Q145" s="29">
        <v>0.25</v>
      </c>
      <c r="R145" s="43">
        <f t="shared" ca="1" si="33"/>
        <v>0.28747433264887062</v>
      </c>
      <c r="S145" s="44" t="b">
        <f t="shared" ca="1" si="34"/>
        <v>0</v>
      </c>
      <c r="T145" s="68">
        <v>40817</v>
      </c>
      <c r="U145" s="62">
        <v>100</v>
      </c>
      <c r="V145" s="44" t="str">
        <f t="shared" ca="1" si="35"/>
        <v>0 ans 3 mois 13 jours</v>
      </c>
      <c r="W145" s="29">
        <v>0.25</v>
      </c>
      <c r="X145" s="43">
        <f t="shared" ca="1" si="36"/>
        <v>0.28747433264887062</v>
      </c>
      <c r="Y145" s="44" t="b">
        <f t="shared" ca="1" si="37"/>
        <v>0</v>
      </c>
      <c r="Z145" s="30">
        <v>40817</v>
      </c>
      <c r="AA145" s="71">
        <v>39448</v>
      </c>
      <c r="AB145" s="62">
        <v>11</v>
      </c>
      <c r="AC145" s="44">
        <f>IF(AG145&gt;0,VLOOKUP(AG145,Calculs!$B$3:$C$13,2),"")</f>
        <v>11</v>
      </c>
      <c r="AD145" s="30">
        <v>29843</v>
      </c>
      <c r="AE145" s="79">
        <f t="shared" si="38"/>
        <v>30.2943189596167</v>
      </c>
      <c r="AF145" s="44" t="str">
        <f t="shared" ca="1" si="39"/>
        <v>30 ans 4 mois 0 jours</v>
      </c>
      <c r="AG145" s="63">
        <v>31.3</v>
      </c>
      <c r="AH145" s="51">
        <v>41709</v>
      </c>
    </row>
    <row r="146" spans="1:34" x14ac:dyDescent="0.2">
      <c r="A146" s="109" t="s">
        <v>121</v>
      </c>
      <c r="B146" s="110"/>
      <c r="C146" s="110"/>
      <c r="D146" s="16"/>
      <c r="E146" s="2"/>
      <c r="F146" s="3"/>
      <c r="G146" s="3"/>
      <c r="H146" s="3"/>
      <c r="I146" s="4"/>
      <c r="J146" s="2"/>
      <c r="K146" s="4"/>
      <c r="L146" s="16" t="s">
        <v>21</v>
      </c>
      <c r="M146" s="16" t="s">
        <v>22</v>
      </c>
      <c r="N146" s="48">
        <v>24</v>
      </c>
      <c r="O146" s="62">
        <v>5</v>
      </c>
      <c r="P146" s="135" t="str">
        <f t="shared" ca="1" si="32"/>
        <v>17 ans 0 mois 13 jours</v>
      </c>
      <c r="Q146" s="29">
        <v>17</v>
      </c>
      <c r="R146" s="43">
        <f t="shared" ca="1" si="33"/>
        <v>17.034907597535934</v>
      </c>
      <c r="S146" s="44" t="b">
        <f t="shared" ca="1" si="34"/>
        <v>1</v>
      </c>
      <c r="T146" s="68">
        <v>34700</v>
      </c>
      <c r="U146" s="62">
        <v>100</v>
      </c>
      <c r="V146" s="44" t="str">
        <f t="shared" ca="1" si="35"/>
        <v>5 ans 0 mois 13 jours</v>
      </c>
      <c r="W146" s="29">
        <v>5</v>
      </c>
      <c r="X146" s="43">
        <f t="shared" ca="1" si="36"/>
        <v>5.0349075975359341</v>
      </c>
      <c r="Y146" s="44" t="b">
        <f t="shared" ca="1" si="37"/>
        <v>1</v>
      </c>
      <c r="Z146" s="30">
        <v>39083</v>
      </c>
      <c r="AA146" s="71">
        <v>39083</v>
      </c>
      <c r="AB146" s="62">
        <v>10</v>
      </c>
      <c r="AC146" s="44">
        <f>IF(AG146&gt;0,VLOOKUP(AG146,Calculs!$B$3:$C$13,2),"")</f>
        <v>11</v>
      </c>
      <c r="AD146" s="30">
        <v>30018</v>
      </c>
      <c r="AE146" s="79">
        <f t="shared" si="38"/>
        <v>29.815195071868583</v>
      </c>
      <c r="AF146" s="44" t="str">
        <f t="shared" ca="1" si="39"/>
        <v>29 ans 10 mois 6 jours</v>
      </c>
      <c r="AG146" s="63">
        <v>30.82</v>
      </c>
      <c r="AH146" s="51">
        <v>41853</v>
      </c>
    </row>
    <row r="147" spans="1:34" x14ac:dyDescent="0.2">
      <c r="A147" s="109" t="s">
        <v>91</v>
      </c>
      <c r="B147" s="110"/>
      <c r="C147" s="110"/>
      <c r="D147" s="16"/>
      <c r="E147" s="2"/>
      <c r="F147" s="3"/>
      <c r="G147" s="3"/>
      <c r="H147" s="3"/>
      <c r="I147" s="4"/>
      <c r="J147" s="2"/>
      <c r="K147" s="4"/>
      <c r="L147" s="16" t="s">
        <v>25</v>
      </c>
      <c r="M147" s="16" t="s">
        <v>22</v>
      </c>
      <c r="N147" s="48">
        <v>24.5</v>
      </c>
      <c r="O147" s="62">
        <v>3</v>
      </c>
      <c r="P147" s="135" t="str">
        <f t="shared" ca="1" si="32"/>
        <v>0 ans 4 mois 13 jours</v>
      </c>
      <c r="Q147" s="29">
        <v>0.33</v>
      </c>
      <c r="R147" s="43">
        <f t="shared" ca="1" si="33"/>
        <v>0.36960985626283366</v>
      </c>
      <c r="S147" s="44" t="b">
        <f t="shared" ca="1" si="34"/>
        <v>0</v>
      </c>
      <c r="T147" s="68">
        <v>40787</v>
      </c>
      <c r="U147" s="62">
        <v>50</v>
      </c>
      <c r="V147" s="44" t="str">
        <f t="shared" ca="1" si="35"/>
        <v>0 ans 4 mois 13 jours</v>
      </c>
      <c r="W147" s="29">
        <v>0.33</v>
      </c>
      <c r="X147" s="43">
        <f t="shared" ca="1" si="36"/>
        <v>0.36960985626283366</v>
      </c>
      <c r="Y147" s="44" t="b">
        <f t="shared" ca="1" si="37"/>
        <v>0</v>
      </c>
      <c r="Z147" s="30">
        <v>40787</v>
      </c>
      <c r="AA147" s="71" t="s">
        <v>26</v>
      </c>
      <c r="AB147" s="62">
        <v>3</v>
      </c>
      <c r="AC147" s="44">
        <f>IF(AG147&gt;0,VLOOKUP(AG147,Calculs!$B$3:$C$13,2),"")</f>
        <v>2</v>
      </c>
      <c r="AD147" s="30">
        <v>40787</v>
      </c>
      <c r="AE147" s="79">
        <f t="shared" si="38"/>
        <v>0.33127994524298426</v>
      </c>
      <c r="AF147" s="44" t="str">
        <f t="shared" ca="1" si="39"/>
        <v>0 ans 4 mois 13 jours</v>
      </c>
      <c r="AG147" s="63">
        <v>0.34</v>
      </c>
      <c r="AH147" s="52" t="s">
        <v>26</v>
      </c>
    </row>
    <row r="148" spans="1:34" x14ac:dyDescent="0.2">
      <c r="A148" s="109" t="s">
        <v>85</v>
      </c>
      <c r="B148" s="110"/>
      <c r="C148" s="110"/>
      <c r="D148" s="16"/>
      <c r="E148" s="2"/>
      <c r="F148" s="3"/>
      <c r="G148" s="3"/>
      <c r="H148" s="3"/>
      <c r="I148" s="4"/>
      <c r="J148" s="5"/>
      <c r="K148" s="4"/>
      <c r="L148" s="16" t="s">
        <v>21</v>
      </c>
      <c r="M148" s="16" t="s">
        <v>22</v>
      </c>
      <c r="N148" s="48">
        <v>24.5</v>
      </c>
      <c r="O148" s="62">
        <v>4</v>
      </c>
      <c r="P148" s="135" t="str">
        <f t="shared" ca="1" si="32"/>
        <v>24 ans 0 mois 13 jours</v>
      </c>
      <c r="Q148" s="29">
        <v>23.92</v>
      </c>
      <c r="R148" s="43">
        <f t="shared" ca="1" si="33"/>
        <v>24.035592060232716</v>
      </c>
      <c r="S148" s="44" t="b">
        <f t="shared" ca="1" si="34"/>
        <v>1</v>
      </c>
      <c r="T148" s="68">
        <v>32143</v>
      </c>
      <c r="U148" s="62">
        <v>95</v>
      </c>
      <c r="V148" s="44" t="str">
        <f t="shared" ca="1" si="35"/>
        <v>3 ans 0 mois 13 jours</v>
      </c>
      <c r="W148" s="29">
        <v>3</v>
      </c>
      <c r="X148" s="43">
        <f t="shared" ca="1" si="36"/>
        <v>3.0335386721423681</v>
      </c>
      <c r="Y148" s="44" t="b">
        <f t="shared" ca="1" si="37"/>
        <v>0</v>
      </c>
      <c r="Z148" s="30">
        <v>39814</v>
      </c>
      <c r="AA148" s="71">
        <v>39814</v>
      </c>
      <c r="AB148" s="62">
        <v>10</v>
      </c>
      <c r="AC148" s="44">
        <f>IF(AG148&gt;0,VLOOKUP(AG148,Calculs!$B$3:$C$13,2),"")</f>
        <v>10</v>
      </c>
      <c r="AD148" s="30">
        <v>30651</v>
      </c>
      <c r="AE148" s="79">
        <f t="shared" si="38"/>
        <v>28.082135523613964</v>
      </c>
      <c r="AF148" s="44" t="str">
        <f t="shared" ca="1" si="39"/>
        <v>28 ans 1 mois 13 jours</v>
      </c>
      <c r="AG148" s="63">
        <v>29.08</v>
      </c>
      <c r="AH148" s="51">
        <v>42184</v>
      </c>
    </row>
    <row r="149" spans="1:34" x14ac:dyDescent="0.2">
      <c r="A149" s="109" t="s">
        <v>148</v>
      </c>
      <c r="B149" s="110"/>
      <c r="C149" s="110"/>
      <c r="D149" s="16"/>
      <c r="E149" s="2"/>
      <c r="F149" s="3"/>
      <c r="G149" s="3"/>
      <c r="H149" s="3"/>
      <c r="I149" s="4"/>
      <c r="J149" s="2"/>
      <c r="K149" s="4"/>
      <c r="L149" s="16" t="s">
        <v>21</v>
      </c>
      <c r="M149" s="16" t="s">
        <v>22</v>
      </c>
      <c r="N149" s="48"/>
      <c r="O149" s="62"/>
      <c r="P149" s="135" t="str">
        <f t="shared" ca="1" si="32"/>
        <v/>
      </c>
      <c r="Q149" s="29"/>
      <c r="R149" s="43" t="str">
        <f t="shared" ca="1" si="33"/>
        <v/>
      </c>
      <c r="S149" s="44" t="str">
        <f t="shared" ca="1" si="34"/>
        <v/>
      </c>
      <c r="T149" s="68"/>
      <c r="U149" s="62"/>
      <c r="V149" s="44" t="str">
        <f t="shared" ca="1" si="35"/>
        <v/>
      </c>
      <c r="W149" s="29"/>
      <c r="X149" s="43" t="str">
        <f t="shared" ca="1" si="36"/>
        <v/>
      </c>
      <c r="Y149" s="44" t="str">
        <f t="shared" ca="1" si="37"/>
        <v/>
      </c>
      <c r="Z149" s="30"/>
      <c r="AA149" s="71"/>
      <c r="AB149" s="62"/>
      <c r="AC149" s="44" t="str">
        <f>IF(AG149&gt;0,VLOOKUP(AG149,Calculs!$B$3:$C$13,2),"")</f>
        <v/>
      </c>
      <c r="AD149" s="30"/>
      <c r="AE149" s="79" t="str">
        <f t="shared" si="38"/>
        <v/>
      </c>
      <c r="AF149" s="44" t="str">
        <f t="shared" ca="1" si="39"/>
        <v/>
      </c>
      <c r="AG149" s="63"/>
      <c r="AH149" s="51"/>
    </row>
    <row r="150" spans="1:34" x14ac:dyDescent="0.2">
      <c r="A150" s="109" t="s">
        <v>92</v>
      </c>
      <c r="B150" s="110"/>
      <c r="C150" s="110"/>
      <c r="D150" s="16"/>
      <c r="E150" s="2"/>
      <c r="F150" s="3"/>
      <c r="G150" s="3"/>
      <c r="H150" s="3"/>
      <c r="I150" s="4"/>
      <c r="J150" s="2"/>
      <c r="K150" s="4"/>
      <c r="L150" s="16" t="s">
        <v>21</v>
      </c>
      <c r="M150" s="16" t="s">
        <v>22</v>
      </c>
      <c r="N150" s="48">
        <v>24</v>
      </c>
      <c r="O150" s="62">
        <v>6</v>
      </c>
      <c r="P150" s="135" t="str">
        <f t="shared" ca="1" si="32"/>
        <v>0 ans 6 mois 13 jours</v>
      </c>
      <c r="Q150" s="29">
        <v>0.5</v>
      </c>
      <c r="R150" s="43">
        <f t="shared" ca="1" si="33"/>
        <v>0.53935660506502392</v>
      </c>
      <c r="S150" s="44" t="b">
        <f t="shared" ca="1" si="34"/>
        <v>0</v>
      </c>
      <c r="T150" s="68">
        <v>40725</v>
      </c>
      <c r="U150" s="62">
        <v>80</v>
      </c>
      <c r="V150" s="44" t="str">
        <f t="shared" ca="1" si="35"/>
        <v>0 ans 6 mois 13 jours</v>
      </c>
      <c r="W150" s="29">
        <v>0.5</v>
      </c>
      <c r="X150" s="43">
        <f t="shared" ca="1" si="36"/>
        <v>0.53935660506502392</v>
      </c>
      <c r="Y150" s="44" t="b">
        <f t="shared" ca="1" si="37"/>
        <v>0</v>
      </c>
      <c r="Z150" s="30">
        <v>40725</v>
      </c>
      <c r="AA150" s="71">
        <v>39814</v>
      </c>
      <c r="AB150" s="62">
        <v>6</v>
      </c>
      <c r="AC150" s="44">
        <f>IF(AG150&gt;0,VLOOKUP(AG150,Calculs!$B$3:$C$13,2),"")</f>
        <v>6</v>
      </c>
      <c r="AD150" s="30">
        <v>36465</v>
      </c>
      <c r="AE150" s="79">
        <f t="shared" si="38"/>
        <v>12.164271047227926</v>
      </c>
      <c r="AF150" s="44" t="str">
        <f t="shared" ca="1" si="39"/>
        <v>12 ans 2 mois 13 jours</v>
      </c>
      <c r="AG150" s="63">
        <v>12.17</v>
      </c>
      <c r="AH150" s="51">
        <v>47663</v>
      </c>
    </row>
    <row r="151" spans="1:34" x14ac:dyDescent="0.2">
      <c r="A151" s="109" t="s">
        <v>105</v>
      </c>
      <c r="B151" s="110"/>
      <c r="C151" s="110"/>
      <c r="D151" s="16"/>
      <c r="E151" s="2"/>
      <c r="F151" s="3"/>
      <c r="G151" s="3"/>
      <c r="H151" s="3"/>
      <c r="I151" s="4"/>
      <c r="J151" s="2"/>
      <c r="K151" s="4"/>
      <c r="L151" s="16" t="s">
        <v>25</v>
      </c>
      <c r="M151" s="16" t="s">
        <v>22</v>
      </c>
      <c r="N151" s="48">
        <v>24</v>
      </c>
      <c r="O151" s="62">
        <v>4</v>
      </c>
      <c r="P151" s="135" t="str">
        <f t="shared" ca="1" si="32"/>
        <v>0 ans 6 mois 13 jours</v>
      </c>
      <c r="Q151" s="29">
        <v>0.5</v>
      </c>
      <c r="R151" s="43">
        <f t="shared" ca="1" si="33"/>
        <v>0.53935660506502392</v>
      </c>
      <c r="S151" s="44" t="b">
        <f t="shared" ca="1" si="34"/>
        <v>0</v>
      </c>
      <c r="T151" s="68">
        <v>40725</v>
      </c>
      <c r="U151" s="62">
        <v>70</v>
      </c>
      <c r="V151" s="44" t="str">
        <f t="shared" ca="1" si="35"/>
        <v>0 ans 6 mois 13 jours</v>
      </c>
      <c r="W151" s="29">
        <v>0.5</v>
      </c>
      <c r="X151" s="43">
        <f t="shared" ca="1" si="36"/>
        <v>0.53935660506502392</v>
      </c>
      <c r="Y151" s="44" t="b">
        <f t="shared" ca="1" si="37"/>
        <v>0</v>
      </c>
      <c r="Z151" s="30">
        <v>40725</v>
      </c>
      <c r="AA151" s="71">
        <v>40179</v>
      </c>
      <c r="AB151" s="62">
        <v>3</v>
      </c>
      <c r="AC151" s="44">
        <f>IF(AG151&gt;0,VLOOKUP(AG151,Calculs!$B$3:$C$13,2),"")</f>
        <v>3</v>
      </c>
      <c r="AD151" s="30">
        <v>39783</v>
      </c>
      <c r="AE151" s="79">
        <f t="shared" si="38"/>
        <v>3.0800821355236141</v>
      </c>
      <c r="AF151" s="44" t="str">
        <f t="shared" ca="1" si="39"/>
        <v>3 ans 1 mois 13 jours</v>
      </c>
      <c r="AG151" s="63">
        <v>3.08</v>
      </c>
      <c r="AH151" s="51">
        <v>50389</v>
      </c>
    </row>
    <row r="152" spans="1:34" x14ac:dyDescent="0.2">
      <c r="A152" s="109" t="s">
        <v>149</v>
      </c>
      <c r="B152" s="110"/>
      <c r="C152" s="110"/>
      <c r="D152" s="16"/>
      <c r="E152" s="2"/>
      <c r="F152" s="3"/>
      <c r="G152" s="3"/>
      <c r="H152" s="3"/>
      <c r="I152" s="4"/>
      <c r="J152" s="5"/>
      <c r="K152" s="4"/>
      <c r="L152" s="16" t="s">
        <v>21</v>
      </c>
      <c r="M152" s="16" t="s">
        <v>22</v>
      </c>
      <c r="N152" s="48">
        <v>24.5</v>
      </c>
      <c r="O152" s="62">
        <v>5</v>
      </c>
      <c r="P152" s="135" t="str">
        <f t="shared" ca="1" si="32"/>
        <v>4 ans 0 mois 13 jours</v>
      </c>
      <c r="Q152" s="29">
        <v>4</v>
      </c>
      <c r="R152" s="43">
        <f t="shared" ca="1" si="33"/>
        <v>4.0355920602327169</v>
      </c>
      <c r="S152" s="44" t="b">
        <f t="shared" ca="1" si="34"/>
        <v>0</v>
      </c>
      <c r="T152" s="68">
        <v>39448</v>
      </c>
      <c r="U152" s="62">
        <v>95</v>
      </c>
      <c r="V152" s="44" t="str">
        <f t="shared" ca="1" si="35"/>
        <v>1 ans 0 mois 13 jours</v>
      </c>
      <c r="W152" s="29">
        <v>1</v>
      </c>
      <c r="X152" s="43">
        <f t="shared" ca="1" si="36"/>
        <v>1.0349075975359343</v>
      </c>
      <c r="Y152" s="44" t="b">
        <f t="shared" ca="1" si="37"/>
        <v>0</v>
      </c>
      <c r="Z152" s="30">
        <v>40544</v>
      </c>
      <c r="AA152" s="71">
        <v>40544</v>
      </c>
      <c r="AB152" s="62">
        <v>9</v>
      </c>
      <c r="AC152" s="44">
        <f>IF(AG152&gt;0,VLOOKUP(AG152,Calculs!$B$3:$C$13,2),"")</f>
        <v>9</v>
      </c>
      <c r="AD152" s="30">
        <v>33301</v>
      </c>
      <c r="AE152" s="79">
        <f t="shared" si="38"/>
        <v>20.826830937713893</v>
      </c>
      <c r="AF152" s="44" t="str">
        <f t="shared" ca="1" si="39"/>
        <v>20 ans 10 mois 10 jours</v>
      </c>
      <c r="AG152" s="63">
        <v>21.83</v>
      </c>
      <c r="AH152" s="51">
        <v>40716</v>
      </c>
    </row>
    <row r="153" spans="1:34" x14ac:dyDescent="0.2">
      <c r="A153" s="109" t="s">
        <v>117</v>
      </c>
      <c r="B153" s="110"/>
      <c r="C153" s="110"/>
      <c r="D153" s="16"/>
      <c r="E153" s="2"/>
      <c r="F153" s="3"/>
      <c r="G153" s="3"/>
      <c r="H153" s="3"/>
      <c r="I153" s="4"/>
      <c r="J153" s="2"/>
      <c r="K153" s="4"/>
      <c r="L153" s="16" t="s">
        <v>21</v>
      </c>
      <c r="M153" s="16" t="s">
        <v>22</v>
      </c>
      <c r="N153" s="48">
        <v>24</v>
      </c>
      <c r="O153" s="62">
        <v>6</v>
      </c>
      <c r="P153" s="135" t="str">
        <f t="shared" ca="1" si="32"/>
        <v>1 ans 6 mois 13 jours</v>
      </c>
      <c r="Q153" s="29">
        <v>1.5</v>
      </c>
      <c r="R153" s="43">
        <f t="shared" ca="1" si="33"/>
        <v>1.538672142368241</v>
      </c>
      <c r="S153" s="44" t="b">
        <f t="shared" ca="1" si="34"/>
        <v>0</v>
      </c>
      <c r="T153" s="68">
        <v>40360</v>
      </c>
      <c r="U153" s="62">
        <v>90</v>
      </c>
      <c r="V153" s="44" t="str">
        <f t="shared" ca="1" si="35"/>
        <v>1 ans 6 mois 13 jours</v>
      </c>
      <c r="W153" s="29">
        <v>1.5</v>
      </c>
      <c r="X153" s="43">
        <f t="shared" ca="1" si="36"/>
        <v>1.538672142368241</v>
      </c>
      <c r="Y153" s="44" t="b">
        <f t="shared" ca="1" si="37"/>
        <v>0</v>
      </c>
      <c r="Z153" s="30">
        <v>40360</v>
      </c>
      <c r="AA153" s="71">
        <v>39448</v>
      </c>
      <c r="AB153" s="62">
        <v>8</v>
      </c>
      <c r="AC153" s="44">
        <f>IF(AG153&gt;0,VLOOKUP(AG153,Calculs!$B$3:$C$13,2),"")</f>
        <v>8</v>
      </c>
      <c r="AD153" s="30">
        <v>34759</v>
      </c>
      <c r="AE153" s="79">
        <f t="shared" si="38"/>
        <v>16.83504449007529</v>
      </c>
      <c r="AF153" s="44" t="str">
        <f t="shared" ca="1" si="39"/>
        <v>16 ans 10 mois 13 jours</v>
      </c>
      <c r="AG153" s="63">
        <v>17.84</v>
      </c>
      <c r="AH153" s="51">
        <v>42901</v>
      </c>
    </row>
    <row r="154" spans="1:34" x14ac:dyDescent="0.2">
      <c r="A154" s="109" t="s">
        <v>142</v>
      </c>
      <c r="B154" s="110"/>
      <c r="C154" s="110"/>
      <c r="D154" s="16"/>
      <c r="E154" s="2"/>
      <c r="F154" s="3"/>
      <c r="G154" s="3"/>
      <c r="H154" s="3"/>
      <c r="I154" s="4"/>
      <c r="J154" s="2"/>
      <c r="K154" s="4"/>
      <c r="L154" s="16" t="s">
        <v>21</v>
      </c>
      <c r="M154" s="16" t="s">
        <v>22</v>
      </c>
      <c r="N154" s="48">
        <v>24.5</v>
      </c>
      <c r="O154" s="62">
        <v>5</v>
      </c>
      <c r="P154" s="135" t="str">
        <f t="shared" ca="1" si="32"/>
        <v>2 ans 8 mois 13 jours</v>
      </c>
      <c r="Q154" s="29">
        <v>2.67</v>
      </c>
      <c r="R154" s="43">
        <f t="shared" ca="1" si="33"/>
        <v>2.7049965776865159</v>
      </c>
      <c r="S154" s="44" t="b">
        <f t="shared" ca="1" si="34"/>
        <v>0</v>
      </c>
      <c r="T154" s="68">
        <v>39934</v>
      </c>
      <c r="U154" s="62">
        <v>110</v>
      </c>
      <c r="V154" s="44" t="str">
        <f t="shared" ca="1" si="35"/>
        <v>2 ans 8 mois 13 jours</v>
      </c>
      <c r="W154" s="29">
        <v>2.67</v>
      </c>
      <c r="X154" s="43">
        <f t="shared" ca="1" si="36"/>
        <v>2.7049965776865159</v>
      </c>
      <c r="Y154" s="44" t="b">
        <f t="shared" ca="1" si="37"/>
        <v>0</v>
      </c>
      <c r="Z154" s="30">
        <v>39934</v>
      </c>
      <c r="AA154" s="71">
        <v>39448</v>
      </c>
      <c r="AB154" s="62">
        <v>11</v>
      </c>
      <c r="AC154" s="44">
        <f>IF(AG154&gt;0,VLOOKUP(AG154,Calculs!$B$3:$C$13,2),"")</f>
        <v>11</v>
      </c>
      <c r="AD154" s="30">
        <v>29830</v>
      </c>
      <c r="AE154" s="79">
        <f t="shared" si="38"/>
        <v>30.329911019849419</v>
      </c>
      <c r="AF154" s="44" t="str">
        <f t="shared" ca="1" si="39"/>
        <v>30 ans 4 mois 13 jours</v>
      </c>
      <c r="AG154" s="63">
        <v>31.33</v>
      </c>
      <c r="AH154" s="51">
        <v>42743</v>
      </c>
    </row>
    <row r="155" spans="1:34" x14ac:dyDescent="0.2">
      <c r="A155" s="109" t="s">
        <v>89</v>
      </c>
      <c r="B155" s="110"/>
      <c r="C155" s="110"/>
      <c r="D155" s="16"/>
      <c r="E155" s="2"/>
      <c r="F155" s="3"/>
      <c r="G155" s="3"/>
      <c r="H155" s="3"/>
      <c r="I155" s="4"/>
      <c r="J155" s="2"/>
      <c r="K155" s="4"/>
      <c r="L155" s="16" t="s">
        <v>23</v>
      </c>
      <c r="M155" s="16" t="s">
        <v>24</v>
      </c>
      <c r="N155" s="48">
        <v>24</v>
      </c>
      <c r="O155" s="62">
        <v>8</v>
      </c>
      <c r="P155" s="135" t="str">
        <f t="shared" ca="1" si="32"/>
        <v>5 ans 0 mois 13 jours</v>
      </c>
      <c r="Q155" s="29">
        <v>4.25</v>
      </c>
      <c r="R155" s="43">
        <f t="shared" ca="1" si="33"/>
        <v>5.0349075975359341</v>
      </c>
      <c r="S155" s="44" t="b">
        <f t="shared" ca="1" si="34"/>
        <v>0</v>
      </c>
      <c r="T155" s="68">
        <v>39083</v>
      </c>
      <c r="U155" s="62">
        <v>130</v>
      </c>
      <c r="V155" s="44" t="str">
        <f t="shared" ca="1" si="35"/>
        <v>2 ans 0 mois 13 jours</v>
      </c>
      <c r="W155" s="29">
        <v>2</v>
      </c>
      <c r="X155" s="43">
        <f t="shared" ca="1" si="36"/>
        <v>2.0342231348391513</v>
      </c>
      <c r="Y155" s="44" t="b">
        <f t="shared" ca="1" si="37"/>
        <v>0</v>
      </c>
      <c r="Z155" s="30">
        <v>40179</v>
      </c>
      <c r="AA155" s="71">
        <v>40179</v>
      </c>
      <c r="AB155" s="62">
        <v>8</v>
      </c>
      <c r="AC155" s="44">
        <f>IF(AG155&gt;0,VLOOKUP(AG155,Calculs!$B$3:$C$13,2),"")</f>
        <v>8</v>
      </c>
      <c r="AD155" s="30">
        <v>34182</v>
      </c>
      <c r="AE155" s="79">
        <f t="shared" si="38"/>
        <v>18.414784394250514</v>
      </c>
      <c r="AF155" s="44" t="str">
        <f t="shared" ca="1" si="39"/>
        <v>18 ans 5 mois 13 jours</v>
      </c>
      <c r="AG155" s="63">
        <v>20.309999999999999</v>
      </c>
      <c r="AH155" s="51">
        <v>46667</v>
      </c>
    </row>
    <row r="156" spans="1:34" x14ac:dyDescent="0.2">
      <c r="A156" s="109" t="s">
        <v>115</v>
      </c>
      <c r="B156" s="110"/>
      <c r="C156" s="110"/>
      <c r="D156" s="16"/>
      <c r="E156" s="2"/>
      <c r="F156" s="3"/>
      <c r="G156" s="3"/>
      <c r="H156" s="3"/>
      <c r="I156" s="4"/>
      <c r="J156" s="5"/>
      <c r="K156" s="4"/>
      <c r="L156" s="16" t="s">
        <v>23</v>
      </c>
      <c r="M156" s="16" t="s">
        <v>24</v>
      </c>
      <c r="N156" s="48">
        <v>24</v>
      </c>
      <c r="O156" s="62">
        <v>7</v>
      </c>
      <c r="P156" s="135" t="str">
        <f t="shared" ca="1" si="32"/>
        <v>2 ans 2 mois 13 jours</v>
      </c>
      <c r="Q156" s="29">
        <v>2.17</v>
      </c>
      <c r="R156" s="43">
        <f t="shared" ca="1" si="33"/>
        <v>2.2012320328542097</v>
      </c>
      <c r="S156" s="44" t="b">
        <f t="shared" ca="1" si="34"/>
        <v>0</v>
      </c>
      <c r="T156" s="68">
        <v>40118</v>
      </c>
      <c r="U156" s="62">
        <v>120</v>
      </c>
      <c r="V156" s="44" t="str">
        <f t="shared" ca="1" si="35"/>
        <v>2 ans 2 mois 13 jours</v>
      </c>
      <c r="W156" s="29">
        <v>2.17</v>
      </c>
      <c r="X156" s="43">
        <f t="shared" ca="1" si="36"/>
        <v>2.2012320328542097</v>
      </c>
      <c r="Y156" s="44" t="b">
        <f t="shared" ca="1" si="37"/>
        <v>0</v>
      </c>
      <c r="Z156" s="30">
        <v>40118</v>
      </c>
      <c r="AA156" s="71">
        <v>39083</v>
      </c>
      <c r="AB156" s="62">
        <v>10</v>
      </c>
      <c r="AC156" s="44">
        <f>IF(AG156&gt;0,VLOOKUP(AG156,Calculs!$B$3:$C$13,2),"")</f>
        <v>10</v>
      </c>
      <c r="AD156" s="30">
        <v>32034</v>
      </c>
      <c r="AE156" s="79">
        <f t="shared" si="38"/>
        <v>24.295687885010267</v>
      </c>
      <c r="AF156" s="44" t="str">
        <f t="shared" ca="1" si="39"/>
        <v>24 ans 4 mois 0 jours</v>
      </c>
      <c r="AG156" s="63">
        <v>25.69</v>
      </c>
      <c r="AH156" s="51">
        <v>45088</v>
      </c>
    </row>
    <row r="157" spans="1:34" x14ac:dyDescent="0.2">
      <c r="A157" s="109" t="s">
        <v>99</v>
      </c>
      <c r="B157" s="110"/>
      <c r="C157" s="110"/>
      <c r="D157" s="16"/>
      <c r="E157" s="2"/>
      <c r="F157" s="3"/>
      <c r="G157" s="3"/>
      <c r="H157" s="3"/>
      <c r="I157" s="4"/>
      <c r="J157" s="2"/>
      <c r="K157" s="4"/>
      <c r="L157" s="16" t="s">
        <v>23</v>
      </c>
      <c r="M157" s="16" t="s">
        <v>24</v>
      </c>
      <c r="N157" s="48">
        <v>24</v>
      </c>
      <c r="O157" s="62">
        <v>11</v>
      </c>
      <c r="P157" s="135" t="str">
        <f t="shared" ca="1" si="32"/>
        <v>8 ans 10 mois 10 jours</v>
      </c>
      <c r="Q157" s="29">
        <v>8.83</v>
      </c>
      <c r="R157" s="43">
        <f t="shared" ca="1" si="33"/>
        <v>8.8651608487337441</v>
      </c>
      <c r="S157" s="44" t="b">
        <f t="shared" ca="1" si="34"/>
        <v>1</v>
      </c>
      <c r="T157" s="68">
        <v>37684</v>
      </c>
      <c r="U157" s="62">
        <v>190</v>
      </c>
      <c r="V157" s="44" t="str">
        <f t="shared" ca="1" si="35"/>
        <v>1 ans 0 mois 13 jours</v>
      </c>
      <c r="W157" s="29">
        <v>1</v>
      </c>
      <c r="X157" s="43">
        <f t="shared" ca="1" si="36"/>
        <v>1.0349075975359343</v>
      </c>
      <c r="Y157" s="44" t="b">
        <f t="shared" ca="1" si="37"/>
        <v>0</v>
      </c>
      <c r="Z157" s="30">
        <v>40544</v>
      </c>
      <c r="AA157" s="71">
        <v>40544</v>
      </c>
      <c r="AB157" s="62">
        <v>11</v>
      </c>
      <c r="AC157" s="44">
        <f>IF(AG157&gt;0,VLOOKUP(AG157,Calculs!$B$3:$C$13,2),"")</f>
        <v>11</v>
      </c>
      <c r="AD157" s="30">
        <v>29151</v>
      </c>
      <c r="AE157" s="79">
        <f t="shared" si="38"/>
        <v>32.188911704312112</v>
      </c>
      <c r="AF157" s="44" t="str">
        <f t="shared" ca="1" si="39"/>
        <v>32 ans 2 mois 22 jours</v>
      </c>
      <c r="AG157" s="63">
        <v>33.71</v>
      </c>
      <c r="AH157" s="51">
        <v>42090</v>
      </c>
    </row>
    <row r="158" spans="1:34" x14ac:dyDescent="0.2">
      <c r="A158" s="109" t="s">
        <v>119</v>
      </c>
      <c r="B158" s="110"/>
      <c r="C158" s="110"/>
      <c r="D158" s="16"/>
      <c r="E158" s="2"/>
      <c r="F158" s="3"/>
      <c r="G158" s="3"/>
      <c r="H158" s="3"/>
      <c r="I158" s="4"/>
      <c r="J158" s="2"/>
      <c r="K158" s="4"/>
      <c r="L158" s="16" t="s">
        <v>21</v>
      </c>
      <c r="M158" s="16" t="s">
        <v>22</v>
      </c>
      <c r="N158" s="48">
        <v>24</v>
      </c>
      <c r="O158" s="62">
        <v>5</v>
      </c>
      <c r="P158" s="135" t="str">
        <f t="shared" ca="1" si="32"/>
        <v>24 ans 3 mois 12 jours</v>
      </c>
      <c r="Q158" s="29">
        <v>24.17</v>
      </c>
      <c r="R158" s="43">
        <f t="shared" ca="1" si="33"/>
        <v>24.284736481861739</v>
      </c>
      <c r="S158" s="44" t="b">
        <f t="shared" ca="1" si="34"/>
        <v>1</v>
      </c>
      <c r="T158" s="68">
        <v>32052</v>
      </c>
      <c r="U158" s="62">
        <v>100</v>
      </c>
      <c r="V158" s="44" t="str">
        <f t="shared" ca="1" si="35"/>
        <v>2 ans 0 mois 13 jours</v>
      </c>
      <c r="W158" s="29">
        <v>2</v>
      </c>
      <c r="X158" s="43">
        <f t="shared" ca="1" si="36"/>
        <v>2.0342231348391513</v>
      </c>
      <c r="Y158" s="44" t="b">
        <f t="shared" ca="1" si="37"/>
        <v>0</v>
      </c>
      <c r="Z158" s="30">
        <v>40179</v>
      </c>
      <c r="AA158" s="71">
        <v>40179</v>
      </c>
      <c r="AB158" s="62">
        <v>10</v>
      </c>
      <c r="AC158" s="44">
        <f>IF(AG158&gt;0,VLOOKUP(AG158,Calculs!$B$3:$C$13,2),"")</f>
        <v>11</v>
      </c>
      <c r="AD158" s="30">
        <v>29990</v>
      </c>
      <c r="AE158" s="79">
        <f t="shared" si="38"/>
        <v>29.891854893908281</v>
      </c>
      <c r="AF158" s="44" t="str">
        <f t="shared" ca="1" si="39"/>
        <v>29 ans 11 mois 6 jours</v>
      </c>
      <c r="AG158" s="63">
        <v>30.9</v>
      </c>
      <c r="AH158" s="51">
        <v>42241</v>
      </c>
    </row>
    <row r="159" spans="1:34" x14ac:dyDescent="0.2">
      <c r="A159" s="109" t="s">
        <v>127</v>
      </c>
      <c r="B159" s="110"/>
      <c r="C159" s="110"/>
      <c r="D159" s="16"/>
      <c r="E159" s="2"/>
      <c r="F159" s="3"/>
      <c r="G159" s="3"/>
      <c r="H159" s="3"/>
      <c r="I159" s="4"/>
      <c r="J159" s="5"/>
      <c r="K159" s="4"/>
      <c r="L159" s="16" t="s">
        <v>21</v>
      </c>
      <c r="M159" s="16" t="s">
        <v>22</v>
      </c>
      <c r="N159" s="48">
        <v>24</v>
      </c>
      <c r="O159" s="62">
        <v>6</v>
      </c>
      <c r="P159" s="135" t="str">
        <f t="shared" ca="1" si="32"/>
        <v>1 ans 6 mois 13 jours</v>
      </c>
      <c r="Q159" s="29">
        <v>1.5</v>
      </c>
      <c r="R159" s="43">
        <f t="shared" ca="1" si="33"/>
        <v>1.538672142368241</v>
      </c>
      <c r="S159" s="44" t="b">
        <f t="shared" ca="1" si="34"/>
        <v>0</v>
      </c>
      <c r="T159" s="68">
        <v>40360</v>
      </c>
      <c r="U159" s="62">
        <v>90</v>
      </c>
      <c r="V159" s="44" t="str">
        <f t="shared" ca="1" si="35"/>
        <v>1 ans 6 mois 13 jours</v>
      </c>
      <c r="W159" s="29">
        <v>1.5</v>
      </c>
      <c r="X159" s="43">
        <f t="shared" ca="1" si="36"/>
        <v>1.538672142368241</v>
      </c>
      <c r="Y159" s="44" t="b">
        <f t="shared" ca="1" si="37"/>
        <v>0</v>
      </c>
      <c r="Z159" s="30">
        <v>40360</v>
      </c>
      <c r="AA159" s="71">
        <v>39814</v>
      </c>
      <c r="AB159" s="62">
        <v>7</v>
      </c>
      <c r="AC159" s="44">
        <f>IF(AG159&gt;0,VLOOKUP(AG159,Calculs!$B$3:$C$13,2),"")</f>
        <v>7</v>
      </c>
      <c r="AD159" s="30">
        <v>36770</v>
      </c>
      <c r="AE159" s="79">
        <f t="shared" si="38"/>
        <v>11.329226557152635</v>
      </c>
      <c r="AF159" s="44" t="str">
        <f t="shared" ca="1" si="39"/>
        <v>11 ans 4 mois 13 jours</v>
      </c>
      <c r="AG159" s="63">
        <v>13.33</v>
      </c>
      <c r="AH159" s="51">
        <v>50713</v>
      </c>
    </row>
    <row r="160" spans="1:34" x14ac:dyDescent="0.2">
      <c r="A160" s="109" t="s">
        <v>150</v>
      </c>
      <c r="B160" s="110"/>
      <c r="C160" s="110"/>
      <c r="D160" s="16"/>
      <c r="E160" s="2"/>
      <c r="F160" s="3"/>
      <c r="G160" s="3"/>
      <c r="H160" s="3"/>
      <c r="I160" s="4"/>
      <c r="J160" s="2"/>
      <c r="K160" s="4"/>
      <c r="L160" s="16" t="s">
        <v>25</v>
      </c>
      <c r="M160" s="16" t="s">
        <v>22</v>
      </c>
      <c r="N160" s="48">
        <v>24.5</v>
      </c>
      <c r="O160" s="62">
        <v>3</v>
      </c>
      <c r="P160" s="135" t="str">
        <f t="shared" ca="1" si="32"/>
        <v>0 ans 4 mois 8 jours</v>
      </c>
      <c r="Q160" s="29">
        <v>1.33</v>
      </c>
      <c r="R160" s="43">
        <f t="shared" ca="1" si="33"/>
        <v>0.35592060232717315</v>
      </c>
      <c r="S160" s="44" t="b">
        <f t="shared" ca="1" si="34"/>
        <v>0</v>
      </c>
      <c r="T160" s="68">
        <v>40792</v>
      </c>
      <c r="U160" s="62">
        <v>50</v>
      </c>
      <c r="V160" s="44" t="str">
        <f t="shared" ca="1" si="35"/>
        <v>1 ans 4 mois 8 jours</v>
      </c>
      <c r="W160" s="29">
        <v>1.33</v>
      </c>
      <c r="X160" s="43">
        <f t="shared" ca="1" si="36"/>
        <v>1.3552361396303902</v>
      </c>
      <c r="Y160" s="44" t="b">
        <f t="shared" ca="1" si="37"/>
        <v>0</v>
      </c>
      <c r="Z160" s="30">
        <v>40427</v>
      </c>
      <c r="AA160" s="71" t="s">
        <v>26</v>
      </c>
      <c r="AB160" s="62">
        <v>3</v>
      </c>
      <c r="AC160" s="44">
        <f>IF(AG160&gt;0,VLOOKUP(AG160,Calculs!$B$3:$C$13,2),"")</f>
        <v>2</v>
      </c>
      <c r="AD160" s="30">
        <v>40427</v>
      </c>
      <c r="AE160" s="79">
        <f t="shared" si="38"/>
        <v>1.3169062286105406</v>
      </c>
      <c r="AF160" s="44" t="str">
        <f t="shared" ca="1" si="39"/>
        <v>1 ans 4 mois 8 jours</v>
      </c>
      <c r="AG160" s="63">
        <v>1.32</v>
      </c>
      <c r="AH160" s="51">
        <v>53295</v>
      </c>
    </row>
    <row r="161" spans="1:34" x14ac:dyDescent="0.2">
      <c r="A161" s="109" t="s">
        <v>77</v>
      </c>
      <c r="B161" s="110"/>
      <c r="C161" s="110"/>
      <c r="D161" s="16"/>
      <c r="E161" s="2"/>
      <c r="F161" s="3"/>
      <c r="G161" s="3"/>
      <c r="H161" s="3"/>
      <c r="I161" s="4"/>
      <c r="J161" s="2"/>
      <c r="K161" s="4"/>
      <c r="L161" s="16" t="s">
        <v>27</v>
      </c>
      <c r="M161" s="16" t="s">
        <v>24</v>
      </c>
      <c r="N161" s="48">
        <v>24</v>
      </c>
      <c r="O161" s="62">
        <v>8</v>
      </c>
      <c r="P161" s="135" t="str">
        <f t="shared" ca="1" si="32"/>
        <v>3 ans 0 mois 9 jours</v>
      </c>
      <c r="Q161" s="29">
        <v>3</v>
      </c>
      <c r="R161" s="43">
        <f t="shared" ca="1" si="33"/>
        <v>3.0225872689938398</v>
      </c>
      <c r="S161" s="44" t="b">
        <f t="shared" ca="1" si="34"/>
        <v>0</v>
      </c>
      <c r="T161" s="68">
        <v>39818</v>
      </c>
      <c r="U161" s="62">
        <v>105</v>
      </c>
      <c r="V161" s="44" t="str">
        <f t="shared" ca="1" si="35"/>
        <v>2 ans 0 mois 13 jours</v>
      </c>
      <c r="W161" s="29">
        <v>2</v>
      </c>
      <c r="X161" s="43">
        <f t="shared" ca="1" si="36"/>
        <v>2.0342231348391513</v>
      </c>
      <c r="Y161" s="44" t="b">
        <f t="shared" ca="1" si="37"/>
        <v>0</v>
      </c>
      <c r="Z161" s="30">
        <v>40179</v>
      </c>
      <c r="AA161" s="71">
        <v>40179</v>
      </c>
      <c r="AB161" s="62">
        <v>3</v>
      </c>
      <c r="AC161" s="44">
        <f>IF(AG161&gt;0,VLOOKUP(AG161,Calculs!$B$3:$C$13,2),"")</f>
        <v>3</v>
      </c>
      <c r="AD161" s="30">
        <v>39818</v>
      </c>
      <c r="AE161" s="79">
        <f t="shared" si="38"/>
        <v>2.9842573579739904</v>
      </c>
      <c r="AF161" s="44" t="str">
        <f t="shared" ca="1" si="39"/>
        <v>3 ans 0 mois 9 jours</v>
      </c>
      <c r="AG161" s="63">
        <v>2.99</v>
      </c>
      <c r="AH161" s="51">
        <v>50130</v>
      </c>
    </row>
    <row r="162" spans="1:34" x14ac:dyDescent="0.2">
      <c r="A162" s="109" t="s">
        <v>151</v>
      </c>
      <c r="B162" s="110"/>
      <c r="C162" s="110"/>
      <c r="D162" s="16"/>
      <c r="E162" s="2"/>
      <c r="F162" s="3"/>
      <c r="G162" s="3"/>
      <c r="H162" s="3"/>
      <c r="I162" s="4"/>
      <c r="J162" s="2"/>
      <c r="K162" s="4"/>
      <c r="L162" s="16" t="s">
        <v>23</v>
      </c>
      <c r="M162" s="16" t="s">
        <v>24</v>
      </c>
      <c r="N162" s="48">
        <v>24.5</v>
      </c>
      <c r="O162" s="62">
        <v>7</v>
      </c>
      <c r="P162" s="135" t="str">
        <f t="shared" ref="P162:P189" ca="1" si="40">IF(T162&gt;0,DATEDIF(T162,TODAY(),"y")&amp;" ans "&amp;DATEDIF(T162,TODAY(),"ym")&amp;" mois "&amp;DATEDIF(T162,TODAY(),"md")&amp;" jours","")</f>
        <v>1 ans 6 mois 13 jours</v>
      </c>
      <c r="Q162" s="29">
        <v>1.5</v>
      </c>
      <c r="R162" s="43">
        <f t="shared" ref="R162:R189" ca="1" si="41">IF(T162&gt;0,(TODAY()-T162)/365.25,"")</f>
        <v>1.538672142368241</v>
      </c>
      <c r="S162" s="44" t="b">
        <f t="shared" ref="S162:S193" ca="1" si="42">IF(T162&gt;0,DATEDIF(T162,TODAY(),"m")&gt;=84,"")</f>
        <v>0</v>
      </c>
      <c r="T162" s="68">
        <v>40360</v>
      </c>
      <c r="U162" s="62">
        <v>105</v>
      </c>
      <c r="V162" s="44" t="str">
        <f t="shared" ref="V162:V189" ca="1" si="43">IF(Z162&gt;0,DATEDIF(Z162,TODAY(),"y")&amp;" ans "&amp;DATEDIF(Z162,TODAY(),"ym")&amp;" mois "&amp;DATEDIF(Z162,TODAY(),"md")&amp;" jours","")</f>
        <v>1 ans 6 mois 13 jours</v>
      </c>
      <c r="W162" s="29">
        <v>1.5</v>
      </c>
      <c r="X162" s="43">
        <f t="shared" ref="X162:X189" ca="1" si="44">IF(Z162&gt;0,(TODAY()-Z162)/365.25,"")</f>
        <v>1.538672142368241</v>
      </c>
      <c r="Y162" s="44" t="b">
        <f t="shared" ref="Y162:Y193" ca="1" si="45">IF(Z162&gt;0,DATEDIF(Z162,TODAY(),"m")&gt;=48,"")</f>
        <v>0</v>
      </c>
      <c r="Z162" s="30">
        <v>40360</v>
      </c>
      <c r="AA162" s="71">
        <v>39083</v>
      </c>
      <c r="AB162" s="62">
        <v>7</v>
      </c>
      <c r="AC162" s="44">
        <f>IF(AG162&gt;0,VLOOKUP(AG162,Calculs!$B$3:$C$13,2),"")</f>
        <v>7</v>
      </c>
      <c r="AD162" s="30">
        <v>35541</v>
      </c>
      <c r="AE162" s="79">
        <f t="shared" ref="AE162:AE193" si="46">IF(AD162&gt;0,(DATE(2011,12,31)-AD162)/365.25,"")</f>
        <v>14.694045174537989</v>
      </c>
      <c r="AF162" s="44" t="str">
        <f t="shared" ref="AF162:AF189" ca="1" si="47">IF(AD162&gt;0,DATEDIF(AD162,TODAY(),"y")&amp;" ans "&amp;DATEDIF(AD162,TODAY(),"ym")&amp;" mois "&amp;DATEDIF(AD162,TODAY(),"md")&amp;" jours","")</f>
        <v>14 ans 8 mois 24 jours</v>
      </c>
      <c r="AG162" s="63">
        <v>14.69</v>
      </c>
      <c r="AH162" s="51">
        <v>46945</v>
      </c>
    </row>
    <row r="163" spans="1:34" x14ac:dyDescent="0.2">
      <c r="A163" s="109" t="s">
        <v>152</v>
      </c>
      <c r="B163" s="110"/>
      <c r="C163" s="110"/>
      <c r="D163" s="16"/>
      <c r="E163" s="2"/>
      <c r="F163" s="3"/>
      <c r="G163" s="3"/>
      <c r="H163" s="3"/>
      <c r="I163" s="4"/>
      <c r="J163" s="2"/>
      <c r="K163" s="4"/>
      <c r="L163" s="16" t="s">
        <v>27</v>
      </c>
      <c r="M163" s="16" t="s">
        <v>24</v>
      </c>
      <c r="N163" s="48">
        <v>24</v>
      </c>
      <c r="O163" s="62">
        <v>8</v>
      </c>
      <c r="P163" s="135" t="str">
        <f t="shared" ca="1" si="40"/>
        <v>0 ans 4 mois 13 jours</v>
      </c>
      <c r="Q163" s="29">
        <v>0.33</v>
      </c>
      <c r="R163" s="43">
        <f t="shared" ca="1" si="41"/>
        <v>0.36960985626283366</v>
      </c>
      <c r="S163" s="44" t="b">
        <f t="shared" ca="1" si="42"/>
        <v>0</v>
      </c>
      <c r="T163" s="68">
        <v>40787</v>
      </c>
      <c r="U163" s="62">
        <v>90</v>
      </c>
      <c r="V163" s="44" t="str">
        <f t="shared" ca="1" si="43"/>
        <v>0 ans 4 mois 13 jours</v>
      </c>
      <c r="W163" s="29">
        <v>0.33</v>
      </c>
      <c r="X163" s="43">
        <f t="shared" ca="1" si="44"/>
        <v>0.36960985626283366</v>
      </c>
      <c r="Y163" s="44" t="b">
        <f t="shared" ca="1" si="45"/>
        <v>0</v>
      </c>
      <c r="Z163" s="30">
        <v>40787</v>
      </c>
      <c r="AA163" s="71" t="s">
        <v>26</v>
      </c>
      <c r="AB163" s="62">
        <v>3</v>
      </c>
      <c r="AC163" s="44">
        <f>IF(AG163&gt;0,VLOOKUP(AG163,Calculs!$B$3:$C$13,2),"")</f>
        <v>2</v>
      </c>
      <c r="AD163" s="30">
        <v>40787</v>
      </c>
      <c r="AE163" s="79">
        <f t="shared" si="46"/>
        <v>0.33127994524298426</v>
      </c>
      <c r="AF163" s="44" t="str">
        <f t="shared" ca="1" si="47"/>
        <v>0 ans 4 mois 13 jours</v>
      </c>
      <c r="AG163" s="63">
        <v>0.34</v>
      </c>
      <c r="AH163" s="52" t="s">
        <v>26</v>
      </c>
    </row>
    <row r="164" spans="1:34" x14ac:dyDescent="0.2">
      <c r="A164" s="109" t="s">
        <v>80</v>
      </c>
      <c r="B164" s="110"/>
      <c r="C164" s="110"/>
      <c r="D164" s="16"/>
      <c r="E164" s="2"/>
      <c r="F164" s="3"/>
      <c r="G164" s="3"/>
      <c r="H164" s="3"/>
      <c r="I164" s="4"/>
      <c r="J164" s="5"/>
      <c r="K164" s="4"/>
      <c r="L164" s="16" t="s">
        <v>21</v>
      </c>
      <c r="M164" s="16" t="s">
        <v>22</v>
      </c>
      <c r="N164" s="48">
        <v>24.5</v>
      </c>
      <c r="O164" s="62">
        <v>5</v>
      </c>
      <c r="P164" s="135" t="str">
        <f t="shared" ca="1" si="40"/>
        <v>11 ans 3 mois 12 jours</v>
      </c>
      <c r="Q164" s="29">
        <v>11.17</v>
      </c>
      <c r="R164" s="43">
        <f t="shared" ca="1" si="41"/>
        <v>11.282683093771389</v>
      </c>
      <c r="S164" s="44" t="b">
        <f t="shared" ca="1" si="42"/>
        <v>1</v>
      </c>
      <c r="T164" s="68">
        <v>36801</v>
      </c>
      <c r="U164" s="62">
        <v>90</v>
      </c>
      <c r="V164" s="44" t="str">
        <f t="shared" ca="1" si="43"/>
        <v>3 ans 0 mois 13 jours</v>
      </c>
      <c r="W164" s="29">
        <v>3</v>
      </c>
      <c r="X164" s="43">
        <f t="shared" ca="1" si="44"/>
        <v>3.0335386721423681</v>
      </c>
      <c r="Y164" s="44" t="b">
        <f t="shared" ca="1" si="45"/>
        <v>0</v>
      </c>
      <c r="Z164" s="30">
        <v>39814</v>
      </c>
      <c r="AA164" s="71">
        <v>39814</v>
      </c>
      <c r="AB164" s="62">
        <v>9</v>
      </c>
      <c r="AC164" s="44">
        <f>IF(AG164&gt;0,VLOOKUP(AG164,Calculs!$B$3:$C$13,2),"")</f>
        <v>9</v>
      </c>
      <c r="AD164" s="30">
        <v>32552</v>
      </c>
      <c r="AE164" s="79">
        <f t="shared" si="46"/>
        <v>22.87748117727584</v>
      </c>
      <c r="AF164" s="44" t="str">
        <f t="shared" ca="1" si="47"/>
        <v>22 ans 11 mois 1 jours</v>
      </c>
      <c r="AG164" s="63">
        <v>23.88</v>
      </c>
      <c r="AH164" s="51">
        <v>40707</v>
      </c>
    </row>
    <row r="165" spans="1:34" x14ac:dyDescent="0.2">
      <c r="A165" s="109" t="s">
        <v>106</v>
      </c>
      <c r="B165" s="110"/>
      <c r="C165" s="110"/>
      <c r="D165" s="16"/>
      <c r="E165" s="2"/>
      <c r="F165" s="3"/>
      <c r="G165" s="3"/>
      <c r="H165" s="3"/>
      <c r="I165" s="4"/>
      <c r="J165" s="2"/>
      <c r="K165" s="4"/>
      <c r="L165" s="16" t="s">
        <v>25</v>
      </c>
      <c r="M165" s="16" t="s">
        <v>22</v>
      </c>
      <c r="N165" s="48">
        <v>24.5</v>
      </c>
      <c r="O165" s="62">
        <v>3</v>
      </c>
      <c r="P165" s="135" t="str">
        <f t="shared" ca="1" si="40"/>
        <v>2 ans 0 mois 10 jours</v>
      </c>
      <c r="Q165" s="29">
        <v>2</v>
      </c>
      <c r="R165" s="43">
        <f t="shared" ca="1" si="41"/>
        <v>2.0260095824777551</v>
      </c>
      <c r="S165" s="44" t="b">
        <f t="shared" ca="1" si="42"/>
        <v>0</v>
      </c>
      <c r="T165" s="68">
        <v>40182</v>
      </c>
      <c r="U165" s="62">
        <v>60</v>
      </c>
      <c r="V165" s="44" t="str">
        <f t="shared" ca="1" si="43"/>
        <v>1 ans 0 mois 13 jours</v>
      </c>
      <c r="W165" s="29">
        <v>1</v>
      </c>
      <c r="X165" s="43">
        <f t="shared" ca="1" si="44"/>
        <v>1.0349075975359343</v>
      </c>
      <c r="Y165" s="44" t="b">
        <f t="shared" ca="1" si="45"/>
        <v>0</v>
      </c>
      <c r="Z165" s="30">
        <v>40544</v>
      </c>
      <c r="AA165" s="71">
        <v>40544</v>
      </c>
      <c r="AB165" s="62">
        <v>2</v>
      </c>
      <c r="AC165" s="44">
        <f>IF(AG165&gt;0,VLOOKUP(AG165,Calculs!$B$3:$C$13,2),"")</f>
        <v>2</v>
      </c>
      <c r="AD165" s="30">
        <v>40182</v>
      </c>
      <c r="AE165" s="79">
        <f t="shared" si="46"/>
        <v>1.9876796714579055</v>
      </c>
      <c r="AF165" s="44" t="str">
        <f t="shared" ca="1" si="47"/>
        <v>2 ans 0 mois 10 jours</v>
      </c>
      <c r="AG165" s="63">
        <v>1.99</v>
      </c>
      <c r="AH165" s="51">
        <v>51814</v>
      </c>
    </row>
    <row r="166" spans="1:34" x14ac:dyDescent="0.2">
      <c r="A166" s="109" t="s">
        <v>153</v>
      </c>
      <c r="B166" s="110"/>
      <c r="C166" s="110"/>
      <c r="D166" s="16"/>
      <c r="E166" s="2"/>
      <c r="F166" s="3"/>
      <c r="G166" s="3"/>
      <c r="H166" s="3"/>
      <c r="I166" s="4"/>
      <c r="J166" s="2"/>
      <c r="K166" s="4"/>
      <c r="L166" s="16" t="s">
        <v>27</v>
      </c>
      <c r="M166" s="16" t="s">
        <v>24</v>
      </c>
      <c r="N166" s="48">
        <v>24.5</v>
      </c>
      <c r="O166" s="62">
        <v>8</v>
      </c>
      <c r="P166" s="135" t="str">
        <f t="shared" ca="1" si="40"/>
        <v>4 ans 1 mois 4 jours</v>
      </c>
      <c r="Q166" s="29">
        <v>4.08</v>
      </c>
      <c r="R166" s="43">
        <f t="shared" ca="1" si="41"/>
        <v>4.0958247775496233</v>
      </c>
      <c r="S166" s="44" t="b">
        <f t="shared" ca="1" si="42"/>
        <v>0</v>
      </c>
      <c r="T166" s="68">
        <v>39426</v>
      </c>
      <c r="U166" s="62">
        <v>105</v>
      </c>
      <c r="V166" s="44" t="str">
        <f t="shared" ca="1" si="43"/>
        <v>2 ans 0 mois 13 jours</v>
      </c>
      <c r="W166" s="29">
        <v>2</v>
      </c>
      <c r="X166" s="43">
        <f t="shared" ca="1" si="44"/>
        <v>2.0342231348391513</v>
      </c>
      <c r="Y166" s="44" t="b">
        <f t="shared" ca="1" si="45"/>
        <v>0</v>
      </c>
      <c r="Z166" s="30">
        <v>40179</v>
      </c>
      <c r="AA166" s="71">
        <v>40179</v>
      </c>
      <c r="AB166" s="62">
        <v>4</v>
      </c>
      <c r="AC166" s="44">
        <f>IF(AG166&gt;0,VLOOKUP(AG166,Calculs!$B$3:$C$13,2),"")</f>
        <v>4</v>
      </c>
      <c r="AD166" s="30">
        <v>39426</v>
      </c>
      <c r="AE166" s="79">
        <f t="shared" si="46"/>
        <v>4.0574948665297743</v>
      </c>
      <c r="AF166" s="44" t="str">
        <f t="shared" ca="1" si="47"/>
        <v>4 ans 1 mois 4 jours</v>
      </c>
      <c r="AG166" s="63">
        <v>4.0599999999999996</v>
      </c>
      <c r="AH166" s="51">
        <v>51615</v>
      </c>
    </row>
    <row r="167" spans="1:34" x14ac:dyDescent="0.2">
      <c r="A167" s="109" t="s">
        <v>86</v>
      </c>
      <c r="B167" s="110"/>
      <c r="C167" s="110"/>
      <c r="D167" s="16"/>
      <c r="E167" s="2"/>
      <c r="F167" s="3"/>
      <c r="G167" s="3"/>
      <c r="H167" s="3"/>
      <c r="I167" s="4"/>
      <c r="J167" s="2"/>
      <c r="K167" s="4"/>
      <c r="L167" s="16" t="s">
        <v>25</v>
      </c>
      <c r="M167" s="16" t="s">
        <v>22</v>
      </c>
      <c r="N167" s="48">
        <v>24</v>
      </c>
      <c r="O167" s="62">
        <v>3</v>
      </c>
      <c r="P167" s="135" t="str">
        <f t="shared" ca="1" si="40"/>
        <v>4 ans 1 mois 11 jours</v>
      </c>
      <c r="Q167" s="29">
        <v>4.08</v>
      </c>
      <c r="R167" s="43">
        <f t="shared" ca="1" si="41"/>
        <v>4.1149897330595486</v>
      </c>
      <c r="S167" s="44" t="b">
        <f t="shared" ca="1" si="42"/>
        <v>0</v>
      </c>
      <c r="T167" s="68">
        <v>39419</v>
      </c>
      <c r="U167" s="62">
        <v>60</v>
      </c>
      <c r="V167" s="44" t="str">
        <f t="shared" ca="1" si="43"/>
        <v>1 ans 0 mois 13 jours</v>
      </c>
      <c r="W167" s="29">
        <v>1</v>
      </c>
      <c r="X167" s="43">
        <f t="shared" ca="1" si="44"/>
        <v>1.0349075975359343</v>
      </c>
      <c r="Y167" s="44" t="b">
        <f t="shared" ca="1" si="45"/>
        <v>0</v>
      </c>
      <c r="Z167" s="30">
        <v>40544</v>
      </c>
      <c r="AA167" s="71">
        <v>40544</v>
      </c>
      <c r="AB167" s="62">
        <v>4</v>
      </c>
      <c r="AC167" s="44">
        <f>IF(AG167&gt;0,VLOOKUP(AG167,Calculs!$B$3:$C$13,2),"")</f>
        <v>4</v>
      </c>
      <c r="AD167" s="30">
        <v>39419</v>
      </c>
      <c r="AE167" s="79">
        <f t="shared" si="46"/>
        <v>4.0766598220396988</v>
      </c>
      <c r="AF167" s="44" t="str">
        <f t="shared" ca="1" si="47"/>
        <v>4 ans 1 mois 11 jours</v>
      </c>
      <c r="AG167" s="63">
        <v>4.08</v>
      </c>
      <c r="AH167" s="51">
        <v>47954</v>
      </c>
    </row>
    <row r="168" spans="1:34" x14ac:dyDescent="0.2">
      <c r="A168" s="109" t="s">
        <v>99</v>
      </c>
      <c r="B168" s="110"/>
      <c r="C168" s="110"/>
      <c r="D168" s="16"/>
      <c r="E168" s="2"/>
      <c r="F168" s="3"/>
      <c r="G168" s="3"/>
      <c r="H168" s="3"/>
      <c r="I168" s="4"/>
      <c r="J168" s="5"/>
      <c r="K168" s="4"/>
      <c r="L168" s="16" t="s">
        <v>21</v>
      </c>
      <c r="M168" s="16" t="s">
        <v>22</v>
      </c>
      <c r="N168" s="48">
        <v>24</v>
      </c>
      <c r="O168" s="62">
        <v>5</v>
      </c>
      <c r="P168" s="135" t="str">
        <f t="shared" ca="1" si="40"/>
        <v>11 ans 3 mois 13 jours</v>
      </c>
      <c r="Q168" s="29">
        <v>11.25</v>
      </c>
      <c r="R168" s="43">
        <f t="shared" ca="1" si="41"/>
        <v>11.285420944558522</v>
      </c>
      <c r="S168" s="44" t="b">
        <f t="shared" ca="1" si="42"/>
        <v>1</v>
      </c>
      <c r="T168" s="68">
        <v>36800</v>
      </c>
      <c r="U168" s="62">
        <v>90</v>
      </c>
      <c r="V168" s="44" t="str">
        <f t="shared" ca="1" si="43"/>
        <v>1 ans 0 mois 13 jours</v>
      </c>
      <c r="W168" s="29">
        <v>1</v>
      </c>
      <c r="X168" s="43">
        <f t="shared" ca="1" si="44"/>
        <v>1.0349075975359343</v>
      </c>
      <c r="Y168" s="44" t="b">
        <f t="shared" ca="1" si="45"/>
        <v>0</v>
      </c>
      <c r="Z168" s="30">
        <v>40544</v>
      </c>
      <c r="AA168" s="71">
        <v>40544</v>
      </c>
      <c r="AB168" s="62">
        <v>9</v>
      </c>
      <c r="AC168" s="44">
        <f>IF(AG168&gt;0,VLOOKUP(AG168,Calculs!$B$3:$C$13,2),"")</f>
        <v>9</v>
      </c>
      <c r="AD168" s="30">
        <v>32678</v>
      </c>
      <c r="AE168" s="79">
        <f t="shared" si="46"/>
        <v>22.532511978097194</v>
      </c>
      <c r="AF168" s="44" t="str">
        <f t="shared" ca="1" si="47"/>
        <v>22 ans 6 mois 26 jours</v>
      </c>
      <c r="AG168" s="63">
        <v>22.41</v>
      </c>
      <c r="AH168" s="51">
        <v>44695</v>
      </c>
    </row>
    <row r="169" spans="1:34" x14ac:dyDescent="0.2">
      <c r="A169" s="109" t="s">
        <v>154</v>
      </c>
      <c r="B169" s="110"/>
      <c r="C169" s="110"/>
      <c r="D169" s="16"/>
      <c r="E169" s="2"/>
      <c r="F169" s="3"/>
      <c r="G169" s="3"/>
      <c r="H169" s="3"/>
      <c r="I169" s="4"/>
      <c r="J169" s="5"/>
      <c r="K169" s="4"/>
      <c r="L169" s="16" t="s">
        <v>21</v>
      </c>
      <c r="M169" s="16" t="s">
        <v>22</v>
      </c>
      <c r="N169" s="48">
        <v>24.5</v>
      </c>
      <c r="O169" s="62">
        <v>5</v>
      </c>
      <c r="P169" s="135" t="str">
        <f t="shared" ca="1" si="40"/>
        <v>0 ans 8 mois 13 jours</v>
      </c>
      <c r="Q169" s="29">
        <v>3.58</v>
      </c>
      <c r="R169" s="43">
        <f t="shared" ca="1" si="41"/>
        <v>0.70636550308008217</v>
      </c>
      <c r="S169" s="44" t="b">
        <f t="shared" ca="1" si="42"/>
        <v>0</v>
      </c>
      <c r="T169" s="68">
        <v>40664</v>
      </c>
      <c r="U169" s="62">
        <v>80</v>
      </c>
      <c r="V169" s="44" t="str">
        <f t="shared" ca="1" si="43"/>
        <v>3 ans 7 mois 13 jours</v>
      </c>
      <c r="W169" s="29">
        <v>3.58</v>
      </c>
      <c r="X169" s="43">
        <f t="shared" ca="1" si="44"/>
        <v>3.6194387405886381</v>
      </c>
      <c r="Y169" s="44" t="b">
        <f t="shared" ca="1" si="45"/>
        <v>0</v>
      </c>
      <c r="Z169" s="30">
        <v>39600</v>
      </c>
      <c r="AA169" s="71">
        <v>39083</v>
      </c>
      <c r="AB169" s="62">
        <v>8</v>
      </c>
      <c r="AC169" s="44">
        <f>IF(AG169&gt;0,VLOOKUP(AG169,Calculs!$B$3:$C$13,2),"")</f>
        <v>7</v>
      </c>
      <c r="AD169" s="30">
        <v>35310</v>
      </c>
      <c r="AE169" s="79">
        <f t="shared" si="46"/>
        <v>15.326488706365502</v>
      </c>
      <c r="AF169" s="44" t="str">
        <f t="shared" ca="1" si="47"/>
        <v>15 ans 4 mois 12 jours</v>
      </c>
      <c r="AG169" s="63">
        <v>16.309999999999999</v>
      </c>
      <c r="AH169" s="51">
        <v>45892</v>
      </c>
    </row>
    <row r="170" spans="1:34" x14ac:dyDescent="0.2">
      <c r="A170" s="109" t="s">
        <v>155</v>
      </c>
      <c r="B170" s="110"/>
      <c r="C170" s="110"/>
      <c r="D170" s="16"/>
      <c r="E170" s="2"/>
      <c r="F170" s="3"/>
      <c r="G170" s="3"/>
      <c r="H170" s="3"/>
      <c r="I170" s="4"/>
      <c r="J170" s="2"/>
      <c r="K170" s="4"/>
      <c r="L170" s="16" t="s">
        <v>25</v>
      </c>
      <c r="M170" s="16" t="s">
        <v>22</v>
      </c>
      <c r="N170" s="48">
        <v>24</v>
      </c>
      <c r="O170" s="62">
        <v>3</v>
      </c>
      <c r="P170" s="135" t="str">
        <f t="shared" ca="1" si="40"/>
        <v>4 ans 1 mois 11 jours</v>
      </c>
      <c r="Q170" s="29">
        <v>4.08</v>
      </c>
      <c r="R170" s="43">
        <f t="shared" ca="1" si="41"/>
        <v>4.1149897330595486</v>
      </c>
      <c r="S170" s="44" t="b">
        <f t="shared" ca="1" si="42"/>
        <v>0</v>
      </c>
      <c r="T170" s="68">
        <v>39419</v>
      </c>
      <c r="U170" s="62">
        <v>65</v>
      </c>
      <c r="V170" s="44" t="str">
        <f t="shared" ca="1" si="43"/>
        <v>2 ans 8 mois 13 jours</v>
      </c>
      <c r="W170" s="29">
        <v>2.67</v>
      </c>
      <c r="X170" s="43">
        <f t="shared" ca="1" si="44"/>
        <v>2.7049965776865159</v>
      </c>
      <c r="Y170" s="44" t="b">
        <f t="shared" ca="1" si="45"/>
        <v>0</v>
      </c>
      <c r="Z170" s="30">
        <v>39934</v>
      </c>
      <c r="AA170" s="71">
        <v>39814</v>
      </c>
      <c r="AB170" s="62">
        <v>4</v>
      </c>
      <c r="AC170" s="44">
        <f>IF(AG170&gt;0,VLOOKUP(AG170,Calculs!$B$3:$C$13,2),"")</f>
        <v>4</v>
      </c>
      <c r="AD170" s="30">
        <v>39419</v>
      </c>
      <c r="AE170" s="79">
        <f t="shared" si="46"/>
        <v>4.0766598220396988</v>
      </c>
      <c r="AF170" s="44" t="str">
        <f t="shared" ca="1" si="47"/>
        <v>4 ans 1 mois 11 jours</v>
      </c>
      <c r="AG170" s="63">
        <v>4.92</v>
      </c>
      <c r="AH170" s="51">
        <v>48774</v>
      </c>
    </row>
    <row r="171" spans="1:34" x14ac:dyDescent="0.2">
      <c r="A171" s="109" t="s">
        <v>156</v>
      </c>
      <c r="B171" s="110"/>
      <c r="C171" s="110"/>
      <c r="D171" s="16"/>
      <c r="E171" s="2"/>
      <c r="F171" s="3"/>
      <c r="G171" s="3"/>
      <c r="H171" s="3"/>
      <c r="I171" s="4"/>
      <c r="J171" s="2"/>
      <c r="K171" s="4"/>
      <c r="L171" s="16" t="s">
        <v>23</v>
      </c>
      <c r="M171" s="16" t="s">
        <v>24</v>
      </c>
      <c r="N171" s="48">
        <v>24</v>
      </c>
      <c r="O171" s="62">
        <v>9</v>
      </c>
      <c r="P171" s="135" t="str">
        <f t="shared" ca="1" si="40"/>
        <v>0 ans 6 mois 13 jours</v>
      </c>
      <c r="Q171" s="29">
        <v>0.33</v>
      </c>
      <c r="R171" s="43">
        <f t="shared" ca="1" si="41"/>
        <v>0.53935660506502392</v>
      </c>
      <c r="S171" s="44" t="b">
        <f t="shared" ca="1" si="42"/>
        <v>0</v>
      </c>
      <c r="T171" s="68">
        <v>40725</v>
      </c>
      <c r="U171" s="62">
        <v>150</v>
      </c>
      <c r="V171" s="44" t="str">
        <f t="shared" ca="1" si="43"/>
        <v>0 ans 4 mois 13 jours</v>
      </c>
      <c r="W171" s="29">
        <v>0.33</v>
      </c>
      <c r="X171" s="43">
        <f t="shared" ca="1" si="44"/>
        <v>0.36960985626283366</v>
      </c>
      <c r="Y171" s="44" t="b">
        <f t="shared" ca="1" si="45"/>
        <v>0</v>
      </c>
      <c r="Z171" s="30">
        <v>40787</v>
      </c>
      <c r="AA171" s="71" t="s">
        <v>26</v>
      </c>
      <c r="AB171" s="62">
        <v>3</v>
      </c>
      <c r="AC171" s="44">
        <f>IF(AG171&gt;0,VLOOKUP(AG171,Calculs!$B$3:$C$13,2),"")</f>
        <v>3</v>
      </c>
      <c r="AD171" s="30">
        <v>40057</v>
      </c>
      <c r="AE171" s="79">
        <f t="shared" si="46"/>
        <v>2.3299110198494182</v>
      </c>
      <c r="AF171" s="44" t="str">
        <f t="shared" ca="1" si="47"/>
        <v>2 ans 4 mois 13 jours</v>
      </c>
      <c r="AG171" s="63">
        <v>2.44</v>
      </c>
      <c r="AH171" s="51">
        <v>47924</v>
      </c>
    </row>
    <row r="172" spans="1:34" x14ac:dyDescent="0.2">
      <c r="A172" s="109" t="s">
        <v>71</v>
      </c>
      <c r="B172" s="110"/>
      <c r="C172" s="110"/>
      <c r="D172" s="16"/>
      <c r="E172" s="2"/>
      <c r="F172" s="3"/>
      <c r="G172" s="3"/>
      <c r="H172" s="3"/>
      <c r="I172" s="4"/>
      <c r="J172" s="5"/>
      <c r="K172" s="4"/>
      <c r="L172" s="16" t="s">
        <v>21</v>
      </c>
      <c r="M172" s="16" t="s">
        <v>22</v>
      </c>
      <c r="N172" s="48">
        <v>24.5</v>
      </c>
      <c r="O172" s="62">
        <v>5</v>
      </c>
      <c r="P172" s="135" t="str">
        <f t="shared" ca="1" si="40"/>
        <v>13 ans 0 mois 13 jours</v>
      </c>
      <c r="Q172" s="29">
        <v>13</v>
      </c>
      <c r="R172" s="43">
        <f t="shared" ca="1" si="41"/>
        <v>13.034907597535934</v>
      </c>
      <c r="S172" s="44" t="b">
        <f t="shared" ca="1" si="42"/>
        <v>1</v>
      </c>
      <c r="T172" s="68">
        <v>36161</v>
      </c>
      <c r="U172" s="62">
        <v>90</v>
      </c>
      <c r="V172" s="44" t="str">
        <f t="shared" ca="1" si="43"/>
        <v>1 ans 0 mois 13 jours</v>
      </c>
      <c r="W172" s="29">
        <v>1</v>
      </c>
      <c r="X172" s="43">
        <f t="shared" ca="1" si="44"/>
        <v>1.0349075975359343</v>
      </c>
      <c r="Y172" s="44" t="b">
        <f t="shared" ca="1" si="45"/>
        <v>0</v>
      </c>
      <c r="Z172" s="30">
        <v>40544</v>
      </c>
      <c r="AA172" s="71">
        <v>40544</v>
      </c>
      <c r="AB172" s="62">
        <v>8</v>
      </c>
      <c r="AC172" s="44">
        <f>IF(AG172&gt;0,VLOOKUP(AG172,Calculs!$B$3:$C$13,2),"")</f>
        <v>8</v>
      </c>
      <c r="AD172" s="30">
        <v>34316</v>
      </c>
      <c r="AE172" s="79">
        <f t="shared" si="46"/>
        <v>18.047912388774812</v>
      </c>
      <c r="AF172" s="44" t="str">
        <f t="shared" ca="1" si="47"/>
        <v>18 ans 1 mois 1 jours</v>
      </c>
      <c r="AG172" s="63">
        <v>20.39</v>
      </c>
      <c r="AH172" s="51">
        <v>44761</v>
      </c>
    </row>
    <row r="173" spans="1:34" x14ac:dyDescent="0.2">
      <c r="A173" s="109" t="s">
        <v>114</v>
      </c>
      <c r="B173" s="110"/>
      <c r="C173" s="110"/>
      <c r="D173" s="16"/>
      <c r="E173" s="2"/>
      <c r="F173" s="3"/>
      <c r="G173" s="3"/>
      <c r="H173" s="3"/>
      <c r="I173" s="4"/>
      <c r="J173" s="2"/>
      <c r="K173" s="4"/>
      <c r="L173" s="16" t="s">
        <v>21</v>
      </c>
      <c r="M173" s="16" t="s">
        <v>22</v>
      </c>
      <c r="N173" s="48"/>
      <c r="O173" s="62">
        <v>4</v>
      </c>
      <c r="P173" s="135" t="str">
        <f t="shared" ca="1" si="40"/>
        <v>0 ans 0 mois 30 jours</v>
      </c>
      <c r="Q173" s="29"/>
      <c r="R173" s="43">
        <f t="shared" ca="1" si="41"/>
        <v>8.2135523613963035E-2</v>
      </c>
      <c r="S173" s="44" t="b">
        <f t="shared" ca="1" si="42"/>
        <v>0</v>
      </c>
      <c r="T173" s="68">
        <v>40892</v>
      </c>
      <c r="U173" s="62">
        <v>75</v>
      </c>
      <c r="V173" s="44" t="str">
        <f t="shared" ca="1" si="43"/>
        <v>0 ans 0 mois 30 jours</v>
      </c>
      <c r="W173" s="29"/>
      <c r="X173" s="43">
        <f t="shared" ca="1" si="44"/>
        <v>8.2135523613963035E-2</v>
      </c>
      <c r="Y173" s="44" t="b">
        <f t="shared" ca="1" si="45"/>
        <v>0</v>
      </c>
      <c r="Z173" s="30">
        <v>40892</v>
      </c>
      <c r="AA173" s="71">
        <v>39934</v>
      </c>
      <c r="AB173" s="62"/>
      <c r="AC173" s="44" t="str">
        <f>IF(AG173&gt;0,VLOOKUP(AG173,Calculs!$B$3:$C$13,2),"")</f>
        <v/>
      </c>
      <c r="AD173" s="30">
        <v>39077</v>
      </c>
      <c r="AE173" s="79">
        <f t="shared" si="46"/>
        <v>5.0130047912388775</v>
      </c>
      <c r="AF173" s="44" t="str">
        <f t="shared" ca="1" si="47"/>
        <v>5 ans 0 mois 19 jours</v>
      </c>
      <c r="AG173" s="63"/>
      <c r="AH173" s="51"/>
    </row>
    <row r="174" spans="1:34" x14ac:dyDescent="0.2">
      <c r="A174" s="109" t="s">
        <v>157</v>
      </c>
      <c r="B174" s="110"/>
      <c r="C174" s="110"/>
      <c r="D174" s="16"/>
      <c r="E174" s="2"/>
      <c r="F174" s="3"/>
      <c r="G174" s="3"/>
      <c r="H174" s="3"/>
      <c r="I174" s="4"/>
      <c r="J174" s="2"/>
      <c r="K174" s="4"/>
      <c r="L174" s="16" t="s">
        <v>21</v>
      </c>
      <c r="M174" s="16" t="s">
        <v>22</v>
      </c>
      <c r="N174" s="48"/>
      <c r="O174" s="62"/>
      <c r="P174" s="135" t="str">
        <f t="shared" ca="1" si="40"/>
        <v/>
      </c>
      <c r="Q174" s="29"/>
      <c r="R174" s="43" t="str">
        <f t="shared" ca="1" si="41"/>
        <v/>
      </c>
      <c r="S174" s="44" t="str">
        <f t="shared" ca="1" si="42"/>
        <v/>
      </c>
      <c r="T174" s="68"/>
      <c r="U174" s="62"/>
      <c r="V174" s="44" t="str">
        <f t="shared" ca="1" si="43"/>
        <v/>
      </c>
      <c r="W174" s="29"/>
      <c r="X174" s="43" t="str">
        <f t="shared" ca="1" si="44"/>
        <v/>
      </c>
      <c r="Y174" s="44" t="str">
        <f t="shared" ca="1" si="45"/>
        <v/>
      </c>
      <c r="Z174" s="30"/>
      <c r="AA174" s="71"/>
      <c r="AB174" s="62"/>
      <c r="AC174" s="44" t="str">
        <f>IF(AG174&gt;0,VLOOKUP(AG174,Calculs!$B$3:$C$13,2),"")</f>
        <v/>
      </c>
      <c r="AD174" s="30"/>
      <c r="AE174" s="79" t="str">
        <f t="shared" si="46"/>
        <v/>
      </c>
      <c r="AF174" s="44" t="str">
        <f t="shared" ca="1" si="47"/>
        <v/>
      </c>
      <c r="AG174" s="63"/>
      <c r="AH174" s="51"/>
    </row>
    <row r="175" spans="1:34" x14ac:dyDescent="0.2">
      <c r="A175" s="109" t="s">
        <v>101</v>
      </c>
      <c r="B175" s="110"/>
      <c r="C175" s="110"/>
      <c r="D175" s="16"/>
      <c r="E175" s="2"/>
      <c r="F175" s="3"/>
      <c r="G175" s="3"/>
      <c r="H175" s="3"/>
      <c r="I175" s="4"/>
      <c r="J175" s="2"/>
      <c r="K175" s="4"/>
      <c r="L175" s="16" t="s">
        <v>23</v>
      </c>
      <c r="M175" s="16" t="s">
        <v>24</v>
      </c>
      <c r="N175" s="48">
        <v>24</v>
      </c>
      <c r="O175" s="62">
        <v>7</v>
      </c>
      <c r="P175" s="135" t="str">
        <f t="shared" ca="1" si="40"/>
        <v>4 ans 0 mois 13 jours</v>
      </c>
      <c r="Q175" s="29">
        <v>3.58</v>
      </c>
      <c r="R175" s="43">
        <f t="shared" ca="1" si="41"/>
        <v>4.0355920602327169</v>
      </c>
      <c r="S175" s="44" t="b">
        <f t="shared" ca="1" si="42"/>
        <v>0</v>
      </c>
      <c r="T175" s="68">
        <v>39448</v>
      </c>
      <c r="U175" s="62">
        <v>80</v>
      </c>
      <c r="V175" s="44" t="str">
        <f t="shared" ca="1" si="43"/>
        <v>2 ans 0 mois 13 jours</v>
      </c>
      <c r="W175" s="29">
        <v>2</v>
      </c>
      <c r="X175" s="43">
        <f t="shared" ca="1" si="44"/>
        <v>2.0342231348391513</v>
      </c>
      <c r="Y175" s="44" t="b">
        <f t="shared" ca="1" si="45"/>
        <v>0</v>
      </c>
      <c r="Z175" s="30">
        <v>40179</v>
      </c>
      <c r="AA175" s="71">
        <v>40179</v>
      </c>
      <c r="AB175" s="62">
        <v>6</v>
      </c>
      <c r="AC175" s="44">
        <f>IF(AG175&gt;0,VLOOKUP(AG175,Calculs!$B$3:$C$13,2),"")</f>
        <v>6</v>
      </c>
      <c r="AD175" s="30">
        <v>36557</v>
      </c>
      <c r="AE175" s="79">
        <f t="shared" si="46"/>
        <v>11.912388774811772</v>
      </c>
      <c r="AF175" s="44" t="str">
        <f t="shared" ca="1" si="47"/>
        <v>11 ans 11 mois 13 jours</v>
      </c>
      <c r="AG175" s="63">
        <v>12.74</v>
      </c>
      <c r="AH175" s="51">
        <v>46750</v>
      </c>
    </row>
    <row r="176" spans="1:34" x14ac:dyDescent="0.2">
      <c r="A176" s="109" t="s">
        <v>89</v>
      </c>
      <c r="B176" s="110"/>
      <c r="C176" s="110"/>
      <c r="D176" s="16"/>
      <c r="E176" s="2"/>
      <c r="F176" s="3"/>
      <c r="G176" s="3"/>
      <c r="H176" s="3"/>
      <c r="I176" s="4"/>
      <c r="J176" s="5"/>
      <c r="K176" s="4"/>
      <c r="L176" s="16" t="s">
        <v>21</v>
      </c>
      <c r="M176" s="16" t="s">
        <v>22</v>
      </c>
      <c r="N176" s="48">
        <v>24.5</v>
      </c>
      <c r="O176" s="62">
        <v>6</v>
      </c>
      <c r="P176" s="135" t="str">
        <f t="shared" ca="1" si="40"/>
        <v>4 ans 0 mois 13 jours</v>
      </c>
      <c r="Q176" s="29">
        <v>3.58</v>
      </c>
      <c r="R176" s="43">
        <f t="shared" ca="1" si="41"/>
        <v>4.0355920602327169</v>
      </c>
      <c r="S176" s="44" t="b">
        <f t="shared" ca="1" si="42"/>
        <v>0</v>
      </c>
      <c r="T176" s="68">
        <v>39448</v>
      </c>
      <c r="U176" s="62">
        <v>110</v>
      </c>
      <c r="V176" s="44" t="str">
        <f t="shared" ca="1" si="43"/>
        <v>2 ans 0 mois 13 jours</v>
      </c>
      <c r="W176" s="29">
        <v>2</v>
      </c>
      <c r="X176" s="43">
        <f t="shared" ca="1" si="44"/>
        <v>2.0342231348391513</v>
      </c>
      <c r="Y176" s="44" t="b">
        <f t="shared" ca="1" si="45"/>
        <v>0</v>
      </c>
      <c r="Z176" s="30">
        <v>40179</v>
      </c>
      <c r="AA176" s="71">
        <v>40179</v>
      </c>
      <c r="AB176" s="62">
        <v>10</v>
      </c>
      <c r="AC176" s="44">
        <f>IF(AG176&gt;0,VLOOKUP(AG176,Calculs!$B$3:$C$13,2),"")</f>
        <v>10</v>
      </c>
      <c r="AD176" s="30">
        <v>30407</v>
      </c>
      <c r="AE176" s="79">
        <f t="shared" si="46"/>
        <v>28.750171115674195</v>
      </c>
      <c r="AF176" s="44" t="str">
        <f t="shared" ca="1" si="47"/>
        <v>28 ans 9 mois 13 jours</v>
      </c>
      <c r="AG176" s="63">
        <v>28.75</v>
      </c>
      <c r="AH176" s="51">
        <v>43429</v>
      </c>
    </row>
    <row r="177" spans="1:34" x14ac:dyDescent="0.2">
      <c r="A177" s="109" t="s">
        <v>93</v>
      </c>
      <c r="B177" s="110"/>
      <c r="C177" s="110"/>
      <c r="D177" s="16"/>
      <c r="E177" s="2"/>
      <c r="F177" s="3"/>
      <c r="G177" s="3"/>
      <c r="H177" s="3"/>
      <c r="I177" s="4"/>
      <c r="J177" s="2"/>
      <c r="K177" s="4"/>
      <c r="L177" s="16" t="s">
        <v>21</v>
      </c>
      <c r="M177" s="16" t="s">
        <v>22</v>
      </c>
      <c r="N177" s="48">
        <v>24</v>
      </c>
      <c r="O177" s="62">
        <v>6</v>
      </c>
      <c r="P177" s="135" t="str">
        <f t="shared" ca="1" si="40"/>
        <v>8 ans 0 mois 13 jours</v>
      </c>
      <c r="Q177" s="29">
        <v>8</v>
      </c>
      <c r="R177" s="43">
        <f t="shared" ca="1" si="41"/>
        <v>8.0355920602327178</v>
      </c>
      <c r="S177" s="44" t="b">
        <f t="shared" ca="1" si="42"/>
        <v>1</v>
      </c>
      <c r="T177" s="68">
        <v>37987</v>
      </c>
      <c r="U177" s="62">
        <v>120</v>
      </c>
      <c r="V177" s="44" t="str">
        <f t="shared" ca="1" si="43"/>
        <v>1 ans 0 mois 13 jours</v>
      </c>
      <c r="W177" s="29">
        <v>1</v>
      </c>
      <c r="X177" s="43">
        <f t="shared" ca="1" si="44"/>
        <v>1.0349075975359343</v>
      </c>
      <c r="Y177" s="44" t="b">
        <f t="shared" ca="1" si="45"/>
        <v>0</v>
      </c>
      <c r="Z177" s="30">
        <v>40544</v>
      </c>
      <c r="AA177" s="71">
        <v>40544</v>
      </c>
      <c r="AB177" s="62">
        <v>11</v>
      </c>
      <c r="AC177" s="44">
        <f>IF(AG177&gt;0,VLOOKUP(AG177,Calculs!$B$3:$C$13,2),"")</f>
        <v>11</v>
      </c>
      <c r="AD177" s="30">
        <v>28887</v>
      </c>
      <c r="AE177" s="79">
        <f t="shared" si="46"/>
        <v>32.911704312114992</v>
      </c>
      <c r="AF177" s="44" t="str">
        <f t="shared" ca="1" si="47"/>
        <v>32 ans 11 mois 13 jours</v>
      </c>
      <c r="AG177" s="63">
        <v>33.909999999999997</v>
      </c>
      <c r="AH177" s="51">
        <v>41502</v>
      </c>
    </row>
    <row r="178" spans="1:34" x14ac:dyDescent="0.2">
      <c r="A178" s="109" t="s">
        <v>86</v>
      </c>
      <c r="B178" s="110"/>
      <c r="C178" s="110"/>
      <c r="D178" s="16"/>
      <c r="E178" s="2"/>
      <c r="F178" s="3"/>
      <c r="G178" s="3"/>
      <c r="H178" s="3"/>
      <c r="I178" s="4"/>
      <c r="J178" s="5"/>
      <c r="K178" s="4"/>
      <c r="L178" s="16" t="s">
        <v>21</v>
      </c>
      <c r="M178" s="16" t="s">
        <v>22</v>
      </c>
      <c r="N178" s="48">
        <v>24</v>
      </c>
      <c r="O178" s="62">
        <v>5</v>
      </c>
      <c r="P178" s="135" t="str">
        <f t="shared" ca="1" si="40"/>
        <v>4 ans 0 mois 13 jours</v>
      </c>
      <c r="Q178" s="29">
        <v>3.17</v>
      </c>
      <c r="R178" s="43">
        <f t="shared" ca="1" si="41"/>
        <v>4.0355920602327169</v>
      </c>
      <c r="S178" s="44" t="b">
        <f t="shared" ca="1" si="42"/>
        <v>0</v>
      </c>
      <c r="T178" s="68">
        <v>39448</v>
      </c>
      <c r="U178" s="62">
        <v>70</v>
      </c>
      <c r="V178" s="44" t="str">
        <f t="shared" ca="1" si="43"/>
        <v>1 ans 0 mois 13 jours</v>
      </c>
      <c r="W178" s="29">
        <v>1</v>
      </c>
      <c r="X178" s="43">
        <f t="shared" ca="1" si="44"/>
        <v>1.0349075975359343</v>
      </c>
      <c r="Y178" s="44" t="b">
        <f t="shared" ca="1" si="45"/>
        <v>0</v>
      </c>
      <c r="Z178" s="30">
        <v>40544</v>
      </c>
      <c r="AA178" s="71">
        <v>40544</v>
      </c>
      <c r="AB178" s="62">
        <v>5</v>
      </c>
      <c r="AC178" s="44">
        <f>IF(AG178&gt;0,VLOOKUP(AG178,Calculs!$B$3:$C$13,2),"")</f>
        <v>5</v>
      </c>
      <c r="AD178" s="30">
        <v>38239</v>
      </c>
      <c r="AE178" s="79">
        <f t="shared" si="46"/>
        <v>7.3073237508555779</v>
      </c>
      <c r="AF178" s="44" t="str">
        <f t="shared" ca="1" si="47"/>
        <v>7 ans 4 mois 5 jours</v>
      </c>
      <c r="AG178" s="63">
        <v>7.31</v>
      </c>
      <c r="AH178" s="51">
        <v>49838</v>
      </c>
    </row>
    <row r="179" spans="1:34" x14ac:dyDescent="0.2">
      <c r="A179" s="109" t="s">
        <v>121</v>
      </c>
      <c r="B179" s="110"/>
      <c r="C179" s="110"/>
      <c r="D179" s="16"/>
      <c r="E179" s="2"/>
      <c r="F179" s="3"/>
      <c r="G179" s="3"/>
      <c r="H179" s="3"/>
      <c r="I179" s="4"/>
      <c r="J179" s="5"/>
      <c r="K179" s="4"/>
      <c r="L179" s="16" t="s">
        <v>21</v>
      </c>
      <c r="M179" s="16" t="s">
        <v>22</v>
      </c>
      <c r="N179" s="48">
        <v>24.5</v>
      </c>
      <c r="O179" s="62">
        <v>6</v>
      </c>
      <c r="P179" s="135" t="str">
        <f t="shared" ca="1" si="40"/>
        <v>1 ans 9 mois 13 jours</v>
      </c>
      <c r="Q179" s="29">
        <v>1.75</v>
      </c>
      <c r="R179" s="43">
        <f t="shared" ca="1" si="41"/>
        <v>1.7878165639972621</v>
      </c>
      <c r="S179" s="44" t="b">
        <f t="shared" ca="1" si="42"/>
        <v>0</v>
      </c>
      <c r="T179" s="68">
        <v>40269</v>
      </c>
      <c r="U179" s="62">
        <v>110</v>
      </c>
      <c r="V179" s="44" t="str">
        <f t="shared" ca="1" si="43"/>
        <v>1 ans 9 mois 13 jours</v>
      </c>
      <c r="W179" s="29">
        <v>1.75</v>
      </c>
      <c r="X179" s="43">
        <f t="shared" ca="1" si="44"/>
        <v>1.7878165639972621</v>
      </c>
      <c r="Y179" s="44" t="b">
        <f t="shared" ca="1" si="45"/>
        <v>0</v>
      </c>
      <c r="Z179" s="30">
        <v>40269</v>
      </c>
      <c r="AA179" s="71">
        <v>39448</v>
      </c>
      <c r="AB179" s="62">
        <v>9</v>
      </c>
      <c r="AC179" s="44">
        <f>IF(AG179&gt;0,VLOOKUP(AG179,Calculs!$B$3:$C$13,2),"")</f>
        <v>9</v>
      </c>
      <c r="AD179" s="30">
        <v>32813</v>
      </c>
      <c r="AE179" s="79">
        <f t="shared" si="46"/>
        <v>22.16290212183436</v>
      </c>
      <c r="AF179" s="44" t="str">
        <f t="shared" ca="1" si="47"/>
        <v>22 ans 2 mois 13 jours</v>
      </c>
      <c r="AG179" s="63">
        <v>24.5</v>
      </c>
      <c r="AH179" s="51">
        <v>43762</v>
      </c>
    </row>
    <row r="180" spans="1:34" x14ac:dyDescent="0.2">
      <c r="A180" s="109" t="s">
        <v>158</v>
      </c>
      <c r="B180" s="110"/>
      <c r="C180" s="110"/>
      <c r="D180" s="16"/>
      <c r="E180" s="2"/>
      <c r="F180" s="3"/>
      <c r="G180" s="3"/>
      <c r="H180" s="3"/>
      <c r="I180" s="4"/>
      <c r="J180" s="2"/>
      <c r="K180" s="4"/>
      <c r="L180" s="16" t="s">
        <v>25</v>
      </c>
      <c r="M180" s="16" t="s">
        <v>22</v>
      </c>
      <c r="N180" s="48">
        <v>24.5</v>
      </c>
      <c r="O180" s="62">
        <v>3</v>
      </c>
      <c r="P180" s="135" t="str">
        <f t="shared" ca="1" si="40"/>
        <v>0 ans 4 mois 13 jours</v>
      </c>
      <c r="Q180" s="29">
        <v>0.33</v>
      </c>
      <c r="R180" s="43">
        <f t="shared" ca="1" si="41"/>
        <v>0.36960985626283366</v>
      </c>
      <c r="S180" s="44" t="b">
        <f t="shared" ca="1" si="42"/>
        <v>0</v>
      </c>
      <c r="T180" s="68">
        <v>40787</v>
      </c>
      <c r="U180" s="62">
        <v>50</v>
      </c>
      <c r="V180" s="44" t="str">
        <f t="shared" ca="1" si="43"/>
        <v>0 ans 4 mois 13 jours</v>
      </c>
      <c r="W180" s="29">
        <v>0.33</v>
      </c>
      <c r="X180" s="43">
        <f t="shared" ca="1" si="44"/>
        <v>0.36960985626283366</v>
      </c>
      <c r="Y180" s="44" t="b">
        <f t="shared" ca="1" si="45"/>
        <v>0</v>
      </c>
      <c r="Z180" s="30">
        <v>40787</v>
      </c>
      <c r="AA180" s="71" t="s">
        <v>26</v>
      </c>
      <c r="AB180" s="62">
        <v>3</v>
      </c>
      <c r="AC180" s="44">
        <f>IF(AG180&gt;0,VLOOKUP(AG180,Calculs!$B$3:$C$13,2),"")</f>
        <v>2</v>
      </c>
      <c r="AD180" s="30">
        <v>40787</v>
      </c>
      <c r="AE180" s="79">
        <f t="shared" si="46"/>
        <v>0.33127994524298426</v>
      </c>
      <c r="AF180" s="44" t="str">
        <f t="shared" ca="1" si="47"/>
        <v>0 ans 4 mois 13 jours</v>
      </c>
      <c r="AG180" s="63">
        <v>0.34</v>
      </c>
      <c r="AH180" s="52" t="s">
        <v>26</v>
      </c>
    </row>
    <row r="181" spans="1:34" x14ac:dyDescent="0.2">
      <c r="A181" s="109" t="s">
        <v>159</v>
      </c>
      <c r="B181" s="110"/>
      <c r="C181" s="110"/>
      <c r="D181" s="16"/>
      <c r="E181" s="2"/>
      <c r="F181" s="3"/>
      <c r="G181" s="3"/>
      <c r="H181" s="3"/>
      <c r="I181" s="4"/>
      <c r="J181" s="2"/>
      <c r="K181" s="4"/>
      <c r="L181" s="16" t="s">
        <v>29</v>
      </c>
      <c r="M181" s="16" t="s">
        <v>28</v>
      </c>
      <c r="N181" s="48"/>
      <c r="O181" s="62">
        <v>13</v>
      </c>
      <c r="P181" s="135" t="str">
        <f t="shared" ca="1" si="40"/>
        <v>16 ans 1 mois 13 jours</v>
      </c>
      <c r="Q181" s="29"/>
      <c r="R181" s="43">
        <f t="shared" ca="1" si="41"/>
        <v>16.120465434633811</v>
      </c>
      <c r="S181" s="44" t="b">
        <f t="shared" ca="1" si="42"/>
        <v>1</v>
      </c>
      <c r="T181" s="68">
        <v>35034</v>
      </c>
      <c r="U181" s="62">
        <v>215</v>
      </c>
      <c r="V181" s="44" t="str">
        <f t="shared" ca="1" si="43"/>
        <v>3 ans 0 mois 13 jours</v>
      </c>
      <c r="W181" s="29"/>
      <c r="X181" s="43">
        <f t="shared" ca="1" si="44"/>
        <v>3.0335386721423681</v>
      </c>
      <c r="Y181" s="44" t="b">
        <f t="shared" ca="1" si="45"/>
        <v>0</v>
      </c>
      <c r="Z181" s="30">
        <v>39814</v>
      </c>
      <c r="AA181" s="71"/>
      <c r="AB181" s="62"/>
      <c r="AC181" s="44" t="str">
        <f>IF(AG181&gt;0,VLOOKUP(AG181,Calculs!$B$3:$C$13,2),"")</f>
        <v/>
      </c>
      <c r="AD181" s="30">
        <v>29799</v>
      </c>
      <c r="AE181" s="79">
        <f t="shared" si="46"/>
        <v>30.414784394250514</v>
      </c>
      <c r="AF181" s="44" t="str">
        <f t="shared" ca="1" si="47"/>
        <v>30 ans 5 mois 13 jours</v>
      </c>
      <c r="AG181" s="63"/>
      <c r="AH181" s="52"/>
    </row>
    <row r="182" spans="1:34" x14ac:dyDescent="0.2">
      <c r="A182" s="109" t="s">
        <v>147</v>
      </c>
      <c r="B182" s="110"/>
      <c r="C182" s="110"/>
      <c r="D182" s="16"/>
      <c r="E182" s="2"/>
      <c r="F182" s="3"/>
      <c r="G182" s="3"/>
      <c r="H182" s="3"/>
      <c r="I182" s="4"/>
      <c r="J182" s="5"/>
      <c r="K182" s="4"/>
      <c r="L182" s="16" t="s">
        <v>21</v>
      </c>
      <c r="M182" s="16" t="s">
        <v>22</v>
      </c>
      <c r="N182" s="48">
        <v>24.5</v>
      </c>
      <c r="O182" s="62">
        <v>5</v>
      </c>
      <c r="P182" s="135" t="str">
        <f t="shared" ca="1" si="40"/>
        <v>3 ans 0 mois 13 jours</v>
      </c>
      <c r="Q182" s="29">
        <v>3</v>
      </c>
      <c r="R182" s="43">
        <f t="shared" ca="1" si="41"/>
        <v>3.0335386721423681</v>
      </c>
      <c r="S182" s="44" t="b">
        <f t="shared" ca="1" si="42"/>
        <v>0</v>
      </c>
      <c r="T182" s="68">
        <v>39814</v>
      </c>
      <c r="U182" s="62">
        <v>70</v>
      </c>
      <c r="V182" s="44" t="str">
        <f t="shared" ca="1" si="43"/>
        <v>3 ans 0 mois 13 jours</v>
      </c>
      <c r="W182" s="29">
        <v>3</v>
      </c>
      <c r="X182" s="43">
        <f t="shared" ca="1" si="44"/>
        <v>3.0335386721423681</v>
      </c>
      <c r="Y182" s="44" t="b">
        <f t="shared" ca="1" si="45"/>
        <v>0</v>
      </c>
      <c r="Z182" s="30">
        <v>39814</v>
      </c>
      <c r="AA182" s="71">
        <v>37987</v>
      </c>
      <c r="AB182" s="62">
        <v>8</v>
      </c>
      <c r="AC182" s="44">
        <f>IF(AG182&gt;0,VLOOKUP(AG182,Calculs!$B$3:$C$13,2),"")</f>
        <v>8</v>
      </c>
      <c r="AD182" s="30">
        <v>35278</v>
      </c>
      <c r="AE182" s="79">
        <f t="shared" si="46"/>
        <v>15.41409993155373</v>
      </c>
      <c r="AF182" s="44" t="str">
        <f t="shared" ca="1" si="47"/>
        <v>15 ans 5 mois 13 jours</v>
      </c>
      <c r="AG182" s="63">
        <v>17.36</v>
      </c>
      <c r="AH182" s="51">
        <v>47832</v>
      </c>
    </row>
    <row r="183" spans="1:34" x14ac:dyDescent="0.2">
      <c r="A183" s="109" t="s">
        <v>73</v>
      </c>
      <c r="B183" s="110"/>
      <c r="C183" s="110"/>
      <c r="D183" s="16"/>
      <c r="E183" s="2"/>
      <c r="F183" s="3"/>
      <c r="G183" s="3"/>
      <c r="H183" s="3"/>
      <c r="I183" s="4"/>
      <c r="J183" s="2"/>
      <c r="K183" s="4"/>
      <c r="L183" s="16" t="s">
        <v>23</v>
      </c>
      <c r="M183" s="16" t="s">
        <v>24</v>
      </c>
      <c r="N183" s="48">
        <v>24.5</v>
      </c>
      <c r="O183" s="62">
        <v>7</v>
      </c>
      <c r="P183" s="135" t="str">
        <f t="shared" ca="1" si="40"/>
        <v>4 ans 0 mois 13 jours</v>
      </c>
      <c r="Q183" s="29">
        <v>3.58</v>
      </c>
      <c r="R183" s="43">
        <f t="shared" ca="1" si="41"/>
        <v>4.0355920602327169</v>
      </c>
      <c r="S183" s="44" t="b">
        <f t="shared" ca="1" si="42"/>
        <v>0</v>
      </c>
      <c r="T183" s="68">
        <v>39448</v>
      </c>
      <c r="U183" s="62">
        <v>130</v>
      </c>
      <c r="V183" s="44" t="str">
        <f t="shared" ca="1" si="43"/>
        <v>3 ans 7 mois 13 jours</v>
      </c>
      <c r="W183" s="29">
        <v>3.58</v>
      </c>
      <c r="X183" s="43">
        <f t="shared" ca="1" si="44"/>
        <v>3.6194387405886381</v>
      </c>
      <c r="Y183" s="44" t="b">
        <f t="shared" ca="1" si="45"/>
        <v>0</v>
      </c>
      <c r="Z183" s="30">
        <v>39600</v>
      </c>
      <c r="AA183" s="71">
        <v>39083</v>
      </c>
      <c r="AB183" s="62">
        <v>11</v>
      </c>
      <c r="AC183" s="44">
        <f>IF(AG183&gt;0,VLOOKUP(AG183,Calculs!$B$3:$C$13,2),"")</f>
        <v>12</v>
      </c>
      <c r="AD183" s="30">
        <v>28491</v>
      </c>
      <c r="AE183" s="79">
        <f t="shared" si="46"/>
        <v>33.995893223819301</v>
      </c>
      <c r="AF183" s="44" t="str">
        <f t="shared" ca="1" si="47"/>
        <v>34 ans 0 mois 13 jours</v>
      </c>
      <c r="AG183" s="63">
        <v>35</v>
      </c>
      <c r="AH183" s="51">
        <v>41336</v>
      </c>
    </row>
    <row r="184" spans="1:34" x14ac:dyDescent="0.2">
      <c r="A184" s="109" t="s">
        <v>80</v>
      </c>
      <c r="B184" s="110"/>
      <c r="C184" s="110"/>
      <c r="D184" s="16"/>
      <c r="E184" s="2"/>
      <c r="F184" s="3"/>
      <c r="G184" s="3"/>
      <c r="H184" s="3"/>
      <c r="I184" s="4"/>
      <c r="J184" s="5"/>
      <c r="K184" s="4"/>
      <c r="L184" s="16" t="s">
        <v>21</v>
      </c>
      <c r="M184" s="16" t="s">
        <v>22</v>
      </c>
      <c r="N184" s="48">
        <v>24</v>
      </c>
      <c r="O184" s="62">
        <v>5</v>
      </c>
      <c r="P184" s="135" t="str">
        <f t="shared" ca="1" si="40"/>
        <v>8 ans 4 mois 13 jours</v>
      </c>
      <c r="Q184" s="29">
        <v>8.33</v>
      </c>
      <c r="R184" s="43">
        <f t="shared" ca="1" si="41"/>
        <v>8.3696098562628336</v>
      </c>
      <c r="S184" s="44" t="b">
        <f t="shared" ca="1" si="42"/>
        <v>1</v>
      </c>
      <c r="T184" s="68">
        <v>37865</v>
      </c>
      <c r="U184" s="62">
        <v>70</v>
      </c>
      <c r="V184" s="44" t="str">
        <f t="shared" ca="1" si="43"/>
        <v>1 ans 0 mois 13 jours</v>
      </c>
      <c r="W184" s="29">
        <v>1</v>
      </c>
      <c r="X184" s="43">
        <f t="shared" ca="1" si="44"/>
        <v>1.0349075975359343</v>
      </c>
      <c r="Y184" s="44" t="b">
        <f t="shared" ca="1" si="45"/>
        <v>0</v>
      </c>
      <c r="Z184" s="30">
        <v>40544</v>
      </c>
      <c r="AA184" s="71">
        <v>40544</v>
      </c>
      <c r="AB184" s="62">
        <v>6</v>
      </c>
      <c r="AC184" s="44">
        <f>IF(AG184&gt;0,VLOOKUP(AG184,Calculs!$B$3:$C$13,2),"")</f>
        <v>6</v>
      </c>
      <c r="AD184" s="30">
        <v>36990</v>
      </c>
      <c r="AE184" s="79">
        <f t="shared" si="46"/>
        <v>10.726899383983573</v>
      </c>
      <c r="AF184" s="44" t="str">
        <f t="shared" ca="1" si="47"/>
        <v>10 ans 9 mois 5 jours</v>
      </c>
      <c r="AG184" s="63">
        <v>11.73</v>
      </c>
      <c r="AH184" s="51">
        <v>43999</v>
      </c>
    </row>
    <row r="185" spans="1:34" x14ac:dyDescent="0.2">
      <c r="A185" s="109"/>
      <c r="B185" s="110"/>
      <c r="C185" s="110"/>
      <c r="D185" s="16"/>
      <c r="E185" s="2"/>
      <c r="F185" s="3"/>
      <c r="G185" s="3"/>
      <c r="H185" s="3"/>
      <c r="I185" s="4"/>
      <c r="J185" s="2"/>
      <c r="K185" s="4"/>
      <c r="L185" s="16" t="s">
        <v>21</v>
      </c>
      <c r="M185" s="16" t="s">
        <v>22</v>
      </c>
      <c r="N185" s="48"/>
      <c r="O185" s="62"/>
      <c r="P185" s="135" t="str">
        <f t="shared" ca="1" si="40"/>
        <v/>
      </c>
      <c r="Q185" s="29"/>
      <c r="R185" s="43" t="str">
        <f t="shared" ca="1" si="41"/>
        <v/>
      </c>
      <c r="S185" s="44" t="str">
        <f t="shared" ca="1" si="42"/>
        <v/>
      </c>
      <c r="T185" s="68"/>
      <c r="U185" s="62"/>
      <c r="V185" s="44" t="str">
        <f t="shared" ca="1" si="43"/>
        <v/>
      </c>
      <c r="W185" s="29"/>
      <c r="X185" s="43" t="str">
        <f t="shared" ca="1" si="44"/>
        <v/>
      </c>
      <c r="Y185" s="44" t="str">
        <f t="shared" ca="1" si="45"/>
        <v/>
      </c>
      <c r="Z185" s="30"/>
      <c r="AA185" s="71"/>
      <c r="AB185" s="62"/>
      <c r="AC185" s="44" t="str">
        <f>IF(AG185&gt;0,VLOOKUP(AG185,Calculs!$B$3:$C$13,2),"")</f>
        <v/>
      </c>
      <c r="AD185" s="30"/>
      <c r="AE185" s="79" t="str">
        <f t="shared" si="46"/>
        <v/>
      </c>
      <c r="AF185" s="44" t="str">
        <f t="shared" ca="1" si="47"/>
        <v/>
      </c>
      <c r="AG185" s="63"/>
      <c r="AH185" s="51"/>
    </row>
    <row r="186" spans="1:34" x14ac:dyDescent="0.2">
      <c r="A186" s="109" t="s">
        <v>160</v>
      </c>
      <c r="B186" s="110"/>
      <c r="C186" s="110"/>
      <c r="D186" s="16"/>
      <c r="E186" s="2"/>
      <c r="F186" s="3"/>
      <c r="G186" s="3"/>
      <c r="H186" s="3"/>
      <c r="I186" s="4"/>
      <c r="J186" s="2"/>
      <c r="K186" s="4"/>
      <c r="L186" s="16" t="s">
        <v>21</v>
      </c>
      <c r="M186" s="16" t="s">
        <v>22</v>
      </c>
      <c r="N186" s="48">
        <v>24</v>
      </c>
      <c r="O186" s="62">
        <v>5</v>
      </c>
      <c r="P186" s="135" t="str">
        <f t="shared" ca="1" si="40"/>
        <v>7 ans 0 mois 13 jours</v>
      </c>
      <c r="Q186" s="29">
        <v>6.58</v>
      </c>
      <c r="R186" s="43">
        <f t="shared" ca="1" si="41"/>
        <v>7.0335386721423685</v>
      </c>
      <c r="S186" s="44" t="b">
        <f t="shared" ca="1" si="42"/>
        <v>1</v>
      </c>
      <c r="T186" s="68">
        <v>38353</v>
      </c>
      <c r="U186" s="62">
        <v>80</v>
      </c>
      <c r="V186" s="44" t="str">
        <f t="shared" ca="1" si="43"/>
        <v>2 ans 0 mois 13 jours</v>
      </c>
      <c r="W186" s="29">
        <v>2</v>
      </c>
      <c r="X186" s="43">
        <f t="shared" ca="1" si="44"/>
        <v>2.0342231348391513</v>
      </c>
      <c r="Y186" s="44" t="b">
        <f t="shared" ca="1" si="45"/>
        <v>0</v>
      </c>
      <c r="Z186" s="30">
        <v>40179</v>
      </c>
      <c r="AA186" s="71">
        <v>40179</v>
      </c>
      <c r="AB186" s="62">
        <v>6</v>
      </c>
      <c r="AC186" s="44">
        <f>IF(AG186&gt;0,VLOOKUP(AG186,Calculs!$B$3:$C$13,2),"")</f>
        <v>6</v>
      </c>
      <c r="AD186" s="30">
        <v>36710</v>
      </c>
      <c r="AE186" s="79">
        <f t="shared" si="46"/>
        <v>11.493497604380561</v>
      </c>
      <c r="AF186" s="44" t="str">
        <f t="shared" ca="1" si="47"/>
        <v>11 ans 6 mois 11 jours</v>
      </c>
      <c r="AG186" s="63">
        <v>11.5</v>
      </c>
      <c r="AH186" s="51">
        <v>48028</v>
      </c>
    </row>
    <row r="187" spans="1:34" s="27" customFormat="1" x14ac:dyDescent="0.2">
      <c r="A187" s="109" t="s">
        <v>161</v>
      </c>
      <c r="B187" s="110"/>
      <c r="C187" s="110"/>
      <c r="D187" s="16"/>
      <c r="E187" s="2"/>
      <c r="F187" s="3"/>
      <c r="G187" s="3"/>
      <c r="H187" s="3"/>
      <c r="I187" s="4"/>
      <c r="J187" s="2"/>
      <c r="K187" s="4"/>
      <c r="L187" s="16" t="s">
        <v>23</v>
      </c>
      <c r="M187" s="16" t="s">
        <v>24</v>
      </c>
      <c r="N187" s="48">
        <v>24</v>
      </c>
      <c r="O187" s="62">
        <v>7</v>
      </c>
      <c r="P187" s="135" t="str">
        <f t="shared" ca="1" si="40"/>
        <v>14 ans 1 mois 12 jours</v>
      </c>
      <c r="Q187" s="29">
        <v>14.08</v>
      </c>
      <c r="R187" s="43">
        <f t="shared" ca="1" si="41"/>
        <v>14.116358658453114</v>
      </c>
      <c r="S187" s="44" t="b">
        <f t="shared" ca="1" si="42"/>
        <v>1</v>
      </c>
      <c r="T187" s="68">
        <v>35766</v>
      </c>
      <c r="U187" s="62">
        <v>110</v>
      </c>
      <c r="V187" s="44" t="str">
        <f t="shared" ca="1" si="43"/>
        <v>2 ans 0 mois 13 jours</v>
      </c>
      <c r="W187" s="29">
        <v>2</v>
      </c>
      <c r="X187" s="43">
        <f t="shared" ca="1" si="44"/>
        <v>2.0342231348391513</v>
      </c>
      <c r="Y187" s="44" t="b">
        <f t="shared" ca="1" si="45"/>
        <v>0</v>
      </c>
      <c r="Z187" s="30">
        <v>40179</v>
      </c>
      <c r="AA187" s="71">
        <v>40179</v>
      </c>
      <c r="AB187" s="62">
        <v>9</v>
      </c>
      <c r="AC187" s="44">
        <f>IF(AG187&gt;0,VLOOKUP(AG187,Calculs!$B$3:$C$13,2),"")</f>
        <v>9</v>
      </c>
      <c r="AD187" s="30">
        <v>32265</v>
      </c>
      <c r="AE187" s="79">
        <f t="shared" si="46"/>
        <v>23.663244353182751</v>
      </c>
      <c r="AF187" s="44" t="str">
        <f t="shared" ca="1" si="47"/>
        <v>23 ans 8 mois 12 jours</v>
      </c>
      <c r="AG187" s="63">
        <v>24.66</v>
      </c>
      <c r="AH187" s="51">
        <v>41764</v>
      </c>
    </row>
    <row r="188" spans="1:34" x14ac:dyDescent="0.2">
      <c r="A188" s="109" t="s">
        <v>162</v>
      </c>
      <c r="B188" s="110"/>
      <c r="C188" s="110"/>
      <c r="D188" s="16"/>
      <c r="E188" s="2"/>
      <c r="F188" s="3"/>
      <c r="G188" s="3"/>
      <c r="H188" s="3"/>
      <c r="I188" s="4"/>
      <c r="J188" s="2"/>
      <c r="K188" s="4"/>
      <c r="L188" s="16" t="s">
        <v>21</v>
      </c>
      <c r="M188" s="16" t="s">
        <v>22</v>
      </c>
      <c r="N188" s="48">
        <v>24.5</v>
      </c>
      <c r="O188" s="62">
        <v>6</v>
      </c>
      <c r="P188" s="135" t="str">
        <f t="shared" ca="1" si="40"/>
        <v>6 ans 0 mois 13 jours</v>
      </c>
      <c r="Q188" s="29">
        <v>5.75</v>
      </c>
      <c r="R188" s="43">
        <f t="shared" ca="1" si="41"/>
        <v>6.0342231348391513</v>
      </c>
      <c r="S188" s="44" t="b">
        <f t="shared" ca="1" si="42"/>
        <v>0</v>
      </c>
      <c r="T188" s="68">
        <v>38718</v>
      </c>
      <c r="U188" s="62">
        <v>90</v>
      </c>
      <c r="V188" s="44" t="str">
        <f t="shared" ca="1" si="43"/>
        <v>1 ans 0 mois 13 jours</v>
      </c>
      <c r="W188" s="29">
        <v>1</v>
      </c>
      <c r="X188" s="43">
        <f t="shared" ca="1" si="44"/>
        <v>1.0349075975359343</v>
      </c>
      <c r="Y188" s="44" t="b">
        <f t="shared" ca="1" si="45"/>
        <v>0</v>
      </c>
      <c r="Z188" s="30">
        <v>40544</v>
      </c>
      <c r="AA188" s="71">
        <v>40544</v>
      </c>
      <c r="AB188" s="62">
        <v>6</v>
      </c>
      <c r="AC188" s="44">
        <f>IF(AG188&gt;0,VLOOKUP(AG188,Calculs!$B$3:$C$13,2),"")</f>
        <v>6</v>
      </c>
      <c r="AD188" s="30">
        <v>36584</v>
      </c>
      <c r="AE188" s="79">
        <f t="shared" si="46"/>
        <v>11.838466803559205</v>
      </c>
      <c r="AF188" s="44" t="str">
        <f t="shared" ca="1" si="47"/>
        <v>11 ans 10 mois 17 jours</v>
      </c>
      <c r="AG188" s="63">
        <v>11.82</v>
      </c>
      <c r="AH188" s="51">
        <v>46318</v>
      </c>
    </row>
    <row r="189" spans="1:34" ht="13.5" thickBot="1" x14ac:dyDescent="0.25">
      <c r="A189" s="109" t="s">
        <v>82</v>
      </c>
      <c r="B189" s="110"/>
      <c r="C189" s="110"/>
      <c r="D189" s="16"/>
      <c r="E189" s="2"/>
      <c r="F189" s="3"/>
      <c r="G189" s="3"/>
      <c r="H189" s="3"/>
      <c r="I189" s="4"/>
      <c r="J189" s="2"/>
      <c r="K189" s="4"/>
      <c r="L189" s="16" t="s">
        <v>27</v>
      </c>
      <c r="M189" s="16" t="s">
        <v>24</v>
      </c>
      <c r="N189" s="48">
        <v>24.5</v>
      </c>
      <c r="O189" s="64">
        <v>9</v>
      </c>
      <c r="P189" s="137" t="str">
        <f t="shared" ca="1" si="40"/>
        <v>0 ans 4 mois 13 jours</v>
      </c>
      <c r="Q189" s="72">
        <v>4.08</v>
      </c>
      <c r="R189" s="73">
        <f t="shared" ca="1" si="41"/>
        <v>0.36960985626283366</v>
      </c>
      <c r="S189" s="44" t="b">
        <f t="shared" ca="1" si="42"/>
        <v>0</v>
      </c>
      <c r="T189" s="69">
        <v>40787</v>
      </c>
      <c r="U189" s="64">
        <v>140</v>
      </c>
      <c r="V189" s="66" t="str">
        <f t="shared" ca="1" si="43"/>
        <v>2 ans 0 mois 13 jours</v>
      </c>
      <c r="W189" s="72">
        <v>2</v>
      </c>
      <c r="X189" s="73">
        <f t="shared" ca="1" si="44"/>
        <v>2.0342231348391513</v>
      </c>
      <c r="Y189" s="66" t="b">
        <f t="shared" ca="1" si="45"/>
        <v>0</v>
      </c>
      <c r="Z189" s="65">
        <v>40179</v>
      </c>
      <c r="AA189" s="75">
        <v>40179</v>
      </c>
      <c r="AB189" s="64">
        <v>4</v>
      </c>
      <c r="AC189" s="66">
        <f>IF(AG189&gt;0,VLOOKUP(AG189,Calculs!$B$3:$C$13,2),"")</f>
        <v>4</v>
      </c>
      <c r="AD189" s="65">
        <v>39433</v>
      </c>
      <c r="AE189" s="80">
        <f t="shared" si="46"/>
        <v>4.0383299110198498</v>
      </c>
      <c r="AF189" s="66" t="str">
        <f t="shared" ca="1" si="47"/>
        <v>4 ans 0 mois 28 jours</v>
      </c>
      <c r="AG189" s="78">
        <v>4.04</v>
      </c>
      <c r="AH189" s="51">
        <v>50012</v>
      </c>
    </row>
    <row r="190" spans="1:34" s="11" customFormat="1" ht="13.5" thickTop="1" x14ac:dyDescent="0.2">
      <c r="A190" s="14"/>
      <c r="B190" s="115"/>
      <c r="C190" s="115"/>
      <c r="D190" s="15"/>
      <c r="E190" s="12"/>
      <c r="I190" s="12"/>
      <c r="J190" s="13"/>
      <c r="K190" s="12"/>
      <c r="L190" s="15"/>
      <c r="M190" s="15"/>
      <c r="N190" s="31"/>
      <c r="O190" s="34"/>
      <c r="P190" s="31"/>
      <c r="Q190" s="31"/>
      <c r="R190" s="41"/>
      <c r="S190" s="33"/>
      <c r="T190" s="33"/>
      <c r="U190" s="34"/>
      <c r="V190" s="32"/>
      <c r="W190" s="31"/>
      <c r="X190" s="31"/>
      <c r="Y190" s="32"/>
      <c r="Z190" s="33"/>
      <c r="AA190" s="35"/>
      <c r="AB190" s="31"/>
      <c r="AC190" s="32"/>
      <c r="AD190" s="33"/>
      <c r="AE190" s="40"/>
      <c r="AF190" s="32"/>
      <c r="AG190" s="41"/>
      <c r="AH190" s="31"/>
    </row>
    <row r="191" spans="1:34" s="11" customFormat="1" x14ac:dyDescent="0.2">
      <c r="A191" s="14"/>
      <c r="B191" s="115"/>
      <c r="C191" s="115"/>
      <c r="D191" s="15"/>
      <c r="E191" s="12"/>
      <c r="I191" s="12"/>
      <c r="J191" s="13"/>
      <c r="K191" s="12"/>
      <c r="L191" s="15"/>
      <c r="M191" s="15"/>
      <c r="N191" s="31"/>
      <c r="O191" s="34"/>
      <c r="P191" s="31"/>
      <c r="Q191" s="31"/>
      <c r="R191" s="41"/>
      <c r="S191" s="33"/>
      <c r="T191" s="33"/>
      <c r="U191" s="34"/>
      <c r="V191" s="32"/>
      <c r="W191" s="31"/>
      <c r="X191" s="31"/>
      <c r="Y191" s="32"/>
      <c r="Z191" s="33"/>
      <c r="AA191" s="35"/>
      <c r="AB191" s="31"/>
      <c r="AC191" s="32"/>
      <c r="AD191" s="33"/>
      <c r="AE191" s="40"/>
      <c r="AF191" s="32"/>
      <c r="AG191" s="41"/>
      <c r="AH191" s="31"/>
    </row>
    <row r="192" spans="1:34" s="11" customFormat="1" x14ac:dyDescent="0.2">
      <c r="A192" s="14"/>
      <c r="B192" s="115"/>
      <c r="C192" s="115"/>
      <c r="D192" s="15"/>
      <c r="E192" s="12"/>
      <c r="I192" s="12"/>
      <c r="J192" s="13"/>
      <c r="K192" s="12"/>
      <c r="L192" s="15"/>
      <c r="M192" s="15"/>
      <c r="N192" s="31"/>
      <c r="O192" s="34"/>
      <c r="P192" s="31"/>
      <c r="Q192" s="31"/>
      <c r="R192" s="41"/>
      <c r="S192" s="33"/>
      <c r="T192" s="33"/>
      <c r="U192" s="34"/>
      <c r="V192" s="32"/>
      <c r="W192" s="31"/>
      <c r="X192" s="31"/>
      <c r="Y192" s="32"/>
      <c r="Z192" s="33"/>
      <c r="AA192" s="35"/>
      <c r="AB192" s="31"/>
      <c r="AC192" s="32"/>
      <c r="AD192" s="33"/>
      <c r="AE192" s="40"/>
      <c r="AF192" s="32"/>
      <c r="AG192" s="41"/>
      <c r="AH192" s="31"/>
    </row>
  </sheetData>
  <sortState ref="A2:DH192">
    <sortCondition ref="A2:A192"/>
  </sortState>
  <conditionalFormatting sqref="Y1:Y1048576">
    <cfRule type="cellIs" dxfId="9" priority="23" operator="equal">
      <formula>TRUE</formula>
    </cfRule>
  </conditionalFormatting>
  <conditionalFormatting sqref="S2:S189">
    <cfRule type="cellIs" dxfId="8" priority="1" operator="equal">
      <formula>TRUE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24"/>
  <sheetViews>
    <sheetView tabSelected="1" zoomScaleNormal="100" workbookViewId="0">
      <selection activeCell="H5" sqref="H5:H6"/>
    </sheetView>
  </sheetViews>
  <sheetFormatPr baseColWidth="10" defaultColWidth="9.42578125" defaultRowHeight="12.75" x14ac:dyDescent="0.2"/>
  <cols>
    <col min="1" max="1" width="8" style="82" bestFit="1" customWidth="1"/>
    <col min="2" max="2" width="20.85546875" style="82" bestFit="1" customWidth="1"/>
    <col min="3" max="3" width="11" style="82" bestFit="1" customWidth="1"/>
    <col min="4" max="4" width="14.140625" style="82" customWidth="1"/>
    <col min="5" max="5" width="13.28515625" style="82" customWidth="1"/>
    <col min="6" max="6" width="4.85546875" style="82" bestFit="1" customWidth="1"/>
    <col min="7" max="7" width="5.7109375" style="82" bestFit="1" customWidth="1"/>
    <col min="8" max="8" width="7.5703125" style="82" bestFit="1" customWidth="1"/>
    <col min="9" max="9" width="12.42578125" style="82" bestFit="1" customWidth="1"/>
    <col min="10" max="10" width="9.5703125" style="82" bestFit="1" customWidth="1"/>
    <col min="11" max="11" width="11.42578125" style="82" customWidth="1"/>
    <col min="12" max="12" width="12.85546875" style="82" bestFit="1" customWidth="1"/>
    <col min="13" max="13" width="12.7109375" style="82" customWidth="1"/>
    <col min="14" max="14" width="12.42578125" style="82" customWidth="1"/>
    <col min="15" max="15" width="6.85546875" style="82" bestFit="1" customWidth="1"/>
    <col min="16" max="16" width="10" style="82" bestFit="1" customWidth="1"/>
    <col min="17" max="17" width="15.85546875" style="82" bestFit="1" customWidth="1"/>
    <col min="18" max="18" width="9.85546875" style="82" bestFit="1" customWidth="1"/>
    <col min="19" max="19" width="6.5703125" style="82" bestFit="1" customWidth="1"/>
    <col min="20" max="20" width="11" style="82" bestFit="1" customWidth="1"/>
    <col min="21" max="21" width="6.85546875" style="82" bestFit="1" customWidth="1"/>
    <col min="22" max="22" width="10.28515625" style="82" bestFit="1" customWidth="1"/>
    <col min="23" max="23" width="10.7109375" style="82" bestFit="1" customWidth="1"/>
    <col min="24" max="24" width="9.85546875" style="82" bestFit="1" customWidth="1"/>
    <col min="25" max="25" width="6.85546875" style="82" bestFit="1" customWidth="1"/>
    <col min="26" max="26" width="9.5703125" style="82" bestFit="1" customWidth="1"/>
    <col min="27" max="27" width="7.7109375" style="82" bestFit="1" customWidth="1"/>
    <col min="28" max="28" width="4" style="82" bestFit="1" customWidth="1"/>
    <col min="29" max="29" width="6.140625" style="82" bestFit="1" customWidth="1"/>
    <col min="30" max="30" width="8.140625" style="82" bestFit="1" customWidth="1"/>
    <col min="31" max="31" width="23.85546875" style="82" bestFit="1" customWidth="1"/>
    <col min="32" max="32" width="15.140625" style="82" bestFit="1" customWidth="1"/>
    <col min="33" max="33" width="20.42578125" style="82" bestFit="1" customWidth="1"/>
    <col min="34" max="16384" width="9.42578125" style="82"/>
  </cols>
  <sheetData>
    <row r="1" spans="1:19" ht="15.75" x14ac:dyDescent="0.25">
      <c r="C1" s="194"/>
      <c r="D1" s="194"/>
      <c r="E1" s="194"/>
      <c r="F1" s="194"/>
      <c r="G1" s="194"/>
      <c r="H1" s="194"/>
      <c r="I1" s="194"/>
      <c r="J1" s="194"/>
      <c r="K1" s="194"/>
    </row>
    <row r="2" spans="1:19" ht="13.5" thickBot="1" x14ac:dyDescent="0.25">
      <c r="B2" s="157">
        <f>VLOOKUP($B$5,Effectif!$A$1:$AH$189,10,FALSE)</f>
        <v>0</v>
      </c>
      <c r="F2" s="8"/>
    </row>
    <row r="3" spans="1:19" ht="13.5" thickTop="1" x14ac:dyDescent="0.2">
      <c r="B3" s="195" t="s">
        <v>38</v>
      </c>
      <c r="C3" s="197" t="s">
        <v>13</v>
      </c>
      <c r="D3" s="198" t="s">
        <v>39</v>
      </c>
      <c r="E3" s="186" t="s">
        <v>66</v>
      </c>
      <c r="F3" s="200" t="s">
        <v>1</v>
      </c>
      <c r="G3" s="206" t="s">
        <v>2</v>
      </c>
      <c r="H3" s="182" t="s">
        <v>18</v>
      </c>
      <c r="I3" s="218" t="s">
        <v>41</v>
      </c>
      <c r="J3" s="206" t="s">
        <v>58</v>
      </c>
      <c r="K3" s="176" t="s">
        <v>64</v>
      </c>
      <c r="L3" s="198" t="s">
        <v>40</v>
      </c>
      <c r="M3" s="206" t="s">
        <v>50</v>
      </c>
      <c r="N3" s="182" t="s">
        <v>65</v>
      </c>
      <c r="O3" s="212" t="s">
        <v>49</v>
      </c>
    </row>
    <row r="4" spans="1:19" x14ac:dyDescent="0.2">
      <c r="B4" s="196"/>
      <c r="C4" s="177"/>
      <c r="D4" s="199"/>
      <c r="E4" s="187"/>
      <c r="F4" s="201"/>
      <c r="G4" s="207"/>
      <c r="H4" s="183"/>
      <c r="I4" s="219"/>
      <c r="J4" s="207"/>
      <c r="K4" s="177"/>
      <c r="L4" s="199"/>
      <c r="M4" s="207"/>
      <c r="N4" s="183"/>
      <c r="O4" s="213"/>
    </row>
    <row r="5" spans="1:19" x14ac:dyDescent="0.2">
      <c r="B5" s="192" t="s">
        <v>125</v>
      </c>
      <c r="C5" s="190" t="str">
        <f>VLOOKUP($B$5,Effectif!$A$1:$AH$189,12,FALSE)</f>
        <v>1 - Exécution</v>
      </c>
      <c r="D5" s="188">
        <f>VLOOKUP($B$5,Effectif!$A$1:$AH$189,30,FALSE)</f>
        <v>29891</v>
      </c>
      <c r="E5" s="184">
        <f>VLOOKUP($B$5,Effectif!$A$1:$AH$189,33,FALSE)</f>
        <v>30.17</v>
      </c>
      <c r="F5" s="202">
        <f>VLOOKUP($B$5,Effectif!$A$1:$AH$189,15,FALSE)</f>
        <v>6</v>
      </c>
      <c r="G5" s="208">
        <f>VLOOKUP($B$5,Effectif!$A$1:$AH$189,21,)</f>
        <v>125</v>
      </c>
      <c r="H5" s="204">
        <f>VLOOKUP($B$5,Effectif!$A$1:$AH$189,28,FALSE)</f>
        <v>10</v>
      </c>
      <c r="I5" s="216">
        <f>VLOOKUP($B$5,Effectif!$A$1:$AH$189,20,)</f>
        <v>39083</v>
      </c>
      <c r="J5" s="220" t="b">
        <f ca="1">VLOOKUP($B$5,Effectif!$A$1:$AH$189,19,FALSE)</f>
        <v>0</v>
      </c>
      <c r="K5" s="178">
        <f>VLOOKUP($B$5,Effectif!$A$1:$AH$189,17,FALSE)</f>
        <v>4.25</v>
      </c>
      <c r="L5" s="188">
        <f>VLOOKUP($B$5,Effectif!$A$1:$AH$189,26,FALSE)</f>
        <v>40544</v>
      </c>
      <c r="M5" s="210" t="b">
        <f ca="1">VLOOKUP($B$5,Effectif!$A$1:$AH$189,25,FALSE)</f>
        <v>0</v>
      </c>
      <c r="N5" s="180">
        <f>VLOOKUP($B$5,Effectif!$A$1:$AH$189,23,FALSE)</f>
        <v>1</v>
      </c>
      <c r="O5" s="214">
        <f>VLOOKUP($B$5,Effectif!$A$1:$AH$189,9,FALSE)</f>
        <v>0</v>
      </c>
      <c r="S5" s="9"/>
    </row>
    <row r="6" spans="1:19" ht="13.5" thickBot="1" x14ac:dyDescent="0.25">
      <c r="B6" s="193"/>
      <c r="C6" s="191"/>
      <c r="D6" s="189"/>
      <c r="E6" s="185"/>
      <c r="F6" s="203"/>
      <c r="G6" s="209"/>
      <c r="H6" s="205"/>
      <c r="I6" s="217"/>
      <c r="J6" s="221"/>
      <c r="K6" s="179"/>
      <c r="L6" s="189"/>
      <c r="M6" s="211"/>
      <c r="N6" s="181"/>
      <c r="O6" s="215" t="e">
        <f>(VLOOKUP(L9,Effectif!#REF!,10))</f>
        <v>#REF!</v>
      </c>
    </row>
    <row r="7" spans="1:19" ht="13.5" thickBot="1" x14ac:dyDescent="0.25">
      <c r="B7" s="37"/>
      <c r="C7" s="37"/>
      <c r="D7" s="37"/>
      <c r="E7" s="37"/>
      <c r="F7" s="37"/>
      <c r="G7" s="37"/>
      <c r="H7" s="37"/>
      <c r="I7" s="37"/>
      <c r="J7" s="37"/>
      <c r="K7" s="37"/>
    </row>
    <row r="8" spans="1:19" ht="25.5" x14ac:dyDescent="0.2">
      <c r="E8" s="148" t="s">
        <v>45</v>
      </c>
      <c r="F8" s="117"/>
      <c r="G8" s="118">
        <f>VLOOKUP(F5,Calculs!A17:C28,3)</f>
        <v>105</v>
      </c>
    </row>
    <row r="9" spans="1:19" ht="25.5" x14ac:dyDescent="0.2">
      <c r="E9" s="149" t="s">
        <v>46</v>
      </c>
      <c r="F9" s="119">
        <f>VLOOKUP(F5,Calculs!I4:K14,3)</f>
        <v>7</v>
      </c>
      <c r="G9" s="120">
        <f>VLOOKUP(H5,Calculs!E4:G14,3)</f>
        <v>110</v>
      </c>
      <c r="H9" s="8"/>
      <c r="I9" s="8"/>
      <c r="J9" s="8"/>
      <c r="K9" s="8"/>
      <c r="L9" s="8"/>
    </row>
    <row r="10" spans="1:19" ht="25.5" x14ac:dyDescent="0.2">
      <c r="E10" s="150" t="s">
        <v>47</v>
      </c>
      <c r="F10" s="119">
        <f>VLOOKUP(C5,Calculs!I18:K22,3)</f>
        <v>5</v>
      </c>
      <c r="G10" s="120">
        <f>VLOOKUP(C5,Calculs!E18:G22,3)</f>
        <v>95</v>
      </c>
      <c r="H10" s="8"/>
      <c r="I10" s="8"/>
      <c r="J10" s="8"/>
      <c r="K10" s="8"/>
      <c r="L10" s="8"/>
    </row>
    <row r="11" spans="1:19" ht="26.25" thickBot="1" x14ac:dyDescent="0.25">
      <c r="E11" s="151" t="s">
        <v>48</v>
      </c>
      <c r="F11" s="121">
        <f>VLOOKUP(G5,Calculs!M4:O44,3)</f>
        <v>7</v>
      </c>
      <c r="G11" s="122"/>
      <c r="H11" s="8"/>
      <c r="I11" s="8"/>
      <c r="J11" s="8"/>
      <c r="K11" s="8"/>
      <c r="L11" s="8"/>
    </row>
    <row r="12" spans="1:19" ht="26.25" thickBot="1" x14ac:dyDescent="0.25">
      <c r="E12" s="152" t="s">
        <v>52</v>
      </c>
      <c r="F12" s="133">
        <f>MROUND(AVERAGE(F9:F11),1)</f>
        <v>6</v>
      </c>
      <c r="G12" s="123">
        <f>MROUND(AVERAGE(G8:G10),5)</f>
        <v>105</v>
      </c>
      <c r="H12" s="8"/>
      <c r="I12" s="8"/>
      <c r="J12" s="8"/>
      <c r="K12" s="8"/>
      <c r="L12" s="8"/>
    </row>
    <row r="13" spans="1:19" x14ac:dyDescent="0.2">
      <c r="G13" s="8"/>
      <c r="H13" s="8"/>
      <c r="I13" s="8"/>
      <c r="J13" s="8"/>
      <c r="K13" s="8"/>
      <c r="L13" s="8"/>
    </row>
    <row r="14" spans="1:19" ht="13.5" thickBot="1" x14ac:dyDescent="0.25">
      <c r="E14" s="8"/>
      <c r="J14" s="8"/>
      <c r="K14" s="8"/>
      <c r="L14" s="8"/>
      <c r="M14" s="8"/>
      <c r="N14" s="8"/>
      <c r="O14" s="8"/>
    </row>
    <row r="15" spans="1:19" x14ac:dyDescent="0.2">
      <c r="D15" s="172" t="s">
        <v>61</v>
      </c>
      <c r="E15" s="173"/>
      <c r="F15" s="134">
        <f>VLOOKUP($C$5,Calculs!E27:G31,3,FALSE)</f>
        <v>8.5</v>
      </c>
      <c r="G15" s="154" t="s">
        <v>63</v>
      </c>
      <c r="J15" s="8"/>
      <c r="K15" s="8"/>
      <c r="L15" s="8"/>
      <c r="M15" s="8"/>
      <c r="N15" s="8"/>
      <c r="O15" s="8"/>
    </row>
    <row r="16" spans="1:19" ht="13.5" thickBot="1" x14ac:dyDescent="0.25">
      <c r="A16" s="84"/>
      <c r="B16" s="84"/>
      <c r="C16" s="84"/>
      <c r="D16" s="174" t="s">
        <v>62</v>
      </c>
      <c r="E16" s="175"/>
      <c r="F16" s="155">
        <f>VLOOKUP($C$5,Calculs!I27:K31,3,FALSE)</f>
        <v>2</v>
      </c>
      <c r="G16" s="156" t="s">
        <v>63</v>
      </c>
    </row>
    <row r="17" spans="4:7" ht="13.5" thickBot="1" x14ac:dyDescent="0.25"/>
    <row r="18" spans="4:7" ht="15" customHeight="1" x14ac:dyDescent="0.2">
      <c r="D18" s="167" t="s">
        <v>68</v>
      </c>
      <c r="E18" s="168"/>
      <c r="F18" s="168"/>
      <c r="G18" s="169"/>
    </row>
    <row r="19" spans="4:7" ht="13.5" thickBot="1" x14ac:dyDescent="0.25">
      <c r="D19" s="165" t="str">
        <f>C5</f>
        <v>1 - Exécution</v>
      </c>
      <c r="E19" s="166"/>
      <c r="F19" s="162">
        <f>VLOOKUP($C$5,Calculs!E36:G40,3,FALSE)</f>
        <v>23</v>
      </c>
      <c r="G19" s="161" t="s">
        <v>63</v>
      </c>
    </row>
    <row r="20" spans="4:7" ht="13.5" thickBot="1" x14ac:dyDescent="0.25"/>
    <row r="21" spans="4:7" x14ac:dyDescent="0.2">
      <c r="D21" s="167" t="s">
        <v>69</v>
      </c>
      <c r="E21" s="168"/>
      <c r="F21" s="168"/>
      <c r="G21" s="169"/>
    </row>
    <row r="22" spans="4:7" ht="13.5" thickBot="1" x14ac:dyDescent="0.25">
      <c r="D22" s="170">
        <f>F5</f>
        <v>6</v>
      </c>
      <c r="E22" s="171"/>
      <c r="F22" s="162">
        <f>VLOOKUP(F5,Calculs!I36:K47,3,FALSE)</f>
        <v>6</v>
      </c>
      <c r="G22" s="161" t="s">
        <v>63</v>
      </c>
    </row>
    <row r="23" spans="4:7" x14ac:dyDescent="0.2">
      <c r="D23" s="153"/>
      <c r="E23" s="153"/>
      <c r="F23" s="153"/>
      <c r="G23" s="153"/>
    </row>
    <row r="24" spans="4:7" x14ac:dyDescent="0.2">
      <c r="D24" s="153"/>
      <c r="E24" s="153"/>
      <c r="F24" s="153"/>
      <c r="G24" s="153"/>
    </row>
  </sheetData>
  <mergeCells count="35">
    <mergeCell ref="O3:O4"/>
    <mergeCell ref="O5:O6"/>
    <mergeCell ref="I5:I6"/>
    <mergeCell ref="L5:L6"/>
    <mergeCell ref="I3:I4"/>
    <mergeCell ref="J3:J4"/>
    <mergeCell ref="J5:J6"/>
    <mergeCell ref="D5:D6"/>
    <mergeCell ref="C5:C6"/>
    <mergeCell ref="B5:B6"/>
    <mergeCell ref="C1:K1"/>
    <mergeCell ref="B3:B4"/>
    <mergeCell ref="C3:C4"/>
    <mergeCell ref="D3:D4"/>
    <mergeCell ref="F3:F4"/>
    <mergeCell ref="H3:H4"/>
    <mergeCell ref="F5:F6"/>
    <mergeCell ref="H5:H6"/>
    <mergeCell ref="G3:G4"/>
    <mergeCell ref="G5:G6"/>
    <mergeCell ref="K3:K4"/>
    <mergeCell ref="K5:K6"/>
    <mergeCell ref="N5:N6"/>
    <mergeCell ref="N3:N4"/>
    <mergeCell ref="E5:E6"/>
    <mergeCell ref="E3:E4"/>
    <mergeCell ref="L3:L4"/>
    <mergeCell ref="M3:M4"/>
    <mergeCell ref="M5:M6"/>
    <mergeCell ref="D19:E19"/>
    <mergeCell ref="D18:G18"/>
    <mergeCell ref="D21:G21"/>
    <mergeCell ref="D22:E22"/>
    <mergeCell ref="D15:E15"/>
    <mergeCell ref="D16:E16"/>
  </mergeCells>
  <conditionalFormatting sqref="F5">
    <cfRule type="cellIs" dxfId="7" priority="7" operator="lessThan">
      <formula>$F$12</formula>
    </cfRule>
  </conditionalFormatting>
  <conditionalFormatting sqref="G5">
    <cfRule type="cellIs" dxfId="6" priority="6" operator="lessThan">
      <formula>$G$12</formula>
    </cfRule>
  </conditionalFormatting>
  <conditionalFormatting sqref="J5:K5 M5:O5 M6">
    <cfRule type="cellIs" dxfId="5" priority="5" operator="equal">
      <formula>TRUE</formula>
    </cfRule>
  </conditionalFormatting>
  <conditionalFormatting sqref="K5:K6">
    <cfRule type="cellIs" dxfId="4" priority="3" operator="greaterThanOrEqual">
      <formula>7</formula>
    </cfRule>
  </conditionalFormatting>
  <conditionalFormatting sqref="N5:N6">
    <cfRule type="cellIs" dxfId="3" priority="2" operator="greaterThanOrEqual">
      <formula>4</formula>
    </cfRule>
  </conditionalFormatting>
  <conditionalFormatting sqref="B2">
    <cfRule type="cellIs" dxfId="2" priority="1" operator="equal">
      <formula>"OUI"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Button 14">
              <controlPr defaultSize="0" print="0" autoFill="0" autoPict="0" macro="[0]!Enregistrer">
                <anchor moveWithCells="1" sizeWithCells="1">
                  <from>
                    <xdr:col>1</xdr:col>
                    <xdr:colOff>57150</xdr:colOff>
                    <xdr:row>8</xdr:row>
                    <xdr:rowOff>9525</xdr:rowOff>
                  </from>
                  <to>
                    <xdr:col>1</xdr:col>
                    <xdr:colOff>1314450</xdr:colOff>
                    <xdr:row>8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Button 15">
              <controlPr defaultSize="0" print="0" autoFill="0" autoPict="0" macro="[0]!Supprimer">
                <anchor moveWithCells="1" sizeWithCells="1">
                  <from>
                    <xdr:col>1</xdr:col>
                    <xdr:colOff>47625</xdr:colOff>
                    <xdr:row>10</xdr:row>
                    <xdr:rowOff>19050</xdr:rowOff>
                  </from>
                  <to>
                    <xdr:col>1</xdr:col>
                    <xdr:colOff>1333500</xdr:colOff>
                    <xdr:row>10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Effectif!$A$2:$A$189</xm:f>
          </x14:formula1>
          <xm:sqref>B5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47"/>
  <sheetViews>
    <sheetView workbookViewId="0">
      <selection activeCell="D28" sqref="D28"/>
    </sheetView>
  </sheetViews>
  <sheetFormatPr baseColWidth="10" defaultRowHeight="15" x14ac:dyDescent="0.25"/>
  <cols>
    <col min="1" max="1" width="3" bestFit="1" customWidth="1"/>
    <col min="2" max="2" width="10.140625" bestFit="1" customWidth="1"/>
    <col min="3" max="3" width="8" style="39" bestFit="1" customWidth="1"/>
    <col min="4" max="4" width="11.42578125" style="39"/>
    <col min="5" max="5" width="27" bestFit="1" customWidth="1"/>
    <col min="6" max="6" width="8.42578125" bestFit="1" customWidth="1"/>
    <col min="7" max="7" width="7" bestFit="1" customWidth="1"/>
    <col min="9" max="9" width="25.5703125" bestFit="1" customWidth="1"/>
    <col min="10" max="10" width="8.42578125" bestFit="1" customWidth="1"/>
    <col min="11" max="11" width="7" bestFit="1" customWidth="1"/>
    <col min="13" max="13" width="4" bestFit="1" customWidth="1"/>
    <col min="14" max="14" width="8.42578125" bestFit="1" customWidth="1"/>
    <col min="15" max="15" width="7" bestFit="1" customWidth="1"/>
  </cols>
  <sheetData>
    <row r="1" spans="1:15" ht="15.75" thickBot="1" x14ac:dyDescent="0.3"/>
    <row r="2" spans="1:15" ht="15.75" thickBot="1" x14ac:dyDescent="0.3">
      <c r="B2" s="130" t="s">
        <v>51</v>
      </c>
      <c r="C2" s="131" t="s">
        <v>35</v>
      </c>
      <c r="E2" s="228" t="s">
        <v>7</v>
      </c>
      <c r="F2" s="229"/>
      <c r="G2" s="230"/>
      <c r="I2" s="167" t="s">
        <v>42</v>
      </c>
      <c r="J2" s="168"/>
      <c r="K2" s="169"/>
      <c r="M2" s="167" t="s">
        <v>43</v>
      </c>
      <c r="N2" s="168"/>
      <c r="O2" s="169"/>
    </row>
    <row r="3" spans="1:15" ht="15.75" thickBot="1" x14ac:dyDescent="0.3">
      <c r="B3" s="128">
        <v>0</v>
      </c>
      <c r="C3" s="129">
        <v>2</v>
      </c>
      <c r="E3" s="85" t="s">
        <v>6</v>
      </c>
      <c r="F3" s="97" t="s">
        <v>4</v>
      </c>
      <c r="G3" s="87" t="s">
        <v>8</v>
      </c>
      <c r="I3" s="85" t="s">
        <v>6</v>
      </c>
      <c r="J3" s="86" t="s">
        <v>4</v>
      </c>
      <c r="K3" s="108" t="s">
        <v>8</v>
      </c>
      <c r="M3" s="85" t="s">
        <v>2</v>
      </c>
      <c r="N3" s="86" t="s">
        <v>4</v>
      </c>
      <c r="O3" s="87" t="s">
        <v>8</v>
      </c>
    </row>
    <row r="4" spans="1:15" x14ac:dyDescent="0.25">
      <c r="B4" s="124">
        <v>2</v>
      </c>
      <c r="C4" s="125">
        <v>3</v>
      </c>
      <c r="E4" s="91">
        <v>2</v>
      </c>
      <c r="F4" s="98">
        <f>AVERAGEIF(Effectif!AB:AB,Calculs!E4,Effectif!U:U)</f>
        <v>52.5</v>
      </c>
      <c r="G4" s="93">
        <f t="shared" ref="G4:G14" si="0">MROUND(F4,5)</f>
        <v>55</v>
      </c>
      <c r="I4" s="88">
        <v>2</v>
      </c>
      <c r="J4" s="105">
        <f>AVERAGEIF(Effectif!AB:AB,Calculs!I4,Effectif!O:O)</f>
        <v>3</v>
      </c>
      <c r="K4" s="90">
        <f t="shared" ref="K4:K14" si="1">MROUND(J4,1)</f>
        <v>3</v>
      </c>
      <c r="M4" s="88">
        <v>30</v>
      </c>
      <c r="N4" s="105" t="e">
        <f>AVERAGEIF(Effectif!U:U,Calculs!M4,Effectif!O:O)</f>
        <v>#DIV/0!</v>
      </c>
      <c r="O4" s="90" t="e">
        <f t="shared" ref="O4:O44" si="2">MROUND(N4,1)</f>
        <v>#DIV/0!</v>
      </c>
    </row>
    <row r="5" spans="1:15" x14ac:dyDescent="0.25">
      <c r="B5" s="124">
        <v>4</v>
      </c>
      <c r="C5" s="125">
        <v>4</v>
      </c>
      <c r="E5" s="91">
        <v>3</v>
      </c>
      <c r="F5" s="98">
        <f>AVERAGEIF(Effectif!AB:AB,Calculs!E5,Effectif!U:U)</f>
        <v>74.411764705882348</v>
      </c>
      <c r="G5" s="93">
        <f t="shared" si="0"/>
        <v>75</v>
      </c>
      <c r="I5" s="91">
        <v>3</v>
      </c>
      <c r="J5" s="106">
        <f>AVERAGEIF(Effectif!AB:AB,Calculs!I5,Effectif!O:O)</f>
        <v>4.9411764705882355</v>
      </c>
      <c r="K5" s="93">
        <f t="shared" si="1"/>
        <v>5</v>
      </c>
      <c r="M5" s="91">
        <v>35</v>
      </c>
      <c r="N5" s="106" t="e">
        <f>AVERAGEIF(Effectif!U:U,Calculs!M5,Effectif!O:O)</f>
        <v>#DIV/0!</v>
      </c>
      <c r="O5" s="93" t="e">
        <f t="shared" si="2"/>
        <v>#DIV/0!</v>
      </c>
    </row>
    <row r="6" spans="1:15" x14ac:dyDescent="0.25">
      <c r="B6" s="124">
        <v>6</v>
      </c>
      <c r="C6" s="125">
        <v>5</v>
      </c>
      <c r="E6" s="91">
        <v>4</v>
      </c>
      <c r="F6" s="98">
        <f>AVERAGEIF(Effectif!AB:AB,Calculs!E6,Effectif!U:U)</f>
        <v>77.857142857142861</v>
      </c>
      <c r="G6" s="93">
        <f t="shared" si="0"/>
        <v>80</v>
      </c>
      <c r="I6" s="91">
        <v>4</v>
      </c>
      <c r="J6" s="106">
        <f>AVERAGEIF(Effectif!AB:AB,Calculs!I6,Effectif!O:O)</f>
        <v>4.8571428571428568</v>
      </c>
      <c r="K6" s="93">
        <f t="shared" si="1"/>
        <v>5</v>
      </c>
      <c r="M6" s="91">
        <v>40</v>
      </c>
      <c r="N6" s="106" t="e">
        <f>AVERAGEIF(Effectif!U:U,Calculs!M6,Effectif!O:O)</f>
        <v>#DIV/0!</v>
      </c>
      <c r="O6" s="93" t="e">
        <f t="shared" si="2"/>
        <v>#DIV/0!</v>
      </c>
    </row>
    <row r="7" spans="1:15" x14ac:dyDescent="0.25">
      <c r="B7" s="124">
        <v>10</v>
      </c>
      <c r="C7" s="125">
        <v>6</v>
      </c>
      <c r="E7" s="91">
        <v>5</v>
      </c>
      <c r="F7" s="98">
        <f>AVERAGEIF(Effectif!AB:AB,Calculs!E7,Effectif!U:U)</f>
        <v>83.571428571428569</v>
      </c>
      <c r="G7" s="93">
        <f t="shared" si="0"/>
        <v>85</v>
      </c>
      <c r="I7" s="91">
        <v>5</v>
      </c>
      <c r="J7" s="106">
        <f>AVERAGEIF(Effectif!AB:AB,Calculs!I7,Effectif!O:O)</f>
        <v>5.5714285714285712</v>
      </c>
      <c r="K7" s="93">
        <f t="shared" si="1"/>
        <v>6</v>
      </c>
      <c r="M7" s="91">
        <v>45</v>
      </c>
      <c r="N7" s="106">
        <f>AVERAGEIF(Effectif!U:U,Calculs!M7,Effectif!O:O)</f>
        <v>3</v>
      </c>
      <c r="O7" s="93">
        <f t="shared" si="2"/>
        <v>3</v>
      </c>
    </row>
    <row r="8" spans="1:15" x14ac:dyDescent="0.25">
      <c r="B8" s="124">
        <v>13</v>
      </c>
      <c r="C8" s="125">
        <v>7</v>
      </c>
      <c r="E8" s="91">
        <v>6</v>
      </c>
      <c r="F8" s="98">
        <f>AVERAGEIF(Effectif!AB:AB,Calculs!E8,Effectif!U:U)</f>
        <v>91.785714285714292</v>
      </c>
      <c r="G8" s="93">
        <f t="shared" si="0"/>
        <v>90</v>
      </c>
      <c r="I8" s="91">
        <v>6</v>
      </c>
      <c r="J8" s="106">
        <f>AVERAGEIF(Effectif!AB:AB,Calculs!I8,Effectif!O:O)</f>
        <v>6.5</v>
      </c>
      <c r="K8" s="93">
        <f t="shared" si="1"/>
        <v>7</v>
      </c>
      <c r="M8" s="91">
        <v>50</v>
      </c>
      <c r="N8" s="106">
        <f>AVERAGEIF(Effectif!U:U,Calculs!M8,Effectif!O:O)</f>
        <v>3</v>
      </c>
      <c r="O8" s="93">
        <f t="shared" si="2"/>
        <v>3</v>
      </c>
    </row>
    <row r="9" spans="1:15" x14ac:dyDescent="0.25">
      <c r="B9" s="124">
        <v>17</v>
      </c>
      <c r="C9" s="125">
        <v>8</v>
      </c>
      <c r="E9" s="91">
        <v>7</v>
      </c>
      <c r="F9" s="98">
        <f>AVERAGEIF(Effectif!AB:AB,Calculs!E9,Effectif!U:U)</f>
        <v>86.111111111111114</v>
      </c>
      <c r="G9" s="93">
        <f t="shared" si="0"/>
        <v>85</v>
      </c>
      <c r="I9" s="91">
        <v>7</v>
      </c>
      <c r="J9" s="106">
        <f>AVERAGEIF(Effectif!AB:AB,Calculs!I9,Effectif!O:O)</f>
        <v>5.666666666666667</v>
      </c>
      <c r="K9" s="93">
        <f t="shared" si="1"/>
        <v>6</v>
      </c>
      <c r="M9" s="91">
        <v>55</v>
      </c>
      <c r="N9" s="106">
        <f>AVERAGEIF(Effectif!U:U,Calculs!M9,Effectif!O:O)</f>
        <v>3</v>
      </c>
      <c r="O9" s="93">
        <f t="shared" si="2"/>
        <v>3</v>
      </c>
    </row>
    <row r="10" spans="1:15" x14ac:dyDescent="0.25">
      <c r="B10" s="124">
        <v>21</v>
      </c>
      <c r="C10" s="125">
        <v>9</v>
      </c>
      <c r="E10" s="91">
        <v>8</v>
      </c>
      <c r="F10" s="98">
        <f>AVERAGEIF(Effectif!AB:AB,Calculs!E10,Effectif!U:U)</f>
        <v>89.5</v>
      </c>
      <c r="G10" s="93">
        <f t="shared" si="0"/>
        <v>90</v>
      </c>
      <c r="I10" s="91">
        <v>8</v>
      </c>
      <c r="J10" s="106">
        <f>AVERAGEIF(Effectif!AB:AB,Calculs!I10,Effectif!O:O)</f>
        <v>5.5</v>
      </c>
      <c r="K10" s="93">
        <f t="shared" si="1"/>
        <v>6</v>
      </c>
      <c r="M10" s="91">
        <v>60</v>
      </c>
      <c r="N10" s="106">
        <f>AVERAGEIF(Effectif!U:U,Calculs!M10,Effectif!O:O)</f>
        <v>3</v>
      </c>
      <c r="O10" s="93">
        <f t="shared" si="2"/>
        <v>3</v>
      </c>
    </row>
    <row r="11" spans="1:15" x14ac:dyDescent="0.25">
      <c r="B11" s="124">
        <v>25</v>
      </c>
      <c r="C11" s="125">
        <v>10</v>
      </c>
      <c r="E11" s="91">
        <v>9</v>
      </c>
      <c r="F11" s="98">
        <f>AVERAGEIF(Effectif!AB:AB,Calculs!E11,Effectif!U:U)</f>
        <v>98.125</v>
      </c>
      <c r="G11" s="93">
        <f t="shared" si="0"/>
        <v>100</v>
      </c>
      <c r="I11" s="91">
        <v>9</v>
      </c>
      <c r="J11" s="106">
        <f>AVERAGEIF(Effectif!AB:AB,Calculs!I11,Effectif!O:O)</f>
        <v>5.8125</v>
      </c>
      <c r="K11" s="93">
        <f t="shared" si="1"/>
        <v>6</v>
      </c>
      <c r="M11" s="91">
        <v>65</v>
      </c>
      <c r="N11" s="106">
        <f>AVERAGEIF(Effectif!U:U,Calculs!M11,Effectif!O:O)</f>
        <v>4</v>
      </c>
      <c r="O11" s="93">
        <f t="shared" si="2"/>
        <v>4</v>
      </c>
    </row>
    <row r="12" spans="1:15" x14ac:dyDescent="0.25">
      <c r="B12" s="124">
        <v>30</v>
      </c>
      <c r="C12" s="125">
        <v>11</v>
      </c>
      <c r="E12" s="91">
        <v>10</v>
      </c>
      <c r="F12" s="98">
        <f>AVERAGEIF(Effectif!AB:AB,Calculs!E12,Effectif!U:U)</f>
        <v>109.58333333333333</v>
      </c>
      <c r="G12" s="93">
        <f t="shared" si="0"/>
        <v>110</v>
      </c>
      <c r="I12" s="91">
        <v>10</v>
      </c>
      <c r="J12" s="106">
        <f>AVERAGEIF(Effectif!AB:AB,Calculs!I12,Effectif!O:O)</f>
        <v>5.9444444444444446</v>
      </c>
      <c r="K12" s="93">
        <f t="shared" si="1"/>
        <v>6</v>
      </c>
      <c r="M12" s="91">
        <v>70</v>
      </c>
      <c r="N12" s="106">
        <f>AVERAGEIF(Effectif!U:U,Calculs!M12,Effectif!O:O)</f>
        <v>4.666666666666667</v>
      </c>
      <c r="O12" s="93">
        <f t="shared" si="2"/>
        <v>5</v>
      </c>
    </row>
    <row r="13" spans="1:15" ht="15.75" thickBot="1" x14ac:dyDescent="0.3">
      <c r="B13" s="126">
        <v>34</v>
      </c>
      <c r="C13" s="127">
        <v>12</v>
      </c>
      <c r="E13" s="91">
        <v>11</v>
      </c>
      <c r="F13" s="98">
        <f>AVERAGEIF(Effectif!AB:AB,Calculs!E13,Effectif!U:U)</f>
        <v>120.34482758620689</v>
      </c>
      <c r="G13" s="93">
        <f t="shared" si="0"/>
        <v>120</v>
      </c>
      <c r="I13" s="91">
        <v>11</v>
      </c>
      <c r="J13" s="106">
        <f>AVERAGEIF(Effectif!AB:AB,Calculs!I13,Effectif!O:O)</f>
        <v>6.6206896551724137</v>
      </c>
      <c r="K13" s="93">
        <f t="shared" si="1"/>
        <v>7</v>
      </c>
      <c r="M13" s="91">
        <v>75</v>
      </c>
      <c r="N13" s="106">
        <f>AVERAGEIF(Effectif!U:U,Calculs!M13,Effectif!O:O)</f>
        <v>4.8181818181818183</v>
      </c>
      <c r="O13" s="93">
        <f t="shared" si="2"/>
        <v>5</v>
      </c>
    </row>
    <row r="14" spans="1:15" ht="15.75" thickBot="1" x14ac:dyDescent="0.3">
      <c r="E14" s="94">
        <v>12</v>
      </c>
      <c r="F14" s="99">
        <f>AVERAGEIF(Effectif!AB:AB,Calculs!E14,Effectif!U:U)</f>
        <v>148</v>
      </c>
      <c r="G14" s="96">
        <f t="shared" si="0"/>
        <v>150</v>
      </c>
      <c r="I14" s="94">
        <v>12</v>
      </c>
      <c r="J14" s="107">
        <f>AVERAGEIF(Effectif!AB:AB,Calculs!I14,Effectif!O:O)</f>
        <v>8.6</v>
      </c>
      <c r="K14" s="96">
        <f t="shared" si="1"/>
        <v>9</v>
      </c>
      <c r="M14" s="91">
        <v>80</v>
      </c>
      <c r="N14" s="106">
        <f>AVERAGEIF(Effectif!U:U,Calculs!M14,Effectif!O:O)</f>
        <v>5</v>
      </c>
      <c r="O14" s="93">
        <f t="shared" si="2"/>
        <v>5</v>
      </c>
    </row>
    <row r="15" spans="1:15" ht="15.75" thickBot="1" x14ac:dyDescent="0.3">
      <c r="A15" s="167" t="s">
        <v>5</v>
      </c>
      <c r="B15" s="168"/>
      <c r="C15" s="169"/>
      <c r="E15" s="84"/>
      <c r="F15" s="84"/>
      <c r="G15" s="84"/>
      <c r="I15" s="82"/>
      <c r="J15" s="82"/>
      <c r="K15" s="82"/>
      <c r="M15" s="91">
        <v>85</v>
      </c>
      <c r="N15" s="106">
        <f>AVERAGEIF(Effectif!U:U,Calculs!M15,Effectif!O:O)</f>
        <v>5.2</v>
      </c>
      <c r="O15" s="93">
        <f t="shared" si="2"/>
        <v>5</v>
      </c>
    </row>
    <row r="16" spans="1:15" ht="15.75" thickBot="1" x14ac:dyDescent="0.3">
      <c r="A16" s="85" t="s">
        <v>1</v>
      </c>
      <c r="B16" s="86" t="s">
        <v>4</v>
      </c>
      <c r="C16" s="87" t="s">
        <v>8</v>
      </c>
      <c r="E16" s="231" t="s">
        <v>10</v>
      </c>
      <c r="F16" s="232"/>
      <c r="G16" s="233"/>
      <c r="I16" s="167" t="s">
        <v>44</v>
      </c>
      <c r="J16" s="168"/>
      <c r="K16" s="169"/>
      <c r="M16" s="91">
        <v>90</v>
      </c>
      <c r="N16" s="106">
        <f>AVERAGEIF(Effectif!U:U,Calculs!M16,Effectif!O:O)</f>
        <v>5.7058823529411766</v>
      </c>
      <c r="O16" s="93">
        <f t="shared" si="2"/>
        <v>6</v>
      </c>
    </row>
    <row r="17" spans="1:15" ht="15.75" thickBot="1" x14ac:dyDescent="0.3">
      <c r="A17" s="88">
        <v>3</v>
      </c>
      <c r="B17" s="89">
        <f>AVERAGEIF(Effectif!O:O,Calculs!A17,Effectif!U:U)</f>
        <v>54.166666666666664</v>
      </c>
      <c r="C17" s="90">
        <f t="shared" ref="C17:C28" si="3">MROUND(B17,5)</f>
        <v>55</v>
      </c>
      <c r="E17" s="100" t="s">
        <v>9</v>
      </c>
      <c r="F17" s="101" t="s">
        <v>11</v>
      </c>
      <c r="G17" s="87" t="s">
        <v>8</v>
      </c>
      <c r="I17" s="100" t="s">
        <v>9</v>
      </c>
      <c r="J17" s="101" t="s">
        <v>11</v>
      </c>
      <c r="K17" s="87" t="s">
        <v>8</v>
      </c>
      <c r="M17" s="91">
        <v>95</v>
      </c>
      <c r="N17" s="106">
        <f>AVERAGEIF(Effectif!U:U,Calculs!M17,Effectif!O:O)</f>
        <v>5.5384615384615383</v>
      </c>
      <c r="O17" s="93">
        <f t="shared" si="2"/>
        <v>6</v>
      </c>
    </row>
    <row r="18" spans="1:15" x14ac:dyDescent="0.25">
      <c r="A18" s="91">
        <v>4</v>
      </c>
      <c r="B18" s="92">
        <f>AVERAGEIF(Effectif!O:O,Calculs!A18,Effectif!U:U)</f>
        <v>78.529411764705884</v>
      </c>
      <c r="C18" s="93">
        <f t="shared" si="3"/>
        <v>80</v>
      </c>
      <c r="E18" s="102" t="s">
        <v>21</v>
      </c>
      <c r="F18" s="89">
        <f>AVERAGEIF(Effectif!L:L,Calculs!E18,Effectif!U:U)</f>
        <v>92.981651376146786</v>
      </c>
      <c r="G18" s="90">
        <f>MROUND(F18,5)</f>
        <v>95</v>
      </c>
      <c r="I18" s="102" t="s">
        <v>21</v>
      </c>
      <c r="J18" s="105">
        <f>AVERAGEIF(Effectif!L:L,Calculs!E18,Effectif!O:O)</f>
        <v>5.2293577981651378</v>
      </c>
      <c r="K18" s="90">
        <f>MROUND(J18,1)</f>
        <v>5</v>
      </c>
      <c r="M18" s="91">
        <v>100</v>
      </c>
      <c r="N18" s="106">
        <f>AVERAGEIF(Effectif!U:U,Calculs!M18,Effectif!O:O)</f>
        <v>5.666666666666667</v>
      </c>
      <c r="O18" s="93">
        <f t="shared" si="2"/>
        <v>6</v>
      </c>
    </row>
    <row r="19" spans="1:15" x14ac:dyDescent="0.25">
      <c r="A19" s="91">
        <v>5</v>
      </c>
      <c r="B19" s="92">
        <f>AVERAGEIF(Effectif!O:O,Calculs!A19,Effectif!U:U)</f>
        <v>88.94736842105263</v>
      </c>
      <c r="C19" s="93">
        <f t="shared" si="3"/>
        <v>90</v>
      </c>
      <c r="E19" s="103" t="s">
        <v>25</v>
      </c>
      <c r="F19" s="92">
        <f>AVERAGEIF(Effectif!L:L,Calculs!E19,Effectif!U:U)</f>
        <v>58.18181818181818</v>
      </c>
      <c r="G19" s="93">
        <f>MROUND(F19,5)</f>
        <v>60</v>
      </c>
      <c r="I19" s="103" t="s">
        <v>25</v>
      </c>
      <c r="J19" s="106">
        <f>AVERAGEIF(Effectif!L:L,Calculs!E19,Effectif!O:O)</f>
        <v>3.2272727272727271</v>
      </c>
      <c r="K19" s="93">
        <f>MROUND(J19,1)</f>
        <v>3</v>
      </c>
      <c r="M19" s="91">
        <v>105</v>
      </c>
      <c r="N19" s="106">
        <f>AVERAGEIF(Effectif!U:U,Calculs!M19,Effectif!O:O)</f>
        <v>6.125</v>
      </c>
      <c r="O19" s="93">
        <f t="shared" si="2"/>
        <v>6</v>
      </c>
    </row>
    <row r="20" spans="1:15" x14ac:dyDescent="0.25">
      <c r="A20" s="91">
        <v>6</v>
      </c>
      <c r="B20" s="92">
        <f>AVERAGEIF(Effectif!O:O,Calculs!A20,Effectif!U:U)</f>
        <v>103.46153846153847</v>
      </c>
      <c r="C20" s="93">
        <f t="shared" si="3"/>
        <v>105</v>
      </c>
      <c r="E20" s="103" t="s">
        <v>23</v>
      </c>
      <c r="F20" s="92">
        <f>AVERAGEIF(Effectif!L:L,Calculs!E20,Effectif!U:U)</f>
        <v>132.97297297297297</v>
      </c>
      <c r="G20" s="93">
        <f>MROUND(F20,5)</f>
        <v>135</v>
      </c>
      <c r="I20" s="103" t="s">
        <v>23</v>
      </c>
      <c r="J20" s="106">
        <f>AVERAGEIF(Effectif!L:L,Calculs!E20,Effectif!O:O)</f>
        <v>8.4594594594594597</v>
      </c>
      <c r="K20" s="93">
        <f>MROUND(J20,1)</f>
        <v>8</v>
      </c>
      <c r="M20" s="91">
        <v>110</v>
      </c>
      <c r="N20" s="106">
        <f>AVERAGEIF(Effectif!U:U,Calculs!M20,Effectif!O:O)</f>
        <v>5.833333333333333</v>
      </c>
      <c r="O20" s="93">
        <f t="shared" si="2"/>
        <v>6</v>
      </c>
    </row>
    <row r="21" spans="1:15" x14ac:dyDescent="0.25">
      <c r="A21" s="91">
        <v>7</v>
      </c>
      <c r="B21" s="92">
        <f>AVERAGEIF(Effectif!O:O,Calculs!A21,Effectif!U:U)</f>
        <v>114.58333333333333</v>
      </c>
      <c r="C21" s="93">
        <f t="shared" si="3"/>
        <v>115</v>
      </c>
      <c r="E21" s="103" t="s">
        <v>27</v>
      </c>
      <c r="F21" s="7">
        <f>AVERAGEIF(Effectif!L:L,Calculs!E21,Effectif!U:U)</f>
        <v>102.5</v>
      </c>
      <c r="G21" s="93">
        <f>MROUND(F21,5)</f>
        <v>105</v>
      </c>
      <c r="I21" s="103" t="s">
        <v>27</v>
      </c>
      <c r="J21" s="106">
        <f>AVERAGEIF(Effectif!L:L,Calculs!E21,Effectif!O:O)</f>
        <v>8.125</v>
      </c>
      <c r="K21" s="93">
        <f>MROUND(J21,1)</f>
        <v>8</v>
      </c>
      <c r="M21" s="91">
        <v>115</v>
      </c>
      <c r="N21" s="106">
        <f>AVERAGEIF(Effectif!U:U,Calculs!M21,Effectif!O:O)</f>
        <v>6.3636363636363633</v>
      </c>
      <c r="O21" s="93">
        <f t="shared" si="2"/>
        <v>6</v>
      </c>
    </row>
    <row r="22" spans="1:15" ht="15.75" thickBot="1" x14ac:dyDescent="0.3">
      <c r="A22" s="91">
        <v>8</v>
      </c>
      <c r="B22" s="92">
        <f>AVERAGEIF(Effectif!O:O,Calculs!A22,Effectif!U:U)</f>
        <v>110.66666666666667</v>
      </c>
      <c r="C22" s="93">
        <f t="shared" si="3"/>
        <v>110</v>
      </c>
      <c r="E22" s="104" t="s">
        <v>29</v>
      </c>
      <c r="F22" s="83">
        <f>AVERAGEIF(Effectif!L:L,Calculs!E22,Effectif!U:U)</f>
        <v>206.25</v>
      </c>
      <c r="G22" s="96">
        <f>MROUND(F22,5)</f>
        <v>205</v>
      </c>
      <c r="I22" s="104" t="s">
        <v>29</v>
      </c>
      <c r="J22" s="107">
        <f>AVERAGEIF(Effectif!L:L,Calculs!E22,Effectif!O:O)</f>
        <v>13.25</v>
      </c>
      <c r="K22" s="96">
        <f>MROUND(J22,1)</f>
        <v>13</v>
      </c>
      <c r="M22" s="91">
        <v>120</v>
      </c>
      <c r="N22" s="106">
        <f>AVERAGEIF(Effectif!U:U,Calculs!M22,Effectif!O:O)</f>
        <v>6.4444444444444446</v>
      </c>
      <c r="O22" s="93">
        <f t="shared" si="2"/>
        <v>6</v>
      </c>
    </row>
    <row r="23" spans="1:15" x14ac:dyDescent="0.25">
      <c r="A23" s="91">
        <v>9</v>
      </c>
      <c r="B23" s="92">
        <f>AVERAGEIF(Effectif!O:O,Calculs!A23,Effectif!U:U)</f>
        <v>140</v>
      </c>
      <c r="C23" s="93">
        <f t="shared" si="3"/>
        <v>140</v>
      </c>
      <c r="M23" s="91">
        <v>125</v>
      </c>
      <c r="N23" s="106">
        <f>AVERAGEIF(Effectif!U:U,Calculs!M23,Effectif!O:O)</f>
        <v>7</v>
      </c>
      <c r="O23" s="93">
        <f t="shared" si="2"/>
        <v>7</v>
      </c>
    </row>
    <row r="24" spans="1:15" ht="15.75" thickBot="1" x14ac:dyDescent="0.3">
      <c r="A24" s="91">
        <v>10</v>
      </c>
      <c r="B24" s="92">
        <f>AVERAGEIF(Effectif!O:O,Calculs!A24,Effectif!U:U)</f>
        <v>150.83333333333334</v>
      </c>
      <c r="C24" s="93">
        <f t="shared" si="3"/>
        <v>150</v>
      </c>
      <c r="M24" s="91">
        <v>130</v>
      </c>
      <c r="N24" s="106">
        <f>AVERAGEIF(Effectif!U:U,Calculs!M24,Effectif!O:O)</f>
        <v>7.833333333333333</v>
      </c>
      <c r="O24" s="93">
        <f t="shared" si="2"/>
        <v>8</v>
      </c>
    </row>
    <row r="25" spans="1:15" x14ac:dyDescent="0.25">
      <c r="A25" s="91">
        <v>11</v>
      </c>
      <c r="B25" s="92">
        <f>AVERAGEIF(Effectif!O:O,Calculs!A25,Effectif!U:U)</f>
        <v>180</v>
      </c>
      <c r="C25" s="93">
        <f t="shared" si="3"/>
        <v>180</v>
      </c>
      <c r="E25" s="222" t="s">
        <v>60</v>
      </c>
      <c r="F25" s="223"/>
      <c r="G25" s="224"/>
      <c r="H25" s="82"/>
      <c r="I25" s="222" t="s">
        <v>59</v>
      </c>
      <c r="J25" s="223"/>
      <c r="K25" s="224"/>
      <c r="M25" s="91">
        <v>135</v>
      </c>
      <c r="N25" s="106">
        <f>AVERAGEIF(Effectif!U:U,Calculs!M25,Effectif!O:O)</f>
        <v>9</v>
      </c>
      <c r="O25" s="93">
        <f t="shared" si="2"/>
        <v>9</v>
      </c>
    </row>
    <row r="26" spans="1:15" ht="15.75" thickBot="1" x14ac:dyDescent="0.3">
      <c r="A26" s="91">
        <v>12</v>
      </c>
      <c r="B26" s="92">
        <f>AVERAGEIF(Effectif!O:O,Calculs!A26,Effectif!U:U)</f>
        <v>160</v>
      </c>
      <c r="C26" s="93">
        <f t="shared" si="3"/>
        <v>160</v>
      </c>
      <c r="E26" s="100" t="s">
        <v>9</v>
      </c>
      <c r="F26" s="101" t="s">
        <v>11</v>
      </c>
      <c r="G26" s="87" t="s">
        <v>8</v>
      </c>
      <c r="H26" s="82"/>
      <c r="I26" s="100" t="s">
        <v>9</v>
      </c>
      <c r="J26" s="101" t="s">
        <v>11</v>
      </c>
      <c r="K26" s="87" t="s">
        <v>8</v>
      </c>
      <c r="M26" s="91">
        <v>140</v>
      </c>
      <c r="N26" s="106">
        <f>AVERAGEIF(Effectif!U:U,Calculs!M26,Effectif!O:O)</f>
        <v>9.3333333333333339</v>
      </c>
      <c r="O26" s="93">
        <f t="shared" si="2"/>
        <v>9</v>
      </c>
    </row>
    <row r="27" spans="1:15" x14ac:dyDescent="0.25">
      <c r="A27" s="91">
        <v>13</v>
      </c>
      <c r="B27" s="92">
        <f>AVERAGEIF(Effectif!O:O,Calculs!A27,Effectif!U:U)</f>
        <v>215</v>
      </c>
      <c r="C27" s="93">
        <f t="shared" si="3"/>
        <v>215</v>
      </c>
      <c r="E27" s="139" t="s">
        <v>21</v>
      </c>
      <c r="F27" s="145">
        <f>AVERAGEIF(Effectif!L:L,Calculs!E27,Effectif!Q:Q)</f>
        <v>8.4142307692307678</v>
      </c>
      <c r="G27" s="140">
        <f>MROUND(F27,0.5)</f>
        <v>8.5</v>
      </c>
      <c r="H27" s="82"/>
      <c r="I27" s="139" t="s">
        <v>21</v>
      </c>
      <c r="J27" s="145">
        <f>AVERAGEIF(Effectif!L:L,Calculs!I27,Effectif!W:W)</f>
        <v>1.8799038461538464</v>
      </c>
      <c r="K27" s="140">
        <f>MROUND(J27,0.5)</f>
        <v>2</v>
      </c>
      <c r="M27" s="91">
        <v>145</v>
      </c>
      <c r="N27" s="106" t="e">
        <f>AVERAGEIF(Effectif!U:U,Calculs!M27,Effectif!O:O)</f>
        <v>#DIV/0!</v>
      </c>
      <c r="O27" s="93" t="e">
        <f t="shared" si="2"/>
        <v>#DIV/0!</v>
      </c>
    </row>
    <row r="28" spans="1:15" ht="15.75" thickBot="1" x14ac:dyDescent="0.3">
      <c r="A28" s="94">
        <v>14</v>
      </c>
      <c r="B28" s="95">
        <f>AVERAGEIF(Effectif!O:O,Calculs!A28,Effectif!U:U)</f>
        <v>225</v>
      </c>
      <c r="C28" s="96">
        <f t="shared" si="3"/>
        <v>225</v>
      </c>
      <c r="E28" s="141" t="s">
        <v>25</v>
      </c>
      <c r="F28" s="146">
        <f>AVERAGEIF(Effectif!L:L,Calculs!E28,Effectif!Q:Q)</f>
        <v>1.6722727272727267</v>
      </c>
      <c r="G28" s="142">
        <f t="shared" ref="G28:G31" si="4">MROUND(F28,0.5)</f>
        <v>1.5</v>
      </c>
      <c r="H28" s="82"/>
      <c r="I28" s="141" t="s">
        <v>25</v>
      </c>
      <c r="J28" s="146">
        <f>AVERAGEIF(Effectif!L:L,Calculs!I28,Effectif!W:W)</f>
        <v>1.0899999999999999</v>
      </c>
      <c r="K28" s="142">
        <f t="shared" ref="K28:K31" si="5">MROUND(J28,0.5)</f>
        <v>1</v>
      </c>
      <c r="M28" s="91">
        <v>150</v>
      </c>
      <c r="N28" s="106">
        <f>AVERAGEIF(Effectif!U:U,Calculs!M28,Effectif!O:O)</f>
        <v>9.6</v>
      </c>
      <c r="O28" s="93">
        <f t="shared" si="2"/>
        <v>10</v>
      </c>
    </row>
    <row r="29" spans="1:15" x14ac:dyDescent="0.25">
      <c r="E29" s="141" t="s">
        <v>23</v>
      </c>
      <c r="F29" s="146">
        <f>AVERAGEIF(Effectif!L:L,Calculs!E29,Effectif!Q:Q)</f>
        <v>4.582972972972974</v>
      </c>
      <c r="G29" s="142">
        <f t="shared" si="4"/>
        <v>4.5</v>
      </c>
      <c r="H29" s="82"/>
      <c r="I29" s="141" t="s">
        <v>23</v>
      </c>
      <c r="J29" s="146">
        <f>AVERAGEIF(Effectif!L:L,Calculs!I29,Effectif!W:W)</f>
        <v>1.7254054054054055</v>
      </c>
      <c r="K29" s="142">
        <f t="shared" si="5"/>
        <v>1.5</v>
      </c>
      <c r="M29" s="91">
        <v>155</v>
      </c>
      <c r="N29" s="106">
        <f>AVERAGEIF(Effectif!U:U,Calculs!M29,Effectif!O:O)</f>
        <v>9.5</v>
      </c>
      <c r="O29" s="93">
        <f t="shared" si="2"/>
        <v>10</v>
      </c>
    </row>
    <row r="30" spans="1:15" x14ac:dyDescent="0.25">
      <c r="E30" s="141" t="s">
        <v>27</v>
      </c>
      <c r="F30" s="146">
        <f>AVERAGEIF(Effectif!L:L,Calculs!E30,Effectif!Q:Q)</f>
        <v>2.4975000000000001</v>
      </c>
      <c r="G30" s="142">
        <f t="shared" si="4"/>
        <v>2.5</v>
      </c>
      <c r="H30" s="82"/>
      <c r="I30" s="141" t="s">
        <v>27</v>
      </c>
      <c r="J30" s="146">
        <f>AVERAGEIF(Effectif!L:L,Calculs!I30,Effectif!W:W)</f>
        <v>1.4575</v>
      </c>
      <c r="K30" s="142">
        <f t="shared" si="5"/>
        <v>1.5</v>
      </c>
      <c r="M30" s="91">
        <v>160</v>
      </c>
      <c r="N30" s="106">
        <f>AVERAGEIF(Effectif!U:U,Calculs!M30,Effectif!O:O)</f>
        <v>11</v>
      </c>
      <c r="O30" s="93">
        <f t="shared" si="2"/>
        <v>11</v>
      </c>
    </row>
    <row r="31" spans="1:15" ht="15.75" thickBot="1" x14ac:dyDescent="0.3">
      <c r="E31" s="143" t="s">
        <v>29</v>
      </c>
      <c r="F31" s="147" t="e">
        <f>AVERAGEIF(Effectif!L:L,Calculs!E31,Effectif!Q:Q)</f>
        <v>#DIV/0!</v>
      </c>
      <c r="G31" s="144" t="e">
        <f t="shared" si="4"/>
        <v>#DIV/0!</v>
      </c>
      <c r="H31" s="82"/>
      <c r="I31" s="143" t="s">
        <v>29</v>
      </c>
      <c r="J31" s="147" t="e">
        <f>AVERAGEIF(Effectif!L:L,Calculs!I31,Effectif!W:W)</f>
        <v>#DIV/0!</v>
      </c>
      <c r="K31" s="144" t="e">
        <f t="shared" si="5"/>
        <v>#DIV/0!</v>
      </c>
      <c r="M31" s="91">
        <v>165</v>
      </c>
      <c r="N31" s="106" t="e">
        <f>AVERAGEIF(Effectif!U:U,Calculs!M31,Effectif!O:O)</f>
        <v>#DIV/0!</v>
      </c>
      <c r="O31" s="93" t="e">
        <f t="shared" si="2"/>
        <v>#DIV/0!</v>
      </c>
    </row>
    <row r="32" spans="1:15" x14ac:dyDescent="0.25">
      <c r="M32" s="91">
        <v>170</v>
      </c>
      <c r="N32" s="106">
        <f>AVERAGEIF(Effectif!U:U,Calculs!M32,Effectif!O:O)</f>
        <v>11</v>
      </c>
      <c r="O32" s="93">
        <f t="shared" si="2"/>
        <v>11</v>
      </c>
    </row>
    <row r="33" spans="5:15" ht="15.75" thickBot="1" x14ac:dyDescent="0.3">
      <c r="M33" s="91">
        <v>175</v>
      </c>
      <c r="N33" s="106" t="e">
        <f>AVERAGEIF(Effectif!U:U,Calculs!M33,Effectif!O:O)</f>
        <v>#DIV/0!</v>
      </c>
      <c r="O33" s="93" t="e">
        <f t="shared" si="2"/>
        <v>#DIV/0!</v>
      </c>
    </row>
    <row r="34" spans="5:15" x14ac:dyDescent="0.25">
      <c r="E34" s="225" t="s">
        <v>67</v>
      </c>
      <c r="F34" s="226"/>
      <c r="G34" s="227"/>
      <c r="I34" s="167" t="s">
        <v>70</v>
      </c>
      <c r="J34" s="168"/>
      <c r="K34" s="169"/>
      <c r="M34" s="91">
        <v>180</v>
      </c>
      <c r="N34" s="106">
        <f>AVERAGEIF(Effectif!U:U,Calculs!M34,Effectif!O:O)</f>
        <v>11</v>
      </c>
      <c r="O34" s="93">
        <f t="shared" si="2"/>
        <v>11</v>
      </c>
    </row>
    <row r="35" spans="5:15" ht="15.75" thickBot="1" x14ac:dyDescent="0.3">
      <c r="E35" s="158" t="s">
        <v>9</v>
      </c>
      <c r="F35" s="159" t="s">
        <v>11</v>
      </c>
      <c r="G35" s="160" t="s">
        <v>8</v>
      </c>
      <c r="I35" s="85" t="s">
        <v>1</v>
      </c>
      <c r="J35" s="86" t="s">
        <v>4</v>
      </c>
      <c r="K35" s="87" t="s">
        <v>8</v>
      </c>
      <c r="M35" s="91">
        <v>185</v>
      </c>
      <c r="N35" s="106" t="e">
        <f>AVERAGEIF(Effectif!U:U,Calculs!M35,Effectif!O:O)</f>
        <v>#DIV/0!</v>
      </c>
      <c r="O35" s="93" t="e">
        <f t="shared" si="2"/>
        <v>#DIV/0!</v>
      </c>
    </row>
    <row r="36" spans="5:15" x14ac:dyDescent="0.25">
      <c r="E36" s="139" t="s">
        <v>21</v>
      </c>
      <c r="F36" s="145">
        <f>AVERAGEIF(Effectif!L:L,Calculs!E36,Effectif!AG:AG)</f>
        <v>22.783557692307681</v>
      </c>
      <c r="G36" s="140">
        <f>MROUND(F36,0.5)</f>
        <v>23</v>
      </c>
      <c r="I36" s="88">
        <v>3</v>
      </c>
      <c r="J36" s="89">
        <f>AVERAGEIF(Effectif!O:O,I36,Effectif!Q:Q)</f>
        <v>2.0438888888888882</v>
      </c>
      <c r="K36" s="90">
        <f>MROUND(J36,1)</f>
        <v>2</v>
      </c>
      <c r="M36" s="91">
        <v>190</v>
      </c>
      <c r="N36" s="106">
        <f>AVERAGEIF(Effectif!U:U,Calculs!M36,Effectif!O:O)</f>
        <v>11</v>
      </c>
      <c r="O36" s="93">
        <f t="shared" si="2"/>
        <v>11</v>
      </c>
    </row>
    <row r="37" spans="5:15" x14ac:dyDescent="0.25">
      <c r="E37" s="141" t="s">
        <v>25</v>
      </c>
      <c r="F37" s="146">
        <f>AVERAGEIF(Effectif!L:L,Calculs!E37,Effectif!AG:AG)</f>
        <v>2.4054545454545457</v>
      </c>
      <c r="G37" s="142">
        <f t="shared" ref="G37:G40" si="6">MROUND(F37,0.5)</f>
        <v>2.5</v>
      </c>
      <c r="I37" s="91">
        <v>4</v>
      </c>
      <c r="J37" s="92">
        <f>AVERAGEIF(Effectif!O:O,I37,Effectif!Q:Q)</f>
        <v>9.58357142857143</v>
      </c>
      <c r="K37" s="93">
        <f t="shared" ref="K37:K47" si="7">MROUND(J37,1)</f>
        <v>10</v>
      </c>
      <c r="M37" s="91">
        <v>195</v>
      </c>
      <c r="N37" s="106" t="e">
        <f>AVERAGEIF(Effectif!U:U,Calculs!M37,Effectif!O:O)</f>
        <v>#DIV/0!</v>
      </c>
      <c r="O37" s="93" t="e">
        <f t="shared" si="2"/>
        <v>#DIV/0!</v>
      </c>
    </row>
    <row r="38" spans="5:15" x14ac:dyDescent="0.25">
      <c r="E38" s="141" t="s">
        <v>23</v>
      </c>
      <c r="F38" s="146">
        <f>AVERAGEIF(Effectif!L:L,Calculs!E38,Effectif!AG:AG)</f>
        <v>24.673243243243242</v>
      </c>
      <c r="G38" s="142">
        <f t="shared" si="6"/>
        <v>24.5</v>
      </c>
      <c r="I38" s="91">
        <v>5</v>
      </c>
      <c r="J38" s="92">
        <f>AVERAGEIF(Effectif!O:O,I38,Effectif!Q:Q)</f>
        <v>9.4789090909090934</v>
      </c>
      <c r="K38" s="93">
        <f t="shared" si="7"/>
        <v>9</v>
      </c>
      <c r="M38" s="91">
        <v>200</v>
      </c>
      <c r="N38" s="106" t="e">
        <f>AVERAGEIF(Effectif!U:U,Calculs!M38,Effectif!O:O)</f>
        <v>#DIV/0!</v>
      </c>
      <c r="O38" s="93" t="e">
        <f t="shared" si="2"/>
        <v>#DIV/0!</v>
      </c>
    </row>
    <row r="39" spans="5:15" x14ac:dyDescent="0.25">
      <c r="E39" s="141" t="s">
        <v>27</v>
      </c>
      <c r="F39" s="146">
        <f>AVERAGEIF(Effectif!L:L,Calculs!E39,Effectif!AG:AG)</f>
        <v>2.4899999999999998</v>
      </c>
      <c r="G39" s="142">
        <f t="shared" si="6"/>
        <v>2.5</v>
      </c>
      <c r="I39" s="91">
        <v>6</v>
      </c>
      <c r="J39" s="92">
        <f>AVERAGEIF(Effectif!O:O,I39,Effectif!Q:Q)</f>
        <v>5.6300000000000008</v>
      </c>
      <c r="K39" s="93">
        <f t="shared" si="7"/>
        <v>6</v>
      </c>
      <c r="M39" s="91">
        <v>205</v>
      </c>
      <c r="N39" s="106" t="e">
        <f>AVERAGEIF(Effectif!U:U,Calculs!M39,Effectif!O:O)</f>
        <v>#DIV/0!</v>
      </c>
      <c r="O39" s="93" t="e">
        <f t="shared" si="2"/>
        <v>#DIV/0!</v>
      </c>
    </row>
    <row r="40" spans="5:15" ht="15.75" thickBot="1" x14ac:dyDescent="0.3">
      <c r="E40" s="143" t="s">
        <v>29</v>
      </c>
      <c r="F40" s="147" t="e">
        <f>AVERAGEIF(Effectif!L:L,Calculs!E40,Effectif!AG:AG)</f>
        <v>#DIV/0!</v>
      </c>
      <c r="G40" s="144" t="e">
        <f t="shared" si="6"/>
        <v>#DIV/0!</v>
      </c>
      <c r="I40" s="91">
        <v>7</v>
      </c>
      <c r="J40" s="92">
        <f>AVERAGEIF(Effectif!O:O,I40,Effectif!Q:Q)</f>
        <v>4.5966666666666667</v>
      </c>
      <c r="K40" s="93">
        <f t="shared" si="7"/>
        <v>5</v>
      </c>
      <c r="M40" s="91">
        <v>210</v>
      </c>
      <c r="N40" s="7" t="e">
        <f>AVERAGEIF(Effectif!U:U,Calculs!M40,Effectif!O:O)</f>
        <v>#DIV/0!</v>
      </c>
      <c r="O40" s="93" t="e">
        <f t="shared" si="2"/>
        <v>#DIV/0!</v>
      </c>
    </row>
    <row r="41" spans="5:15" x14ac:dyDescent="0.25">
      <c r="I41" s="91">
        <v>8</v>
      </c>
      <c r="J41" s="92">
        <f>AVERAGEIF(Effectif!O:O,I41,Effectif!Q:Q)</f>
        <v>4.2039999999999997</v>
      </c>
      <c r="K41" s="93">
        <f t="shared" si="7"/>
        <v>4</v>
      </c>
      <c r="M41" s="91">
        <v>215</v>
      </c>
      <c r="N41" s="7">
        <f>AVERAGEIF(Effectif!U:U,Calculs!M41,Effectif!O:O)</f>
        <v>13</v>
      </c>
      <c r="O41" s="93">
        <f t="shared" si="2"/>
        <v>13</v>
      </c>
    </row>
    <row r="42" spans="5:15" x14ac:dyDescent="0.25">
      <c r="I42" s="91">
        <v>9</v>
      </c>
      <c r="J42" s="92">
        <f>AVERAGEIF(Effectif!O:O,I42,Effectif!Q:Q)</f>
        <v>3.4066666666666663</v>
      </c>
      <c r="K42" s="93">
        <f t="shared" si="7"/>
        <v>3</v>
      </c>
      <c r="M42" s="91">
        <v>220</v>
      </c>
      <c r="N42" s="7" t="e">
        <f>AVERAGEIF(Effectif!U:U,Calculs!M42,Effectif!O:O)</f>
        <v>#DIV/0!</v>
      </c>
      <c r="O42" s="93" t="e">
        <f t="shared" si="2"/>
        <v>#DIV/0!</v>
      </c>
    </row>
    <row r="43" spans="5:15" x14ac:dyDescent="0.25">
      <c r="I43" s="91">
        <v>10</v>
      </c>
      <c r="J43" s="92">
        <f>AVERAGEIF(Effectif!O:O,I43,Effectif!Q:Q)</f>
        <v>4.126666666666666</v>
      </c>
      <c r="K43" s="93">
        <f t="shared" si="7"/>
        <v>4</v>
      </c>
      <c r="M43" s="91">
        <v>225</v>
      </c>
      <c r="N43" s="7">
        <f>AVERAGEIF(Effectif!U:U,Calculs!M43,Effectif!O:O)</f>
        <v>14</v>
      </c>
      <c r="O43" s="93">
        <f t="shared" si="2"/>
        <v>14</v>
      </c>
    </row>
    <row r="44" spans="5:15" ht="15.75" thickBot="1" x14ac:dyDescent="0.3">
      <c r="I44" s="91">
        <v>11</v>
      </c>
      <c r="J44" s="92">
        <f>AVERAGEIF(Effectif!O:O,I44,Effectif!Q:Q)</f>
        <v>5.3033333333333337</v>
      </c>
      <c r="K44" s="93">
        <f t="shared" si="7"/>
        <v>5</v>
      </c>
      <c r="M44" s="94">
        <v>230</v>
      </c>
      <c r="N44" s="83" t="e">
        <f>AVERAGEIF(Effectif!U:U,Calculs!M44,Effectif!O:O)</f>
        <v>#DIV/0!</v>
      </c>
      <c r="O44" s="96" t="e">
        <f t="shared" si="2"/>
        <v>#DIV/0!</v>
      </c>
    </row>
    <row r="45" spans="5:15" x14ac:dyDescent="0.25">
      <c r="I45" s="91">
        <v>12</v>
      </c>
      <c r="J45" s="92" t="e">
        <f>AVERAGEIF(Effectif!O:O,I45,Effectif!Q:Q)</f>
        <v>#DIV/0!</v>
      </c>
      <c r="K45" s="93" t="e">
        <f t="shared" si="7"/>
        <v>#DIV/0!</v>
      </c>
    </row>
    <row r="46" spans="5:15" x14ac:dyDescent="0.25">
      <c r="I46" s="91">
        <v>13</v>
      </c>
      <c r="J46" s="92" t="e">
        <f>AVERAGEIF(Effectif!O:O,I46,Effectif!Q:Q)</f>
        <v>#DIV/0!</v>
      </c>
      <c r="K46" s="93" t="e">
        <f t="shared" si="7"/>
        <v>#DIV/0!</v>
      </c>
    </row>
    <row r="47" spans="5:15" ht="15.75" thickBot="1" x14ac:dyDescent="0.3">
      <c r="I47" s="94">
        <v>14</v>
      </c>
      <c r="J47" s="95" t="e">
        <f>AVERAGEIF(Effectif!O:O,I47,Effectif!Q:Q)</f>
        <v>#DIV/0!</v>
      </c>
      <c r="K47" s="96" t="e">
        <f t="shared" si="7"/>
        <v>#DIV/0!</v>
      </c>
    </row>
  </sheetData>
  <mergeCells count="10">
    <mergeCell ref="M2:O2"/>
    <mergeCell ref="E2:G2"/>
    <mergeCell ref="A15:C15"/>
    <mergeCell ref="E16:G16"/>
    <mergeCell ref="I25:K25"/>
    <mergeCell ref="E25:G25"/>
    <mergeCell ref="E34:G34"/>
    <mergeCell ref="I34:K34"/>
    <mergeCell ref="I2:K2"/>
    <mergeCell ref="I16:K16"/>
  </mergeCells>
  <conditionalFormatting sqref="A1:XFD33 A48:XFD1048576 A34:E34 H34 A35:H47 L34:XFD47">
    <cfRule type="containsErrors" dxfId="1" priority="3">
      <formula>ISERROR(A1)</formula>
    </cfRule>
  </conditionalFormatting>
  <conditionalFormatting sqref="I34:K47">
    <cfRule type="containsErrors" dxfId="0" priority="1">
      <formula>ISERROR(I34)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O22"/>
  <sheetViews>
    <sheetView workbookViewId="0">
      <selection activeCell="C35" sqref="C35"/>
    </sheetView>
  </sheetViews>
  <sheetFormatPr baseColWidth="10" defaultRowHeight="15" x14ac:dyDescent="0.25"/>
  <cols>
    <col min="2" max="2" width="15.85546875" customWidth="1"/>
    <col min="3" max="3" width="8.7109375" bestFit="1" customWidth="1"/>
    <col min="4" max="4" width="10" bestFit="1" customWidth="1"/>
    <col min="5" max="5" width="18.85546875" bestFit="1" customWidth="1"/>
    <col min="6" max="6" width="3.42578125" bestFit="1" customWidth="1"/>
    <col min="7" max="7" width="3.5703125" bestFit="1" customWidth="1"/>
    <col min="8" max="8" width="4.42578125" bestFit="1" customWidth="1"/>
    <col min="10" max="10" width="8.85546875" bestFit="1" customWidth="1"/>
    <col min="11" max="11" width="17.42578125" bestFit="1" customWidth="1"/>
    <col min="12" max="12" width="11.5703125" bestFit="1" customWidth="1"/>
    <col min="14" max="14" width="17.5703125" bestFit="1" customWidth="1"/>
    <col min="15" max="15" width="4.28515625" bestFit="1" customWidth="1"/>
  </cols>
  <sheetData>
    <row r="2" spans="2:15" x14ac:dyDescent="0.25">
      <c r="B2" s="164" t="s">
        <v>38</v>
      </c>
      <c r="C2" s="164" t="s">
        <v>13</v>
      </c>
      <c r="D2" s="164" t="s">
        <v>39</v>
      </c>
      <c r="E2" s="164" t="s">
        <v>66</v>
      </c>
      <c r="F2" s="164" t="s">
        <v>1</v>
      </c>
      <c r="G2" s="164" t="s">
        <v>2</v>
      </c>
      <c r="H2" s="164" t="s">
        <v>18</v>
      </c>
      <c r="I2" s="164" t="s">
        <v>41</v>
      </c>
      <c r="J2" s="164" t="s">
        <v>58</v>
      </c>
      <c r="K2" s="164" t="s">
        <v>64</v>
      </c>
      <c r="L2" s="164" t="s">
        <v>40</v>
      </c>
      <c r="M2" s="164" t="s">
        <v>50</v>
      </c>
      <c r="N2" s="164" t="s">
        <v>65</v>
      </c>
      <c r="O2" s="164" t="s">
        <v>49</v>
      </c>
    </row>
    <row r="3" spans="2:15" x14ac:dyDescent="0.25">
      <c r="B3" s="163"/>
      <c r="C3" s="163"/>
      <c r="D3" s="163"/>
      <c r="E3" s="163"/>
      <c r="F3" s="163"/>
      <c r="G3" s="163"/>
      <c r="H3" s="163"/>
      <c r="I3" s="163"/>
      <c r="J3" s="163"/>
      <c r="K3" s="163"/>
      <c r="L3" s="163"/>
      <c r="M3" s="163"/>
      <c r="N3" s="163"/>
      <c r="O3" s="163"/>
    </row>
    <row r="4" spans="2:15" x14ac:dyDescent="0.25">
      <c r="B4" s="163"/>
      <c r="C4" s="163"/>
      <c r="D4" s="163"/>
      <c r="E4" s="163"/>
      <c r="F4" s="163"/>
      <c r="G4" s="163"/>
      <c r="H4" s="163"/>
      <c r="I4" s="163"/>
      <c r="J4" s="163"/>
      <c r="K4" s="163"/>
      <c r="L4" s="163"/>
      <c r="M4" s="163"/>
      <c r="N4" s="163"/>
      <c r="O4" s="163"/>
    </row>
    <row r="5" spans="2:15" x14ac:dyDescent="0.25">
      <c r="B5" s="163"/>
      <c r="C5" s="163"/>
      <c r="D5" s="163"/>
      <c r="E5" s="163"/>
      <c r="F5" s="163"/>
      <c r="G5" s="163"/>
      <c r="H5" s="163"/>
      <c r="I5" s="163"/>
      <c r="J5" s="163"/>
      <c r="K5" s="163"/>
      <c r="L5" s="163"/>
      <c r="M5" s="163"/>
      <c r="N5" s="163"/>
      <c r="O5" s="163"/>
    </row>
    <row r="6" spans="2:15" x14ac:dyDescent="0.25">
      <c r="B6" s="163"/>
      <c r="C6" s="163"/>
      <c r="D6" s="163"/>
      <c r="E6" s="163"/>
      <c r="F6" s="163"/>
      <c r="G6" s="163"/>
      <c r="H6" s="163"/>
      <c r="I6" s="163"/>
      <c r="J6" s="163"/>
      <c r="K6" s="163"/>
      <c r="L6" s="163"/>
      <c r="M6" s="163"/>
      <c r="N6" s="163"/>
      <c r="O6" s="163"/>
    </row>
    <row r="7" spans="2:15" x14ac:dyDescent="0.25">
      <c r="B7" s="163"/>
      <c r="C7" s="163"/>
      <c r="D7" s="163"/>
      <c r="E7" s="163"/>
      <c r="F7" s="163"/>
      <c r="G7" s="163"/>
      <c r="H7" s="163"/>
      <c r="I7" s="163"/>
      <c r="J7" s="163"/>
      <c r="K7" s="163"/>
      <c r="L7" s="163"/>
      <c r="M7" s="163"/>
      <c r="N7" s="163"/>
      <c r="O7" s="163"/>
    </row>
    <row r="8" spans="2:15" x14ac:dyDescent="0.25">
      <c r="B8" s="163"/>
      <c r="C8" s="163"/>
      <c r="D8" s="163"/>
      <c r="E8" s="163"/>
      <c r="F8" s="163"/>
      <c r="G8" s="163"/>
      <c r="H8" s="163"/>
      <c r="I8" s="163"/>
      <c r="J8" s="163"/>
      <c r="K8" s="163"/>
      <c r="L8" s="163"/>
      <c r="M8" s="163"/>
      <c r="N8" s="163"/>
      <c r="O8" s="163"/>
    </row>
    <row r="9" spans="2:15" x14ac:dyDescent="0.25">
      <c r="B9" s="163"/>
      <c r="C9" s="163"/>
      <c r="D9" s="163"/>
      <c r="E9" s="163"/>
      <c r="F9" s="163"/>
      <c r="G9" s="163"/>
      <c r="H9" s="163"/>
      <c r="I9" s="163"/>
      <c r="J9" s="163"/>
      <c r="K9" s="163"/>
      <c r="L9" s="163"/>
      <c r="M9" s="163"/>
      <c r="N9" s="163"/>
      <c r="O9" s="163"/>
    </row>
    <row r="10" spans="2:15" x14ac:dyDescent="0.25">
      <c r="B10" s="163"/>
      <c r="C10" s="163"/>
      <c r="D10" s="163"/>
      <c r="E10" s="163"/>
      <c r="F10" s="163"/>
      <c r="G10" s="163"/>
      <c r="H10" s="163"/>
      <c r="I10" s="163"/>
      <c r="J10" s="163"/>
      <c r="K10" s="163"/>
      <c r="L10" s="163"/>
      <c r="M10" s="163"/>
      <c r="N10" s="163"/>
      <c r="O10" s="163"/>
    </row>
    <row r="11" spans="2:15" x14ac:dyDescent="0.25">
      <c r="B11" s="163"/>
      <c r="C11" s="163"/>
      <c r="D11" s="163"/>
      <c r="E11" s="163"/>
      <c r="F11" s="163"/>
      <c r="G11" s="163"/>
      <c r="H11" s="163"/>
      <c r="I11" s="163"/>
      <c r="J11" s="163"/>
      <c r="K11" s="163"/>
      <c r="L11" s="163"/>
      <c r="M11" s="163"/>
      <c r="N11" s="163"/>
      <c r="O11" s="163"/>
    </row>
    <row r="12" spans="2:15" x14ac:dyDescent="0.25">
      <c r="B12" s="163"/>
      <c r="C12" s="163"/>
      <c r="D12" s="163"/>
      <c r="E12" s="163"/>
      <c r="F12" s="163"/>
      <c r="G12" s="163"/>
      <c r="H12" s="163"/>
      <c r="I12" s="163"/>
      <c r="J12" s="163"/>
      <c r="K12" s="163"/>
      <c r="L12" s="163"/>
      <c r="M12" s="163"/>
      <c r="N12" s="163"/>
      <c r="O12" s="163"/>
    </row>
    <row r="13" spans="2:15" x14ac:dyDescent="0.25">
      <c r="B13" s="163"/>
      <c r="C13" s="163"/>
      <c r="D13" s="163"/>
      <c r="E13" s="163"/>
      <c r="F13" s="163"/>
      <c r="G13" s="163"/>
      <c r="H13" s="163"/>
      <c r="I13" s="163"/>
      <c r="J13" s="163"/>
      <c r="K13" s="163"/>
      <c r="L13" s="163"/>
      <c r="M13" s="163"/>
      <c r="N13" s="163"/>
      <c r="O13" s="163"/>
    </row>
    <row r="14" spans="2:15" x14ac:dyDescent="0.25">
      <c r="B14" s="163"/>
      <c r="C14" s="163"/>
      <c r="D14" s="163"/>
      <c r="E14" s="163"/>
      <c r="F14" s="163"/>
      <c r="G14" s="163"/>
      <c r="H14" s="163"/>
      <c r="I14" s="163"/>
      <c r="J14" s="163"/>
      <c r="K14" s="163"/>
      <c r="L14" s="163"/>
      <c r="M14" s="163"/>
      <c r="N14" s="163"/>
      <c r="O14" s="163"/>
    </row>
    <row r="15" spans="2:15" x14ac:dyDescent="0.25">
      <c r="B15" s="163"/>
      <c r="C15" s="163"/>
      <c r="D15" s="163"/>
      <c r="E15" s="163"/>
      <c r="F15" s="163"/>
      <c r="G15" s="163"/>
      <c r="H15" s="163"/>
      <c r="I15" s="163"/>
      <c r="J15" s="163"/>
      <c r="K15" s="163"/>
      <c r="L15" s="163"/>
      <c r="M15" s="163"/>
      <c r="N15" s="163"/>
      <c r="O15" s="163"/>
    </row>
    <row r="16" spans="2:15" x14ac:dyDescent="0.25">
      <c r="B16" s="163"/>
      <c r="C16" s="163"/>
      <c r="D16" s="163"/>
      <c r="E16" s="163"/>
      <c r="F16" s="163"/>
      <c r="G16" s="163"/>
      <c r="H16" s="163"/>
      <c r="I16" s="163"/>
      <c r="J16" s="163"/>
      <c r="K16" s="163"/>
      <c r="L16" s="163"/>
      <c r="M16" s="163"/>
      <c r="N16" s="163"/>
      <c r="O16" s="163"/>
    </row>
    <row r="17" spans="2:15" x14ac:dyDescent="0.25">
      <c r="B17" s="163"/>
      <c r="C17" s="163"/>
      <c r="D17" s="163"/>
      <c r="E17" s="163"/>
      <c r="F17" s="163"/>
      <c r="G17" s="163"/>
      <c r="H17" s="163"/>
      <c r="I17" s="163"/>
      <c r="J17" s="163"/>
      <c r="K17" s="163"/>
      <c r="L17" s="163"/>
      <c r="M17" s="163"/>
      <c r="N17" s="163"/>
      <c r="O17" s="163"/>
    </row>
    <row r="18" spans="2:15" x14ac:dyDescent="0.25">
      <c r="B18" s="163"/>
      <c r="C18" s="163"/>
      <c r="D18" s="163"/>
      <c r="E18" s="163"/>
      <c r="F18" s="163"/>
      <c r="G18" s="163"/>
      <c r="H18" s="163"/>
      <c r="I18" s="163"/>
      <c r="J18" s="163"/>
      <c r="K18" s="163"/>
      <c r="L18" s="163"/>
      <c r="M18" s="163"/>
      <c r="N18" s="163"/>
      <c r="O18" s="163"/>
    </row>
    <row r="19" spans="2:15" x14ac:dyDescent="0.25">
      <c r="B19" s="163"/>
      <c r="C19" s="163"/>
      <c r="D19" s="163"/>
      <c r="E19" s="163"/>
      <c r="F19" s="163"/>
      <c r="G19" s="163"/>
      <c r="H19" s="163"/>
      <c r="I19" s="163"/>
      <c r="J19" s="163"/>
      <c r="K19" s="163"/>
      <c r="L19" s="163"/>
      <c r="M19" s="163"/>
      <c r="N19" s="163"/>
      <c r="O19" s="163"/>
    </row>
    <row r="20" spans="2:15" x14ac:dyDescent="0.25">
      <c r="B20" s="163"/>
      <c r="C20" s="163"/>
      <c r="D20" s="163"/>
      <c r="E20" s="163"/>
      <c r="F20" s="163"/>
      <c r="G20" s="163"/>
      <c r="H20" s="163"/>
      <c r="I20" s="163"/>
      <c r="J20" s="163"/>
      <c r="K20" s="163"/>
      <c r="L20" s="163"/>
      <c r="M20" s="163"/>
      <c r="N20" s="163"/>
      <c r="O20" s="163"/>
    </row>
    <row r="21" spans="2:15" x14ac:dyDescent="0.25">
      <c r="B21" s="163"/>
      <c r="C21" s="163"/>
      <c r="D21" s="163"/>
      <c r="E21" s="163"/>
      <c r="F21" s="163"/>
      <c r="G21" s="163"/>
      <c r="H21" s="163"/>
      <c r="I21" s="163"/>
      <c r="J21" s="163"/>
      <c r="K21" s="163"/>
      <c r="L21" s="163"/>
      <c r="M21" s="163"/>
      <c r="N21" s="163"/>
      <c r="O21" s="163"/>
    </row>
    <row r="22" spans="2:15" x14ac:dyDescent="0.25">
      <c r="B22" s="163"/>
      <c r="C22" s="163"/>
      <c r="D22" s="163"/>
      <c r="E22" s="163"/>
      <c r="F22" s="163"/>
      <c r="G22" s="163"/>
      <c r="H22" s="163"/>
      <c r="I22" s="163"/>
      <c r="J22" s="163"/>
      <c r="K22" s="163"/>
      <c r="L22" s="163"/>
      <c r="M22" s="163"/>
      <c r="N22" s="163"/>
      <c r="O22" s="16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Effectif</vt:lpstr>
      <vt:lpstr>Analyse</vt:lpstr>
      <vt:lpstr>Calculs</vt:lpstr>
      <vt:lpstr>Enresistrement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2011-12-14T09:33:39Z</dcterms:created>
  <dcterms:modified xsi:type="dcterms:W3CDTF">2012-01-14T14:10:42Z</dcterms:modified>
</cp:coreProperties>
</file>