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4"/>
  </bookViews>
  <sheets>
    <sheet name="CALCULETE" sheetId="3" r:id="rId1"/>
    <sheet name="BORD" sheetId="1" r:id="rId2"/>
    <sheet name="STATS44" sheetId="5" r:id="rId3"/>
    <sheet name="satisf44" sheetId="6" r:id="rId4"/>
    <sheet name="postes libres" sheetId="7" r:id="rId5"/>
  </sheets>
  <definedNames>
    <definedName name="TabSem">'postes libres'!$S$9:$S$15</definedName>
  </definedNames>
  <calcPr calcId="145621"/>
</workbook>
</file>

<file path=xl/calcChain.xml><?xml version="1.0" encoding="utf-8"?>
<calcChain xmlns="http://schemas.openxmlformats.org/spreadsheetml/2006/main">
  <c r="B8" i="7" l="1"/>
  <c r="O20" i="7" l="1" a="1"/>
  <c r="O20" i="7" s="1"/>
  <c r="M20" i="7" a="1"/>
  <c r="M20" i="7" s="1"/>
  <c r="N21" i="7" s="1" a="1"/>
  <c r="N21" i="7" s="1"/>
  <c r="N20" i="7" l="1" a="1"/>
  <c r="N20" i="7" s="1"/>
  <c r="M21" i="7" a="1"/>
  <c r="M21" i="7" s="1"/>
  <c r="N22" i="7" s="1" a="1"/>
  <c r="N22" i="7" s="1"/>
  <c r="O21" i="7" a="1"/>
  <c r="O21" i="7" s="1"/>
  <c r="M22" i="7" l="1" a="1"/>
  <c r="M22" i="7" s="1"/>
  <c r="M23" i="7" s="1" a="1"/>
  <c r="M23" i="7" s="1"/>
  <c r="M24" i="7" s="1" a="1"/>
  <c r="M24" i="7" s="1"/>
  <c r="O22" i="7" a="1"/>
  <c r="O22" i="7" s="1"/>
  <c r="O23" i="7" l="1" a="1"/>
  <c r="O23" i="7" s="1"/>
  <c r="N23" i="7" a="1"/>
  <c r="N23" i="7" s="1"/>
  <c r="N24" i="7" a="1"/>
  <c r="N24" i="7" s="1"/>
  <c r="N25" i="7" a="1"/>
  <c r="N25" i="7" s="1"/>
  <c r="O25" i="7" a="1"/>
  <c r="O25" i="7" s="1"/>
  <c r="M25" i="7" a="1"/>
  <c r="M25" i="7" s="1"/>
  <c r="O24" i="7" a="1"/>
  <c r="O24" i="7" s="1"/>
  <c r="J20" i="7" l="1" a="1"/>
  <c r="J20" i="7" s="1"/>
  <c r="I20" i="7" a="1"/>
  <c r="I20" i="7" s="1"/>
  <c r="H20" i="7" a="1"/>
  <c r="H20" i="7" s="1"/>
  <c r="E20" i="7" a="1"/>
  <c r="E20" i="7" s="1"/>
  <c r="D20" i="7" a="1"/>
  <c r="D20" i="7" s="1"/>
  <c r="C20" i="7" a="1"/>
  <c r="C20" i="7" s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4" i="1"/>
  <c r="H21" i="7" l="1" a="1"/>
  <c r="H21" i="7" s="1"/>
  <c r="J22" i="7" s="1" a="1"/>
  <c r="J22" i="7" s="1"/>
  <c r="C21" i="7" a="1"/>
  <c r="C21" i="7" s="1"/>
  <c r="D21" i="7" a="1"/>
  <c r="D21" i="7" s="1"/>
  <c r="E21" i="7" a="1"/>
  <c r="E21" i="7" s="1"/>
  <c r="J21" i="7" a="1"/>
  <c r="J21" i="7" s="1"/>
  <c r="I21" i="7" a="1"/>
  <c r="I21" i="7" s="1"/>
  <c r="H22" i="7" l="1" a="1"/>
  <c r="H22" i="7" s="1"/>
  <c r="H23" i="7" s="1" a="1"/>
  <c r="H23" i="7" s="1"/>
  <c r="J24" i="7" s="1" a="1"/>
  <c r="J24" i="7" s="1"/>
  <c r="I22" i="7" a="1"/>
  <c r="I22" i="7" s="1"/>
  <c r="C22" i="7" a="1"/>
  <c r="C22" i="7" s="1"/>
  <c r="E22" i="7" a="1"/>
  <c r="E22" i="7" s="1"/>
  <c r="D22" i="7" a="1"/>
  <c r="D22" i="7" s="1"/>
  <c r="H24" i="7" l="1" a="1"/>
  <c r="H24" i="7" s="1"/>
  <c r="H25" i="7" s="1" a="1"/>
  <c r="H25" i="7" s="1"/>
  <c r="I23" i="7" a="1"/>
  <c r="I23" i="7" s="1"/>
  <c r="J23" i="7" a="1"/>
  <c r="J23" i="7" s="1"/>
  <c r="I24" i="7" a="1"/>
  <c r="I24" i="7" s="1"/>
  <c r="E23" i="7" a="1"/>
  <c r="E23" i="7" s="1"/>
  <c r="C23" i="7" a="1"/>
  <c r="C23" i="7" s="1"/>
  <c r="D23" i="7" a="1"/>
  <c r="D23" i="7" s="1"/>
  <c r="J25" i="7" a="1"/>
  <c r="J25" i="7" s="1"/>
  <c r="I25" i="7" a="1"/>
  <c r="I25" i="7" s="1"/>
  <c r="C24" i="7" l="1" a="1"/>
  <c r="C24" i="7" s="1"/>
  <c r="E24" i="7" a="1"/>
  <c r="E24" i="7" s="1"/>
  <c r="E25" i="7" a="1"/>
  <c r="E25" i="7" s="1"/>
  <c r="D25" i="7" a="1"/>
  <c r="D25" i="7" s="1"/>
  <c r="C25" i="7" a="1"/>
  <c r="C25" i="7" s="1"/>
  <c r="D24" i="7" a="1"/>
  <c r="D24" i="7" s="1"/>
  <c r="D11" i="3"/>
  <c r="D10" i="3"/>
  <c r="T22" i="1"/>
  <c r="R22" i="1"/>
  <c r="P22" i="1"/>
  <c r="N22" i="1"/>
  <c r="L22" i="1"/>
  <c r="J22" i="1"/>
  <c r="C10" i="7"/>
  <c r="C2" i="7" l="1"/>
  <c r="C3" i="7" s="1"/>
  <c r="C14" i="7" s="1"/>
  <c r="C12" i="7" l="1"/>
  <c r="C11" i="7"/>
  <c r="C15" i="7" s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5" i="1"/>
  <c r="G2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4" i="1"/>
  <c r="G3" i="1"/>
  <c r="D8" i="3" l="1"/>
  <c r="D2" i="6"/>
  <c r="D3" i="6" s="1"/>
  <c r="D4" i="6" s="1"/>
  <c r="D5" i="6" s="1"/>
  <c r="D6" i="6" s="1"/>
  <c r="D7" i="6" s="1"/>
  <c r="D8" i="6" s="1"/>
  <c r="D9" i="6" s="1"/>
  <c r="D10" i="6" s="1"/>
  <c r="D11" i="6" s="1"/>
  <c r="A2" i="6"/>
  <c r="A3" i="6" s="1"/>
  <c r="A4" i="6" s="1"/>
  <c r="A5" i="6" s="1"/>
  <c r="A6" i="6" s="1"/>
  <c r="A7" i="6" s="1"/>
  <c r="D9" i="3"/>
  <c r="D5" i="3"/>
  <c r="D7" i="3"/>
  <c r="D2" i="5"/>
  <c r="D3" i="5" s="1"/>
  <c r="D4" i="5" s="1"/>
  <c r="D5" i="5" s="1"/>
  <c r="D6" i="5" s="1"/>
  <c r="D7" i="5" s="1"/>
  <c r="D8" i="5" s="1"/>
  <c r="D9" i="5" s="1"/>
  <c r="D10" i="5" s="1"/>
  <c r="D11" i="5" s="1"/>
  <c r="A2" i="5"/>
  <c r="A3" i="5" s="1"/>
  <c r="A4" i="5" s="1"/>
  <c r="A5" i="5" s="1"/>
  <c r="A6" i="5" s="1"/>
  <c r="A7" i="5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L25" i="1" l="1" a="1"/>
  <c r="L25" i="1" s="1"/>
  <c r="L26" i="1" s="1" a="1"/>
  <c r="L26" i="1" s="1"/>
  <c r="L27" i="1" s="1" a="1"/>
  <c r="L27" i="1" s="1"/>
</calcChain>
</file>

<file path=xl/sharedStrings.xml><?xml version="1.0" encoding="utf-8"?>
<sst xmlns="http://schemas.openxmlformats.org/spreadsheetml/2006/main" count="161" uniqueCount="81">
  <si>
    <t>Numero de fonctionnaire</t>
  </si>
  <si>
    <t>Nom</t>
  </si>
  <si>
    <t>secteur</t>
  </si>
  <si>
    <t xml:space="preserve">equipe </t>
  </si>
  <si>
    <t>activité</t>
  </si>
  <si>
    <t>bb</t>
  </si>
  <si>
    <t>cc</t>
  </si>
  <si>
    <t>dd</t>
  </si>
  <si>
    <t>aa</t>
  </si>
  <si>
    <t>ee</t>
  </si>
  <si>
    <t>ff</t>
  </si>
  <si>
    <t>gg</t>
  </si>
  <si>
    <t>ii</t>
  </si>
  <si>
    <t>jj</t>
  </si>
  <si>
    <t>kk</t>
  </si>
  <si>
    <t>ll</t>
  </si>
  <si>
    <t>mm</t>
  </si>
  <si>
    <t>nn</t>
  </si>
  <si>
    <t>oo</t>
  </si>
  <si>
    <t>pp</t>
  </si>
  <si>
    <t>xx</t>
  </si>
  <si>
    <t>tt</t>
  </si>
  <si>
    <t>a</t>
  </si>
  <si>
    <t>b</t>
  </si>
  <si>
    <t>scorpion</t>
  </si>
  <si>
    <t>elephant</t>
  </si>
  <si>
    <t>requin</t>
  </si>
  <si>
    <t>PA</t>
  </si>
  <si>
    <t>pro</t>
  </si>
  <si>
    <t>Pro</t>
  </si>
  <si>
    <t>SOURIS</t>
  </si>
  <si>
    <t>PRO</t>
  </si>
  <si>
    <t>NUMERO</t>
  </si>
  <si>
    <t>NOM</t>
  </si>
  <si>
    <t>RESULTATS</t>
  </si>
  <si>
    <t>EQUIPE</t>
  </si>
  <si>
    <t>PROCV =RECHERCHV ET SE=IF</t>
  </si>
  <si>
    <t>note client</t>
  </si>
  <si>
    <t xml:space="preserve">Note du client </t>
  </si>
  <si>
    <t>dinamite</t>
  </si>
  <si>
    <t>pa</t>
  </si>
  <si>
    <t>Numero de poste</t>
  </si>
  <si>
    <t xml:space="preserve">Congé </t>
  </si>
  <si>
    <t>Samedi</t>
  </si>
  <si>
    <t>vendredi</t>
  </si>
  <si>
    <t>jeudi</t>
  </si>
  <si>
    <t>lundi</t>
  </si>
  <si>
    <t>mercredi</t>
  </si>
  <si>
    <t>mardi</t>
  </si>
  <si>
    <t>Aujourd'hui</t>
  </si>
  <si>
    <t>Postes Libres</t>
  </si>
  <si>
    <t xml:space="preserve">lundi </t>
  </si>
  <si>
    <t>samedi</t>
  </si>
  <si>
    <t>CONTAR</t>
  </si>
  <si>
    <t>F1</t>
  </si>
  <si>
    <t>F2</t>
  </si>
  <si>
    <t>F3</t>
  </si>
  <si>
    <t>P1</t>
  </si>
  <si>
    <t>P2</t>
  </si>
  <si>
    <t>P3</t>
  </si>
  <si>
    <t>P4</t>
  </si>
  <si>
    <t>F5</t>
  </si>
  <si>
    <t>F4</t>
  </si>
  <si>
    <t>P5</t>
  </si>
  <si>
    <t>P6</t>
  </si>
  <si>
    <t>P7</t>
  </si>
  <si>
    <t>P8</t>
  </si>
  <si>
    <t>P9</t>
  </si>
  <si>
    <t>P10</t>
  </si>
  <si>
    <t>F6</t>
  </si>
  <si>
    <t>F7</t>
  </si>
  <si>
    <t>F8</t>
  </si>
  <si>
    <t xml:space="preserve">Poste </t>
  </si>
  <si>
    <t>Congé</t>
  </si>
  <si>
    <t>Les colonnes grisées sont à masquer</t>
  </si>
  <si>
    <t>Elles servent à compter le nombre successif de doublons</t>
  </si>
  <si>
    <t>Dispo :</t>
  </si>
  <si>
    <t>Dimanche</t>
  </si>
  <si>
    <t>(Auto)</t>
  </si>
  <si>
    <t>afin de ne pas arrêter chaque recherche au 1er trouvé</t>
  </si>
  <si>
    <t>(fixe)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</si>
</sst>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/>
    <xf numFmtId="0" fontId="2" fillId="2" borderId="1" xfId="0" applyFont="1" applyFill="1" applyBorder="1"/>
    <xf numFmtId="0" fontId="2" fillId="0" borderId="1" xfId="0" applyFont="1" applyBorder="1"/>
    <xf numFmtId="1" fontId="0" fillId="0" borderId="1" xfId="0" applyNumberFormat="1" applyBorder="1"/>
    <xf numFmtId="0" fontId="1" fillId="0" borderId="0" xfId="0" applyFont="1"/>
    <xf numFmtId="0" fontId="1" fillId="0" borderId="0" xfId="0" applyFont="1" applyFill="1" applyBorder="1"/>
    <xf numFmtId="0" fontId="0" fillId="4" borderId="1" xfId="0" applyFill="1" applyBorder="1"/>
    <xf numFmtId="0" fontId="1" fillId="4" borderId="0" xfId="0" applyFont="1" applyFill="1"/>
    <xf numFmtId="0" fontId="0" fillId="4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6" borderId="1" xfId="0" applyFill="1" applyBorder="1"/>
    <xf numFmtId="0" fontId="8" fillId="0" borderId="0" xfId="0" applyFont="1"/>
    <xf numFmtId="0" fontId="8" fillId="0" borderId="0" xfId="0" applyFont="1" applyAlignment="1">
      <alignment vertical="center" wrapText="1"/>
    </xf>
    <xf numFmtId="0" fontId="5" fillId="5" borderId="3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0" fillId="0" borderId="0" xfId="0" applyAlignment="1"/>
    <xf numFmtId="0" fontId="0" fillId="0" borderId="1" xfId="0" applyBorder="1" applyAlignment="1">
      <alignment wrapText="1"/>
    </xf>
    <xf numFmtId="0" fontId="0" fillId="3" borderId="0" xfId="0" applyFill="1" applyAlignment="1"/>
    <xf numFmtId="0" fontId="0" fillId="0" borderId="0" xfId="0" applyFill="1" applyAlignment="1"/>
    <xf numFmtId="164" fontId="4" fillId="5" borderId="0" xfId="0" applyNumberFormat="1" applyFont="1" applyFill="1" applyAlignment="1">
      <alignment horizontal="centerContinuous" vertical="center"/>
    </xf>
    <xf numFmtId="0" fontId="0" fillId="0" borderId="0" xfId="0" applyNumberFormat="1" applyAlignment="1">
      <alignment horizontal="centerContinuous" wrapText="1"/>
    </xf>
    <xf numFmtId="14" fontId="8" fillId="0" borderId="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7" borderId="1" xfId="0" applyFill="1" applyBorder="1" applyAlignment="1">
      <alignment wrapText="1"/>
    </xf>
    <xf numFmtId="0" fontId="0" fillId="7" borderId="0" xfId="0" applyFill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8" fillId="0" borderId="0" xfId="0" applyFont="1" applyAlignment="1">
      <alignment vertical="center"/>
    </xf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0" borderId="0" xfId="0" applyAlignment="1">
      <alignment horizontal="center" wrapText="1"/>
    </xf>
    <xf numFmtId="0" fontId="4" fillId="5" borderId="0" xfId="0" applyNumberFormat="1" applyFont="1" applyFill="1" applyAlignment="1">
      <alignment horizontal="centerContinuous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590549</xdr:colOff>
      <xdr:row>2</xdr:row>
      <xdr:rowOff>38098</xdr:rowOff>
    </xdr:from>
    <xdr:to>
      <xdr:col>14</xdr:col>
      <xdr:colOff>581024</xdr:colOff>
      <xdr:row>17</xdr:row>
      <xdr:rowOff>19050</xdr:rowOff>
    </xdr:to>
    <xdr:sp macro="" textlink="">
      <xdr:nvSpPr>
        <xdr:cNvPr id="2" name="ZoneTexte 1"/>
        <xdr:cNvSpPr txBox="1"/>
      </xdr:nvSpPr>
      <xdr:spPr>
        <a:xfrm>
          <a:off x="3914774" y="419098"/>
          <a:ext cx="5505450" cy="3676652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100000">
              <a:schemeClr val="accent1">
                <a:lumMod val="20000"/>
                <a:lumOff val="8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35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	</a:t>
          </a:r>
          <a:r>
            <a:rPr lang="fr-FR" sz="1100" u="sng"/>
            <a:t>Supprimer toutes les fusions des cellules supportant un calcul</a:t>
          </a:r>
        </a:p>
        <a:p>
          <a:r>
            <a:rPr lang="fr-FR" sz="1100"/>
            <a:t>préférer le Format :  "Alignement"   "Horizontal"   "Centré sur plusieurs colonnes"</a:t>
          </a:r>
        </a:p>
        <a:p>
          <a:r>
            <a:rPr lang="fr-FR" sz="1100"/>
            <a:t>	exemple</a:t>
          </a:r>
          <a:r>
            <a:rPr lang="fr-FR" sz="1100" baseline="0"/>
            <a:t> en</a:t>
          </a:r>
          <a:r>
            <a:rPr lang="fr-FR" sz="1100"/>
            <a:t>  B8:D8 + format personnalisé "jjjj"</a:t>
          </a:r>
        </a:p>
        <a:p>
          <a:endParaRPr lang="fr-FR" sz="1100"/>
        </a:p>
        <a:p>
          <a:r>
            <a:rPr lang="fr-FR" sz="1100"/>
            <a:t>Dans le cadre du total dispo en C14,    =SI($C$3=1;"200";DECALER(BORD!$J$22;;(C3-2)*2))</a:t>
          </a:r>
        </a:p>
        <a:p>
          <a:r>
            <a:rPr lang="fr-FR" sz="1100"/>
            <a:t>	remplace la formule</a:t>
          </a:r>
          <a:r>
            <a:rPr lang="fr-FR" sz="1100" baseline="0"/>
            <a:t> </a:t>
          </a:r>
          <a:r>
            <a:rPr lang="fr-FR" sz="1100"/>
            <a:t>:</a:t>
          </a:r>
        </a:p>
        <a:p>
          <a:r>
            <a:rPr lang="fr-FR" sz="1100"/>
            <a:t>SI($C$3=1;"200";SI($C$3=2;BORD!J22;SI($C$3=3;BORD!L22;SI($C$3=4;BORD!N22;SI($C$3=5;BORD!P22;SI($C$3=6;BORD!R22;SI($C$3=7;BORD!T22;NAQ)))))))</a:t>
          </a:r>
        </a:p>
        <a:p>
          <a:endParaRPr lang="fr-FR" sz="1100"/>
        </a:p>
        <a:p>
          <a:r>
            <a:rPr lang="fr-FR" sz="1100"/>
            <a:t>Toutes les formules ci-dessous sont en </a:t>
          </a:r>
          <a:r>
            <a:rPr lang="fr-FR" sz="1100" u="sng"/>
            <a:t>matricielles</a:t>
          </a:r>
          <a:r>
            <a:rPr lang="fr-FR" sz="1100"/>
            <a:t>,  </a:t>
          </a:r>
        </a:p>
        <a:p>
          <a:r>
            <a:rPr lang="fr-FR" sz="1100"/>
            <a:t>validées par "</a:t>
          </a:r>
          <a:r>
            <a:rPr lang="fr-FR" sz="1100" b="1"/>
            <a:t>Ctrl</a:t>
          </a:r>
          <a:r>
            <a:rPr lang="fr-FR" sz="1100"/>
            <a:t>" + "</a:t>
          </a:r>
          <a:r>
            <a:rPr lang="fr-FR" sz="1100" b="1"/>
            <a:t>Shift*</a:t>
          </a:r>
          <a:r>
            <a:rPr lang="fr-FR" sz="1100"/>
            <a:t>" + "</a:t>
          </a:r>
          <a:r>
            <a:rPr lang="fr-FR" sz="1100" b="1"/>
            <a:t>Enter</a:t>
          </a:r>
          <a:r>
            <a:rPr lang="fr-FR" sz="1100"/>
            <a:t>"         (* </a:t>
          </a:r>
          <a:r>
            <a:rPr lang="fr-FR" sz="1100" i="1"/>
            <a:t>flèche maj</a:t>
          </a:r>
          <a:r>
            <a:rPr lang="fr-FR" sz="1100"/>
            <a:t>.)</a:t>
          </a:r>
        </a:p>
        <a:p>
          <a:endParaRPr lang="fr-FR" sz="1100"/>
        </a:p>
        <a:p>
          <a:r>
            <a:rPr lang="fr-FR" sz="1100"/>
            <a:t>Pour éviter tout risque d'erreur de saisie, il est préférable de créer des listes déroulantes ,</a:t>
          </a:r>
        </a:p>
        <a:p>
          <a:r>
            <a:rPr lang="fr-FR" sz="1100"/>
            <a:t>par Validation de Données   ex : cellule </a:t>
          </a:r>
          <a:r>
            <a:rPr lang="fr-FR" sz="1100" u="sng"/>
            <a:t>H19</a:t>
          </a:r>
          <a:r>
            <a:rPr lang="fr-FR" sz="1100" u="none"/>
            <a:t>,</a:t>
          </a:r>
          <a:r>
            <a:rPr lang="fr-FR" sz="1100" u="none" baseline="0"/>
            <a:t> </a:t>
          </a:r>
          <a:r>
            <a:rPr lang="fr-FR" sz="1100" u="none"/>
            <a:t>d'après</a:t>
          </a:r>
          <a:r>
            <a:rPr lang="fr-FR" sz="1100" u="none" baseline="0"/>
            <a:t> la liste en T9:T15 nommée  :TabSem.</a:t>
          </a:r>
        </a:p>
        <a:p>
          <a:r>
            <a:rPr lang="fr-FR" sz="1100" u="none" baseline="0"/>
            <a:t>Cette liste peut être située n'importe où, et elle reste accessible depuis toute feuille.</a:t>
          </a:r>
        </a:p>
        <a:p>
          <a:endParaRPr lang="fr-FR" sz="800"/>
        </a:p>
        <a:p>
          <a:r>
            <a:rPr lang="fr-FR" sz="1100"/>
            <a:t>(Le texte vendredi</a:t>
          </a:r>
          <a:r>
            <a:rPr lang="fr-FR" sz="1100" u="sng" baseline="0"/>
            <a:t>  </a:t>
          </a:r>
          <a:r>
            <a:rPr lang="fr-FR" sz="1100"/>
            <a:t>  avait </a:t>
          </a:r>
          <a:r>
            <a:rPr lang="fr-FR" sz="1100" u="sng"/>
            <a:t>une espace finale</a:t>
          </a:r>
          <a:r>
            <a:rPr lang="fr-FR" sz="1100" u="none" baseline="0"/>
            <a:t> invisible,</a:t>
          </a:r>
          <a:r>
            <a:rPr lang="fr-FR" sz="1100"/>
            <a:t> et de ce fait introuvable par Excel)</a:t>
          </a:r>
        </a:p>
        <a:p>
          <a:endParaRPr lang="fr-FR" sz="800"/>
        </a:p>
        <a:p>
          <a:r>
            <a:rPr lang="fr-FR" sz="1100"/>
            <a:t>On peut adapter ce pricipe sur la recherche d'après B8</a:t>
          </a:r>
          <a:r>
            <a:rPr lang="fr-FR" sz="1100" baseline="0"/>
            <a:t> au lieu de H19 (aujourd'hui seul)</a:t>
          </a:r>
        </a:p>
        <a:p>
          <a:r>
            <a:rPr lang="fr-FR" sz="1100" baseline="0"/>
            <a:t>dans ce cas, il faut que la casse corresponde  (pas de majuscule)</a:t>
          </a:r>
          <a:endParaRPr lang="fr-FR" sz="1100"/>
        </a:p>
      </xdr:txBody>
    </xdr:sp>
    <xdr:clientData/>
  </xdr:twoCellAnchor>
  <xdr:twoCellAnchor>
    <xdr:from>
      <xdr:col>6</xdr:col>
      <xdr:colOff>200025</xdr:colOff>
      <xdr:row>2</xdr:row>
      <xdr:rowOff>114300</xdr:rowOff>
    </xdr:from>
    <xdr:to>
      <xdr:col>6</xdr:col>
      <xdr:colOff>495300</xdr:colOff>
      <xdr:row>4</xdr:row>
      <xdr:rowOff>9525</xdr:rowOff>
    </xdr:to>
    <xdr:sp macro="" textlink="">
      <xdr:nvSpPr>
        <xdr:cNvPr id="3" name="Organigramme : Extraire 2"/>
        <xdr:cNvSpPr/>
      </xdr:nvSpPr>
      <xdr:spPr>
        <a:xfrm>
          <a:off x="4133850" y="495300"/>
          <a:ext cx="295275" cy="276225"/>
        </a:xfrm>
        <a:prstGeom prst="flowChartExtract">
          <a:avLst/>
        </a:prstGeom>
        <a:solidFill>
          <a:srgbClr val="00B0F0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1"/>
  <sheetViews>
    <sheetView workbookViewId="0">
      <selection activeCell="D12" sqref="D12"/>
    </sheetView>
  </sheetViews>
  <sheetFormatPr baseColWidth="10" defaultColWidth="9.140625" defaultRowHeight="15" x14ac:dyDescent="0.25"/>
  <sheetData>
    <row r="3" spans="2:4" x14ac:dyDescent="0.25">
      <c r="B3" t="s">
        <v>32</v>
      </c>
      <c r="D3" s="2">
        <v>20365</v>
      </c>
    </row>
    <row r="5" spans="2:4" x14ac:dyDescent="0.25">
      <c r="B5" t="s">
        <v>33</v>
      </c>
      <c r="D5" t="str">
        <f>VLOOKUP(D3,BORD!A:B,2,0)</f>
        <v>aa</v>
      </c>
    </row>
    <row r="7" spans="2:4" x14ac:dyDescent="0.25">
      <c r="B7" t="s">
        <v>34</v>
      </c>
      <c r="D7">
        <f>VLOOKUP($D$3,BORD!A:F,6,0)</f>
        <v>5</v>
      </c>
    </row>
    <row r="8" spans="2:4" x14ac:dyDescent="0.25">
      <c r="B8" t="s">
        <v>38</v>
      </c>
      <c r="D8">
        <f>VLOOKUP($D$3,BORD!A:G,7,0)</f>
        <v>8</v>
      </c>
    </row>
    <row r="9" spans="2:4" x14ac:dyDescent="0.25">
      <c r="B9" t="s">
        <v>35</v>
      </c>
      <c r="D9" t="str">
        <f>VLOOKUP($D$3,BORD!A:D,4,0)</f>
        <v>scorpion</v>
      </c>
    </row>
    <row r="10" spans="2:4" x14ac:dyDescent="0.25">
      <c r="B10" t="s">
        <v>72</v>
      </c>
      <c r="D10" t="str">
        <f>VLOOKUP($D$3,BORD!A:H,8,0)</f>
        <v>F1</v>
      </c>
    </row>
    <row r="11" spans="2:4" x14ac:dyDescent="0.25">
      <c r="B11" t="s">
        <v>73</v>
      </c>
      <c r="D11" t="str">
        <f>VLOOKUP($D$3,BORD!A:I,9,0)</f>
        <v>jeudi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32"/>
  <sheetViews>
    <sheetView workbookViewId="0">
      <selection activeCell="I26" sqref="I26"/>
    </sheetView>
  </sheetViews>
  <sheetFormatPr baseColWidth="10" defaultColWidth="9.140625" defaultRowHeight="15" x14ac:dyDescent="0.25"/>
  <cols>
    <col min="1" max="1" width="16.28515625" customWidth="1"/>
    <col min="6" max="6" width="12.7109375" customWidth="1"/>
    <col min="7" max="7" width="17.42578125" customWidth="1"/>
    <col min="11" max="11" width="2.28515625" customWidth="1"/>
    <col min="12" max="12" width="9.5703125" bestFit="1" customWidth="1"/>
    <col min="13" max="13" width="2.28515625" customWidth="1"/>
    <col min="15" max="15" width="2.28515625" customWidth="1"/>
    <col min="17" max="17" width="2.28515625" customWidth="1"/>
    <col min="19" max="19" width="2.28515625" customWidth="1"/>
    <col min="21" max="21" width="2.28515625" customWidth="1"/>
  </cols>
  <sheetData>
    <row r="2" spans="1:33" ht="30" x14ac:dyDescent="0.25">
      <c r="A2" s="1" t="s">
        <v>0</v>
      </c>
      <c r="B2" s="2" t="s">
        <v>1</v>
      </c>
      <c r="C2" s="2" t="s">
        <v>2</v>
      </c>
      <c r="D2" s="2" t="s">
        <v>3</v>
      </c>
      <c r="E2" s="8" t="s">
        <v>4</v>
      </c>
      <c r="F2" s="2" t="s">
        <v>34</v>
      </c>
      <c r="G2" s="2" t="s">
        <v>37</v>
      </c>
      <c r="H2" s="1" t="s">
        <v>41</v>
      </c>
      <c r="I2" s="11" t="s">
        <v>42</v>
      </c>
      <c r="J2" s="2" t="s">
        <v>51</v>
      </c>
      <c r="K2" s="17"/>
      <c r="L2" s="2" t="s">
        <v>48</v>
      </c>
      <c r="M2" s="17"/>
      <c r="N2" s="2" t="s">
        <v>47</v>
      </c>
      <c r="O2" s="17"/>
      <c r="P2" s="2" t="s">
        <v>45</v>
      </c>
      <c r="Q2" s="17"/>
      <c r="R2" s="2" t="s">
        <v>44</v>
      </c>
      <c r="S2" s="17"/>
      <c r="T2" s="2" t="s">
        <v>52</v>
      </c>
      <c r="U2" s="17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2"/>
      <c r="B3" s="2"/>
      <c r="C3" s="2"/>
      <c r="D3" s="2"/>
      <c r="E3" s="8"/>
      <c r="F3" s="2"/>
      <c r="G3" s="5" t="str">
        <f>IF($E:$E="PA",IFERROR(VLOOKUP($A3,satisf44!$A:$B,2,0),0)+IFERROR(VLOOKUP($A3,satisf44!$D:$E,2,0),0),"")</f>
        <v/>
      </c>
      <c r="H3" s="2"/>
      <c r="I3" s="2"/>
      <c r="J3" s="2"/>
      <c r="K3" s="17"/>
      <c r="L3" s="2"/>
      <c r="M3" s="17"/>
      <c r="N3" s="2"/>
      <c r="O3" s="17"/>
      <c r="P3" s="2"/>
      <c r="Q3" s="17"/>
      <c r="R3" s="2"/>
      <c r="S3" s="17"/>
      <c r="T3" s="2"/>
      <c r="U3" s="17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5">
      <c r="A4" s="2">
        <v>20365</v>
      </c>
      <c r="B4" s="2" t="s">
        <v>8</v>
      </c>
      <c r="C4" s="2" t="s">
        <v>22</v>
      </c>
      <c r="D4" s="2" t="s">
        <v>24</v>
      </c>
      <c r="E4" s="8" t="s">
        <v>27</v>
      </c>
      <c r="F4" s="5">
        <f>IF($E:$E="PA",IFERROR(VLOOKUP($A4,STATS44!$A:$B,2,0),0)+IFERROR(VLOOKUP($A4,STATS44!$D:$E,2,0),0),IFERROR(VLOOKUP($A4,STATS44!$D:$E,2,0),0))</f>
        <v>5</v>
      </c>
      <c r="G4" s="5">
        <f>IF($E:$E="PA",IFERROR(VLOOKUP($A4,satisf44!$A:$B,2,0),0)+IFERROR(VLOOKUP($A4,satisf44!$D:$E,2,0),0),IFERROR(VLOOKUP($A4,satisf44!$D:$E,2,0),0))</f>
        <v>8</v>
      </c>
      <c r="H4" s="2" t="s">
        <v>54</v>
      </c>
      <c r="I4" s="2" t="s">
        <v>45</v>
      </c>
      <c r="J4" s="2"/>
      <c r="K4" s="17" t="str">
        <f>IF(J4,COUNTIF(J$4:J4,1),"")</f>
        <v/>
      </c>
      <c r="L4" s="2"/>
      <c r="M4" s="17" t="str">
        <f>IF(L4,COUNTIF(L$4:L4,1),"")</f>
        <v/>
      </c>
      <c r="N4" s="2"/>
      <c r="O4" s="17" t="str">
        <f>IF(N4,COUNTIF(N$4:N4,1),"")</f>
        <v/>
      </c>
      <c r="P4" s="2">
        <v>1</v>
      </c>
      <c r="Q4" s="17">
        <f>IF(P4,COUNTIF(P$4:P4,1),"")</f>
        <v>1</v>
      </c>
      <c r="R4" s="2"/>
      <c r="S4" s="17" t="str">
        <f>IF(R4,COUNTIF(R$4:R4,1),"")</f>
        <v/>
      </c>
      <c r="T4" s="2"/>
      <c r="U4" s="17" t="str">
        <f>IF(T4,COUNTIF(T$4:T4,1),"")</f>
        <v/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x14ac:dyDescent="0.25">
      <c r="A5" s="2">
        <v>23067</v>
      </c>
      <c r="B5" s="2" t="s">
        <v>5</v>
      </c>
      <c r="C5" s="2" t="s">
        <v>22</v>
      </c>
      <c r="D5" s="2" t="s">
        <v>25</v>
      </c>
      <c r="E5" s="8" t="s">
        <v>29</v>
      </c>
      <c r="F5" s="5">
        <f>IF($E:$E="PA",IFERROR(VLOOKUP($A5,STATS44!$A:$B,2,0),0)+IFERROR(VLOOKUP($A5,STATS44!$D:$E,2,0),0),IFERROR(VLOOKUP($A5,STATS44!$D:$E,2,0),0))</f>
        <v>5</v>
      </c>
      <c r="G5" s="5">
        <f>IF($E:$E="PA",IFERROR(VLOOKUP($A5,satisf44!$A:$B,2,0),0)+IFERROR(VLOOKUP($A5,satisf44!$D:$E,2,0),0),IFERROR(VLOOKUP($A5,satisf44!$D:$E,2,0),0))</f>
        <v>2</v>
      </c>
      <c r="H5" s="2" t="s">
        <v>55</v>
      </c>
      <c r="I5" s="2" t="s">
        <v>43</v>
      </c>
      <c r="J5" s="2"/>
      <c r="K5" s="17" t="str">
        <f>IF(J5,COUNTIF(J$4:J5,1),"")</f>
        <v/>
      </c>
      <c r="L5" s="2"/>
      <c r="M5" s="17" t="str">
        <f>IF(L5,COUNTIF(L$4:L5,1),"")</f>
        <v/>
      </c>
      <c r="N5" s="2"/>
      <c r="O5" s="17" t="str">
        <f>IF(N5,COUNTIF(N$4:N5,1),"")</f>
        <v/>
      </c>
      <c r="P5" s="2"/>
      <c r="Q5" s="17" t="str">
        <f>IF(P5,COUNTIF(P$4:P5,1),"")</f>
        <v/>
      </c>
      <c r="R5" s="2"/>
      <c r="S5" s="17" t="str">
        <f>IF(R5,COUNTIF(R$4:R5,1),"")</f>
        <v/>
      </c>
      <c r="T5" s="2">
        <v>1</v>
      </c>
      <c r="U5" s="17">
        <f>IF(T5,COUNTIF(T$4:T5,1),"")</f>
        <v>1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x14ac:dyDescent="0.25">
      <c r="A6" s="2">
        <f>SUM(A5)+1</f>
        <v>23068</v>
      </c>
      <c r="B6" s="2" t="s">
        <v>6</v>
      </c>
      <c r="C6" s="2" t="s">
        <v>22</v>
      </c>
      <c r="D6" s="2" t="s">
        <v>26</v>
      </c>
      <c r="E6" s="8" t="s">
        <v>27</v>
      </c>
      <c r="F6" s="5">
        <f>IF($E:$E="PA",IFERROR(VLOOKUP($A6,STATS44!$A:$B,2,0),0)+IFERROR(VLOOKUP($A6,STATS44!$D:$E,2,0),0),IFERROR(VLOOKUP($A6,STATS44!$D:$E,2,0),0))</f>
        <v>6</v>
      </c>
      <c r="G6" s="5">
        <f>IF($E:$E="PA",IFERROR(VLOOKUP($A6,satisf44!$A:$B,2,0),0)+IFERROR(VLOOKUP($A6,satisf44!$D:$E,2,0),0),IFERROR(VLOOKUP($A6,satisf44!$D:$E,2,0),0))</f>
        <v>3</v>
      </c>
      <c r="H6" s="2" t="s">
        <v>56</v>
      </c>
      <c r="I6" s="2" t="s">
        <v>44</v>
      </c>
      <c r="J6" s="2"/>
      <c r="K6" s="17" t="str">
        <f>IF(J6,COUNTIF(J$4:J6,1),"")</f>
        <v/>
      </c>
      <c r="L6" s="2"/>
      <c r="M6" s="17" t="str">
        <f>IF(L6,COUNTIF(L$4:L6,1),"")</f>
        <v/>
      </c>
      <c r="N6" s="2"/>
      <c r="O6" s="17" t="str">
        <f>IF(N6,COUNTIF(N$4:N6,1),"")</f>
        <v/>
      </c>
      <c r="P6" s="2"/>
      <c r="Q6" s="17" t="str">
        <f>IF(P6,COUNTIF(P$4:P6,1),"")</f>
        <v/>
      </c>
      <c r="R6" s="2">
        <v>1</v>
      </c>
      <c r="S6" s="17">
        <f>IF(R6,COUNTIF(R$4:R6,1),"")</f>
        <v>1</v>
      </c>
      <c r="T6" s="2"/>
      <c r="U6" s="17" t="str">
        <f>IF(T6,COUNTIF(T$4:T6,1),"")</f>
        <v/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x14ac:dyDescent="0.25">
      <c r="A7" s="2">
        <f t="shared" ref="A7:A21" si="0">SUM(A6)+1</f>
        <v>23069</v>
      </c>
      <c r="B7" s="2" t="s">
        <v>7</v>
      </c>
      <c r="C7" s="2" t="s">
        <v>22</v>
      </c>
      <c r="D7" s="2" t="s">
        <v>24</v>
      </c>
      <c r="E7" s="8" t="s">
        <v>29</v>
      </c>
      <c r="F7" s="5">
        <f>IF($E:$E="PA",IFERROR(VLOOKUP($A7,STATS44!$A:$B,2,0),0)+IFERROR(VLOOKUP($A7,STATS44!$D:$E,2,0),0),IFERROR(VLOOKUP($A7,STATS44!$D:$E,2,0),0))</f>
        <v>8</v>
      </c>
      <c r="G7" s="5">
        <f>IF($E:$E="PA",IFERROR(VLOOKUP($A7,satisf44!$A:$B,2,0),0)+IFERROR(VLOOKUP($A7,satisf44!$D:$E,2,0),0),IFERROR(VLOOKUP($A7,satisf44!$D:$E,2,0),0))</f>
        <v>4</v>
      </c>
      <c r="H7" s="2" t="s">
        <v>57</v>
      </c>
      <c r="I7" s="2" t="s">
        <v>44</v>
      </c>
      <c r="J7" s="2"/>
      <c r="K7" s="17" t="str">
        <f>IF(J7,COUNTIF(J$4:J7,1),"")</f>
        <v/>
      </c>
      <c r="L7" s="2"/>
      <c r="M7" s="17" t="str">
        <f>IF(L7,COUNTIF(L$4:L7,1),"")</f>
        <v/>
      </c>
      <c r="N7" s="2"/>
      <c r="O7" s="17" t="str">
        <f>IF(N7,COUNTIF(N$4:N7,1),"")</f>
        <v/>
      </c>
      <c r="P7" s="2"/>
      <c r="Q7" s="17" t="str">
        <f>IF(P7,COUNTIF(P$4:P7,1),"")</f>
        <v/>
      </c>
      <c r="R7" s="2">
        <v>1</v>
      </c>
      <c r="S7" s="17">
        <f>IF(R7,COUNTIF(R$4:R7,1),"")</f>
        <v>2</v>
      </c>
      <c r="T7" s="2"/>
      <c r="U7" s="17" t="str">
        <f>IF(T7,COUNTIF(T$4:T7,1),"")</f>
        <v/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x14ac:dyDescent="0.25">
      <c r="A8" s="2">
        <f t="shared" si="0"/>
        <v>23070</v>
      </c>
      <c r="B8" s="2" t="s">
        <v>9</v>
      </c>
      <c r="C8" s="2" t="s">
        <v>22</v>
      </c>
      <c r="D8" s="2" t="s">
        <v>24</v>
      </c>
      <c r="E8" s="8" t="s">
        <v>27</v>
      </c>
      <c r="F8" s="5">
        <f>IF($E:$E="PA",IFERROR(VLOOKUP($A8,STATS44!$A:$B,2,0),0)+IFERROR(VLOOKUP($A8,STATS44!$D:$E,2,0),0),IFERROR(VLOOKUP($A8,STATS44!$D:$E,2,0),0))</f>
        <v>9</v>
      </c>
      <c r="G8" s="5">
        <f>IF($E:$E="PA",IFERROR(VLOOKUP($A8,satisf44!$A:$B,2,0),0)+IFERROR(VLOOKUP($A8,satisf44!$D:$E,2,0),0),IFERROR(VLOOKUP($A8,satisf44!$D:$E,2,0),0))</f>
        <v>5</v>
      </c>
      <c r="H8" s="2" t="s">
        <v>58</v>
      </c>
      <c r="I8" s="2" t="s">
        <v>47</v>
      </c>
      <c r="J8" s="2"/>
      <c r="K8" s="17" t="str">
        <f>IF(J8,COUNTIF(J$4:J8,1),"")</f>
        <v/>
      </c>
      <c r="L8" s="2"/>
      <c r="M8" s="17" t="str">
        <f>IF(L8,COUNTIF(L$4:L8,1),"")</f>
        <v/>
      </c>
      <c r="N8" s="2">
        <v>1</v>
      </c>
      <c r="O8" s="17">
        <f>IF(N8,COUNTIF(N$4:N8,1),"")</f>
        <v>1</v>
      </c>
      <c r="P8" s="2"/>
      <c r="Q8" s="17" t="str">
        <f>IF(P8,COUNTIF(P$4:P8,1),"")</f>
        <v/>
      </c>
      <c r="R8" s="2"/>
      <c r="S8" s="17" t="str">
        <f>IF(R8,COUNTIF(R$4:R8,1),"")</f>
        <v/>
      </c>
      <c r="T8" s="2"/>
      <c r="U8" s="17" t="str">
        <f>IF(T8,COUNTIF(T$4:T8,1),"")</f>
        <v/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5">
      <c r="A9" s="2">
        <f t="shared" si="0"/>
        <v>23071</v>
      </c>
      <c r="B9" s="2" t="s">
        <v>10</v>
      </c>
      <c r="C9" s="2" t="s">
        <v>22</v>
      </c>
      <c r="D9" s="2" t="s">
        <v>25</v>
      </c>
      <c r="E9" s="8" t="s">
        <v>29</v>
      </c>
      <c r="F9" s="5">
        <f>IF($E:$E="PA",IFERROR(VLOOKUP($A9,STATS44!$A:$B,2,0),0)+IFERROR(VLOOKUP($A9,STATS44!$D:$E,2,0),0),IFERROR(VLOOKUP($A9,STATS44!$D:$E,2,0),0))</f>
        <v>7</v>
      </c>
      <c r="G9" s="5">
        <f>IF($E:$E="PA",IFERROR(VLOOKUP($A9,satisf44!$A:$B,2,0),0)+IFERROR(VLOOKUP($A9,satisf44!$D:$E,2,0),0),IFERROR(VLOOKUP($A9,satisf44!$D:$E,2,0),0))</f>
        <v>6</v>
      </c>
      <c r="H9" s="2" t="s">
        <v>59</v>
      </c>
      <c r="I9" s="2" t="s">
        <v>45</v>
      </c>
      <c r="J9" s="2"/>
      <c r="K9" s="17" t="str">
        <f>IF(J9,COUNTIF(J$4:J9,1),"")</f>
        <v/>
      </c>
      <c r="L9" s="2"/>
      <c r="M9" s="17" t="str">
        <f>IF(L9,COUNTIF(L$4:L9,1),"")</f>
        <v/>
      </c>
      <c r="N9" s="2"/>
      <c r="O9" s="17" t="str">
        <f>IF(N9,COUNTIF(N$4:N9,1),"")</f>
        <v/>
      </c>
      <c r="P9" s="2">
        <v>1</v>
      </c>
      <c r="Q9" s="17">
        <f>IF(P9,COUNTIF(P$4:P9,1),"")</f>
        <v>2</v>
      </c>
      <c r="R9" s="2"/>
      <c r="S9" s="17" t="str">
        <f>IF(R9,COUNTIF(R$4:R9,1),"")</f>
        <v/>
      </c>
      <c r="T9" s="2"/>
      <c r="U9" s="17" t="str">
        <f>IF(T9,COUNTIF(T$4:T9,1),"")</f>
        <v/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5">
      <c r="A10" s="2">
        <f t="shared" si="0"/>
        <v>23072</v>
      </c>
      <c r="B10" s="2" t="s">
        <v>11</v>
      </c>
      <c r="C10" s="2" t="s">
        <v>22</v>
      </c>
      <c r="D10" s="2" t="s">
        <v>25</v>
      </c>
      <c r="E10" s="8" t="s">
        <v>29</v>
      </c>
      <c r="F10" s="5">
        <f>IF($E:$E="PA",IFERROR(VLOOKUP($A10,STATS44!$A:$B,2,0),0)+IFERROR(VLOOKUP($A10,STATS44!$D:$E,2,0),0),IFERROR(VLOOKUP($A10,STATS44!$D:$E,2,0),0))</f>
        <v>4</v>
      </c>
      <c r="G10" s="5">
        <f>IF($E:$E="PA",IFERROR(VLOOKUP($A10,satisf44!$A:$B,2,0),0)+IFERROR(VLOOKUP($A10,satisf44!$D:$E,2,0),0),IFERROR(VLOOKUP($A10,satisf44!$D:$E,2,0),0))</f>
        <v>7</v>
      </c>
      <c r="H10" s="2" t="s">
        <v>60</v>
      </c>
      <c r="I10" s="2" t="s">
        <v>48</v>
      </c>
      <c r="J10" s="2"/>
      <c r="K10" s="17" t="str">
        <f>IF(J10,COUNTIF(J$4:J10,1),"")</f>
        <v/>
      </c>
      <c r="L10" s="2">
        <v>1</v>
      </c>
      <c r="M10" s="17">
        <f>IF(L10,COUNTIF(L$4:L10,1),"")</f>
        <v>1</v>
      </c>
      <c r="N10" s="2"/>
      <c r="O10" s="17" t="str">
        <f>IF(N10,COUNTIF(N$4:N10,1),"")</f>
        <v/>
      </c>
      <c r="P10" s="2"/>
      <c r="Q10" s="17" t="str">
        <f>IF(P10,COUNTIF(P$4:P10,1),"")</f>
        <v/>
      </c>
      <c r="R10" s="2"/>
      <c r="S10" s="17" t="str">
        <f>IF(R10,COUNTIF(R$4:R10,1),"")</f>
        <v/>
      </c>
      <c r="T10" s="2"/>
      <c r="U10" s="17" t="str">
        <f>IF(T10,COUNTIF(T$4:T10,1),"")</f>
        <v/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x14ac:dyDescent="0.25">
      <c r="A11" s="2">
        <f t="shared" si="0"/>
        <v>23073</v>
      </c>
      <c r="B11" s="2" t="s">
        <v>11</v>
      </c>
      <c r="C11" s="2" t="s">
        <v>22</v>
      </c>
      <c r="D11" s="2" t="s">
        <v>26</v>
      </c>
      <c r="E11" s="8" t="s">
        <v>29</v>
      </c>
      <c r="F11" s="5">
        <f>IF($E:$E="PA",IFERROR(VLOOKUP($A11,STATS44!$A:$B,2,0),0)+IFERROR(VLOOKUP($A11,STATS44!$D:$E,2,0),0),IFERROR(VLOOKUP($A11,STATS44!$D:$E,2,0),0))</f>
        <v>1</v>
      </c>
      <c r="G11" s="5">
        <f>IF($E:$E="PA",IFERROR(VLOOKUP($A11,satisf44!$A:$B,2,0),0)+IFERROR(VLOOKUP($A11,satisf44!$D:$E,2,0),0),IFERROR(VLOOKUP($A11,satisf44!$D:$E,2,0),0))</f>
        <v>8</v>
      </c>
      <c r="H11" s="2" t="s">
        <v>61</v>
      </c>
      <c r="I11" s="2" t="s">
        <v>46</v>
      </c>
      <c r="J11" s="2">
        <v>1</v>
      </c>
      <c r="K11" s="17">
        <f>IF(J11,COUNTIF(J$4:J11,1),"")</f>
        <v>1</v>
      </c>
      <c r="L11" s="2"/>
      <c r="M11" s="17" t="str">
        <f>IF(L11,COUNTIF(L$4:L11,1),"")</f>
        <v/>
      </c>
      <c r="N11" s="2"/>
      <c r="O11" s="17" t="str">
        <f>IF(N11,COUNTIF(N$4:N11,1),"")</f>
        <v/>
      </c>
      <c r="P11" s="2"/>
      <c r="Q11" s="17" t="str">
        <f>IF(P11,COUNTIF(P$4:P11,1),"")</f>
        <v/>
      </c>
      <c r="R11" s="2"/>
      <c r="S11" s="17" t="str">
        <f>IF(R11,COUNTIF(R$4:R11,1),"")</f>
        <v/>
      </c>
      <c r="T11" s="2"/>
      <c r="U11" s="17" t="str">
        <f>IF(T11,COUNTIF(T$4:T11,1),"")</f>
        <v/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x14ac:dyDescent="0.25">
      <c r="A12" s="2">
        <f t="shared" si="0"/>
        <v>23074</v>
      </c>
      <c r="B12" s="2" t="s">
        <v>12</v>
      </c>
      <c r="C12" s="2" t="s">
        <v>22</v>
      </c>
      <c r="D12" s="2" t="s">
        <v>26</v>
      </c>
      <c r="E12" s="8" t="s">
        <v>29</v>
      </c>
      <c r="F12" s="5">
        <f>IF($E:$E="PA",IFERROR(VLOOKUP($A12,STATS44!$A:$B,2,0),0)+IFERROR(VLOOKUP($A12,STATS44!$D:$E,2,0),0),IFERROR(VLOOKUP($A12,STATS44!$D:$E,2,0),0))</f>
        <v>5</v>
      </c>
      <c r="G12" s="5">
        <f>IF($E:$E="PA",IFERROR(VLOOKUP($A12,satisf44!$A:$B,2,0),0)+IFERROR(VLOOKUP($A12,satisf44!$D:$E,2,0),0),IFERROR(VLOOKUP($A12,satisf44!$D:$E,2,0),0))</f>
        <v>9</v>
      </c>
      <c r="H12" s="2" t="s">
        <v>62</v>
      </c>
      <c r="I12" s="2" t="s">
        <v>43</v>
      </c>
      <c r="J12" s="2"/>
      <c r="K12" s="17" t="str">
        <f>IF(J12,COUNTIF(J$4:J12,1),"")</f>
        <v/>
      </c>
      <c r="L12" s="2"/>
      <c r="M12" s="17" t="str">
        <f>IF(L12,COUNTIF(L$4:L12,1),"")</f>
        <v/>
      </c>
      <c r="N12" s="2"/>
      <c r="O12" s="17" t="str">
        <f>IF(N12,COUNTIF(N$4:N12,1),"")</f>
        <v/>
      </c>
      <c r="P12" s="2"/>
      <c r="Q12" s="17" t="str">
        <f>IF(P12,COUNTIF(P$4:P12,1),"")</f>
        <v/>
      </c>
      <c r="R12" s="2"/>
      <c r="S12" s="17" t="str">
        <f>IF(R12,COUNTIF(R$4:R12,1),"")</f>
        <v/>
      </c>
      <c r="T12" s="2">
        <v>1</v>
      </c>
      <c r="U12" s="17">
        <f>IF(T12,COUNTIF(T$4:T12,1),"")</f>
        <v>2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x14ac:dyDescent="0.25">
      <c r="A13" s="2">
        <f t="shared" si="0"/>
        <v>23075</v>
      </c>
      <c r="B13" s="2" t="s">
        <v>13</v>
      </c>
      <c r="C13" s="2" t="s">
        <v>23</v>
      </c>
      <c r="D13" s="2" t="s">
        <v>26</v>
      </c>
      <c r="E13" s="8" t="s">
        <v>27</v>
      </c>
      <c r="F13" s="5">
        <f>IF($E:$E="PA",IFERROR(VLOOKUP($A13,STATS44!$A:$B,2,0),0)+IFERROR(VLOOKUP($A13,STATS44!$D:$E,2,0),0),IFERROR(VLOOKUP($A13,STATS44!$D:$E,2,0),0))</f>
        <v>6</v>
      </c>
      <c r="G13" s="5">
        <f>IF($E:$E="PA",IFERROR(VLOOKUP($A13,satisf44!$A:$B,2,0),0)+IFERROR(VLOOKUP($A13,satisf44!$D:$E,2,0),0),IFERROR(VLOOKUP($A13,satisf44!$D:$E,2,0),0))</f>
        <v>10</v>
      </c>
      <c r="H13" s="2" t="s">
        <v>63</v>
      </c>
      <c r="I13" s="2" t="s">
        <v>46</v>
      </c>
      <c r="J13" s="2">
        <v>1</v>
      </c>
      <c r="K13" s="17">
        <f>IF(J13,COUNTIF(J$4:J13,1),"")</f>
        <v>2</v>
      </c>
      <c r="L13" s="2"/>
      <c r="M13" s="17" t="str">
        <f>IF(L13,COUNTIF(L$4:L13,1),"")</f>
        <v/>
      </c>
      <c r="N13" s="2"/>
      <c r="O13" s="17" t="str">
        <f>IF(N13,COUNTIF(N$4:N13,1),"")</f>
        <v/>
      </c>
      <c r="P13" s="2"/>
      <c r="Q13" s="17" t="str">
        <f>IF(P13,COUNTIF(P$4:P13,1),"")</f>
        <v/>
      </c>
      <c r="R13" s="2"/>
      <c r="S13" s="17" t="str">
        <f>IF(R13,COUNTIF(R$4:R13,1),"")</f>
        <v/>
      </c>
      <c r="T13" s="2"/>
      <c r="U13" s="17" t="str">
        <f>IF(T13,COUNTIF(T$4:T13,1),"")</f>
        <v/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x14ac:dyDescent="0.25">
      <c r="A14" s="2">
        <f t="shared" si="0"/>
        <v>23076</v>
      </c>
      <c r="B14" s="2" t="s">
        <v>14</v>
      </c>
      <c r="C14" s="2" t="s">
        <v>23</v>
      </c>
      <c r="D14" s="2" t="s">
        <v>26</v>
      </c>
      <c r="E14" s="8" t="s">
        <v>29</v>
      </c>
      <c r="F14" s="5">
        <f>IF($E:$E="PA",IFERROR(VLOOKUP($A14,STATS44!$A:$B,2,0),0)+IFERROR(VLOOKUP($A14,STATS44!$D:$E,2,0),0),IFERROR(VLOOKUP($A14,STATS44!$D:$E,2,0),0))</f>
        <v>4</v>
      </c>
      <c r="G14" s="5">
        <f>IF($E:$E="PA",IFERROR(VLOOKUP($A14,satisf44!$A:$B,2,0),0)+IFERROR(VLOOKUP($A14,satisf44!$D:$E,2,0),0),IFERROR(VLOOKUP($A14,satisf44!$D:$E,2,0),0))</f>
        <v>10</v>
      </c>
      <c r="H14" s="2" t="s">
        <v>64</v>
      </c>
      <c r="I14" s="2" t="s">
        <v>45</v>
      </c>
      <c r="J14" s="2"/>
      <c r="K14" s="17" t="str">
        <f>IF(J14,COUNTIF(J$4:J14,1),"")</f>
        <v/>
      </c>
      <c r="L14" s="2"/>
      <c r="M14" s="17" t="str">
        <f>IF(L14,COUNTIF(L$4:L14,1),"")</f>
        <v/>
      </c>
      <c r="N14" s="2"/>
      <c r="O14" s="17" t="str">
        <f>IF(N14,COUNTIF(N$4:N14,1),"")</f>
        <v/>
      </c>
      <c r="P14" s="2">
        <v>1</v>
      </c>
      <c r="Q14" s="17">
        <f>IF(P14,COUNTIF(P$4:P14,1),"")</f>
        <v>3</v>
      </c>
      <c r="R14" s="2"/>
      <c r="S14" s="17" t="str">
        <f>IF(R14,COUNTIF(R$4:R14,1),"")</f>
        <v/>
      </c>
      <c r="T14" s="2"/>
      <c r="U14" s="17" t="str">
        <f>IF(T14,COUNTIF(T$4:T14,1),"")</f>
        <v/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x14ac:dyDescent="0.25">
      <c r="A15" s="2">
        <f t="shared" si="0"/>
        <v>23077</v>
      </c>
      <c r="B15" s="2" t="s">
        <v>15</v>
      </c>
      <c r="C15" s="2" t="s">
        <v>23</v>
      </c>
      <c r="D15" s="2" t="s">
        <v>26</v>
      </c>
      <c r="E15" s="8" t="s">
        <v>29</v>
      </c>
      <c r="F15" s="5">
        <f>IF($E:$E="PA",IFERROR(VLOOKUP($A15,STATS44!$A:$B,2,0),0)+IFERROR(VLOOKUP($A15,STATS44!$D:$E,2,0),0),IFERROR(VLOOKUP($A15,STATS44!$D:$E,2,0),0))</f>
        <v>9</v>
      </c>
      <c r="G15" s="5">
        <f>IF($E:$E="PA",IFERROR(VLOOKUP($A15,satisf44!$A:$B,2,0),0)+IFERROR(VLOOKUP($A15,satisf44!$D:$E,2,0),0),IFERROR(VLOOKUP($A15,satisf44!$D:$E,2,0),0))</f>
        <v>1</v>
      </c>
      <c r="H15" s="2" t="s">
        <v>65</v>
      </c>
      <c r="I15" s="2" t="s">
        <v>43</v>
      </c>
      <c r="J15" s="2"/>
      <c r="K15" s="17" t="str">
        <f>IF(J15,COUNTIF(J$4:J15,1),"")</f>
        <v/>
      </c>
      <c r="L15" s="2"/>
      <c r="M15" s="17" t="str">
        <f>IF(L15,COUNTIF(L$4:L15,1),"")</f>
        <v/>
      </c>
      <c r="N15" s="2"/>
      <c r="O15" s="17" t="str">
        <f>IF(N15,COUNTIF(N$4:N15,1),"")</f>
        <v/>
      </c>
      <c r="P15" s="2"/>
      <c r="Q15" s="17" t="str">
        <f>IF(P15,COUNTIF(P$4:P15,1),"")</f>
        <v/>
      </c>
      <c r="R15" s="2"/>
      <c r="S15" s="17" t="str">
        <f>IF(R15,COUNTIF(R$4:R15,1),"")</f>
        <v/>
      </c>
      <c r="T15" s="2">
        <v>1</v>
      </c>
      <c r="U15" s="17">
        <f>IF(T15,COUNTIF(T$4:T15,1),"")</f>
        <v>3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x14ac:dyDescent="0.25">
      <c r="A16" s="2">
        <f t="shared" si="0"/>
        <v>23078</v>
      </c>
      <c r="B16" s="2" t="s">
        <v>16</v>
      </c>
      <c r="C16" s="2" t="s">
        <v>23</v>
      </c>
      <c r="D16" s="2" t="s">
        <v>26</v>
      </c>
      <c r="E16" s="8" t="s">
        <v>27</v>
      </c>
      <c r="F16" s="5">
        <f>IF($E:$E="PA",IFERROR(VLOOKUP($A16,STATS44!$A:$B,2,0),0)+IFERROR(VLOOKUP($A16,STATS44!$D:$E,2,0),0),IFERROR(VLOOKUP($A16,STATS44!$D:$E,2,0),0))</f>
        <v>0</v>
      </c>
      <c r="G16" s="5">
        <f>IF($E:$E="PA",IFERROR(VLOOKUP($A16,satisf44!$A:$B,2,0),0)+IFERROR(VLOOKUP($A16,satisf44!$D:$E,2,0),0),IFERROR(VLOOKUP($A16,satisf44!$D:$E,2,0),0))</f>
        <v>0</v>
      </c>
      <c r="H16" s="2" t="s">
        <v>66</v>
      </c>
      <c r="I16" s="2" t="s">
        <v>47</v>
      </c>
      <c r="J16" s="2"/>
      <c r="K16" s="17" t="str">
        <f>IF(J16,COUNTIF(J$4:J16,1),"")</f>
        <v/>
      </c>
      <c r="L16" s="2"/>
      <c r="M16" s="17" t="str">
        <f>IF(L16,COUNTIF(L$4:L16,1),"")</f>
        <v/>
      </c>
      <c r="N16" s="2">
        <v>1</v>
      </c>
      <c r="O16" s="17">
        <f>IF(N16,COUNTIF(N$4:N16,1),"")</f>
        <v>2</v>
      </c>
      <c r="P16" s="2"/>
      <c r="Q16" s="17" t="str">
        <f>IF(P16,COUNTIF(P$4:P16,1),"")</f>
        <v/>
      </c>
      <c r="R16" s="2"/>
      <c r="S16" s="17" t="str">
        <f>IF(R16,COUNTIF(R$4:R16,1),"")</f>
        <v/>
      </c>
      <c r="T16" s="2"/>
      <c r="U16" s="17" t="str">
        <f>IF(T16,COUNTIF(T$4:T16,1),"")</f>
        <v/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x14ac:dyDescent="0.25">
      <c r="A17" s="2">
        <f t="shared" si="0"/>
        <v>23079</v>
      </c>
      <c r="B17" s="2" t="s">
        <v>17</v>
      </c>
      <c r="C17" s="2" t="s">
        <v>23</v>
      </c>
      <c r="D17" s="2" t="s">
        <v>25</v>
      </c>
      <c r="E17" s="8" t="s">
        <v>29</v>
      </c>
      <c r="F17" s="5">
        <f>IF($E:$E="PA",IFERROR(VLOOKUP($A17,STATS44!$A:$B,2,0),0)+IFERROR(VLOOKUP($A17,STATS44!$D:$E,2,0),0),IFERROR(VLOOKUP($A17,STATS44!$D:$E,2,0),0))</f>
        <v>0</v>
      </c>
      <c r="G17" s="5">
        <f>IF($E:$E="PA",IFERROR(VLOOKUP($A17,satisf44!$A:$B,2,0),0)+IFERROR(VLOOKUP($A17,satisf44!$D:$E,2,0),0),IFERROR(VLOOKUP($A17,satisf44!$D:$E,2,0),0))</f>
        <v>0</v>
      </c>
      <c r="H17" s="2" t="s">
        <v>67</v>
      </c>
      <c r="I17" s="2" t="s">
        <v>45</v>
      </c>
      <c r="J17" s="2"/>
      <c r="K17" s="17" t="str">
        <f>IF(J17,COUNTIF(J$4:J17,1),"")</f>
        <v/>
      </c>
      <c r="L17" s="2"/>
      <c r="M17" s="17" t="str">
        <f>IF(L17,COUNTIF(L$4:L17,1),"")</f>
        <v/>
      </c>
      <c r="N17" s="2"/>
      <c r="O17" s="17" t="str">
        <f>IF(N17,COUNTIF(N$4:N17,1),"")</f>
        <v/>
      </c>
      <c r="P17" s="2">
        <v>1</v>
      </c>
      <c r="Q17" s="17">
        <f>IF(P17,COUNTIF(P$4:P17,1),"")</f>
        <v>4</v>
      </c>
      <c r="R17" s="2"/>
      <c r="S17" s="17" t="str">
        <f>IF(R17,COUNTIF(R$4:R17,1),"")</f>
        <v/>
      </c>
      <c r="T17" s="2"/>
      <c r="U17" s="17" t="str">
        <f>IF(T17,COUNTIF(T$4:T17,1),"")</f>
        <v/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x14ac:dyDescent="0.25">
      <c r="A18" s="2">
        <f t="shared" si="0"/>
        <v>23080</v>
      </c>
      <c r="B18" s="2" t="s">
        <v>18</v>
      </c>
      <c r="C18" s="2" t="s">
        <v>23</v>
      </c>
      <c r="D18" s="2" t="s">
        <v>25</v>
      </c>
      <c r="E18" s="8" t="s">
        <v>27</v>
      </c>
      <c r="F18" s="5">
        <f>IF($E:$E="PA",IFERROR(VLOOKUP($A18,STATS44!$A:$B,2,0),0)+IFERROR(VLOOKUP($A18,STATS44!$D:$E,2,0),0),IFERROR(VLOOKUP($A18,STATS44!$D:$E,2,0),0))</f>
        <v>0</v>
      </c>
      <c r="G18" s="5">
        <f>IF($E:$E="PA",IFERROR(VLOOKUP($A18,satisf44!$A:$B,2,0),0)+IFERROR(VLOOKUP($A18,satisf44!$D:$E,2,0),0),IFERROR(VLOOKUP($A18,satisf44!$D:$E,2,0),0))</f>
        <v>0</v>
      </c>
      <c r="H18" s="2" t="s">
        <v>68</v>
      </c>
      <c r="I18" s="2" t="s">
        <v>48</v>
      </c>
      <c r="J18" s="2"/>
      <c r="K18" s="17" t="str">
        <f>IF(J18,COUNTIF(J$4:J18,1),"")</f>
        <v/>
      </c>
      <c r="L18" s="2">
        <v>1</v>
      </c>
      <c r="M18" s="17">
        <f>IF(L18,COUNTIF(L$4:L18,1),"")</f>
        <v>2</v>
      </c>
      <c r="N18" s="2"/>
      <c r="O18" s="17" t="str">
        <f>IF(N18,COUNTIF(N$4:N18,1),"")</f>
        <v/>
      </c>
      <c r="P18" s="2"/>
      <c r="Q18" s="17" t="str">
        <f>IF(P18,COUNTIF(P$4:P18,1),"")</f>
        <v/>
      </c>
      <c r="R18" s="2"/>
      <c r="S18" s="17" t="str">
        <f>IF(R18,COUNTIF(R$4:R18,1),"")</f>
        <v/>
      </c>
      <c r="T18" s="2"/>
      <c r="U18" s="17" t="str">
        <f>IF(T18,COUNTIF(T$4:T18,1),"")</f>
        <v/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x14ac:dyDescent="0.25">
      <c r="A19" s="2">
        <f t="shared" si="0"/>
        <v>23081</v>
      </c>
      <c r="B19" s="2" t="s">
        <v>19</v>
      </c>
      <c r="C19" s="2" t="s">
        <v>23</v>
      </c>
      <c r="D19" s="2" t="s">
        <v>24</v>
      </c>
      <c r="E19" s="8" t="s">
        <v>29</v>
      </c>
      <c r="F19" s="5">
        <f>IF($E:$E="PA",IFERROR(VLOOKUP($A19,STATS44!$A:$B,2,0),0)+IFERROR(VLOOKUP($A19,STATS44!$D:$E,2,0),0),IFERROR(VLOOKUP($A19,STATS44!$D:$E,2,0),0))</f>
        <v>0</v>
      </c>
      <c r="G19" s="5">
        <f>IF($E:$E="PA",IFERROR(VLOOKUP($A19,satisf44!$A:$B,2,0),0)+IFERROR(VLOOKUP($A19,satisf44!$D:$E,2,0),0),IFERROR(VLOOKUP($A19,satisf44!$D:$E,2,0),0))</f>
        <v>0</v>
      </c>
      <c r="H19" s="2" t="s">
        <v>69</v>
      </c>
      <c r="I19" s="2" t="s">
        <v>46</v>
      </c>
      <c r="J19" s="2">
        <v>1</v>
      </c>
      <c r="K19" s="17">
        <f>IF(J19,COUNTIF(J$4:J19,1),"")</f>
        <v>3</v>
      </c>
      <c r="L19" s="2"/>
      <c r="M19" s="17" t="str">
        <f>IF(L19,COUNTIF(L$4:L19,1),"")</f>
        <v/>
      </c>
      <c r="N19" s="2"/>
      <c r="O19" s="17" t="str">
        <f>IF(N19,COUNTIF(N$4:N19,1),"")</f>
        <v/>
      </c>
      <c r="P19" s="2"/>
      <c r="Q19" s="17" t="str">
        <f>IF(P19,COUNTIF(P$4:P19,1),"")</f>
        <v/>
      </c>
      <c r="R19" s="2"/>
      <c r="S19" s="17" t="str">
        <f>IF(R19,COUNTIF(R$4:R19,1),"")</f>
        <v/>
      </c>
      <c r="T19" s="2"/>
      <c r="U19" s="17" t="str">
        <f>IF(T19,COUNTIF(T$4:T19,1),"")</f>
        <v/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x14ac:dyDescent="0.25">
      <c r="A20" s="2">
        <f t="shared" si="0"/>
        <v>23082</v>
      </c>
      <c r="B20" s="2" t="s">
        <v>20</v>
      </c>
      <c r="C20" s="2" t="s">
        <v>23</v>
      </c>
      <c r="D20" s="2" t="s">
        <v>24</v>
      </c>
      <c r="E20" s="8" t="s">
        <v>27</v>
      </c>
      <c r="F20" s="5">
        <f>IF($E:$E="PA",IFERROR(VLOOKUP($A20,STATS44!$A:$B,2,0),0)+IFERROR(VLOOKUP($A20,STATS44!$D:$E,2,0),0),IFERROR(VLOOKUP($A20,STATS44!$D:$E,2,0),0))</f>
        <v>0</v>
      </c>
      <c r="G20" s="5">
        <f>IF($E:$E="PA",IFERROR(VLOOKUP($A20,satisf44!$A:$B,2,0),0)+IFERROR(VLOOKUP($A20,satisf44!$D:$E,2,0),0),IFERROR(VLOOKUP($A20,satisf44!$D:$E,2,0),0))</f>
        <v>0</v>
      </c>
      <c r="H20" s="2" t="s">
        <v>70</v>
      </c>
      <c r="I20" s="2" t="s">
        <v>45</v>
      </c>
      <c r="J20" s="2"/>
      <c r="K20" s="17" t="str">
        <f>IF(J20,COUNTIF(J$4:J20,1),"")</f>
        <v/>
      </c>
      <c r="L20" s="2"/>
      <c r="M20" s="17" t="str">
        <f>IF(L20,COUNTIF(L$4:L20,1),"")</f>
        <v/>
      </c>
      <c r="N20" s="2"/>
      <c r="O20" s="17" t="str">
        <f>IF(N20,COUNTIF(N$4:N20,1),"")</f>
        <v/>
      </c>
      <c r="P20" s="2">
        <v>1</v>
      </c>
      <c r="Q20" s="17">
        <f>IF(P20,COUNTIF(P$4:P20,1),"")</f>
        <v>5</v>
      </c>
      <c r="R20" s="2"/>
      <c r="S20" s="17" t="str">
        <f>IF(R20,COUNTIF(R$4:R20,1),"")</f>
        <v/>
      </c>
      <c r="T20" s="2"/>
      <c r="U20" s="17" t="str">
        <f>IF(T20,COUNTIF(T$4:T20,1),"")</f>
        <v/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x14ac:dyDescent="0.25">
      <c r="A21" s="2">
        <f t="shared" si="0"/>
        <v>23083</v>
      </c>
      <c r="B21" s="2" t="s">
        <v>21</v>
      </c>
      <c r="C21" s="2" t="s">
        <v>23</v>
      </c>
      <c r="D21" s="2" t="s">
        <v>25</v>
      </c>
      <c r="E21" s="8" t="s">
        <v>29</v>
      </c>
      <c r="F21" s="5">
        <f>IF($E:$E="PA",IFERROR(VLOOKUP($A21,STATS44!$A:$B,2,0),0)+IFERROR(VLOOKUP($A21,STATS44!$D:$E,2,0),0),IFERROR(VLOOKUP($A21,STATS44!$D:$E,2,0),0))</f>
        <v>0</v>
      </c>
      <c r="G21" s="5">
        <f>IF($E:$E="PA",IFERROR(VLOOKUP($A21,satisf44!$A:$B,2,0),0)+IFERROR(VLOOKUP($A21,satisf44!$D:$E,2,0),0),IFERROR(VLOOKUP($A21,satisf44!$D:$E,2,0),0))</f>
        <v>0</v>
      </c>
      <c r="H21" s="2" t="s">
        <v>71</v>
      </c>
      <c r="I21" s="2" t="s">
        <v>48</v>
      </c>
      <c r="J21" s="2"/>
      <c r="K21" s="17" t="str">
        <f>IF(J21,COUNTIF(J$4:J21,1),"")</f>
        <v/>
      </c>
      <c r="L21" s="2">
        <v>1</v>
      </c>
      <c r="M21" s="17">
        <f>IF(L21,COUNTIF(L$4:L21,1),"")</f>
        <v>3</v>
      </c>
      <c r="N21" s="2"/>
      <c r="O21" s="17" t="str">
        <f>IF(N21,COUNTIF(N$4:N21,1),"")</f>
        <v/>
      </c>
      <c r="P21" s="2"/>
      <c r="Q21" s="17" t="str">
        <f>IF(P21,COUNTIF(P$4:P21,1),"")</f>
        <v/>
      </c>
      <c r="R21" s="2"/>
      <c r="S21" s="17" t="str">
        <f>IF(R21,COUNTIF(R$4:R21,1),"")</f>
        <v/>
      </c>
      <c r="T21" s="2"/>
      <c r="U21" s="17" t="str">
        <f>IF(T21,COUNTIF(T$4:T21,1),"")</f>
        <v/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x14ac:dyDescent="0.25">
      <c r="A22" s="6">
        <v>23200</v>
      </c>
      <c r="B22" s="6"/>
      <c r="C22" s="6"/>
      <c r="D22" s="6" t="s">
        <v>30</v>
      </c>
      <c r="E22" s="9" t="s">
        <v>27</v>
      </c>
      <c r="F22" s="5">
        <f>IF($E:$E="PA",IFERROR(VLOOKUP($A22,STATS44!$A:$B,2,0),0)+IFERROR(VLOOKUP($A22,STATS44!$D:$E,2,0),0),IFERROR(VLOOKUP($A22,STATS44!$D:$E,2,0),0))</f>
        <v>10</v>
      </c>
      <c r="G22" s="5">
        <f>IF($E:$E="PA",IFERROR(VLOOKUP($A22,satisf44!$A:$B,2,0),0)+IFERROR(VLOOKUP($A22,satisf44!$D:$E,2,0),0),IFERROR(VLOOKUP($A22,satisf44!$D:$E,2,0),0))</f>
        <v>14</v>
      </c>
      <c r="J22">
        <f t="shared" ref="J22:T22" si="1">SUM(J3:J21)</f>
        <v>3</v>
      </c>
      <c r="L22">
        <f t="shared" si="1"/>
        <v>3</v>
      </c>
      <c r="N22">
        <f t="shared" si="1"/>
        <v>2</v>
      </c>
      <c r="P22">
        <f t="shared" si="1"/>
        <v>5</v>
      </c>
      <c r="R22">
        <f t="shared" si="1"/>
        <v>2</v>
      </c>
      <c r="T22">
        <f t="shared" si="1"/>
        <v>3</v>
      </c>
    </row>
    <row r="23" spans="1:33" x14ac:dyDescent="0.25">
      <c r="A23" s="6">
        <v>23201</v>
      </c>
      <c r="D23" s="6" t="s">
        <v>30</v>
      </c>
      <c r="E23" s="10" t="s">
        <v>31</v>
      </c>
      <c r="F23" s="5">
        <f>IF($E:$E="PA",IFERROR(VLOOKUP($A23,STATS44!$A:$B,2,0),0)+IFERROR(VLOOKUP($A23,STATS44!$D:$E,2,0),0),IFERROR(VLOOKUP($A23,STATS44!$D:$E,2,0),0))</f>
        <v>0</v>
      </c>
      <c r="G23" s="5">
        <f>IF($E:$E="PA",IFERROR(VLOOKUP($A23,satisf44!$A:$B,2,0),0)+IFERROR(VLOOKUP($A23,satisf44!$D:$E,2,0),0),IFERROR(VLOOKUP($A23,satisf44!$D:$E,2,0),0))</f>
        <v>6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33" x14ac:dyDescent="0.25">
      <c r="A24" s="6">
        <v>23202</v>
      </c>
      <c r="D24" s="6" t="s">
        <v>30</v>
      </c>
      <c r="E24" s="10" t="s">
        <v>28</v>
      </c>
      <c r="F24" s="5">
        <f>IF($E:$E="PA",IFERROR(VLOOKUP($A24,STATS44!$A:$B,2,0),0)+IFERROR(VLOOKUP($A24,STATS44!$D:$E,2,0),0),IFERROR(VLOOKUP($A24,STATS44!$D:$E,2,0),0))</f>
        <v>7</v>
      </c>
      <c r="G24" s="5">
        <f>IF($E:$E="PA",IFERROR(VLOOKUP($A24,satisf44!$A:$B,2,0),0)+IFERROR(VLOOKUP($A24,satisf44!$D:$E,2,0),0),IFERROR(VLOOKUP($A24,satisf44!$D:$E,2,0),0))</f>
        <v>5</v>
      </c>
      <c r="I24" s="18"/>
      <c r="J24" s="18"/>
      <c r="K24" s="18"/>
      <c r="L24" s="18"/>
      <c r="M24" s="18" t="s">
        <v>74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33" x14ac:dyDescent="0.25">
      <c r="A25" s="7">
        <v>23203</v>
      </c>
      <c r="D25" s="7" t="s">
        <v>39</v>
      </c>
      <c r="E25" s="10" t="s">
        <v>40</v>
      </c>
      <c r="F25" s="5">
        <f>IF($E:$E="PA",IFERROR(VLOOKUP($A25,STATS44!$A:$B,2,0),0)+IFERROR(VLOOKUP($A25,STATS44!$D:$E,2,0),0),IFERROR(VLOOKUP($A25,STATS44!$D:$E,2,0),0))</f>
        <v>600</v>
      </c>
      <c r="G25" s="5">
        <f>IF($E:$E="PA",IFERROR(VLOOKUP($A25,satisf44!$A:$B,2,0),0)+IFERROR(VLOOKUP($A25,satisf44!$D:$E,2,0),0),IFERROR(VLOOKUP($A25,satisf44!$D:$E,2,0),0))</f>
        <v>20</v>
      </c>
      <c r="I25" s="18"/>
      <c r="J25" s="18"/>
      <c r="K25" s="18"/>
      <c r="L25" s="18" t="str">
        <f t="array" ref="L25">IFERROR(INDEX($A$4:$U$21,MATCH(0&amp;"jeudi"&amp;COUNTA(L$24:L24)+1,$G$4:$G$21&amp;$I$4:$I$21&amp;Q$4:Q$21,0),1),"")</f>
        <v/>
      </c>
      <c r="M25" s="18" t="s">
        <v>75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33" ht="15" customHeight="1" x14ac:dyDescent="0.25">
      <c r="B26" s="27" t="s">
        <v>36</v>
      </c>
      <c r="C26" s="27"/>
      <c r="D26" s="27"/>
      <c r="E26" s="28"/>
      <c r="F26" s="28"/>
      <c r="G26" s="28"/>
      <c r="H26" s="28"/>
      <c r="I26" s="18"/>
      <c r="J26" s="19"/>
      <c r="K26" s="19"/>
      <c r="L26" s="18" t="str">
        <f t="array" ref="L26">IFERROR(INDEX($A$4:$U$21,MATCH(0&amp;"jeudi"&amp;COUNTA(L$24:L25)+1,$G$4:$G$21&amp;$I$4:$I$21&amp;Q$4:Q$21,0),1),"")</f>
        <v/>
      </c>
      <c r="M26" s="18"/>
      <c r="N26" s="40" t="s">
        <v>79</v>
      </c>
      <c r="O26" s="19"/>
      <c r="P26" s="19"/>
      <c r="Q26" s="19"/>
      <c r="R26" s="19"/>
      <c r="S26" s="19"/>
      <c r="T26" s="18"/>
      <c r="U26" s="18"/>
      <c r="V26" s="18"/>
      <c r="W26" s="18"/>
      <c r="X26" s="18"/>
    </row>
    <row r="27" spans="1:33" x14ac:dyDescent="0.25">
      <c r="B27" s="28"/>
      <c r="C27" s="28"/>
      <c r="D27" s="28"/>
      <c r="E27" s="28"/>
      <c r="F27" s="28"/>
      <c r="G27" s="28"/>
      <c r="H27" s="28"/>
      <c r="I27" s="18"/>
      <c r="J27" s="19"/>
      <c r="K27" s="19"/>
      <c r="L27" s="18" t="str">
        <f t="array" ref="L27">IFERROR(INDEX($A$4:$U$21,MATCH(0&amp;"jeudi"&amp;COUNTA(L$24:L26)+1,$G$4:$G$21&amp;$I$4:$I$21&amp;Q$4:Q$21,0),1),"")</f>
        <v/>
      </c>
      <c r="M27" s="18"/>
      <c r="N27" s="19"/>
      <c r="O27" s="19"/>
      <c r="P27" s="19"/>
      <c r="Q27" s="19"/>
      <c r="R27" s="19"/>
      <c r="S27" s="19"/>
      <c r="T27" s="18"/>
      <c r="U27" s="18"/>
      <c r="V27" s="18"/>
      <c r="W27" s="18"/>
      <c r="X27" s="18"/>
    </row>
    <row r="28" spans="1:33" x14ac:dyDescent="0.25">
      <c r="B28" s="28"/>
      <c r="C28" s="28"/>
      <c r="D28" s="28"/>
      <c r="E28" s="28"/>
      <c r="F28" s="28"/>
      <c r="G28" s="28"/>
      <c r="H28" s="28"/>
      <c r="I28" s="18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8"/>
      <c r="U28" s="18"/>
      <c r="V28" s="18"/>
      <c r="W28" s="18"/>
      <c r="X28" s="18"/>
    </row>
    <row r="29" spans="1:33" x14ac:dyDescent="0.25">
      <c r="I29" s="18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8"/>
      <c r="U29" s="18"/>
      <c r="V29" s="18"/>
      <c r="W29" s="18"/>
      <c r="X29" s="18"/>
    </row>
    <row r="30" spans="1:33" x14ac:dyDescent="0.25">
      <c r="J30" s="16"/>
      <c r="K30" s="16"/>
      <c r="L30" s="16"/>
      <c r="M30" s="16"/>
      <c r="N30" s="16"/>
      <c r="O30" s="16"/>
      <c r="P30" s="16"/>
      <c r="Q30" s="16"/>
      <c r="R30" s="16"/>
      <c r="S30" s="16"/>
    </row>
    <row r="31" spans="1:33" x14ac:dyDescent="0.25">
      <c r="J31" s="16"/>
      <c r="K31" s="16"/>
      <c r="L31" s="16"/>
      <c r="M31" s="16"/>
      <c r="N31" s="16"/>
      <c r="O31" s="16"/>
      <c r="P31" s="16"/>
      <c r="Q31" s="16"/>
      <c r="R31" s="16"/>
      <c r="S31" s="16"/>
    </row>
    <row r="32" spans="1:33" x14ac:dyDescent="0.25">
      <c r="J32" s="16"/>
      <c r="K32" s="16"/>
      <c r="L32" s="16"/>
      <c r="M32" s="16"/>
      <c r="N32" s="16"/>
      <c r="O32" s="16"/>
      <c r="P32" s="16"/>
      <c r="Q32" s="16"/>
      <c r="R32" s="16"/>
      <c r="S32" s="16"/>
    </row>
  </sheetData>
  <conditionalFormatting sqref="H4:H21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ignoredErrors>
    <ignoredError sqref="K16:U21 T14:U15 K14:S15 K5:S13 U1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7" sqref="E17"/>
    </sheetView>
  </sheetViews>
  <sheetFormatPr baseColWidth="10" defaultColWidth="9.140625" defaultRowHeight="15" x14ac:dyDescent="0.25"/>
  <cols>
    <col min="1" max="1" width="16.28515625" customWidth="1"/>
    <col min="4" max="4" width="16.28515625" customWidth="1"/>
  </cols>
  <sheetData>
    <row r="1" spans="1:5" x14ac:dyDescent="0.25">
      <c r="A1" s="3">
        <v>20365</v>
      </c>
      <c r="B1">
        <v>5</v>
      </c>
      <c r="D1" s="3">
        <v>23067</v>
      </c>
      <c r="E1">
        <v>5</v>
      </c>
    </row>
    <row r="2" spans="1:5" x14ac:dyDescent="0.25">
      <c r="A2" s="4">
        <f>SUM(A1)+1</f>
        <v>20366</v>
      </c>
      <c r="B2">
        <v>3</v>
      </c>
      <c r="D2" s="4">
        <f t="shared" ref="D2:D11" si="0">SUM(D1)+1</f>
        <v>23068</v>
      </c>
      <c r="E2">
        <v>6</v>
      </c>
    </row>
    <row r="3" spans="1:5" x14ac:dyDescent="0.25">
      <c r="A3" s="3">
        <f t="shared" ref="A3:A7" si="1">SUM(A2)+1</f>
        <v>20367</v>
      </c>
      <c r="B3">
        <v>2</v>
      </c>
      <c r="D3" s="3">
        <f t="shared" si="0"/>
        <v>23069</v>
      </c>
      <c r="E3">
        <v>8</v>
      </c>
    </row>
    <row r="4" spans="1:5" x14ac:dyDescent="0.25">
      <c r="A4" s="4">
        <f t="shared" si="1"/>
        <v>20368</v>
      </c>
      <c r="B4">
        <v>6</v>
      </c>
      <c r="D4" s="4">
        <f t="shared" si="0"/>
        <v>23070</v>
      </c>
      <c r="E4">
        <v>9</v>
      </c>
    </row>
    <row r="5" spans="1:5" x14ac:dyDescent="0.25">
      <c r="A5" s="3">
        <f t="shared" si="1"/>
        <v>20369</v>
      </c>
      <c r="B5">
        <v>4</v>
      </c>
      <c r="D5" s="3">
        <f t="shared" si="0"/>
        <v>23071</v>
      </c>
      <c r="E5">
        <v>7</v>
      </c>
    </row>
    <row r="6" spans="1:5" x14ac:dyDescent="0.25">
      <c r="A6" s="4">
        <f t="shared" si="1"/>
        <v>20370</v>
      </c>
      <c r="B6">
        <v>9</v>
      </c>
      <c r="D6" s="4">
        <f t="shared" si="0"/>
        <v>23072</v>
      </c>
      <c r="E6">
        <v>4</v>
      </c>
    </row>
    <row r="7" spans="1:5" x14ac:dyDescent="0.25">
      <c r="A7" s="3">
        <f t="shared" si="1"/>
        <v>20371</v>
      </c>
      <c r="B7">
        <v>4</v>
      </c>
      <c r="D7" s="3">
        <f t="shared" si="0"/>
        <v>23073</v>
      </c>
      <c r="E7">
        <v>1</v>
      </c>
    </row>
    <row r="8" spans="1:5" x14ac:dyDescent="0.25">
      <c r="A8">
        <v>23200</v>
      </c>
      <c r="B8">
        <v>3</v>
      </c>
      <c r="D8" s="4">
        <f t="shared" si="0"/>
        <v>23074</v>
      </c>
      <c r="E8">
        <v>5</v>
      </c>
    </row>
    <row r="9" spans="1:5" x14ac:dyDescent="0.25">
      <c r="A9">
        <v>23201</v>
      </c>
      <c r="B9">
        <v>5</v>
      </c>
      <c r="D9" s="3">
        <f t="shared" si="0"/>
        <v>23075</v>
      </c>
      <c r="E9">
        <v>6</v>
      </c>
    </row>
    <row r="10" spans="1:5" x14ac:dyDescent="0.25">
      <c r="A10">
        <v>23202</v>
      </c>
      <c r="B10">
        <v>0</v>
      </c>
      <c r="D10" s="4">
        <f t="shared" si="0"/>
        <v>23076</v>
      </c>
      <c r="E10">
        <v>4</v>
      </c>
    </row>
    <row r="11" spans="1:5" x14ac:dyDescent="0.25">
      <c r="D11" s="3">
        <f t="shared" si="0"/>
        <v>23077</v>
      </c>
      <c r="E11">
        <v>9</v>
      </c>
    </row>
    <row r="12" spans="1:5" x14ac:dyDescent="0.25">
      <c r="D12">
        <v>23200</v>
      </c>
      <c r="E12">
        <v>7</v>
      </c>
    </row>
    <row r="13" spans="1:5" x14ac:dyDescent="0.25">
      <c r="D13">
        <v>23201</v>
      </c>
      <c r="E13">
        <v>0</v>
      </c>
    </row>
    <row r="14" spans="1:5" x14ac:dyDescent="0.25">
      <c r="D14">
        <v>23202</v>
      </c>
      <c r="E14">
        <v>7</v>
      </c>
    </row>
    <row r="16" spans="1:5" x14ac:dyDescent="0.25">
      <c r="A16">
        <v>23203</v>
      </c>
      <c r="B16">
        <v>350</v>
      </c>
      <c r="D16">
        <v>23203</v>
      </c>
      <c r="E16">
        <v>250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J21" sqref="J21"/>
    </sheetView>
  </sheetViews>
  <sheetFormatPr baseColWidth="10" defaultColWidth="9.140625" defaultRowHeight="15" x14ac:dyDescent="0.25"/>
  <sheetData>
    <row r="1" spans="1:5" x14ac:dyDescent="0.25">
      <c r="A1" s="3">
        <v>20365</v>
      </c>
      <c r="B1">
        <v>8</v>
      </c>
      <c r="D1" s="3">
        <v>23067</v>
      </c>
      <c r="E1">
        <v>2</v>
      </c>
    </row>
    <row r="2" spans="1:5" x14ac:dyDescent="0.25">
      <c r="A2" s="4">
        <f>SUM(A1)+1</f>
        <v>20366</v>
      </c>
      <c r="B2">
        <v>3</v>
      </c>
      <c r="D2" s="4">
        <f t="shared" ref="D2:D11" si="0">SUM(D1)+1</f>
        <v>23068</v>
      </c>
      <c r="E2">
        <v>3</v>
      </c>
    </row>
    <row r="3" spans="1:5" x14ac:dyDescent="0.25">
      <c r="A3" s="3">
        <f t="shared" ref="A3:A7" si="1">SUM(A2)+1</f>
        <v>20367</v>
      </c>
      <c r="B3">
        <v>6</v>
      </c>
      <c r="D3" s="3">
        <f t="shared" si="0"/>
        <v>23069</v>
      </c>
      <c r="E3">
        <v>4</v>
      </c>
    </row>
    <row r="4" spans="1:5" x14ac:dyDescent="0.25">
      <c r="A4" s="4">
        <f t="shared" si="1"/>
        <v>20368</v>
      </c>
      <c r="B4">
        <v>9</v>
      </c>
      <c r="D4" s="4">
        <f t="shared" si="0"/>
        <v>23070</v>
      </c>
      <c r="E4">
        <v>5</v>
      </c>
    </row>
    <row r="5" spans="1:5" x14ac:dyDescent="0.25">
      <c r="A5" s="3">
        <f t="shared" si="1"/>
        <v>20369</v>
      </c>
      <c r="B5">
        <v>8</v>
      </c>
      <c r="D5" s="3">
        <f t="shared" si="0"/>
        <v>23071</v>
      </c>
      <c r="E5">
        <v>6</v>
      </c>
    </row>
    <row r="6" spans="1:5" x14ac:dyDescent="0.25">
      <c r="A6" s="4">
        <f t="shared" si="1"/>
        <v>20370</v>
      </c>
      <c r="B6">
        <v>7</v>
      </c>
      <c r="D6" s="4">
        <f t="shared" si="0"/>
        <v>23072</v>
      </c>
      <c r="E6">
        <v>7</v>
      </c>
    </row>
    <row r="7" spans="1:5" x14ac:dyDescent="0.25">
      <c r="A7" s="3">
        <f t="shared" si="1"/>
        <v>20371</v>
      </c>
      <c r="B7">
        <v>10</v>
      </c>
      <c r="D7" s="3">
        <f t="shared" si="0"/>
        <v>23073</v>
      </c>
      <c r="E7">
        <v>8</v>
      </c>
    </row>
    <row r="8" spans="1:5" x14ac:dyDescent="0.25">
      <c r="A8">
        <v>23200</v>
      </c>
      <c r="B8">
        <v>6</v>
      </c>
      <c r="D8" s="4">
        <f t="shared" si="0"/>
        <v>23074</v>
      </c>
      <c r="E8">
        <v>9</v>
      </c>
    </row>
    <row r="9" spans="1:5" x14ac:dyDescent="0.25">
      <c r="A9">
        <v>23201</v>
      </c>
      <c r="B9">
        <v>7</v>
      </c>
      <c r="D9" s="3">
        <f t="shared" si="0"/>
        <v>23075</v>
      </c>
      <c r="E9">
        <v>10</v>
      </c>
    </row>
    <row r="10" spans="1:5" x14ac:dyDescent="0.25">
      <c r="A10">
        <v>23202</v>
      </c>
      <c r="B10">
        <v>8</v>
      </c>
      <c r="D10" s="4">
        <f t="shared" si="0"/>
        <v>23076</v>
      </c>
      <c r="E10">
        <v>10</v>
      </c>
    </row>
    <row r="11" spans="1:5" x14ac:dyDescent="0.25">
      <c r="D11" s="3">
        <f t="shared" si="0"/>
        <v>23077</v>
      </c>
      <c r="E11">
        <v>1</v>
      </c>
    </row>
    <row r="12" spans="1:5" x14ac:dyDescent="0.25">
      <c r="D12">
        <v>23200</v>
      </c>
      <c r="E12">
        <v>8</v>
      </c>
    </row>
    <row r="13" spans="1:5" x14ac:dyDescent="0.25">
      <c r="D13">
        <v>23201</v>
      </c>
      <c r="E13">
        <v>6</v>
      </c>
    </row>
    <row r="14" spans="1:5" x14ac:dyDescent="0.25">
      <c r="D14">
        <v>23202</v>
      </c>
      <c r="E14">
        <v>5</v>
      </c>
    </row>
    <row r="16" spans="1:5" x14ac:dyDescent="0.25">
      <c r="A16">
        <v>23203</v>
      </c>
      <c r="B16">
        <v>10</v>
      </c>
      <c r="D16">
        <v>23203</v>
      </c>
      <c r="E16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3" max="3" width="13.28515625" customWidth="1"/>
    <col min="8" max="8" width="9.5703125" bestFit="1" customWidth="1"/>
    <col min="19" max="19" width="9.85546875" customWidth="1"/>
  </cols>
  <sheetData>
    <row r="1" spans="2:19" x14ac:dyDescent="0.25">
      <c r="D1" s="14"/>
    </row>
    <row r="2" spans="2:19" x14ac:dyDescent="0.25">
      <c r="C2" s="31">
        <f ca="1">TODAY()</f>
        <v>43064</v>
      </c>
      <c r="D2" s="14"/>
    </row>
    <row r="3" spans="2:19" x14ac:dyDescent="0.25">
      <c r="C3" s="32">
        <f ca="1">WEEKDAY(C2)</f>
        <v>7</v>
      </c>
      <c r="D3" s="14"/>
    </row>
    <row r="4" spans="2:19" x14ac:dyDescent="0.25">
      <c r="D4" s="15"/>
    </row>
    <row r="5" spans="2:19" x14ac:dyDescent="0.25">
      <c r="D5" s="15"/>
    </row>
    <row r="6" spans="2:19" ht="31.5" customHeight="1" x14ac:dyDescent="0.5">
      <c r="B6" s="41" t="s">
        <v>50</v>
      </c>
      <c r="C6" s="41"/>
      <c r="D6" s="41"/>
    </row>
    <row r="7" spans="2:19" ht="31.5" customHeight="1" x14ac:dyDescent="0.25">
      <c r="B7" s="42" t="s">
        <v>49</v>
      </c>
      <c r="C7" s="42"/>
      <c r="D7" s="42"/>
    </row>
    <row r="8" spans="2:19" ht="31.5" customHeight="1" x14ac:dyDescent="0.25">
      <c r="B8" s="29">
        <f ca="1">TODAY()</f>
        <v>43064</v>
      </c>
      <c r="C8" s="44"/>
      <c r="D8" s="44"/>
      <c r="F8" s="30"/>
      <c r="G8" s="25"/>
      <c r="H8" s="25"/>
      <c r="I8" s="25"/>
      <c r="J8" s="25"/>
      <c r="K8" s="25"/>
      <c r="L8" s="25"/>
      <c r="M8" s="25"/>
      <c r="N8" s="25"/>
    </row>
    <row r="9" spans="2:19" x14ac:dyDescent="0.25">
      <c r="S9" s="37" t="s">
        <v>46</v>
      </c>
    </row>
    <row r="10" spans="2:19" x14ac:dyDescent="0.25">
      <c r="B10" s="13"/>
      <c r="C10" s="21" t="e">
        <f>IF("lundi",COUNT(BORD!J3:J21))</f>
        <v>#VALUE!</v>
      </c>
      <c r="D10" s="13"/>
      <c r="S10" s="38" t="s">
        <v>48</v>
      </c>
    </row>
    <row r="11" spans="2:19" x14ac:dyDescent="0.25">
      <c r="B11" s="13"/>
      <c r="C11" s="22" t="str">
        <f ca="1">IF($C$3=1,"Dimanche",IF($C$3=2,"Lundi",IF($C$3=3,"Mardi",IF($C$3=4,"Mercredi",IF($C$3=5,"Jeudi",IF($C$3=6,"Vendredi",IF($C$3=7,"Samedi",NAQ)))))))</f>
        <v>Samedi</v>
      </c>
      <c r="D11" s="13"/>
      <c r="S11" s="38" t="s">
        <v>47</v>
      </c>
    </row>
    <row r="12" spans="2:19" x14ac:dyDescent="0.25">
      <c r="B12" s="13"/>
      <c r="C12" s="23" t="e">
        <f ca="1">IF(B8=lundi,COUNT(BORD!J3:J21),IF(B8=Mardi,COUNT(BORD!L4:L21),IF(B8=mercredi,COUNT(BORD!N3:N21),IF(B8=jeudi,COUNT(BORD!P3:P21),IF(B8=vendredi,COUNT(BORD!R3:R21),IF(B8=samedi,COUNT(BORD!T3:T21)))))))</f>
        <v>#NAME?</v>
      </c>
      <c r="D12" s="13"/>
      <c r="S12" s="38" t="s">
        <v>45</v>
      </c>
    </row>
    <row r="13" spans="2:19" x14ac:dyDescent="0.25">
      <c r="B13" s="13"/>
      <c r="C13" s="23" t="s">
        <v>53</v>
      </c>
      <c r="D13" s="13"/>
      <c r="S13" s="38" t="s">
        <v>44</v>
      </c>
    </row>
    <row r="14" spans="2:19" ht="31.5" x14ac:dyDescent="0.25">
      <c r="B14" s="12"/>
      <c r="C14" s="20">
        <f ca="1">IF($C$3=1,"200",OFFSET(BORD!$J$22,,(C3-2)*2))</f>
        <v>3</v>
      </c>
      <c r="D14" s="25"/>
      <c r="E14" s="12"/>
      <c r="F14" s="25"/>
      <c r="G14" s="25"/>
      <c r="H14" s="25"/>
      <c r="I14" s="25"/>
      <c r="J14" s="25"/>
      <c r="K14" s="25"/>
      <c r="L14" s="25"/>
      <c r="M14" s="25"/>
      <c r="N14" s="25"/>
      <c r="S14" s="38" t="s">
        <v>43</v>
      </c>
    </row>
    <row r="15" spans="2:19" x14ac:dyDescent="0.25">
      <c r="C15" s="24" t="e">
        <f ca="1">IF(C11=lundi,BORD!J22),IF(C11=Mardi,BORD!L22),IF(C11=mercredi,BORD!N22),IF(C11=jeudi,BORD!P22),IF(C11=vendredi,BORD!R22),IF(C11=samedi,BORD!T22)</f>
        <v>#NAME?</v>
      </c>
      <c r="S15" s="39" t="s">
        <v>77</v>
      </c>
    </row>
    <row r="17" spans="2:15" ht="15" customHeight="1" x14ac:dyDescent="0.25">
      <c r="F17" s="43"/>
      <c r="G17" s="43"/>
      <c r="H17" s="43"/>
      <c r="I17" s="43"/>
      <c r="J17" s="43"/>
      <c r="K17" s="43"/>
      <c r="L17" s="43"/>
      <c r="M17" s="12"/>
    </row>
    <row r="18" spans="2:15" x14ac:dyDescent="0.25">
      <c r="F18" s="12"/>
      <c r="G18" s="12"/>
      <c r="H18" s="12"/>
      <c r="I18" s="12"/>
      <c r="J18" s="12"/>
      <c r="K18" s="12"/>
      <c r="L18" s="12"/>
      <c r="M18" s="12"/>
    </row>
    <row r="19" spans="2:15" x14ac:dyDescent="0.25">
      <c r="B19" t="s">
        <v>76</v>
      </c>
      <c r="C19" s="12" t="s">
        <v>45</v>
      </c>
      <c r="D19" s="12"/>
      <c r="E19" s="12"/>
      <c r="F19" s="12"/>
      <c r="G19" s="12" t="s">
        <v>76</v>
      </c>
      <c r="H19" s="34" t="s">
        <v>44</v>
      </c>
      <c r="I19" s="12"/>
      <c r="J19" s="12"/>
      <c r="K19" s="12"/>
      <c r="L19" t="s">
        <v>76</v>
      </c>
      <c r="M19" s="12" t="s">
        <v>43</v>
      </c>
      <c r="N19" s="12"/>
      <c r="O19" s="12"/>
    </row>
    <row r="20" spans="2:15" x14ac:dyDescent="0.25">
      <c r="B20" s="35" t="s">
        <v>80</v>
      </c>
      <c r="C20" s="26">
        <f t="array" ref="C20">IFERROR(INDEX(BORD!$A$4:$U$21,MATCH($C$19&amp;COUNTA($C$19:$C19),BORD!$I$4:$I$21&amp;BORD!Q$4:Q$21,0),1),"")</f>
        <v>20365</v>
      </c>
      <c r="D20" s="26" t="str">
        <f t="array" ref="D20">IFERROR(INDEX(BORD!$A$4:$U$21,MATCH($C$19&amp;COUNTA($C$19:$C19),BORD!$I$4:$I$21&amp;BORD!$Q$4:$Q$21,0),8),"")</f>
        <v>F1</v>
      </c>
      <c r="E20" s="26" t="str">
        <f t="array" ref="E20">IFERROR(INDEX(BORD!$A$4:$U$21,MATCH($C$19&amp;COUNTA($C$19:$C19),BORD!$I$4:$I$21&amp;BORD!$Q$4:$Q$21,0),2),"")</f>
        <v>aa</v>
      </c>
      <c r="F20" s="12"/>
      <c r="G20" s="36" t="s">
        <v>78</v>
      </c>
      <c r="H20" s="33">
        <f t="array" aca="1" ref="H20" ca="1">IFERROR(INDEX(BORD!$A$4:$U$21,MATCH($H$19&amp;COUNTA($H$19:$H19),BORD!$I$4:$I$21&amp;OFFSET(BORD!$J$4,0,(MATCH($H$19,TabSem,0)*2)-1,18,1),0),1),"")</f>
        <v>23068</v>
      </c>
      <c r="I20" s="33" t="str">
        <f t="array" aca="1" ref="I20" ca="1">IFERROR(INDEX(BORD!$A$4:$U$21,MATCH($H$19&amp;COUNTA($H$19:$H19),BORD!$I$4:$I$21&amp;OFFSET(BORD!$J$4,0,(MATCH($H$19,TabSem,0)*2)-1,18,1),0),8),"")</f>
        <v>F3</v>
      </c>
      <c r="J20" s="33" t="str">
        <f t="array" aca="1" ref="J20" ca="1">IFERROR(INDEX(BORD!$A$4:$U$21,MATCH($H$19&amp;COUNTA($H$19:$H19),BORD!$I$4:$I$21&amp;OFFSET(BORD!$J$4,0,(MATCH($H$19,TabSem,0)*2)-1,18,1),0),2),"")</f>
        <v>cc</v>
      </c>
      <c r="K20" s="12"/>
      <c r="L20" s="35" t="s">
        <v>80</v>
      </c>
      <c r="M20" s="26">
        <f t="array" ref="M20">IFERROR(INDEX(BORD!$A$4:$U$21,MATCH($M$19&amp;COUNTA($M$19:$M19),BORD!$I$4:$I$21&amp;BORD!U$4:U$21,0),1),"")</f>
        <v>23067</v>
      </c>
      <c r="N20" s="26" t="str">
        <f t="array" ref="N20">IFERROR(INDEX(BORD!$A$4:$U$21,MATCH($M$19&amp;COUNTA($M$19:$M19),BORD!$I$4:$I$21&amp;BORD!$U$4:$U$21,0),8),"")</f>
        <v>F2</v>
      </c>
      <c r="O20" s="26" t="str">
        <f t="array" ref="O20">IFERROR(INDEX(BORD!$A$4:$U$21,MATCH($M$19&amp;COUNTA($M$19:$M19),BORD!$I$4:$I$21&amp;BORD!$U$4:$U$21,0),2),"")</f>
        <v>bb</v>
      </c>
    </row>
    <row r="21" spans="2:15" x14ac:dyDescent="0.25">
      <c r="C21" s="26">
        <f t="array" ref="C21">IFERROR(INDEX(BORD!$A$4:$U$21,MATCH($C$19&amp;COUNTA($C$19:$C20),BORD!$I$4:$I$21&amp;BORD!Q$4:Q$21,0),1),"")</f>
        <v>23071</v>
      </c>
      <c r="D21" s="26" t="str">
        <f t="array" ref="D21">IFERROR(INDEX(BORD!$A$4:$U$21,MATCH($C$19&amp;COUNTA($C$19:$C20),BORD!$I$4:$I$21&amp;BORD!$Q$4:$Q$21,0),8),"")</f>
        <v>P3</v>
      </c>
      <c r="E21" s="26" t="str">
        <f t="array" ref="E21">IFERROR(INDEX(BORD!$A$4:$U$21,MATCH($C$19&amp;COUNTA($C$19:$C20),BORD!$I$4:$I$21&amp;BORD!$Q$4:$Q$21,0),2),"")</f>
        <v>ff</v>
      </c>
      <c r="F21" s="12"/>
      <c r="G21" s="12"/>
      <c r="H21" s="33">
        <f t="array" aca="1" ref="H21" ca="1">IFERROR(INDEX(BORD!$A$4:$U$21,MATCH($H$19&amp;COUNTA($H$19:$H20),BORD!$I$4:$I$21&amp;OFFSET(BORD!$J$4,0,(MATCH($H$19,TabSem,0)*2)-1,18,1),0),1),"")</f>
        <v>23069</v>
      </c>
      <c r="I21" s="33" t="str">
        <f t="array" aca="1" ref="I21" ca="1">IFERROR(INDEX(BORD!$A$4:$U$21,MATCH($H$19&amp;COUNTA($H$19:$H20),BORD!$I$4:$I$21&amp;OFFSET(BORD!$J$4,0,(MATCH($H$19,TabSem,0)*2)-1,18,1),0),8),"")</f>
        <v>P1</v>
      </c>
      <c r="J21" s="33" t="str">
        <f t="array" aca="1" ref="J21" ca="1">IFERROR(INDEX(BORD!$A$4:$U$21,MATCH($H$19&amp;COUNTA($H$19:$H20),BORD!$I$4:$I$21&amp;OFFSET(BORD!$J$4,0,(MATCH($H$19,TabSem,0)*2)-1,18,1),0),2),"")</f>
        <v>dd</v>
      </c>
      <c r="K21" s="12"/>
      <c r="M21" s="26">
        <f t="array" ref="M21">IFERROR(INDEX(BORD!$A$4:$U$21,MATCH($M$19&amp;COUNTA($M$19:$M20),BORD!$I$4:$I$21&amp;BORD!U$4:U$21,0),1),"")</f>
        <v>23074</v>
      </c>
      <c r="N21" s="26" t="str">
        <f t="array" ref="N21">IFERROR(INDEX(BORD!$A$4:$U$21,MATCH($M$19&amp;COUNTA($M$19:$M20),BORD!$I$4:$I$21&amp;BORD!$U$4:$U$21,0),8),"")</f>
        <v>F4</v>
      </c>
      <c r="O21" s="26" t="str">
        <f t="array" ref="O21">IFERROR(INDEX(BORD!$A$4:$U$21,MATCH($M$19&amp;COUNTA($M$19:$M20),BORD!$I$4:$I$21&amp;BORD!$U$4:$U$21,0),2),"")</f>
        <v>ii</v>
      </c>
    </row>
    <row r="22" spans="2:15" x14ac:dyDescent="0.25">
      <c r="C22" s="26">
        <f t="array" ref="C22">IFERROR(INDEX(BORD!$A$4:$U$21,MATCH($C$19&amp;COUNTA($C$19:$C21),BORD!$I$4:$I$21&amp;BORD!Q$4:Q$21,0),1),"")</f>
        <v>23076</v>
      </c>
      <c r="D22" s="26" t="str">
        <f t="array" ref="D22">IFERROR(INDEX(BORD!$A$4:$U$21,MATCH($C$19&amp;COUNTA($C$19:$C21),BORD!$I$4:$I$21&amp;BORD!$Q$4:$Q$21,0),8),"")</f>
        <v>P6</v>
      </c>
      <c r="E22" s="26" t="str">
        <f t="array" ref="E22">IFERROR(INDEX(BORD!$A$4:$U$21,MATCH($C$19&amp;COUNTA($C$19:$C21),BORD!$I$4:$I$21&amp;BORD!$Q$4:$Q$21,0),2),"")</f>
        <v>kk</v>
      </c>
      <c r="F22" s="12"/>
      <c r="G22" s="12"/>
      <c r="H22" s="33" t="str">
        <f t="array" aca="1" ref="H22" ca="1">IFERROR(INDEX(BORD!$A$4:$U$21,MATCH($H$19&amp;COUNTA($H$19:$H21),BORD!$I$4:$I$21&amp;OFFSET(BORD!$J$4,0,(MATCH($H$19,TabSem,0)*2)-1,18,1),0),1),"")</f>
        <v/>
      </c>
      <c r="I22" s="33" t="str">
        <f t="array" aca="1" ref="I22" ca="1">IFERROR(INDEX(BORD!$A$4:$U$21,MATCH($H$19&amp;COUNTA($H$19:$H21),BORD!$I$4:$I$21&amp;OFFSET(BORD!$J$4,0,(MATCH($H$19,TabSem,0)*2)-1,18,1),0),8),"")</f>
        <v/>
      </c>
      <c r="J22" s="33" t="str">
        <f t="array" aca="1" ref="J22" ca="1">IFERROR(INDEX(BORD!$A$4:$U$21,MATCH($H$19&amp;COUNTA($H$19:$H21),BORD!$I$4:$I$21&amp;OFFSET(BORD!$J$4,0,(MATCH($H$19,TabSem,0)*2)-1,18,1),0),2),"")</f>
        <v/>
      </c>
      <c r="K22" s="12"/>
      <c r="M22" s="26">
        <f t="array" ref="M22">IFERROR(INDEX(BORD!$A$4:$U$21,MATCH($M$19&amp;COUNTA($M$19:$M21),BORD!$I$4:$I$21&amp;BORD!U$4:U$21,0),1),"")</f>
        <v>23077</v>
      </c>
      <c r="N22" s="26" t="str">
        <f t="array" ref="N22">IFERROR(INDEX(BORD!$A$4:$U$21,MATCH($M$19&amp;COUNTA($M$19:$M21),BORD!$I$4:$I$21&amp;BORD!$U$4:$U$21,0),8),"")</f>
        <v>P7</v>
      </c>
      <c r="O22" s="26" t="str">
        <f t="array" ref="O22">IFERROR(INDEX(BORD!$A$4:$U$21,MATCH($M$19&amp;COUNTA($M$19:$M21),BORD!$I$4:$I$21&amp;BORD!$U$4:$U$21,0),2),"")</f>
        <v>ll</v>
      </c>
    </row>
    <row r="23" spans="2:15" x14ac:dyDescent="0.25">
      <c r="C23" s="26">
        <f t="array" ref="C23">IFERROR(INDEX(BORD!$A$4:$U$21,MATCH($C$19&amp;COUNTA($C$19:$C22),BORD!$I$4:$I$21&amp;BORD!Q$4:Q$21,0),1),"")</f>
        <v>23079</v>
      </c>
      <c r="D23" s="26" t="str">
        <f t="array" ref="D23">IFERROR(INDEX(BORD!$A$4:$U$21,MATCH($C$19&amp;COUNTA($C$19:$C22),BORD!$I$4:$I$21&amp;BORD!$Q$4:$Q$21,0),8),"")</f>
        <v>P9</v>
      </c>
      <c r="E23" s="26" t="str">
        <f t="array" ref="E23">IFERROR(INDEX(BORD!$A$4:$U$21,MATCH($C$19&amp;COUNTA($C$19:$C22),BORD!$I$4:$I$21&amp;BORD!$Q$4:$Q$21,0),2),"")</f>
        <v>nn</v>
      </c>
      <c r="F23" s="12"/>
      <c r="G23" s="12"/>
      <c r="H23" s="33" t="str">
        <f t="array" aca="1" ref="H23" ca="1">IFERROR(INDEX(BORD!$A$4:$U$21,MATCH($H$19&amp;COUNTA($H$19:$H22),BORD!$I$4:$I$21&amp;OFFSET(BORD!$J$4,0,(MATCH($H$19,TabSem,0)*2)-1,18,1),0),1),"")</f>
        <v/>
      </c>
      <c r="I23" s="33" t="str">
        <f t="array" aca="1" ref="I23" ca="1">IFERROR(INDEX(BORD!$A$4:$U$21,MATCH($H$19&amp;COUNTA($H$19:$H22),BORD!$I$4:$I$21&amp;OFFSET(BORD!$J$4,0,(MATCH($H$19,TabSem,0)*2)-1,18,1),0),8),"")</f>
        <v/>
      </c>
      <c r="J23" s="33" t="str">
        <f t="array" aca="1" ref="J23" ca="1">IFERROR(INDEX(BORD!$A$4:$U$21,MATCH($H$19&amp;COUNTA($H$19:$H22),BORD!$I$4:$I$21&amp;OFFSET(BORD!$J$4,0,(MATCH($H$19,TabSem,0)*2)-1,18,1),0),2),"")</f>
        <v/>
      </c>
      <c r="K23" s="12"/>
      <c r="M23" s="26" t="str">
        <f t="array" ref="M23">IFERROR(INDEX(BORD!$A$4:$U$21,MATCH($M$19&amp;COUNTA($M$19:$M22),BORD!$I$4:$I$21&amp;BORD!U$4:U$21,0),1),"")</f>
        <v/>
      </c>
      <c r="N23" s="26" t="str">
        <f t="array" ref="N23">IFERROR(INDEX(BORD!$A$4:$U$21,MATCH($M$19&amp;COUNTA($M$19:$M22),BORD!$I$4:$I$21&amp;BORD!$U$4:$U$21,0),8),"")</f>
        <v/>
      </c>
      <c r="O23" s="26" t="str">
        <f t="array" ref="O23">IFERROR(INDEX(BORD!$A$4:$U$21,MATCH($M$19&amp;COUNTA($M$19:$M22),BORD!$I$4:$I$21&amp;BORD!$U$4:$U$21,0),2),"")</f>
        <v/>
      </c>
    </row>
    <row r="24" spans="2:15" x14ac:dyDescent="0.25">
      <c r="C24" s="26">
        <f t="array" ref="C24">IFERROR(INDEX(BORD!$A$4:$U$21,MATCH($C$19&amp;COUNTA($C$19:$C23),BORD!$I$4:$I$21&amp;BORD!Q$4:Q$21,0),1),"")</f>
        <v>23082</v>
      </c>
      <c r="D24" s="26" t="str">
        <f t="array" ref="D24">IFERROR(INDEX(BORD!$A$4:$U$21,MATCH($C$19&amp;COUNTA($C$19:$C23),BORD!$I$4:$I$21&amp;BORD!$Q$4:$Q$21,0),8),"")</f>
        <v>F7</v>
      </c>
      <c r="E24" s="26" t="str">
        <f t="array" ref="E24">IFERROR(INDEX(BORD!$A$4:$U$21,MATCH($C$19&amp;COUNTA($C$19:$C23),BORD!$I$4:$I$21&amp;BORD!$Q$4:$Q$21,0),2),"")</f>
        <v>xx</v>
      </c>
      <c r="F24" s="12"/>
      <c r="G24" s="12"/>
      <c r="H24" s="33" t="str">
        <f t="array" aca="1" ref="H24" ca="1">IFERROR(INDEX(BORD!$A$4:$U$21,MATCH($H$19&amp;COUNTA($H$19:$H23),BORD!$I$4:$I$21&amp;OFFSET(BORD!$J$4,0,(MATCH($H$19,TabSem,0)*2)-1,18,1),0),1),"")</f>
        <v/>
      </c>
      <c r="I24" s="33" t="str">
        <f t="array" aca="1" ref="I24" ca="1">IFERROR(INDEX(BORD!$A$4:$U$21,MATCH($H$19&amp;COUNTA($H$19:$H23),BORD!$I$4:$I$21&amp;OFFSET(BORD!$J$4,0,(MATCH($H$19,TabSem,0)*2)-1,18,1),0),8),"")</f>
        <v/>
      </c>
      <c r="J24" s="33" t="str">
        <f t="array" aca="1" ref="J24" ca="1">IFERROR(INDEX(BORD!$A$4:$U$21,MATCH($H$19&amp;COUNTA($H$19:$H23),BORD!$I$4:$I$21&amp;OFFSET(BORD!$J$4,0,(MATCH($H$19,TabSem,0)*2)-1,18,1),0),2),"")</f>
        <v/>
      </c>
      <c r="M24" s="26" t="str">
        <f t="array" ref="M24">IFERROR(INDEX(BORD!$A$4:$U$21,MATCH($M$19&amp;COUNTA($M$19:$M23),BORD!$I$4:$I$21&amp;BORD!U$4:U$21,0),1),"")</f>
        <v/>
      </c>
      <c r="N24" s="26" t="str">
        <f t="array" ref="N24">IFERROR(INDEX(BORD!$A$4:$U$21,MATCH($M$19&amp;COUNTA($M$19:$M23),BORD!$I$4:$I$21&amp;BORD!$U$4:$U$21,0),8),"")</f>
        <v/>
      </c>
      <c r="O24" s="26" t="str">
        <f t="array" ref="O24">IFERROR(INDEX(BORD!$A$4:$U$21,MATCH($M$19&amp;COUNTA($M$19:$M23),BORD!$I$4:$I$21&amp;BORD!$U$4:$U$21,0),2),"")</f>
        <v/>
      </c>
    </row>
    <row r="25" spans="2:15" x14ac:dyDescent="0.25">
      <c r="C25" s="26" t="str">
        <f t="array" ref="C25">IFERROR(INDEX(BORD!$A$4:$U$21,MATCH($C$19&amp;COUNTA($C$19:$C24),BORD!$I$4:$I$21&amp;BORD!Q$4:Q$21,0),1),"")</f>
        <v/>
      </c>
      <c r="D25" s="26" t="str">
        <f t="array" ref="D25">IFERROR(INDEX(BORD!$A$4:$U$21,MATCH($C$19&amp;COUNTA($C$19:$C24),BORD!$I$4:$I$21&amp;BORD!$Q$4:$Q$21,0),8),"")</f>
        <v/>
      </c>
      <c r="E25" s="26" t="str">
        <f t="array" ref="E25">IFERROR(INDEX(BORD!$A$4:$U$21,MATCH($C$19&amp;COUNTA($C$19:$C24),BORD!$I$4:$I$21&amp;BORD!$Q$4:$Q$21,0),2),"")</f>
        <v/>
      </c>
      <c r="F25" s="12"/>
      <c r="G25" s="12"/>
      <c r="H25" s="33" t="str">
        <f t="array" aca="1" ref="H25" ca="1">IFERROR(INDEX(BORD!$A$4:$U$21,MATCH($H$19&amp;COUNTA($H$19:$H24),BORD!$I$4:$I$21&amp;OFFSET(BORD!$J$4,0,(MATCH($H$19,TabSem,0)*2)-1,18,1),0),1),"")</f>
        <v/>
      </c>
      <c r="I25" s="33" t="str">
        <f t="array" aca="1" ref="I25" ca="1">IFERROR(INDEX(BORD!$A$4:$U$21,MATCH($H$19&amp;COUNTA($H$19:$H24),BORD!$I$4:$I$21&amp;OFFSET(BORD!$J$4,0,(MATCH($H$19,TabSem,0)*2)-1,18,1),0),8),"")</f>
        <v/>
      </c>
      <c r="J25" s="33" t="str">
        <f t="array" aca="1" ref="J25" ca="1">IFERROR(INDEX(BORD!$A$4:$U$21,MATCH($H$19&amp;COUNTA($H$19:$H24),BORD!$I$4:$I$21&amp;OFFSET(BORD!$J$4,0,(MATCH($H$19,TabSem,0)*2)-1,18,1),0),2),"")</f>
        <v/>
      </c>
      <c r="M25" s="26" t="str">
        <f t="array" ref="M25">IFERROR(INDEX(BORD!$A$4:$U$21,MATCH($M$19&amp;COUNTA($M$19:$M24),BORD!$I$4:$I$21&amp;BORD!U$4:U$21,0),1),"")</f>
        <v/>
      </c>
      <c r="N25" s="26" t="str">
        <f t="array" ref="N25">IFERROR(INDEX(BORD!$A$4:$U$21,MATCH($M$19&amp;COUNTA($M$19:$M24),BORD!$I$4:$I$21&amp;BORD!$U$4:$U$21,0),8),"")</f>
        <v/>
      </c>
      <c r="O25" s="26" t="str">
        <f t="array" ref="O25">IFERROR(INDEX(BORD!$A$4:$U$21,MATCH($M$19&amp;COUNTA($M$19:$M24),BORD!$I$4:$I$21&amp;BORD!$U$4:$U$21,0),2),"")</f>
        <v/>
      </c>
    </row>
    <row r="26" spans="2:15" x14ac:dyDescent="0.25">
      <c r="F26" s="12"/>
      <c r="G26" s="12"/>
      <c r="H26" s="12"/>
      <c r="I26" s="12"/>
      <c r="J26" s="12"/>
      <c r="K26" s="12"/>
      <c r="L26" s="12"/>
      <c r="M26" s="12"/>
    </row>
    <row r="27" spans="2:15" x14ac:dyDescent="0.25">
      <c r="F27" s="12"/>
      <c r="G27" s="12"/>
      <c r="H27" s="12"/>
      <c r="I27" s="12"/>
      <c r="J27" s="12"/>
      <c r="K27" s="12"/>
      <c r="L27" s="12"/>
      <c r="M27" s="12"/>
    </row>
    <row r="28" spans="2:15" x14ac:dyDescent="0.25">
      <c r="F28" s="12"/>
      <c r="G28" s="12"/>
      <c r="H28" s="12"/>
      <c r="I28" s="12"/>
      <c r="J28" s="12"/>
      <c r="K28" s="12"/>
      <c r="L28" s="12"/>
      <c r="M28" s="12"/>
    </row>
  </sheetData>
  <mergeCells count="3">
    <mergeCell ref="B6:D6"/>
    <mergeCell ref="B7:D7"/>
    <mergeCell ref="F17:L17"/>
  </mergeCells>
  <dataValidations count="1">
    <dataValidation type="list" allowBlank="1" showErrorMessage="1" errorTitle="JOURNEE" error="Veuillez choisir d'après la liste." sqref="H19">
      <formula1>TabSem</formula1>
    </dataValidation>
  </dataValidations>
  <pageMargins left="0.7" right="0.7" top="0.75" bottom="0.75" header="0.3" footer="0.3"/>
  <pageSetup paperSize="9" orientation="portrait" horizontalDpi="1200" verticalDpi="1200" r:id="rId1"/>
  <ignoredErrors>
    <ignoredError sqref="C10:C13 C15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CALCULETE</vt:lpstr>
      <vt:lpstr>BORD</vt:lpstr>
      <vt:lpstr>STATS44</vt:lpstr>
      <vt:lpstr>satisf44</vt:lpstr>
      <vt:lpstr>postes libres</vt:lpstr>
      <vt:lpstr>TabSem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T</cp:lastModifiedBy>
  <dcterms:created xsi:type="dcterms:W3CDTF">2017-11-13T18:47:52Z</dcterms:created>
  <dcterms:modified xsi:type="dcterms:W3CDTF">2017-11-25T02:15:33Z</dcterms:modified>
</cp:coreProperties>
</file>