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1520" yWindow="-12" windowWidth="11556" windowHeight="8952"/>
  </bookViews>
  <sheets>
    <sheet name="LA QUESTION" sheetId="12" r:id="rId1"/>
    <sheet name="parametres" sheetId="4" r:id="rId2"/>
    <sheet name="facturation" sheetId="11" r:id="rId3"/>
  </sheets>
  <externalReferences>
    <externalReference r:id="rId4"/>
  </externalReferences>
  <definedNames>
    <definedName name="_xlnm._FilterDatabase" localSheetId="2" hidden="1">facturation!$A$6:$AB$66</definedName>
    <definedName name="_xlnm._FilterDatabase" localSheetId="1" hidden="1">parametres!$A$4:$E$4</definedName>
    <definedName name="année_en_cours">parametres!#REF!</definedName>
    <definedName name="dernier_tarif">facturation!$AF$2</definedName>
    <definedName name="fin_données">parametres!$D$21</definedName>
    <definedName name="frn">[1]parametres!$E$24:$F$24</definedName>
    <definedName name="heures">parametres!$D$25:$G$25</definedName>
    <definedName name="index_max">parametres!$D$23</definedName>
    <definedName name="index_min">parametres!$D$22</definedName>
    <definedName name="liste_mois">parametres!$E$5:$P$5</definedName>
    <definedName name="matrice_abt">parametres!$E$14:$S$14</definedName>
    <definedName name="matrice_année">parametres!$E$8:'parametres'!$S$8</definedName>
    <definedName name="matrice_année_appliquée">parametres!$E$9:'parametres'!$S$9</definedName>
    <definedName name="matrice_conso">parametres!$E$15:$S$15</definedName>
    <definedName name="matrice_énergie">parametres!$E$13:$S$13</definedName>
    <definedName name="matrice_enr_mois">#REF!</definedName>
    <definedName name="matrice_mois">facturation!$F$7:$F$64</definedName>
    <definedName name="matrice_montant_calc">parametres!$E$12:$S$12</definedName>
    <definedName name="matrice_montant_fact">parametres!$E$11:'parametres'!$S$11</definedName>
    <definedName name="matrice_nb_de_jours">parametres!$E$10:$S$10</definedName>
    <definedName name="matrice_taxe">parametres!$E$16:$S$16</definedName>
    <definedName name="matrice_totale">parametres!$E$9:$S$16</definedName>
    <definedName name="MOIS">parametres!$E$5:$P$6</definedName>
    <definedName name="mois_30">parametres!#REF!</definedName>
    <definedName name="mois_31">parametres!#REF!</definedName>
    <definedName name="nb_j_an">parametres!$D$17</definedName>
    <definedName name="nb_mois_an">parametres!$D$18</definedName>
    <definedName name="no_mois">parametres!$E$6:$P$6</definedName>
    <definedName name="objet_facturé">parametres!$D$26:$J$26</definedName>
    <definedName name="stat_mois">#REF!</definedName>
    <definedName name="STOP">parametres!$D$19</definedName>
  </definedNames>
  <calcPr calcId="124519"/>
</workbook>
</file>

<file path=xl/calcChain.xml><?xml version="1.0" encoding="utf-8"?>
<calcChain xmlns="http://schemas.openxmlformats.org/spreadsheetml/2006/main">
  <c r="Z60" i="11"/>
  <c r="Z41"/>
  <c r="Z29"/>
  <c r="Z19"/>
  <c r="E16" i="4"/>
  <c r="AA61" i="11" l="1"/>
  <c r="AA60"/>
  <c r="AA55"/>
  <c r="AA54"/>
  <c r="AA53"/>
  <c r="AA52"/>
  <c r="AA51"/>
  <c r="AA50"/>
  <c r="AA49"/>
  <c r="AA48"/>
  <c r="AA47"/>
  <c r="AA46"/>
  <c r="AA45"/>
  <c r="AA44"/>
  <c r="AA34"/>
  <c r="AA35"/>
  <c r="AA36"/>
  <c r="AA37"/>
  <c r="AA38"/>
  <c r="AA39"/>
  <c r="AA41"/>
  <c r="AA42"/>
  <c r="AA33"/>
  <c r="AA32"/>
  <c r="AA22"/>
  <c r="AA23"/>
  <c r="AA24"/>
  <c r="AA25"/>
  <c r="AA26"/>
  <c r="AA27"/>
  <c r="AA29"/>
  <c r="AA30"/>
  <c r="AA21"/>
  <c r="AA20"/>
  <c r="AA18"/>
  <c r="AA9"/>
  <c r="AA10"/>
  <c r="AA11"/>
  <c r="AA12"/>
  <c r="AA13"/>
  <c r="AA8"/>
  <c r="AD63"/>
  <c r="AD59"/>
  <c r="E59"/>
  <c r="AD58"/>
  <c r="AD57"/>
  <c r="E57"/>
  <c r="N55"/>
  <c r="P55" s="1"/>
  <c r="Q55" s="1"/>
  <c r="I55"/>
  <c r="H55"/>
  <c r="F55"/>
  <c r="E55"/>
  <c r="T55" l="1"/>
  <c r="N54"/>
  <c r="P54" s="1"/>
  <c r="Q54" s="1"/>
  <c r="N53"/>
  <c r="P53" s="1"/>
  <c r="I53"/>
  <c r="H53"/>
  <c r="F53"/>
  <c r="E53"/>
  <c r="T54" l="1"/>
  <c r="V55"/>
  <c r="X55" s="1"/>
  <c r="Z55"/>
  <c r="Q53"/>
  <c r="T53"/>
  <c r="N52"/>
  <c r="P52" s="1"/>
  <c r="J52"/>
  <c r="J54" s="1"/>
  <c r="N47"/>
  <c r="N46"/>
  <c r="N45"/>
  <c r="N44"/>
  <c r="AD62"/>
  <c r="AD61"/>
  <c r="AB61"/>
  <c r="T61"/>
  <c r="V61" s="1"/>
  <c r="X61" s="1"/>
  <c r="I61"/>
  <c r="I62" s="1"/>
  <c r="I63" s="1"/>
  <c r="AD60"/>
  <c r="V60"/>
  <c r="X60" s="1"/>
  <c r="B60"/>
  <c r="AD56"/>
  <c r="Z54" l="1"/>
  <c r="V54"/>
  <c r="X54" s="1"/>
  <c r="Q52"/>
  <c r="T52"/>
  <c r="Z53"/>
  <c r="V53"/>
  <c r="X53" s="1"/>
  <c r="N51"/>
  <c r="P51" s="1"/>
  <c r="I51"/>
  <c r="H51"/>
  <c r="F51"/>
  <c r="E51"/>
  <c r="E58" s="1"/>
  <c r="N50"/>
  <c r="P50" s="1"/>
  <c r="V52" l="1"/>
  <c r="X52" s="1"/>
  <c r="Z52"/>
  <c r="Q51"/>
  <c r="T51"/>
  <c r="Q50"/>
  <c r="T50"/>
  <c r="P49"/>
  <c r="Q49" s="1"/>
  <c r="N49"/>
  <c r="I49"/>
  <c r="H49"/>
  <c r="F49"/>
  <c r="E49"/>
  <c r="E56" s="1"/>
  <c r="T49" l="1"/>
  <c r="V51"/>
  <c r="X51" s="1"/>
  <c r="Z51"/>
  <c r="V50"/>
  <c r="X50" s="1"/>
  <c r="Z50"/>
  <c r="E61"/>
  <c r="E62" s="1"/>
  <c r="E63" s="1"/>
  <c r="N48"/>
  <c r="P48" s="1"/>
  <c r="G50"/>
  <c r="Z49" l="1"/>
  <c r="V49"/>
  <c r="X49" s="1"/>
  <c r="T48"/>
  <c r="Q48"/>
  <c r="P47"/>
  <c r="T47" s="1"/>
  <c r="I47"/>
  <c r="H47"/>
  <c r="E47"/>
  <c r="Q47" l="1"/>
  <c r="V47"/>
  <c r="X47" s="1"/>
  <c r="Z47"/>
  <c r="V48"/>
  <c r="X48" s="1"/>
  <c r="Z48"/>
  <c r="P46"/>
  <c r="T46" s="1"/>
  <c r="J46"/>
  <c r="F46"/>
  <c r="F47" s="1"/>
  <c r="V46" l="1"/>
  <c r="X46" s="1"/>
  <c r="Z46"/>
  <c r="Q46"/>
  <c r="P45"/>
  <c r="Q45" s="1"/>
  <c r="I45"/>
  <c r="H45"/>
  <c r="F45"/>
  <c r="E45"/>
  <c r="B45"/>
  <c r="B46" l="1"/>
  <c r="B47" s="1"/>
  <c r="B48" s="1"/>
  <c r="T45"/>
  <c r="T44"/>
  <c r="V44" s="1"/>
  <c r="X44" s="1"/>
  <c r="P44"/>
  <c r="Q44" s="1"/>
  <c r="R44" s="1"/>
  <c r="G44"/>
  <c r="G46" s="1"/>
  <c r="AD41"/>
  <c r="T41"/>
  <c r="V41" s="1"/>
  <c r="X41" s="1"/>
  <c r="B41"/>
  <c r="B33"/>
  <c r="B34" s="1"/>
  <c r="B35" s="1"/>
  <c r="B36" s="1"/>
  <c r="B37" s="1"/>
  <c r="B38" s="1"/>
  <c r="B39" s="1"/>
  <c r="B40" s="1"/>
  <c r="B42" s="1"/>
  <c r="B43" s="1"/>
  <c r="B31"/>
  <c r="B21"/>
  <c r="B22" s="1"/>
  <c r="B23" s="1"/>
  <c r="B24" s="1"/>
  <c r="B25" s="1"/>
  <c r="B26" s="1"/>
  <c r="B27" s="1"/>
  <c r="B28" s="1"/>
  <c r="AD43"/>
  <c r="AD42"/>
  <c r="T42"/>
  <c r="AB42" s="1"/>
  <c r="I42"/>
  <c r="I43" s="1"/>
  <c r="AD40"/>
  <c r="G40"/>
  <c r="J40" s="1"/>
  <c r="F40"/>
  <c r="I40" s="1"/>
  <c r="Z44" l="1"/>
  <c r="V42"/>
  <c r="X42" s="1"/>
  <c r="B49"/>
  <c r="B50" s="1"/>
  <c r="B51" s="1"/>
  <c r="B56" s="1"/>
  <c r="B61" s="1"/>
  <c r="B62" s="1"/>
  <c r="B63" s="1"/>
  <c r="V45"/>
  <c r="X45" s="1"/>
  <c r="Z45"/>
  <c r="N39"/>
  <c r="P39" s="1"/>
  <c r="I39"/>
  <c r="H39"/>
  <c r="F39"/>
  <c r="E39"/>
  <c r="P38"/>
  <c r="Q38" s="1"/>
  <c r="N38"/>
  <c r="J38"/>
  <c r="Q39" l="1"/>
  <c r="T39"/>
  <c r="B52"/>
  <c r="T38"/>
  <c r="P37"/>
  <c r="T37" s="1"/>
  <c r="N37"/>
  <c r="I37"/>
  <c r="H37"/>
  <c r="F37"/>
  <c r="E37"/>
  <c r="E40" s="1"/>
  <c r="Q37" l="1"/>
  <c r="V37"/>
  <c r="X37" s="1"/>
  <c r="Z37"/>
  <c r="V39"/>
  <c r="X39" s="1"/>
  <c r="Z39"/>
  <c r="B57"/>
  <c r="B53"/>
  <c r="B54" s="1"/>
  <c r="V38"/>
  <c r="X38" s="1"/>
  <c r="Z38"/>
  <c r="E42"/>
  <c r="E43" s="1"/>
  <c r="N36"/>
  <c r="P36" s="1"/>
  <c r="G36"/>
  <c r="G38" s="1"/>
  <c r="R48" l="1"/>
  <c r="B58"/>
  <c r="B55"/>
  <c r="B59"/>
  <c r="P62"/>
  <c r="T62" s="1"/>
  <c r="Q36"/>
  <c r="T36"/>
  <c r="P35"/>
  <c r="T35" s="1"/>
  <c r="I35"/>
  <c r="H35"/>
  <c r="E35"/>
  <c r="Q35" l="1"/>
  <c r="P63"/>
  <c r="T63" s="1"/>
  <c r="V62"/>
  <c r="AB62"/>
  <c r="V35"/>
  <c r="X35" s="1"/>
  <c r="Z35"/>
  <c r="V36"/>
  <c r="X36" s="1"/>
  <c r="Z36"/>
  <c r="P34"/>
  <c r="T34" s="1"/>
  <c r="J34"/>
  <c r="F34"/>
  <c r="F35" s="1"/>
  <c r="X62" l="1"/>
  <c r="AA62"/>
  <c r="AB63"/>
  <c r="V63"/>
  <c r="Q34"/>
  <c r="V34"/>
  <c r="X34" s="1"/>
  <c r="Z34"/>
  <c r="T33"/>
  <c r="V33" s="1"/>
  <c r="X33" s="1"/>
  <c r="Q33"/>
  <c r="P33"/>
  <c r="I33"/>
  <c r="H33"/>
  <c r="F33"/>
  <c r="E33"/>
  <c r="R32"/>
  <c r="P43" s="1"/>
  <c r="T43" s="1"/>
  <c r="Q32"/>
  <c r="P32"/>
  <c r="T32" s="1"/>
  <c r="G32"/>
  <c r="G34" s="1"/>
  <c r="B29"/>
  <c r="X63" l="1"/>
  <c r="AA63"/>
  <c r="Z33"/>
  <c r="V32"/>
  <c r="X32" s="1"/>
  <c r="Z32"/>
  <c r="V43"/>
  <c r="AB43"/>
  <c r="AD28"/>
  <c r="AD29"/>
  <c r="AD30"/>
  <c r="AD31"/>
  <c r="AD14"/>
  <c r="AD15"/>
  <c r="AD16"/>
  <c r="AD17"/>
  <c r="AD18"/>
  <c r="AD19"/>
  <c r="X43" l="1"/>
  <c r="AA43"/>
  <c r="T29"/>
  <c r="I30"/>
  <c r="J28"/>
  <c r="G28"/>
  <c r="F28"/>
  <c r="I28" s="1"/>
  <c r="J26"/>
  <c r="J22"/>
  <c r="N27"/>
  <c r="P27" s="1"/>
  <c r="Q27" s="1"/>
  <c r="I27"/>
  <c r="H27"/>
  <c r="F27"/>
  <c r="E27"/>
  <c r="P26"/>
  <c r="Q26" s="1"/>
  <c r="N26"/>
  <c r="N25"/>
  <c r="N24"/>
  <c r="G24"/>
  <c r="G26" s="1"/>
  <c r="E21"/>
  <c r="F21"/>
  <c r="H21"/>
  <c r="I21"/>
  <c r="P21"/>
  <c r="T21" s="1"/>
  <c r="X29" l="1"/>
  <c r="V29"/>
  <c r="T27"/>
  <c r="T26"/>
  <c r="V21"/>
  <c r="X21" s="1"/>
  <c r="Z21"/>
  <c r="Q21"/>
  <c r="G20"/>
  <c r="G22" s="1"/>
  <c r="I31"/>
  <c r="T30"/>
  <c r="V30" s="1"/>
  <c r="X30" s="1"/>
  <c r="P25"/>
  <c r="T25" s="1"/>
  <c r="I25"/>
  <c r="H25"/>
  <c r="E25"/>
  <c r="E28" s="1"/>
  <c r="E30" s="1"/>
  <c r="V27" l="1"/>
  <c r="X27" s="1"/>
  <c r="Z27"/>
  <c r="V26"/>
  <c r="X26" s="1"/>
  <c r="Z26"/>
  <c r="AB30"/>
  <c r="Q25"/>
  <c r="P24"/>
  <c r="V25" l="1"/>
  <c r="X25" s="1"/>
  <c r="Z25"/>
  <c r="Q24"/>
  <c r="T24"/>
  <c r="E31"/>
  <c r="P23"/>
  <c r="Q23" s="1"/>
  <c r="I23"/>
  <c r="H23"/>
  <c r="E23"/>
  <c r="T23" l="1"/>
  <c r="V24"/>
  <c r="X24" s="1"/>
  <c r="Z24"/>
  <c r="P22"/>
  <c r="Q22" s="1"/>
  <c r="F22"/>
  <c r="T22" l="1"/>
  <c r="Z23"/>
  <c r="V23"/>
  <c r="X23" s="1"/>
  <c r="F23"/>
  <c r="Z22" l="1"/>
  <c r="V22"/>
  <c r="X22" s="1"/>
  <c r="F25"/>
  <c r="P20"/>
  <c r="Q20" s="1"/>
  <c r="R20" s="1"/>
  <c r="P31" s="1"/>
  <c r="I19"/>
  <c r="T31" l="1"/>
  <c r="T20"/>
  <c r="V31" l="1"/>
  <c r="AB31"/>
  <c r="V20"/>
  <c r="X20" s="1"/>
  <c r="Z20"/>
  <c r="V19"/>
  <c r="X19" s="1"/>
  <c r="X31" l="1"/>
  <c r="AA31"/>
  <c r="I18"/>
  <c r="A64" l="1"/>
  <c r="D23" i="4" s="1"/>
  <c r="D22"/>
  <c r="T17" i="11"/>
  <c r="G16"/>
  <c r="I15"/>
  <c r="H15"/>
  <c r="F14"/>
  <c r="F15" s="1"/>
  <c r="F10"/>
  <c r="F12" s="1"/>
  <c r="E13" i="4"/>
  <c r="E11"/>
  <c r="E15"/>
  <c r="AD8" i="11"/>
  <c r="AD9"/>
  <c r="AD10"/>
  <c r="AD11"/>
  <c r="V17" l="1"/>
  <c r="AB17"/>
  <c r="I13"/>
  <c r="H13"/>
  <c r="I11"/>
  <c r="H11"/>
  <c r="I9"/>
  <c r="H9"/>
  <c r="F13"/>
  <c r="E13"/>
  <c r="E14" s="1"/>
  <c r="F11"/>
  <c r="E11"/>
  <c r="F9"/>
  <c r="E9"/>
  <c r="N13"/>
  <c r="P13" s="1"/>
  <c r="N12"/>
  <c r="P12" s="1"/>
  <c r="G12"/>
  <c r="G14" s="1"/>
  <c r="N11"/>
  <c r="P11" s="1"/>
  <c r="N10"/>
  <c r="P10" s="1"/>
  <c r="G10"/>
  <c r="T9"/>
  <c r="P9"/>
  <c r="Q9" s="1"/>
  <c r="P8"/>
  <c r="Q8" s="1"/>
  <c r="F9" i="4"/>
  <c r="G9" s="1"/>
  <c r="H9" s="1"/>
  <c r="I9" s="1"/>
  <c r="J9" s="1"/>
  <c r="K9" s="1"/>
  <c r="L9" s="1"/>
  <c r="M9" s="1"/>
  <c r="N9" s="1"/>
  <c r="O9" s="1"/>
  <c r="P9" s="1"/>
  <c r="Q9" s="1"/>
  <c r="R9" s="1"/>
  <c r="S9" s="1"/>
  <c r="F8"/>
  <c r="F10"/>
  <c r="F16"/>
  <c r="F15"/>
  <c r="F14"/>
  <c r="F13"/>
  <c r="F12"/>
  <c r="F11"/>
  <c r="AD12" i="11"/>
  <c r="AD13"/>
  <c r="AD20"/>
  <c r="AD21" s="1"/>
  <c r="G8" i="4" l="1"/>
  <c r="X17" i="11"/>
  <c r="AA17"/>
  <c r="R8"/>
  <c r="P18" s="1"/>
  <c r="V9"/>
  <c r="X9" s="1"/>
  <c r="Z9"/>
  <c r="T8"/>
  <c r="Z8" s="1"/>
  <c r="E15"/>
  <c r="E16" s="1"/>
  <c r="E17" s="1"/>
  <c r="E18" s="1"/>
  <c r="E19" s="1"/>
  <c r="B19" s="1"/>
  <c r="Q13"/>
  <c r="T13"/>
  <c r="T11"/>
  <c r="Q11"/>
  <c r="T10"/>
  <c r="Q10"/>
  <c r="Q12"/>
  <c r="T12"/>
  <c r="G11" i="4"/>
  <c r="G10"/>
  <c r="G16"/>
  <c r="G15"/>
  <c r="G14"/>
  <c r="G13"/>
  <c r="G12"/>
  <c r="AD22" i="11"/>
  <c r="AD23"/>
  <c r="AD24"/>
  <c r="AD25"/>
  <c r="AD26"/>
  <c r="AD27"/>
  <c r="H8" i="4" l="1"/>
  <c r="V11" i="11"/>
  <c r="X11" s="1"/>
  <c r="Z11"/>
  <c r="V10"/>
  <c r="X10" s="1"/>
  <c r="Z10"/>
  <c r="V12"/>
  <c r="X12" s="1"/>
  <c r="Z12"/>
  <c r="V13"/>
  <c r="X13" s="1"/>
  <c r="Z13"/>
  <c r="V8"/>
  <c r="T18"/>
  <c r="H12" i="4"/>
  <c r="H11"/>
  <c r="H10"/>
  <c r="H16"/>
  <c r="H15"/>
  <c r="H14"/>
  <c r="H13"/>
  <c r="AD32" i="11"/>
  <c r="Z2"/>
  <c r="AD33"/>
  <c r="AD34"/>
  <c r="AD35"/>
  <c r="AD36"/>
  <c r="AD37"/>
  <c r="AD38"/>
  <c r="AD39"/>
  <c r="AD44"/>
  <c r="AD45"/>
  <c r="AD46"/>
  <c r="AD47"/>
  <c r="AD48"/>
  <c r="AD49"/>
  <c r="AD50"/>
  <c r="AD51"/>
  <c r="AD52"/>
  <c r="I8" i="4" l="1"/>
  <c r="V18" i="11"/>
  <c r="AB18"/>
  <c r="X8"/>
  <c r="I13" i="4"/>
  <c r="I12"/>
  <c r="I11"/>
  <c r="I10"/>
  <c r="I16"/>
  <c r="I15"/>
  <c r="I14"/>
  <c r="AD53" i="11"/>
  <c r="AB2"/>
  <c r="J8" i="4" l="1"/>
  <c r="X18" i="11"/>
  <c r="J14" i="4"/>
  <c r="J13"/>
  <c r="J10"/>
  <c r="J12"/>
  <c r="J11"/>
  <c r="J16"/>
  <c r="J15"/>
  <c r="AD54" i="11"/>
  <c r="AD55" s="1"/>
  <c r="K8" i="4" l="1"/>
  <c r="D18"/>
  <c r="K15"/>
  <c r="K14"/>
  <c r="K13"/>
  <c r="K12"/>
  <c r="K11"/>
  <c r="K10"/>
  <c r="K16"/>
  <c r="L8" l="1"/>
  <c r="E6"/>
  <c r="F6"/>
  <c r="G6"/>
  <c r="K7" i="11" s="1"/>
  <c r="H6" i="4"/>
  <c r="I6"/>
  <c r="J6"/>
  <c r="K6"/>
  <c r="L6"/>
  <c r="K48" i="11" s="1"/>
  <c r="L48" s="1"/>
  <c r="M6" i="4"/>
  <c r="N6"/>
  <c r="K56" i="11" s="1"/>
  <c r="P56" s="1"/>
  <c r="T56" s="1"/>
  <c r="O6" i="4"/>
  <c r="P6"/>
  <c r="L16"/>
  <c r="L10"/>
  <c r="L15"/>
  <c r="L14"/>
  <c r="L13"/>
  <c r="L12"/>
  <c r="L11"/>
  <c r="M8" l="1"/>
  <c r="K59" i="11"/>
  <c r="P59" s="1"/>
  <c r="T59" s="1"/>
  <c r="V59" s="1"/>
  <c r="K57"/>
  <c r="P57" s="1"/>
  <c r="T57" s="1"/>
  <c r="K54"/>
  <c r="K52"/>
  <c r="L52" s="1"/>
  <c r="K58"/>
  <c r="P58" s="1"/>
  <c r="T58" s="1"/>
  <c r="V56"/>
  <c r="Y56"/>
  <c r="K40"/>
  <c r="K50"/>
  <c r="K44"/>
  <c r="L44" s="1"/>
  <c r="K46"/>
  <c r="K32"/>
  <c r="L32" s="1"/>
  <c r="K34"/>
  <c r="K28"/>
  <c r="P28" s="1"/>
  <c r="T28" s="1"/>
  <c r="V28" s="1"/>
  <c r="K36"/>
  <c r="L36" s="1"/>
  <c r="K38"/>
  <c r="P7"/>
  <c r="T7" s="1"/>
  <c r="V7" s="1"/>
  <c r="K22"/>
  <c r="K20"/>
  <c r="L20" s="1"/>
  <c r="K26"/>
  <c r="K24"/>
  <c r="L24" s="1"/>
  <c r="K16"/>
  <c r="K12"/>
  <c r="L12" s="1"/>
  <c r="K14"/>
  <c r="P14" s="1"/>
  <c r="K8"/>
  <c r="L8" s="1"/>
  <c r="K10"/>
  <c r="L10" s="1"/>
  <c r="M16" i="4"/>
  <c r="M15"/>
  <c r="M14"/>
  <c r="M13"/>
  <c r="M10"/>
  <c r="M12"/>
  <c r="M11"/>
  <c r="E10"/>
  <c r="Q2" i="11"/>
  <c r="L2"/>
  <c r="W2"/>
  <c r="AE2"/>
  <c r="Y59" l="1"/>
  <c r="N8" i="4"/>
  <c r="X59" i="11"/>
  <c r="AA59"/>
  <c r="Y57"/>
  <c r="V57"/>
  <c r="Y58"/>
  <c r="V58"/>
  <c r="X28"/>
  <c r="AA28"/>
  <c r="X56"/>
  <c r="AA56"/>
  <c r="T40"/>
  <c r="V40" s="1"/>
  <c r="P40"/>
  <c r="Y28"/>
  <c r="X7"/>
  <c r="Y7"/>
  <c r="P16"/>
  <c r="T16" s="1"/>
  <c r="Y16" s="1"/>
  <c r="T14"/>
  <c r="Y14" s="1"/>
  <c r="T15"/>
  <c r="N10" i="4"/>
  <c r="N16"/>
  <c r="N15"/>
  <c r="N14"/>
  <c r="N13"/>
  <c r="N12"/>
  <c r="N11"/>
  <c r="O8" l="1"/>
  <c r="AA58" i="11"/>
  <c r="X58"/>
  <c r="X57"/>
  <c r="AA57"/>
  <c r="X40"/>
  <c r="AA40"/>
  <c r="Y40"/>
  <c r="V16"/>
  <c r="AA16" s="1"/>
  <c r="V15"/>
  <c r="Y15"/>
  <c r="V14"/>
  <c r="O11" i="4"/>
  <c r="O10"/>
  <c r="O16"/>
  <c r="O15"/>
  <c r="O14"/>
  <c r="O13"/>
  <c r="O12"/>
  <c r="E14"/>
  <c r="E12"/>
  <c r="V2" i="11"/>
  <c r="Y2"/>
  <c r="AA14" l="1"/>
  <c r="P8" i="4"/>
  <c r="X15" i="11"/>
  <c r="AA15"/>
  <c r="X16"/>
  <c r="X14"/>
  <c r="P12" i="4"/>
  <c r="P11"/>
  <c r="P10"/>
  <c r="P16"/>
  <c r="P15"/>
  <c r="P14"/>
  <c r="P13"/>
  <c r="AA2" i="11"/>
  <c r="Q8" i="4" l="1"/>
  <c r="AA3" i="11"/>
  <c r="Q13" i="4"/>
  <c r="Q12"/>
  <c r="Q11"/>
  <c r="Q10"/>
  <c r="Q16"/>
  <c r="Q15"/>
  <c r="Q14"/>
  <c r="AF2" i="11"/>
  <c r="R8" i="4" l="1"/>
  <c r="D24"/>
  <c r="R14"/>
  <c r="R13"/>
  <c r="R12"/>
  <c r="R11"/>
  <c r="R10"/>
  <c r="R16"/>
  <c r="R15"/>
  <c r="S8" l="1"/>
  <c r="S15"/>
  <c r="S14"/>
  <c r="S13"/>
  <c r="S12"/>
  <c r="S11"/>
  <c r="S10"/>
  <c r="S16"/>
</calcChain>
</file>

<file path=xl/comments1.xml><?xml version="1.0" encoding="utf-8"?>
<comments xmlns="http://schemas.openxmlformats.org/spreadsheetml/2006/main">
  <authors>
    <author>Yannick</author>
    <author>yannick dubreuil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sous-total selon sélection</t>
        </r>
      </text>
    </comment>
    <comment ref="L6" authorId="1">
      <text>
        <r>
          <rPr>
            <b/>
            <sz val="9"/>
            <color indexed="81"/>
            <rFont val="Tahoma"/>
            <family val="2"/>
          </rPr>
          <t>redondance statistique</t>
        </r>
      </text>
    </comment>
    <comment ref="P6" authorId="1">
      <text>
        <r>
          <rPr>
            <b/>
            <sz val="9"/>
            <color indexed="81"/>
            <rFont val="Tahoma"/>
            <family val="2"/>
          </rPr>
          <t>abt + conso =  jour
taxes = CTA = €
               TICFE = kWh</t>
        </r>
      </text>
    </comment>
    <comment ref="R6" authorId="1">
      <text>
        <r>
          <rPr>
            <b/>
            <sz val="9"/>
            <color indexed="81"/>
            <rFont val="Tahoma"/>
            <family val="2"/>
          </rPr>
          <t>redondance statistique</t>
        </r>
      </text>
    </comment>
    <comment ref="S6" authorId="1">
      <text>
        <r>
          <rPr>
            <b/>
            <sz val="9"/>
            <color indexed="81"/>
            <rFont val="Tahoma"/>
            <family val="2"/>
          </rPr>
          <t>abt =  € / jour
conso = € / kWh
taxes = CTA = %
                TICFE = € / kWh</t>
        </r>
      </text>
    </comment>
  </commentList>
</comments>
</file>

<file path=xl/sharedStrings.xml><?xml version="1.0" encoding="utf-8"?>
<sst xmlns="http://schemas.openxmlformats.org/spreadsheetml/2006/main" count="316" uniqueCount="132">
  <si>
    <t>février</t>
  </si>
  <si>
    <t>avril</t>
  </si>
  <si>
    <t>juin</t>
  </si>
  <si>
    <t>août</t>
  </si>
  <si>
    <t>octobre</t>
  </si>
  <si>
    <t>décembre</t>
  </si>
  <si>
    <t>nb de jours</t>
  </si>
  <si>
    <t>consommation</t>
  </si>
  <si>
    <t>année</t>
  </si>
  <si>
    <t>mois</t>
  </si>
  <si>
    <t>jour</t>
  </si>
  <si>
    <t>période facturée</t>
  </si>
  <si>
    <t>énergie</t>
  </si>
  <si>
    <t>janvier</t>
  </si>
  <si>
    <t>mars</t>
  </si>
  <si>
    <t>mai</t>
  </si>
  <si>
    <t>juillet</t>
  </si>
  <si>
    <t>septembre</t>
  </si>
  <si>
    <t>novembre</t>
  </si>
  <si>
    <t>début</t>
  </si>
  <si>
    <t>fin</t>
  </si>
  <si>
    <t>document</t>
  </si>
  <si>
    <t>index_min</t>
  </si>
  <si>
    <t>index_max</t>
  </si>
  <si>
    <t xml:space="preserve">sous-total </t>
  </si>
  <si>
    <t>nb factures</t>
  </si>
  <si>
    <t>tx TVA</t>
  </si>
  <si>
    <t>année appliquée</t>
  </si>
  <si>
    <t>statistiques</t>
  </si>
  <si>
    <t>parametres</t>
  </si>
  <si>
    <t>fonction</t>
  </si>
  <si>
    <t>valeurs</t>
  </si>
  <si>
    <t>fin_données</t>
  </si>
  <si>
    <t>facturation - nom mois</t>
  </si>
  <si>
    <t>facturation - n° mois</t>
  </si>
  <si>
    <t>liste_mois</t>
  </si>
  <si>
    <t>MOIS</t>
  </si>
  <si>
    <t>matrice_année</t>
  </si>
  <si>
    <t>matrices des années</t>
  </si>
  <si>
    <t>matrice_nb_de_jours</t>
  </si>
  <si>
    <t>matrice_année_appliquée</t>
  </si>
  <si>
    <t>matrice_énergie</t>
  </si>
  <si>
    <t>noms</t>
  </si>
  <si>
    <t>no_mois</t>
  </si>
  <si>
    <t>repère de fin</t>
  </si>
  <si>
    <t>application</t>
  </si>
  <si>
    <t>1ère ligne</t>
  </si>
  <si>
    <t>dernière ligne</t>
  </si>
  <si>
    <t>écart</t>
  </si>
  <si>
    <t>abt HT</t>
  </si>
  <si>
    <t>conso HT</t>
  </si>
  <si>
    <t>matrice abonnement HT</t>
  </si>
  <si>
    <t>matrice consommation HT</t>
  </si>
  <si>
    <t>nb de jour / an</t>
  </si>
  <si>
    <t>nb_j_an</t>
  </si>
  <si>
    <t>nb de mois / an</t>
  </si>
  <si>
    <t>nb_mois_an</t>
  </si>
  <si>
    <t>matrice_montant_calc</t>
  </si>
  <si>
    <t>matrice_montant_fact</t>
  </si>
  <si>
    <t>STOP</t>
  </si>
  <si>
    <t>simulations</t>
  </si>
  <si>
    <t>matrice totale</t>
  </si>
  <si>
    <t>matrice_totale</t>
  </si>
  <si>
    <t>statistiques mensuelles</t>
  </si>
  <si>
    <t>statistiques annuelles</t>
  </si>
  <si>
    <t>matrice énergie par mois</t>
  </si>
  <si>
    <t>matrice_enr_mois</t>
  </si>
  <si>
    <t>notes</t>
  </si>
  <si>
    <t>dernier tarif</t>
  </si>
  <si>
    <t>dernier_tarif</t>
  </si>
  <si>
    <t>HC hiver</t>
  </si>
  <si>
    <t>HP hiver</t>
  </si>
  <si>
    <t>HC été</t>
  </si>
  <si>
    <t>HP été</t>
  </si>
  <si>
    <t>heures</t>
  </si>
  <si>
    <t>index</t>
  </si>
  <si>
    <t>quantité consommée</t>
  </si>
  <si>
    <t>prix unitaire</t>
  </si>
  <si>
    <t>total HT</t>
  </si>
  <si>
    <t>total TTC</t>
  </si>
  <si>
    <t>abonnement</t>
  </si>
  <si>
    <t>objet facturé</t>
  </si>
  <si>
    <t>objet_facturé</t>
  </si>
  <si>
    <t>calculé</t>
  </si>
  <si>
    <t>facturé</t>
  </si>
  <si>
    <t>mars 2026</t>
  </si>
  <si>
    <t>taxes TCA</t>
  </si>
  <si>
    <t>taxes TICFE</t>
  </si>
  <si>
    <t>date facturation</t>
  </si>
  <si>
    <t>février 2026</t>
  </si>
  <si>
    <t>chèque énergie</t>
  </si>
  <si>
    <t>mai 2026</t>
  </si>
  <si>
    <t>parrainage</t>
  </si>
  <si>
    <t>juillet 2026</t>
  </si>
  <si>
    <t>remise offre solidaire</t>
  </si>
  <si>
    <t>septembre 2026</t>
  </si>
  <si>
    <t>taxes et contributions</t>
  </si>
  <si>
    <t>TVA</t>
  </si>
  <si>
    <t>facturation</t>
  </si>
  <si>
    <t>FACTURATION</t>
  </si>
  <si>
    <t>Ce jeu de données comprend 2 onglets.</t>
  </si>
  <si>
    <t>PARAMETRES</t>
  </si>
  <si>
    <t>matrice_taxe</t>
  </si>
  <si>
    <t>INDIRECT("'facturation'!"&amp;(ADRESSE(index_min;COLONNE(facturation!$D$6)))):INDIRECT("'facturation'!"&amp;(ADRESSE(index_max;COLONNE(facturation!$D$6))))</t>
  </si>
  <si>
    <t>E$8</t>
  </si>
  <si>
    <r>
      <t>SOMME.SI(</t>
    </r>
    <r>
      <rPr>
        <sz val="10"/>
        <color rgb="FFFF0000"/>
        <rFont val="Arial"/>
        <family val="2"/>
      </rPr>
      <t>INDIRECT("'facturation'!"&amp;(ADRESSE(index_min;COLONNE(facturation!$D$6)))):INDIRECT("'facturation'!"&amp;(ADRESSE(index_max;COLONNE(facturation!$D$6))))</t>
    </r>
    <r>
      <rPr>
        <sz val="10"/>
        <rFont val="Arial"/>
        <family val="2"/>
      </rPr>
      <t>;</t>
    </r>
    <r>
      <rPr>
        <sz val="10"/>
        <color rgb="FF00B050"/>
        <rFont val="Arial"/>
        <family val="2"/>
      </rPr>
      <t>E$8</t>
    </r>
    <r>
      <rPr>
        <sz val="10"/>
        <rFont val="Arial"/>
        <family val="2"/>
      </rPr>
      <t>;</t>
    </r>
    <r>
      <rPr>
        <sz val="10"/>
        <color rgb="FF002060"/>
        <rFont val="Arial"/>
        <family val="2"/>
      </rPr>
      <t>INDIRECT("'facturation'!"&amp;(ADRESSE(index_min;COLONNE(facturation!$AA$6)))):INDIRECT("'facturation'!"&amp;(ADRESSE(index_max;COLONNE(facturation!$AB$6))))</t>
    </r>
    <r>
      <rPr>
        <sz val="10"/>
        <rFont val="Arial"/>
        <family val="2"/>
      </rPr>
      <t>)</t>
    </r>
  </si>
  <si>
    <t>INDIRECT("'facturation'!"&amp;(ADRESSE(index_min;COLONNE(facturation!$AA$6)))):INDIRECT("'facturation'!"&amp;(ADRESSE(index_max;COLONNE(facturation!$AB$6))))</t>
  </si>
  <si>
    <r>
      <t xml:space="preserve">La plage est constituée de la colonne </t>
    </r>
    <r>
      <rPr>
        <b/>
        <u/>
        <sz val="10"/>
        <rFont val="Arial"/>
        <family val="2"/>
      </rPr>
      <t>TVA</t>
    </r>
    <r>
      <rPr>
        <sz val="10"/>
        <rFont val="Arial"/>
        <family val="2"/>
      </rPr>
      <t xml:space="preserve"> (AA) et de la colonne </t>
    </r>
    <r>
      <rPr>
        <b/>
        <u/>
        <sz val="10"/>
        <rFont val="Arial"/>
        <family val="2"/>
      </rPr>
      <t>taxes et contributions</t>
    </r>
    <r>
      <rPr>
        <sz val="10"/>
        <rFont val="Arial"/>
        <family val="2"/>
      </rPr>
      <t xml:space="preserve"> (AB)</t>
    </r>
  </si>
  <si>
    <t>Conditionner la somme des taxes et TVA pour une année donnée</t>
  </si>
  <si>
    <r>
      <t>Décrit la plage de données sur laquelle appliquer la sélection, en l'occurrence l'</t>
    </r>
    <r>
      <rPr>
        <b/>
        <u/>
        <sz val="10"/>
        <rFont val="Arial"/>
        <family val="2"/>
      </rPr>
      <t>année appliquée</t>
    </r>
    <r>
      <rPr>
        <sz val="10"/>
        <rFont val="Arial"/>
        <family val="2"/>
      </rPr>
      <t>.</t>
    </r>
  </si>
  <si>
    <t>Désigne la valeur de l'année appliquée, utilisée pour effectuer la sélection.</t>
  </si>
  <si>
    <t xml:space="preserve">Décrit la plage de données sur laquelle appliquer la somme. </t>
  </si>
  <si>
    <t>Valeur de la plage résultante</t>
  </si>
  <si>
    <t>D7:D63</t>
  </si>
  <si>
    <t>Valeur de l'année</t>
  </si>
  <si>
    <t>AA7:AB63</t>
  </si>
  <si>
    <t>La version d'Excel utilisée est 2007.</t>
  </si>
  <si>
    <r>
      <t xml:space="preserve">Le résultat de la somme ne prend en compte que la colonne </t>
    </r>
    <r>
      <rPr>
        <b/>
        <u/>
        <sz val="10"/>
        <rFont val="Arial"/>
        <family val="2"/>
      </rPr>
      <t>TVA</t>
    </r>
    <r>
      <rPr>
        <sz val="10"/>
        <rFont val="Arial"/>
        <family val="2"/>
      </rPr>
      <t>.</t>
    </r>
  </si>
  <si>
    <t>Y-a-t-il une erreur de syntaxe ?</t>
  </si>
  <si>
    <t>Y-a-t-il une autre solution (formule, restructuration des données, etc…) ?</t>
  </si>
  <si>
    <t>Si oui, laquelle ?</t>
  </si>
  <si>
    <r>
      <t xml:space="preserve">l'onglet </t>
    </r>
    <r>
      <rPr>
        <b/>
        <u/>
        <sz val="10"/>
        <rFont val="Arial"/>
        <family val="2"/>
      </rPr>
      <t>"parametres"</t>
    </r>
    <r>
      <rPr>
        <sz val="10"/>
        <rFont val="Arial"/>
        <family val="2"/>
      </rPr>
      <t xml:space="preserve"> contient des cellules nommées ainsi qu'un tableau statistique.</t>
    </r>
  </si>
  <si>
    <r>
      <t xml:space="preserve">l'onglet </t>
    </r>
    <r>
      <rPr>
        <b/>
        <u/>
        <sz val="10"/>
        <rFont val="Arial"/>
        <family val="2"/>
      </rPr>
      <t>"facturation"</t>
    </r>
    <r>
      <rPr>
        <sz val="10"/>
        <rFont val="Arial"/>
        <family val="2"/>
      </rPr>
      <t xml:space="preserve"> contient les données.</t>
    </r>
  </si>
  <si>
    <r>
      <t xml:space="preserve">La difficulté à résoudre se trouve dans l'onglet </t>
    </r>
    <r>
      <rPr>
        <b/>
        <u/>
        <sz val="10"/>
        <rFont val="Arial"/>
        <family val="2"/>
      </rPr>
      <t>"parametres"</t>
    </r>
    <r>
      <rPr>
        <sz val="10"/>
        <rFont val="Arial"/>
        <family val="2"/>
      </rPr>
      <t xml:space="preserve"> et porte sur la ligne de la variable </t>
    </r>
    <r>
      <rPr>
        <b/>
        <u/>
        <sz val="10"/>
        <rFont val="Arial"/>
        <family val="2"/>
      </rPr>
      <t>"matrice_taxe".</t>
    </r>
  </si>
  <si>
    <t>Valeur  de la somme</t>
  </si>
  <si>
    <t>résultante</t>
  </si>
  <si>
    <t>espérée</t>
  </si>
  <si>
    <t>1 - Objectif souhaité pour la formule de cette dernière variable</t>
  </si>
  <si>
    <t>2 - la formule écrite</t>
  </si>
  <si>
    <t>3 - décodage de la formule</t>
  </si>
  <si>
    <t>4 - le constat</t>
  </si>
  <si>
    <t>5 - la question proprement dite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</si>
</sst>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000\ &quot;€&quot;"/>
    <numFmt numFmtId="166" formatCode="0.0%"/>
    <numFmt numFmtId="167" formatCode="#,##0.000\ &quot;€&quot;"/>
  </numFmts>
  <fonts count="12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rgb="FF002060"/>
      <name val="Arial"/>
      <family val="2"/>
    </font>
    <font>
      <b/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Dot">
        <color indexed="64"/>
      </left>
      <right/>
      <top style="dashDot">
        <color indexed="64"/>
      </top>
      <bottom/>
      <diagonal/>
    </border>
    <border>
      <left/>
      <right style="double">
        <color indexed="64"/>
      </right>
      <top style="dashDot">
        <color indexed="64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9" fontId="7" fillId="0" borderId="0" applyFont="0" applyFill="0" applyBorder="0" applyAlignment="0" applyProtection="0"/>
  </cellStyleXfs>
  <cellXfs count="187">
    <xf numFmtId="0" fontId="0" fillId="0" borderId="0" xfId="0"/>
    <xf numFmtId="0" fontId="2" fillId="0" borderId="0" xfId="0" applyFont="1"/>
    <xf numFmtId="0" fontId="0" fillId="0" borderId="0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3" fontId="3" fillId="0" borderId="1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vertical="center" wrapText="1"/>
    </xf>
    <xf numFmtId="3" fontId="3" fillId="0" borderId="9" xfId="0" applyNumberFormat="1" applyFont="1" applyBorder="1" applyAlignment="1">
      <alignment horizontal="center" vertical="center"/>
    </xf>
    <xf numFmtId="0" fontId="0" fillId="3" borderId="0" xfId="0" applyFill="1" applyBorder="1"/>
    <xf numFmtId="9" fontId="0" fillId="2" borderId="6" xfId="0" applyNumberForma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8" xfId="0" quotePrefix="1" applyNumberFormat="1" applyFont="1" applyBorder="1" applyAlignment="1">
      <alignment horizontal="center" vertical="center"/>
    </xf>
    <xf numFmtId="0" fontId="5" fillId="0" borderId="18" xfId="1" applyFont="1" applyBorder="1" applyAlignment="1" applyProtection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0" fillId="3" borderId="21" xfId="0" applyFill="1" applyBorder="1"/>
    <xf numFmtId="0" fontId="0" fillId="3" borderId="20" xfId="0" applyFill="1" applyBorder="1"/>
    <xf numFmtId="0" fontId="0" fillId="3" borderId="19" xfId="0" applyFill="1" applyBorder="1"/>
    <xf numFmtId="164" fontId="0" fillId="0" borderId="18" xfId="0" applyNumberFormat="1" applyBorder="1" applyAlignment="1">
      <alignment horizontal="center" vertical="center"/>
    </xf>
    <xf numFmtId="9" fontId="0" fillId="0" borderId="21" xfId="0" applyNumberFormat="1" applyBorder="1" applyAlignment="1">
      <alignment horizontal="center" vertical="center"/>
    </xf>
    <xf numFmtId="164" fontId="0" fillId="2" borderId="18" xfId="0" applyNumberFormat="1" applyFill="1" applyBorder="1" applyAlignment="1">
      <alignment horizontal="center" vertical="center"/>
    </xf>
    <xf numFmtId="0" fontId="0" fillId="3" borderId="18" xfId="0" applyFill="1" applyBorder="1"/>
    <xf numFmtId="0" fontId="0" fillId="0" borderId="22" xfId="0" applyBorder="1" applyAlignment="1">
      <alignment horizontal="center" vertical="center"/>
    </xf>
    <xf numFmtId="0" fontId="1" fillId="0" borderId="22" xfId="0" quotePrefix="1" applyNumberFormat="1" applyFont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9" fontId="0" fillId="0" borderId="23" xfId="0" applyNumberFormat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0" fontId="0" fillId="3" borderId="22" xfId="0" applyFill="1" applyBorder="1"/>
    <xf numFmtId="0" fontId="0" fillId="0" borderId="22" xfId="0" applyBorder="1"/>
    <xf numFmtId="0" fontId="3" fillId="0" borderId="22" xfId="0" applyFont="1" applyFill="1" applyBorder="1" applyAlignment="1">
      <alignment horizontal="center" vertical="center"/>
    </xf>
    <xf numFmtId="0" fontId="1" fillId="0" borderId="0" xfId="0" quotePrefix="1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vertical="center" wrapText="1"/>
    </xf>
    <xf numFmtId="0" fontId="0" fillId="0" borderId="4" xfId="0" applyBorder="1" applyAlignment="1">
      <alignment horizontal="center" vertical="center"/>
    </xf>
    <xf numFmtId="0" fontId="1" fillId="0" borderId="4" xfId="0" quotePrefix="1" applyNumberFormat="1" applyFont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3" xfId="0" applyFill="1" applyBorder="1"/>
    <xf numFmtId="0" fontId="0" fillId="2" borderId="15" xfId="0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9" fontId="0" fillId="0" borderId="15" xfId="0" applyNumberFormat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0" fillId="0" borderId="4" xfId="0" applyBorder="1"/>
    <xf numFmtId="0" fontId="3" fillId="0" borderId="4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0" borderId="18" xfId="1" applyBorder="1" applyAlignment="1" applyProtection="1">
      <alignment horizontal="center" vertical="center" wrapText="1"/>
    </xf>
    <xf numFmtId="0" fontId="0" fillId="0" borderId="20" xfId="0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164" fontId="0" fillId="0" borderId="18" xfId="0" applyNumberFormat="1" applyFill="1" applyBorder="1" applyAlignment="1">
      <alignment horizontal="center" vertical="center"/>
    </xf>
    <xf numFmtId="166" fontId="0" fillId="0" borderId="18" xfId="3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5" fontId="0" fillId="2" borderId="23" xfId="0" applyNumberForma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5" fontId="0" fillId="2" borderId="15" xfId="0" applyNumberFormat="1" applyFill="1" applyBorder="1" applyAlignment="1">
      <alignment horizontal="center" vertical="center"/>
    </xf>
    <xf numFmtId="165" fontId="0" fillId="2" borderId="21" xfId="0" applyNumberFormat="1" applyFill="1" applyBorder="1" applyAlignment="1">
      <alignment horizontal="center" vertical="center"/>
    </xf>
    <xf numFmtId="167" fontId="0" fillId="2" borderId="6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24" xfId="0" applyNumberFormat="1" applyFont="1" applyBorder="1" applyAlignment="1">
      <alignment horizontal="center" vertical="center"/>
    </xf>
    <xf numFmtId="164" fontId="3" fillId="0" borderId="25" xfId="0" applyNumberFormat="1" applyFont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3" fillId="0" borderId="23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22" xfId="1" applyBorder="1" applyAlignment="1" applyProtection="1">
      <alignment horizontal="center" vertical="center"/>
    </xf>
    <xf numFmtId="0" fontId="5" fillId="0" borderId="0" xfId="1" applyBorder="1" applyAlignment="1" applyProtection="1">
      <alignment horizontal="center" vertical="center"/>
    </xf>
    <xf numFmtId="0" fontId="5" fillId="0" borderId="4" xfId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10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/>
  </cellXfs>
  <cellStyles count="4">
    <cellStyle name="Lien hypertexte" xfId="1" builtinId="8"/>
    <cellStyle name="Normal" xfId="0" builtinId="0"/>
    <cellStyle name="Normal 2" xfId="2"/>
    <cellStyle name="Pourcentage" xfId="3" builtinId="5"/>
  </cellStyles>
  <dxfs count="0"/>
  <tableStyles count="0" defaultTableStyle="TableStyleMedium9" defaultPivotStyle="PivotStyleLight16"/>
  <colors>
    <mruColors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i/Documents/ENEDIS%20-%20ENGIE/EVOLUTION%20CONSOMATION%20ELECTRIQU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  <sheetName val="statistiques annuelles"/>
      <sheetName val="statistiques mensuelles"/>
      <sheetName val="facturation Peyrilles"/>
      <sheetName val="calcul précédent"/>
    </sheetNames>
    <sheetDataSet>
      <sheetData sheetId="0">
        <row r="24">
          <cell r="E24" t="str">
            <v>EDF</v>
          </cell>
          <cell r="F24" t="str">
            <v>ENERCOOP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1"/>
  <sheetViews>
    <sheetView tabSelected="1" topLeftCell="A4" workbookViewId="0">
      <selection activeCell="A6" sqref="A6"/>
    </sheetView>
  </sheetViews>
  <sheetFormatPr baseColWidth="10" defaultRowHeight="13.2"/>
  <cols>
    <col min="4" max="4" width="16.109375" customWidth="1"/>
  </cols>
  <sheetData>
    <row r="1" spans="1:8">
      <c r="A1" s="26" t="s">
        <v>116</v>
      </c>
    </row>
    <row r="3" spans="1:8">
      <c r="A3" s="26" t="s">
        <v>100</v>
      </c>
    </row>
    <row r="4" spans="1:8">
      <c r="A4" s="26" t="s">
        <v>121</v>
      </c>
    </row>
    <row r="5" spans="1:8">
      <c r="A5" s="26" t="s">
        <v>122</v>
      </c>
    </row>
    <row r="7" spans="1:8">
      <c r="A7" s="26" t="s">
        <v>123</v>
      </c>
    </row>
    <row r="9" spans="1:8">
      <c r="A9" s="184" t="s">
        <v>127</v>
      </c>
      <c r="B9" s="184"/>
      <c r="C9" s="184"/>
      <c r="D9" s="184"/>
      <c r="E9" s="26" t="s">
        <v>108</v>
      </c>
    </row>
    <row r="10" spans="1:8">
      <c r="A10" s="184" t="s">
        <v>128</v>
      </c>
      <c r="B10" s="184"/>
      <c r="C10" s="184"/>
      <c r="D10" s="184"/>
      <c r="E10" s="26" t="s">
        <v>105</v>
      </c>
    </row>
    <row r="11" spans="1:8">
      <c r="A11" s="185" t="s">
        <v>129</v>
      </c>
      <c r="B11" s="185"/>
      <c r="C11" s="185"/>
      <c r="D11" s="185"/>
      <c r="E11" s="180" t="s">
        <v>103</v>
      </c>
    </row>
    <row r="12" spans="1:8">
      <c r="A12" s="185"/>
      <c r="B12" s="185"/>
      <c r="C12" s="185"/>
      <c r="D12" s="185"/>
      <c r="E12" s="26" t="s">
        <v>109</v>
      </c>
    </row>
    <row r="13" spans="1:8">
      <c r="A13" s="185"/>
      <c r="B13" s="185"/>
      <c r="C13" s="185"/>
      <c r="D13" s="185"/>
      <c r="E13" s="26" t="s">
        <v>112</v>
      </c>
      <c r="H13" s="26" t="s">
        <v>113</v>
      </c>
    </row>
    <row r="14" spans="1:8">
      <c r="A14" s="185"/>
      <c r="B14" s="185"/>
      <c r="C14" s="185"/>
      <c r="D14" s="185"/>
    </row>
    <row r="15" spans="1:8">
      <c r="A15" s="185"/>
      <c r="B15" s="185"/>
      <c r="C15" s="185"/>
      <c r="D15" s="185"/>
      <c r="E15" s="181" t="s">
        <v>104</v>
      </c>
    </row>
    <row r="16" spans="1:8">
      <c r="A16" s="185"/>
      <c r="B16" s="185"/>
      <c r="C16" s="185"/>
      <c r="D16" s="185"/>
      <c r="E16" s="26" t="s">
        <v>110</v>
      </c>
    </row>
    <row r="17" spans="1:9">
      <c r="A17" s="185"/>
      <c r="B17" s="185"/>
      <c r="C17" s="185"/>
      <c r="D17" s="185"/>
      <c r="E17" s="26" t="s">
        <v>114</v>
      </c>
      <c r="G17">
        <v>2026</v>
      </c>
    </row>
    <row r="18" spans="1:9">
      <c r="A18" s="185"/>
      <c r="B18" s="185"/>
      <c r="C18" s="185"/>
      <c r="D18" s="185"/>
    </row>
    <row r="19" spans="1:9">
      <c r="A19" s="185"/>
      <c r="B19" s="185"/>
      <c r="C19" s="185"/>
      <c r="D19" s="185"/>
      <c r="E19" s="182" t="s">
        <v>106</v>
      </c>
    </row>
    <row r="20" spans="1:9">
      <c r="A20" s="185"/>
      <c r="B20" s="185"/>
      <c r="C20" s="185"/>
      <c r="D20" s="185"/>
      <c r="E20" s="26" t="s">
        <v>111</v>
      </c>
    </row>
    <row r="21" spans="1:9">
      <c r="A21" s="185"/>
      <c r="B21" s="185"/>
      <c r="C21" s="185"/>
      <c r="D21" s="185"/>
      <c r="E21" s="26" t="s">
        <v>107</v>
      </c>
    </row>
    <row r="22" spans="1:9">
      <c r="A22" s="22"/>
      <c r="B22" s="22"/>
      <c r="C22" s="22"/>
      <c r="D22" s="22"/>
      <c r="E22" s="26" t="s">
        <v>112</v>
      </c>
      <c r="H22" s="26" t="s">
        <v>115</v>
      </c>
    </row>
    <row r="24" spans="1:9">
      <c r="A24" s="185" t="s">
        <v>130</v>
      </c>
      <c r="B24" s="185"/>
      <c r="C24" s="185"/>
      <c r="D24" s="185"/>
      <c r="E24" s="26" t="s">
        <v>117</v>
      </c>
    </row>
    <row r="25" spans="1:9">
      <c r="A25" s="185"/>
      <c r="B25" s="185"/>
      <c r="C25" s="185"/>
      <c r="D25" s="185"/>
      <c r="E25" s="185" t="s">
        <v>124</v>
      </c>
      <c r="F25" s="185"/>
      <c r="G25" s="146" t="s">
        <v>125</v>
      </c>
      <c r="H25" s="19">
        <v>35.785374000000012</v>
      </c>
    </row>
    <row r="26" spans="1:9">
      <c r="A26" s="185"/>
      <c r="B26" s="185"/>
      <c r="C26" s="185"/>
      <c r="D26" s="185"/>
      <c r="E26" s="185"/>
      <c r="F26" s="185"/>
      <c r="G26" s="146" t="s">
        <v>126</v>
      </c>
      <c r="H26" s="19">
        <v>92.578034000000002</v>
      </c>
      <c r="I26" s="186"/>
    </row>
    <row r="27" spans="1:9">
      <c r="A27" s="183"/>
      <c r="B27" s="183"/>
      <c r="C27" s="183"/>
      <c r="D27" s="183"/>
      <c r="E27" s="26"/>
    </row>
    <row r="29" spans="1:9">
      <c r="A29" s="185" t="s">
        <v>131</v>
      </c>
      <c r="B29" s="185"/>
      <c r="C29" s="185"/>
      <c r="D29" s="185"/>
      <c r="E29" s="26" t="s">
        <v>118</v>
      </c>
    </row>
    <row r="30" spans="1:9">
      <c r="A30" s="185"/>
      <c r="B30" s="185"/>
      <c r="C30" s="185"/>
      <c r="D30" s="185"/>
      <c r="E30" s="26" t="s">
        <v>119</v>
      </c>
    </row>
    <row r="31" spans="1:9">
      <c r="A31" s="185"/>
      <c r="B31" s="185"/>
      <c r="C31" s="185"/>
      <c r="D31" s="185"/>
      <c r="E31" s="26" t="s">
        <v>120</v>
      </c>
    </row>
  </sheetData>
  <mergeCells count="6">
    <mergeCell ref="E25:F26"/>
    <mergeCell ref="A24:D26"/>
    <mergeCell ref="A29:D31"/>
    <mergeCell ref="A9:D9"/>
    <mergeCell ref="A10:D10"/>
    <mergeCell ref="A11:D21"/>
  </mergeCells>
  <dataValidations count="1">
    <dataValidation type="list" allowBlank="1" showInputMessage="1" showErrorMessage="1" sqref="H29 K30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S26"/>
  <sheetViews>
    <sheetView topLeftCell="C1" workbookViewId="0">
      <pane ySplit="4" topLeftCell="A14" activePane="bottomLeft" state="frozen"/>
      <selection pane="bottomLeft" activeCell="E16" sqref="E16"/>
    </sheetView>
  </sheetViews>
  <sheetFormatPr baseColWidth="10" defaultRowHeight="13.2"/>
  <cols>
    <col min="1" max="1" width="14.6640625" customWidth="1"/>
    <col min="2" max="2" width="19" customWidth="1"/>
    <col min="3" max="3" width="15.6640625" customWidth="1"/>
    <col min="4" max="4" width="16.109375" customWidth="1"/>
    <col min="5" max="5" width="12.6640625" customWidth="1"/>
  </cols>
  <sheetData>
    <row r="1" spans="1:19">
      <c r="A1" s="1" t="s">
        <v>101</v>
      </c>
    </row>
    <row r="2" spans="1:19">
      <c r="B2" s="1"/>
      <c r="C2" s="1"/>
    </row>
    <row r="4" spans="1:19">
      <c r="A4" s="14" t="s">
        <v>45</v>
      </c>
      <c r="B4" s="14" t="s">
        <v>30</v>
      </c>
      <c r="C4" s="153" t="s">
        <v>42</v>
      </c>
      <c r="D4" s="153"/>
      <c r="E4" s="14" t="s">
        <v>31</v>
      </c>
    </row>
    <row r="5" spans="1:19">
      <c r="A5" s="15" t="s">
        <v>98</v>
      </c>
      <c r="B5" s="3" t="s">
        <v>33</v>
      </c>
      <c r="C5" s="152" t="s">
        <v>36</v>
      </c>
      <c r="D5" s="13" t="s">
        <v>35</v>
      </c>
      <c r="E5" s="4" t="s">
        <v>13</v>
      </c>
      <c r="F5" s="4" t="s">
        <v>0</v>
      </c>
      <c r="G5" s="4" t="s">
        <v>14</v>
      </c>
      <c r="H5" s="4" t="s">
        <v>1</v>
      </c>
      <c r="I5" s="4" t="s">
        <v>15</v>
      </c>
      <c r="J5" s="4" t="s">
        <v>2</v>
      </c>
      <c r="K5" s="4" t="s">
        <v>16</v>
      </c>
      <c r="L5" s="4" t="s">
        <v>3</v>
      </c>
      <c r="M5" s="4" t="s">
        <v>17</v>
      </c>
      <c r="N5" s="4" t="s">
        <v>4</v>
      </c>
      <c r="O5" s="4" t="s">
        <v>18</v>
      </c>
      <c r="P5" s="4" t="s">
        <v>5</v>
      </c>
    </row>
    <row r="6" spans="1:19">
      <c r="A6" s="15" t="s">
        <v>98</v>
      </c>
      <c r="B6" s="3" t="s">
        <v>34</v>
      </c>
      <c r="C6" s="152"/>
      <c r="D6" s="13" t="s">
        <v>43</v>
      </c>
      <c r="E6" s="4">
        <f t="shared" ref="E6:P6" si="0">MATCH(E5,liste_mois,0)</f>
        <v>1</v>
      </c>
      <c r="F6" s="4">
        <f t="shared" si="0"/>
        <v>2</v>
      </c>
      <c r="G6" s="4">
        <f t="shared" si="0"/>
        <v>3</v>
      </c>
      <c r="H6" s="4">
        <f t="shared" si="0"/>
        <v>4</v>
      </c>
      <c r="I6" s="4">
        <f t="shared" si="0"/>
        <v>5</v>
      </c>
      <c r="J6" s="4">
        <f t="shared" si="0"/>
        <v>6</v>
      </c>
      <c r="K6" s="4">
        <f t="shared" si="0"/>
        <v>7</v>
      </c>
      <c r="L6" s="4">
        <f t="shared" si="0"/>
        <v>8</v>
      </c>
      <c r="M6" s="4">
        <f t="shared" si="0"/>
        <v>9</v>
      </c>
      <c r="N6" s="4">
        <f t="shared" si="0"/>
        <v>10</v>
      </c>
      <c r="O6" s="4">
        <f t="shared" si="0"/>
        <v>11</v>
      </c>
      <c r="P6" s="4">
        <f t="shared" si="0"/>
        <v>12</v>
      </c>
      <c r="Q6" s="4"/>
    </row>
    <row r="7" spans="1:19">
      <c r="A7" s="24" t="s">
        <v>60</v>
      </c>
      <c r="B7" s="22" t="s">
        <v>61</v>
      </c>
      <c r="C7" s="22" t="s">
        <v>62</v>
      </c>
      <c r="D7" s="23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</row>
    <row r="8" spans="1:19">
      <c r="A8" s="13" t="s">
        <v>29</v>
      </c>
      <c r="B8" s="151" t="s">
        <v>38</v>
      </c>
      <c r="C8" s="3" t="s">
        <v>37</v>
      </c>
      <c r="D8" s="3"/>
      <c r="E8" s="4">
        <v>2026</v>
      </c>
      <c r="F8" s="4">
        <f>E8+1</f>
        <v>2027</v>
      </c>
      <c r="G8" s="4">
        <f t="shared" ref="G8:S8" si="1">F8+1</f>
        <v>2028</v>
      </c>
      <c r="H8" s="4">
        <f t="shared" si="1"/>
        <v>2029</v>
      </c>
      <c r="I8" s="4">
        <f t="shared" si="1"/>
        <v>2030</v>
      </c>
      <c r="J8" s="4">
        <f t="shared" si="1"/>
        <v>2031</v>
      </c>
      <c r="K8" s="4">
        <f t="shared" si="1"/>
        <v>2032</v>
      </c>
      <c r="L8" s="4">
        <f t="shared" si="1"/>
        <v>2033</v>
      </c>
      <c r="M8" s="4">
        <f t="shared" si="1"/>
        <v>2034</v>
      </c>
      <c r="N8" s="4">
        <f t="shared" si="1"/>
        <v>2035</v>
      </c>
      <c r="O8" s="4">
        <f t="shared" si="1"/>
        <v>2036</v>
      </c>
      <c r="P8" s="4">
        <f t="shared" si="1"/>
        <v>2037</v>
      </c>
      <c r="Q8" s="4">
        <f t="shared" si="1"/>
        <v>2038</v>
      </c>
      <c r="R8" s="4">
        <f t="shared" si="1"/>
        <v>2039</v>
      </c>
      <c r="S8" s="4">
        <f t="shared" si="1"/>
        <v>2040</v>
      </c>
    </row>
    <row r="9" spans="1:19" ht="26.4">
      <c r="A9" s="13" t="s">
        <v>29</v>
      </c>
      <c r="B9" s="152"/>
      <c r="C9" s="21" t="s">
        <v>40</v>
      </c>
      <c r="D9" s="17"/>
      <c r="E9" s="4">
        <v>2026</v>
      </c>
      <c r="F9" s="4">
        <f>E9+1</f>
        <v>2027</v>
      </c>
      <c r="G9" s="4">
        <f t="shared" ref="G9:S9" si="2">F9+1</f>
        <v>2028</v>
      </c>
      <c r="H9" s="4">
        <f t="shared" si="2"/>
        <v>2029</v>
      </c>
      <c r="I9" s="4">
        <f t="shared" si="2"/>
        <v>2030</v>
      </c>
      <c r="J9" s="4">
        <f t="shared" si="2"/>
        <v>2031</v>
      </c>
      <c r="K9" s="4">
        <f t="shared" si="2"/>
        <v>2032</v>
      </c>
      <c r="L9" s="4">
        <f t="shared" si="2"/>
        <v>2033</v>
      </c>
      <c r="M9" s="4">
        <f t="shared" si="2"/>
        <v>2034</v>
      </c>
      <c r="N9" s="4">
        <f t="shared" si="2"/>
        <v>2035</v>
      </c>
      <c r="O9" s="4">
        <f t="shared" si="2"/>
        <v>2036</v>
      </c>
      <c r="P9" s="4">
        <f t="shared" si="2"/>
        <v>2037</v>
      </c>
      <c r="Q9" s="4">
        <f t="shared" si="2"/>
        <v>2038</v>
      </c>
      <c r="R9" s="4">
        <f t="shared" si="2"/>
        <v>2039</v>
      </c>
      <c r="S9" s="4">
        <f t="shared" si="2"/>
        <v>2040</v>
      </c>
    </row>
    <row r="10" spans="1:19" ht="26.4">
      <c r="A10" s="13" t="s">
        <v>29</v>
      </c>
      <c r="B10" s="152"/>
      <c r="C10" s="17" t="s">
        <v>39</v>
      </c>
      <c r="D10" s="17"/>
      <c r="E10" s="4">
        <f ca="1">SUMIF(INDIRECT("'facturation'!"&amp;(ADDRESS(index_min,COLUMN(facturation!$D6)))):INDIRECT("'facturation'!"&amp;(ADDRESS(index_max,COLUMN(facturation!$D6)))),E$8,INDIRECT("'facturation'!"&amp;(ADDRESS(index_min,COLUMN(facturation!$L6)))):INDIRECT("'facturation'!"&amp;(ADDRESS(index_max,COLUMN(facturation!$L6)))))</f>
        <v>242</v>
      </c>
      <c r="F10" s="4">
        <f ca="1">SUMIF(INDIRECT("'facturation'!"&amp;(ADDRESS(index_min,COLUMN(facturation!$D6)))):INDIRECT("'facturation'!"&amp;(ADDRESS(index_max,COLUMN(facturation!$D6)))),F$8,INDIRECT("'facturation'!"&amp;(ADDRESS(index_min,COLUMN(facturation!$L6)))):INDIRECT("'facturation'!"&amp;(ADDRESS(index_max,COLUMN(facturation!$L6)))))</f>
        <v>0</v>
      </c>
      <c r="G10" s="4">
        <f ca="1">SUMIF(INDIRECT("'facturation'!"&amp;(ADDRESS(index_min,COLUMN(facturation!$D6)))):INDIRECT("'facturation'!"&amp;(ADDRESS(index_max,COLUMN(facturation!$D6)))),G$8,INDIRECT("'facturation'!"&amp;(ADDRESS(index_min,COLUMN(facturation!$L6)))):INDIRECT("'facturation'!"&amp;(ADDRESS(index_max,COLUMN(facturation!$L6)))))</f>
        <v>0</v>
      </c>
      <c r="H10" s="4">
        <f ca="1">SUMIF(INDIRECT("'facturation'!"&amp;(ADDRESS(index_min,COLUMN(facturation!$D6)))):INDIRECT("'facturation'!"&amp;(ADDRESS(index_max,COLUMN(facturation!$D6)))),H$8,INDIRECT("'facturation'!"&amp;(ADDRESS(index_min,COLUMN(facturation!$L6)))):INDIRECT("'facturation'!"&amp;(ADDRESS(index_max,COLUMN(facturation!$L6)))))</f>
        <v>0</v>
      </c>
      <c r="I10" s="4">
        <f ca="1">SUMIF(INDIRECT("'facturation'!"&amp;(ADDRESS(index_min,COLUMN(facturation!$D6)))):INDIRECT("'facturation'!"&amp;(ADDRESS(index_max,COLUMN(facturation!$D6)))),I$8,INDIRECT("'facturation'!"&amp;(ADDRESS(index_min,COLUMN(facturation!$L6)))):INDIRECT("'facturation'!"&amp;(ADDRESS(index_max,COLUMN(facturation!$L6)))))</f>
        <v>0</v>
      </c>
      <c r="J10" s="4">
        <f ca="1">SUMIF(INDIRECT("'facturation'!"&amp;(ADDRESS(index_min,COLUMN(facturation!$D6)))):INDIRECT("'facturation'!"&amp;(ADDRESS(index_max,COLUMN(facturation!$D6)))),J$8,INDIRECT("'facturation'!"&amp;(ADDRESS(index_min,COLUMN(facturation!$L6)))):INDIRECT("'facturation'!"&amp;(ADDRESS(index_max,COLUMN(facturation!$L6)))))</f>
        <v>0</v>
      </c>
      <c r="K10" s="4">
        <f ca="1">SUMIF(INDIRECT("'facturation'!"&amp;(ADDRESS(index_min,COLUMN(facturation!$D6)))):INDIRECT("'facturation'!"&amp;(ADDRESS(index_max,COLUMN(facturation!$D6)))),K$8,INDIRECT("'facturation'!"&amp;(ADDRESS(index_min,COLUMN(facturation!$L6)))):INDIRECT("'facturation'!"&amp;(ADDRESS(index_max,COLUMN(facturation!$L6)))))</f>
        <v>0</v>
      </c>
      <c r="L10" s="4">
        <f ca="1">SUMIF(INDIRECT("'facturation'!"&amp;(ADDRESS(index_min,COLUMN(facturation!$D6)))):INDIRECT("'facturation'!"&amp;(ADDRESS(index_max,COLUMN(facturation!$D6)))),L$8,INDIRECT("'facturation'!"&amp;(ADDRESS(index_min,COLUMN(facturation!$L6)))):INDIRECT("'facturation'!"&amp;(ADDRESS(index_max,COLUMN(facturation!$L6)))))</f>
        <v>0</v>
      </c>
      <c r="M10" s="4">
        <f ca="1">SUMIF(INDIRECT("'facturation'!"&amp;(ADDRESS(index_min,COLUMN(facturation!$D6)))):INDIRECT("'facturation'!"&amp;(ADDRESS(index_max,COLUMN(facturation!$D6)))),M$8,INDIRECT("'facturation'!"&amp;(ADDRESS(index_min,COLUMN(facturation!$L6)))):INDIRECT("'facturation'!"&amp;(ADDRESS(index_max,COLUMN(facturation!$L6)))))</f>
        <v>0</v>
      </c>
      <c r="N10" s="4">
        <f ca="1">SUMIF(INDIRECT("'facturation'!"&amp;(ADDRESS(index_min,COLUMN(facturation!$D6)))):INDIRECT("'facturation'!"&amp;(ADDRESS(index_max,COLUMN(facturation!$D6)))),N$8,INDIRECT("'facturation'!"&amp;(ADDRESS(index_min,COLUMN(facturation!$L6)))):INDIRECT("'facturation'!"&amp;(ADDRESS(index_max,COLUMN(facturation!$L6)))))</f>
        <v>0</v>
      </c>
      <c r="O10" s="4">
        <f ca="1">SUMIF(INDIRECT("'facturation'!"&amp;(ADDRESS(index_min,COLUMN(facturation!$D6)))):INDIRECT("'facturation'!"&amp;(ADDRESS(index_max,COLUMN(facturation!$D6)))),O$8,INDIRECT("'facturation'!"&amp;(ADDRESS(index_min,COLUMN(facturation!$L6)))):INDIRECT("'facturation'!"&amp;(ADDRESS(index_max,COLUMN(facturation!$L6)))))</f>
        <v>0</v>
      </c>
      <c r="P10" s="4">
        <f ca="1">SUMIF(INDIRECT("'facturation'!"&amp;(ADDRESS(index_min,COLUMN(facturation!$D6)))):INDIRECT("'facturation'!"&amp;(ADDRESS(index_max,COLUMN(facturation!$D6)))),P$8,INDIRECT("'facturation'!"&amp;(ADDRESS(index_min,COLUMN(facturation!$L6)))):INDIRECT("'facturation'!"&amp;(ADDRESS(index_max,COLUMN(facturation!$L6)))))</f>
        <v>0</v>
      </c>
      <c r="Q10" s="4">
        <f ca="1">SUMIF(INDIRECT("'facturation'!"&amp;(ADDRESS(index_min,COLUMN(facturation!$D6)))):INDIRECT("'facturation'!"&amp;(ADDRESS(index_max,COLUMN(facturation!$D6)))),Q$8,INDIRECT("'facturation'!"&amp;(ADDRESS(index_min,COLUMN(facturation!$L6)))):INDIRECT("'facturation'!"&amp;(ADDRESS(index_max,COLUMN(facturation!$L6)))))</f>
        <v>0</v>
      </c>
      <c r="R10" s="4">
        <f ca="1">SUMIF(INDIRECT("'facturation'!"&amp;(ADDRESS(index_min,COLUMN(facturation!$D6)))):INDIRECT("'facturation'!"&amp;(ADDRESS(index_max,COLUMN(facturation!$D6)))),R$8,INDIRECT("'facturation'!"&amp;(ADDRESS(index_min,COLUMN(facturation!$L6)))):INDIRECT("'facturation'!"&amp;(ADDRESS(index_max,COLUMN(facturation!$L6)))))</f>
        <v>0</v>
      </c>
      <c r="S10" s="4">
        <f ca="1">SUMIF(INDIRECT("'facturation'!"&amp;(ADDRESS(index_min,COLUMN(facturation!$D6)))):INDIRECT("'facturation'!"&amp;(ADDRESS(index_max,COLUMN(facturation!$D6)))),S$8,INDIRECT("'facturation'!"&amp;(ADDRESS(index_min,COLUMN(facturation!$L6)))):INDIRECT("'facturation'!"&amp;(ADDRESS(index_max,COLUMN(facturation!$L6)))))</f>
        <v>0</v>
      </c>
    </row>
    <row r="11" spans="1:19" ht="26.4">
      <c r="A11" s="24" t="s">
        <v>64</v>
      </c>
      <c r="B11" s="151" t="s">
        <v>28</v>
      </c>
      <c r="C11" s="21" t="s">
        <v>58</v>
      </c>
      <c r="D11" s="17"/>
      <c r="E11" s="12">
        <f ca="1">SUMIF(INDIRECT("'facturation'!"&amp;(ADDRESS(index_min,COLUMN(facturation!$D$6)))):INDIRECT("'facturation'!"&amp;(ADDRESS(index_max,COLUMN(facturation!$D$6)))),E$8,INDIRECT("'facturation'!"&amp;(ADDRESS(index_min,COLUMN(facturation!$W$6)))):INDIRECT("'facturation'!"&amp;(ADDRESS(index_max,COLUMN(facturation!$W$6)))))</f>
        <v>181.47000000000008</v>
      </c>
      <c r="F11" s="12">
        <f ca="1">SUMIF(INDIRECT("'facturation'!"&amp;(ADDRESS(index_min,COLUMN(facturation!$D$6)))):INDIRECT("'facturation'!"&amp;(ADDRESS(index_max,COLUMN(facturation!$D$6)))),F$8,INDIRECT("'facturation'!"&amp;(ADDRESS(index_min,COLUMN(facturation!$W$6)))):INDIRECT("'facturation'!"&amp;(ADDRESS(index_max,COLUMN(facturation!$W$6)))))</f>
        <v>0</v>
      </c>
      <c r="G11" s="12">
        <f ca="1">SUMIF(INDIRECT("'facturation'!"&amp;(ADDRESS(index_min,COLUMN(facturation!$D$6)))):INDIRECT("'facturation'!"&amp;(ADDRESS(index_max,COLUMN(facturation!$D$6)))),G$8,INDIRECT("'facturation'!"&amp;(ADDRESS(index_min,COLUMN(facturation!$W$6)))):INDIRECT("'facturation'!"&amp;(ADDRESS(index_max,COLUMN(facturation!$W$6)))))</f>
        <v>0</v>
      </c>
      <c r="H11" s="12">
        <f ca="1">SUMIF(INDIRECT("'facturation'!"&amp;(ADDRESS(index_min,COLUMN(facturation!$D$6)))):INDIRECT("'facturation'!"&amp;(ADDRESS(index_max,COLUMN(facturation!$D$6)))),H$8,INDIRECT("'facturation'!"&amp;(ADDRESS(index_min,COLUMN(facturation!$W$6)))):INDIRECT("'facturation'!"&amp;(ADDRESS(index_max,COLUMN(facturation!$W$6)))))</f>
        <v>0</v>
      </c>
      <c r="I11" s="12">
        <f ca="1">SUMIF(INDIRECT("'facturation'!"&amp;(ADDRESS(index_min,COLUMN(facturation!$D$6)))):INDIRECT("'facturation'!"&amp;(ADDRESS(index_max,COLUMN(facturation!$D$6)))),I$8,INDIRECT("'facturation'!"&amp;(ADDRESS(index_min,COLUMN(facturation!$W$6)))):INDIRECT("'facturation'!"&amp;(ADDRESS(index_max,COLUMN(facturation!$W$6)))))</f>
        <v>0</v>
      </c>
      <c r="J11" s="12">
        <f ca="1">SUMIF(INDIRECT("'facturation'!"&amp;(ADDRESS(index_min,COLUMN(facturation!$D$6)))):INDIRECT("'facturation'!"&amp;(ADDRESS(index_max,COLUMN(facturation!$D$6)))),J$8,INDIRECT("'facturation'!"&amp;(ADDRESS(index_min,COLUMN(facturation!$W$6)))):INDIRECT("'facturation'!"&amp;(ADDRESS(index_max,COLUMN(facturation!$W$6)))))</f>
        <v>0</v>
      </c>
      <c r="K11" s="12">
        <f ca="1">SUMIF(INDIRECT("'facturation'!"&amp;(ADDRESS(index_min,COLUMN(facturation!$D$6)))):INDIRECT("'facturation'!"&amp;(ADDRESS(index_max,COLUMN(facturation!$D$6)))),K$8,INDIRECT("'facturation'!"&amp;(ADDRESS(index_min,COLUMN(facturation!$W$6)))):INDIRECT("'facturation'!"&amp;(ADDRESS(index_max,COLUMN(facturation!$W$6)))))</f>
        <v>0</v>
      </c>
      <c r="L11" s="12">
        <f ca="1">SUMIF(INDIRECT("'facturation'!"&amp;(ADDRESS(index_min,COLUMN(facturation!$D$6)))):INDIRECT("'facturation'!"&amp;(ADDRESS(index_max,COLUMN(facturation!$D$6)))),L$8,INDIRECT("'facturation'!"&amp;(ADDRESS(index_min,COLUMN(facturation!$W$6)))):INDIRECT("'facturation'!"&amp;(ADDRESS(index_max,COLUMN(facturation!$W$6)))))</f>
        <v>0</v>
      </c>
      <c r="M11" s="12">
        <f ca="1">SUMIF(INDIRECT("'facturation'!"&amp;(ADDRESS(index_min,COLUMN(facturation!$D$6)))):INDIRECT("'facturation'!"&amp;(ADDRESS(index_max,COLUMN(facturation!$D$6)))),M$8,INDIRECT("'facturation'!"&amp;(ADDRESS(index_min,COLUMN(facturation!$W$6)))):INDIRECT("'facturation'!"&amp;(ADDRESS(index_max,COLUMN(facturation!$W$6)))))</f>
        <v>0</v>
      </c>
      <c r="N11" s="12">
        <f ca="1">SUMIF(INDIRECT("'facturation'!"&amp;(ADDRESS(index_min,COLUMN(facturation!$D$6)))):INDIRECT("'facturation'!"&amp;(ADDRESS(index_max,COLUMN(facturation!$D$6)))),N$8,INDIRECT("'facturation'!"&amp;(ADDRESS(index_min,COLUMN(facturation!$W$6)))):INDIRECT("'facturation'!"&amp;(ADDRESS(index_max,COLUMN(facturation!$W$6)))))</f>
        <v>0</v>
      </c>
      <c r="O11" s="12">
        <f ca="1">SUMIF(INDIRECT("'facturation'!"&amp;(ADDRESS(index_min,COLUMN(facturation!$D$6)))):INDIRECT("'facturation'!"&amp;(ADDRESS(index_max,COLUMN(facturation!$D$6)))),O$8,INDIRECT("'facturation'!"&amp;(ADDRESS(index_min,COLUMN(facturation!$W$6)))):INDIRECT("'facturation'!"&amp;(ADDRESS(index_max,COLUMN(facturation!$W$6)))))</f>
        <v>0</v>
      </c>
      <c r="P11" s="12">
        <f ca="1">SUMIF(INDIRECT("'facturation'!"&amp;(ADDRESS(index_min,COLUMN(facturation!$D$6)))):INDIRECT("'facturation'!"&amp;(ADDRESS(index_max,COLUMN(facturation!$D$6)))),P$8,INDIRECT("'facturation'!"&amp;(ADDRESS(index_min,COLUMN(facturation!$W$6)))):INDIRECT("'facturation'!"&amp;(ADDRESS(index_max,COLUMN(facturation!$W$6)))))</f>
        <v>0</v>
      </c>
      <c r="Q11" s="12">
        <f ca="1">SUMIF(INDIRECT("'facturation'!"&amp;(ADDRESS(index_min,COLUMN(facturation!$D$6)))):INDIRECT("'facturation'!"&amp;(ADDRESS(index_max,COLUMN(facturation!$D$6)))),Q$8,INDIRECT("'facturation'!"&amp;(ADDRESS(index_min,COLUMN(facturation!$W$6)))):INDIRECT("'facturation'!"&amp;(ADDRESS(index_max,COLUMN(facturation!$W$6)))))</f>
        <v>0</v>
      </c>
      <c r="R11" s="12">
        <f ca="1">SUMIF(INDIRECT("'facturation'!"&amp;(ADDRESS(index_min,COLUMN(facturation!$D$6)))):INDIRECT("'facturation'!"&amp;(ADDRESS(index_max,COLUMN(facturation!$D$6)))),R$8,INDIRECT("'facturation'!"&amp;(ADDRESS(index_min,COLUMN(facturation!$W$6)))):INDIRECT("'facturation'!"&amp;(ADDRESS(index_max,COLUMN(facturation!$W$6)))))</f>
        <v>0</v>
      </c>
      <c r="S11" s="12">
        <f ca="1">SUMIF(INDIRECT("'facturation'!"&amp;(ADDRESS(index_min,COLUMN(facturation!$D$6)))):INDIRECT("'facturation'!"&amp;(ADDRESS(index_max,COLUMN(facturation!$D$6)))),S$8,INDIRECT("'facturation'!"&amp;(ADDRESS(index_min,COLUMN(facturation!$W$6)))):INDIRECT("'facturation'!"&amp;(ADDRESS(index_max,COLUMN(facturation!$W$6)))))</f>
        <v>0</v>
      </c>
    </row>
    <row r="12" spans="1:19" ht="26.4">
      <c r="A12" s="24" t="s">
        <v>64</v>
      </c>
      <c r="B12" s="151"/>
      <c r="C12" s="21" t="s">
        <v>57</v>
      </c>
      <c r="D12" s="17"/>
      <c r="E12" s="12">
        <f ca="1">SUMIF(INDIRECT("'facturation'!"&amp;(ADDRESS(index_min,COLUMN(facturation!$D$6)))):INDIRECT("'facturation'!"&amp;(ADDRESS(index_max,COLUMN(facturation!$D$6)))),E$8,INDIRECT("'facturation'!"&amp;(ADDRESS(index_min,COLUMN(facturation!$V$6)))):INDIRECT("'facturation'!"&amp;(ADDRESS(index_max,COLUMN(facturation!$V$6)))))</f>
        <v>181.47494399999999</v>
      </c>
      <c r="F12" s="12">
        <f ca="1">SUMIF(INDIRECT("'facturation'!"&amp;(ADDRESS(index_min,COLUMN(facturation!$D$6)))):INDIRECT("'facturation'!"&amp;(ADDRESS(index_max,COLUMN(facturation!$D$6)))),F$8,INDIRECT("'facturation'!"&amp;(ADDRESS(index_min,COLUMN(facturation!$V$6)))):INDIRECT("'facturation'!"&amp;(ADDRESS(index_max,COLUMN(facturation!$V$6)))))</f>
        <v>0</v>
      </c>
      <c r="G12" s="12">
        <f ca="1">SUMIF(INDIRECT("'facturation'!"&amp;(ADDRESS(index_min,COLUMN(facturation!$D$6)))):INDIRECT("'facturation'!"&amp;(ADDRESS(index_max,COLUMN(facturation!$D$6)))),G$8,INDIRECT("'facturation'!"&amp;(ADDRESS(index_min,COLUMN(facturation!$V$6)))):INDIRECT("'facturation'!"&amp;(ADDRESS(index_max,COLUMN(facturation!$V$6)))))</f>
        <v>0</v>
      </c>
      <c r="H12" s="12">
        <f ca="1">SUMIF(INDIRECT("'facturation'!"&amp;(ADDRESS(index_min,COLUMN(facturation!$D$6)))):INDIRECT("'facturation'!"&amp;(ADDRESS(index_max,COLUMN(facturation!$D$6)))),H$8,INDIRECT("'facturation'!"&amp;(ADDRESS(index_min,COLUMN(facturation!$V$6)))):INDIRECT("'facturation'!"&amp;(ADDRESS(index_max,COLUMN(facturation!$V$6)))))</f>
        <v>0</v>
      </c>
      <c r="I12" s="12">
        <f ca="1">SUMIF(INDIRECT("'facturation'!"&amp;(ADDRESS(index_min,COLUMN(facturation!$D$6)))):INDIRECT("'facturation'!"&amp;(ADDRESS(index_max,COLUMN(facturation!$D$6)))),I$8,INDIRECT("'facturation'!"&amp;(ADDRESS(index_min,COLUMN(facturation!$V$6)))):INDIRECT("'facturation'!"&amp;(ADDRESS(index_max,COLUMN(facturation!$V$6)))))</f>
        <v>0</v>
      </c>
      <c r="J12" s="12">
        <f ca="1">SUMIF(INDIRECT("'facturation'!"&amp;(ADDRESS(index_min,COLUMN(facturation!$D$6)))):INDIRECT("'facturation'!"&amp;(ADDRESS(index_max,COLUMN(facturation!$D$6)))),J$8,INDIRECT("'facturation'!"&amp;(ADDRESS(index_min,COLUMN(facturation!$V$6)))):INDIRECT("'facturation'!"&amp;(ADDRESS(index_max,COLUMN(facturation!$V$6)))))</f>
        <v>0</v>
      </c>
      <c r="K12" s="12">
        <f ca="1">SUMIF(INDIRECT("'facturation'!"&amp;(ADDRESS(index_min,COLUMN(facturation!$D$6)))):INDIRECT("'facturation'!"&amp;(ADDRESS(index_max,COLUMN(facturation!$D$6)))),K$8,INDIRECT("'facturation'!"&amp;(ADDRESS(index_min,COLUMN(facturation!$V$6)))):INDIRECT("'facturation'!"&amp;(ADDRESS(index_max,COLUMN(facturation!$V$6)))))</f>
        <v>0</v>
      </c>
      <c r="L12" s="12">
        <f ca="1">SUMIF(INDIRECT("'facturation'!"&amp;(ADDRESS(index_min,COLUMN(facturation!$D$6)))):INDIRECT("'facturation'!"&amp;(ADDRESS(index_max,COLUMN(facturation!$D$6)))),L$8,INDIRECT("'facturation'!"&amp;(ADDRESS(index_min,COLUMN(facturation!$V$6)))):INDIRECT("'facturation'!"&amp;(ADDRESS(index_max,COLUMN(facturation!$V$6)))))</f>
        <v>0</v>
      </c>
      <c r="M12" s="12">
        <f ca="1">SUMIF(INDIRECT("'facturation'!"&amp;(ADDRESS(index_min,COLUMN(facturation!$D$6)))):INDIRECT("'facturation'!"&amp;(ADDRESS(index_max,COLUMN(facturation!$D$6)))),M$8,INDIRECT("'facturation'!"&amp;(ADDRESS(index_min,COLUMN(facturation!$V$6)))):INDIRECT("'facturation'!"&amp;(ADDRESS(index_max,COLUMN(facturation!$V$6)))))</f>
        <v>0</v>
      </c>
      <c r="N12" s="12">
        <f ca="1">SUMIF(INDIRECT("'facturation'!"&amp;(ADDRESS(index_min,COLUMN(facturation!$D$6)))):INDIRECT("'facturation'!"&amp;(ADDRESS(index_max,COLUMN(facturation!$D$6)))),N$8,INDIRECT("'facturation'!"&amp;(ADDRESS(index_min,COLUMN(facturation!$V$6)))):INDIRECT("'facturation'!"&amp;(ADDRESS(index_max,COLUMN(facturation!$V$6)))))</f>
        <v>0</v>
      </c>
      <c r="O12" s="12">
        <f ca="1">SUMIF(INDIRECT("'facturation'!"&amp;(ADDRESS(index_min,COLUMN(facturation!$D$6)))):INDIRECT("'facturation'!"&amp;(ADDRESS(index_max,COLUMN(facturation!$D$6)))),O$8,INDIRECT("'facturation'!"&amp;(ADDRESS(index_min,COLUMN(facturation!$V$6)))):INDIRECT("'facturation'!"&amp;(ADDRESS(index_max,COLUMN(facturation!$V$6)))))</f>
        <v>0</v>
      </c>
      <c r="P12" s="12">
        <f ca="1">SUMIF(INDIRECT("'facturation'!"&amp;(ADDRESS(index_min,COLUMN(facturation!$D$6)))):INDIRECT("'facturation'!"&amp;(ADDRESS(index_max,COLUMN(facturation!$D$6)))),P$8,INDIRECT("'facturation'!"&amp;(ADDRESS(index_min,COLUMN(facturation!$V$6)))):INDIRECT("'facturation'!"&amp;(ADDRESS(index_max,COLUMN(facturation!$V$6)))))</f>
        <v>0</v>
      </c>
      <c r="Q12" s="12">
        <f ca="1">SUMIF(INDIRECT("'facturation'!"&amp;(ADDRESS(index_min,COLUMN(facturation!$D$6)))):INDIRECT("'facturation'!"&amp;(ADDRESS(index_max,COLUMN(facturation!$D$6)))),Q$8,INDIRECT("'facturation'!"&amp;(ADDRESS(index_min,COLUMN(facturation!$V$6)))):INDIRECT("'facturation'!"&amp;(ADDRESS(index_max,COLUMN(facturation!$V$6)))))</f>
        <v>0</v>
      </c>
      <c r="R12" s="12">
        <f ca="1">SUMIF(INDIRECT("'facturation'!"&amp;(ADDRESS(index_min,COLUMN(facturation!$D$6)))):INDIRECT("'facturation'!"&amp;(ADDRESS(index_max,COLUMN(facturation!$D$6)))),R$8,INDIRECT("'facturation'!"&amp;(ADDRESS(index_min,COLUMN(facturation!$V$6)))):INDIRECT("'facturation'!"&amp;(ADDRESS(index_max,COLUMN(facturation!$V$6)))))</f>
        <v>0</v>
      </c>
      <c r="S12" s="12">
        <f ca="1">SUMIF(INDIRECT("'facturation'!"&amp;(ADDRESS(index_min,COLUMN(facturation!$D$6)))):INDIRECT("'facturation'!"&amp;(ADDRESS(index_max,COLUMN(facturation!$D$6)))),S$8,INDIRECT("'facturation'!"&amp;(ADDRESS(index_min,COLUMN(facturation!$V$6)))):INDIRECT("'facturation'!"&amp;(ADDRESS(index_max,COLUMN(facturation!$V$6)))))</f>
        <v>0</v>
      </c>
    </row>
    <row r="13" spans="1:19" ht="26.4">
      <c r="A13" s="24" t="s">
        <v>64</v>
      </c>
      <c r="B13" s="151"/>
      <c r="C13" s="17" t="s">
        <v>41</v>
      </c>
      <c r="D13" s="17"/>
      <c r="E13" s="4">
        <f ca="1">SUMIF(INDIRECT("'facturation'!"&amp;(ADDRESS(index_min,COLUMN(facturation!$D$6)))):INDIRECT("'facturation'!"&amp;(ADDRESS(index_max,COLUMN(facturation!$D$6)))),E$8,INDIRECT("'facturation'!"&amp;(ADDRESS(index_min,COLUMN(facturation!$XR$6)))):INDIRECT("'facturation'!"&amp;(ADDRESS(index_max,COLUMN(facturation!$Q$6)))))</f>
        <v>1603</v>
      </c>
      <c r="F13" s="4">
        <f ca="1">SUMIF(INDIRECT("'facturation'!"&amp;(ADDRESS(index_min,COLUMN(facturation!$D$6)))):INDIRECT("'facturation'!"&amp;(ADDRESS(index_max,COLUMN(facturation!$D$6)))),F$8,INDIRECT("'facturation'!"&amp;(ADDRESS(index_min,COLUMN(facturation!$XR$6)))):INDIRECT("'facturation'!"&amp;(ADDRESS(index_max,COLUMN(facturation!$Q$6)))))</f>
        <v>0</v>
      </c>
      <c r="G13" s="4">
        <f ca="1">SUMIF(INDIRECT("'facturation'!"&amp;(ADDRESS(index_min,COLUMN(facturation!$D$6)))):INDIRECT("'facturation'!"&amp;(ADDRESS(index_max,COLUMN(facturation!$D$6)))),G$8,INDIRECT("'facturation'!"&amp;(ADDRESS(index_min,COLUMN(facturation!$XR$6)))):INDIRECT("'facturation'!"&amp;(ADDRESS(index_max,COLUMN(facturation!$Q$6)))))</f>
        <v>0</v>
      </c>
      <c r="H13" s="4">
        <f ca="1">SUMIF(INDIRECT("'facturation'!"&amp;(ADDRESS(index_min,COLUMN(facturation!$D$6)))):INDIRECT("'facturation'!"&amp;(ADDRESS(index_max,COLUMN(facturation!$D$6)))),H$8,INDIRECT("'facturation'!"&amp;(ADDRESS(index_min,COLUMN(facturation!$XR$6)))):INDIRECT("'facturation'!"&amp;(ADDRESS(index_max,COLUMN(facturation!$Q$6)))))</f>
        <v>0</v>
      </c>
      <c r="I13" s="4">
        <f ca="1">SUMIF(INDIRECT("'facturation'!"&amp;(ADDRESS(index_min,COLUMN(facturation!$D$6)))):INDIRECT("'facturation'!"&amp;(ADDRESS(index_max,COLUMN(facturation!$D$6)))),I$8,INDIRECT("'facturation'!"&amp;(ADDRESS(index_min,COLUMN(facturation!$XR$6)))):INDIRECT("'facturation'!"&amp;(ADDRESS(index_max,COLUMN(facturation!$Q$6)))))</f>
        <v>0</v>
      </c>
      <c r="J13" s="4">
        <f ca="1">SUMIF(INDIRECT("'facturation'!"&amp;(ADDRESS(index_min,COLUMN(facturation!$D$6)))):INDIRECT("'facturation'!"&amp;(ADDRESS(index_max,COLUMN(facturation!$D$6)))),J$8,INDIRECT("'facturation'!"&amp;(ADDRESS(index_min,COLUMN(facturation!$XR$6)))):INDIRECT("'facturation'!"&amp;(ADDRESS(index_max,COLUMN(facturation!$Q$6)))))</f>
        <v>0</v>
      </c>
      <c r="K13" s="4">
        <f ca="1">SUMIF(INDIRECT("'facturation'!"&amp;(ADDRESS(index_min,COLUMN(facturation!$D$6)))):INDIRECT("'facturation'!"&amp;(ADDRESS(index_max,COLUMN(facturation!$D$6)))),K$8,INDIRECT("'facturation'!"&amp;(ADDRESS(index_min,COLUMN(facturation!$XR$6)))):INDIRECT("'facturation'!"&amp;(ADDRESS(index_max,COLUMN(facturation!$Q$6)))))</f>
        <v>0</v>
      </c>
      <c r="L13" s="4">
        <f ca="1">SUMIF(INDIRECT("'facturation'!"&amp;(ADDRESS(index_min,COLUMN(facturation!$D$6)))):INDIRECT("'facturation'!"&amp;(ADDRESS(index_max,COLUMN(facturation!$D$6)))),L$8,INDIRECT("'facturation'!"&amp;(ADDRESS(index_min,COLUMN(facturation!$XR$6)))):INDIRECT("'facturation'!"&amp;(ADDRESS(index_max,COLUMN(facturation!$Q$6)))))</f>
        <v>0</v>
      </c>
      <c r="M13" s="4">
        <f ca="1">SUMIF(INDIRECT("'facturation'!"&amp;(ADDRESS(index_min,COLUMN(facturation!$D$6)))):INDIRECT("'facturation'!"&amp;(ADDRESS(index_max,COLUMN(facturation!$D$6)))),M$8,INDIRECT("'facturation'!"&amp;(ADDRESS(index_min,COLUMN(facturation!$XR$6)))):INDIRECT("'facturation'!"&amp;(ADDRESS(index_max,COLUMN(facturation!$Q$6)))))</f>
        <v>0</v>
      </c>
      <c r="N13" s="4">
        <f ca="1">SUMIF(INDIRECT("'facturation'!"&amp;(ADDRESS(index_min,COLUMN(facturation!$D$6)))):INDIRECT("'facturation'!"&amp;(ADDRESS(index_max,COLUMN(facturation!$D$6)))),N$8,INDIRECT("'facturation'!"&amp;(ADDRESS(index_min,COLUMN(facturation!$XR$6)))):INDIRECT("'facturation'!"&amp;(ADDRESS(index_max,COLUMN(facturation!$Q$6)))))</f>
        <v>0</v>
      </c>
      <c r="O13" s="4">
        <f ca="1">SUMIF(INDIRECT("'facturation'!"&amp;(ADDRESS(index_min,COLUMN(facturation!$D$6)))):INDIRECT("'facturation'!"&amp;(ADDRESS(index_max,COLUMN(facturation!$D$6)))),O$8,INDIRECT("'facturation'!"&amp;(ADDRESS(index_min,COLUMN(facturation!$XR$6)))):INDIRECT("'facturation'!"&amp;(ADDRESS(index_max,COLUMN(facturation!$Q$6)))))</f>
        <v>0</v>
      </c>
      <c r="P13" s="4">
        <f ca="1">SUMIF(INDIRECT("'facturation'!"&amp;(ADDRESS(index_min,COLUMN(facturation!$D$6)))):INDIRECT("'facturation'!"&amp;(ADDRESS(index_max,COLUMN(facturation!$D$6)))),P$8,INDIRECT("'facturation'!"&amp;(ADDRESS(index_min,COLUMN(facturation!$XR$6)))):INDIRECT("'facturation'!"&amp;(ADDRESS(index_max,COLUMN(facturation!$Q$6)))))</f>
        <v>0</v>
      </c>
      <c r="Q13" s="4">
        <f ca="1">SUMIF(INDIRECT("'facturation'!"&amp;(ADDRESS(index_min,COLUMN(facturation!$D$6)))):INDIRECT("'facturation'!"&amp;(ADDRESS(index_max,COLUMN(facturation!$D$6)))),Q$8,INDIRECT("'facturation'!"&amp;(ADDRESS(index_min,COLUMN(facturation!$XR$6)))):INDIRECT("'facturation'!"&amp;(ADDRESS(index_max,COLUMN(facturation!$Q$6)))))</f>
        <v>0</v>
      </c>
      <c r="R13" s="4">
        <f ca="1">SUMIF(INDIRECT("'facturation'!"&amp;(ADDRESS(index_min,COLUMN(facturation!$D$6)))):INDIRECT("'facturation'!"&amp;(ADDRESS(index_max,COLUMN(facturation!$D$6)))),R$8,INDIRECT("'facturation'!"&amp;(ADDRESS(index_min,COLUMN(facturation!$XR$6)))):INDIRECT("'facturation'!"&amp;(ADDRESS(index_max,COLUMN(facturation!$Q$6)))))</f>
        <v>0</v>
      </c>
      <c r="S13" s="4">
        <f ca="1">SUMIF(INDIRECT("'facturation'!"&amp;(ADDRESS(index_min,COLUMN(facturation!$D$6)))):INDIRECT("'facturation'!"&amp;(ADDRESS(index_max,COLUMN(facturation!$D$6)))),S$8,INDIRECT("'facturation'!"&amp;(ADDRESS(index_min,COLUMN(facturation!$XR$6)))):INDIRECT("'facturation'!"&amp;(ADDRESS(index_max,COLUMN(facturation!$Q$6)))))</f>
        <v>0</v>
      </c>
    </row>
    <row r="14" spans="1:19" ht="26.4">
      <c r="A14" s="24" t="s">
        <v>64</v>
      </c>
      <c r="B14" s="151"/>
      <c r="C14" s="21" t="s">
        <v>51</v>
      </c>
      <c r="E14" s="12">
        <f ca="1">SUMIF(INDIRECT("'facturation'!"&amp;(ADDRESS(index_min,COLUMN(facturation!$D$6)))):INDIRECT("'facturation'!"&amp;(ADDRESS(index_max,COLUMN(facturation!$D$6)))),E$8,INDIRECT("'facturation'!"&amp;(ADDRESS(index_min,COLUMN(facturation!$Y$6)))):INDIRECT("'facturation'!"&amp;(ADDRESS(index_max,COLUMN(facturation!$Y$6)))))</f>
        <v>71.791959999999989</v>
      </c>
      <c r="F14" s="12">
        <f ca="1">SUMIF(INDIRECT("'facturation'!"&amp;(ADDRESS(index_min,COLUMN(facturation!$D$6)))):INDIRECT("'facturation'!"&amp;(ADDRESS(index_max,COLUMN(facturation!$D$6)))),F$8,INDIRECT("'facturation'!"&amp;(ADDRESS(index_min,COLUMN(facturation!$Y$6)))):INDIRECT("'facturation'!"&amp;(ADDRESS(index_max,COLUMN(facturation!$Y$6)))))</f>
        <v>0</v>
      </c>
      <c r="G14" s="12">
        <f ca="1">SUMIF(INDIRECT("'facturation'!"&amp;(ADDRESS(index_min,COLUMN(facturation!$D$6)))):INDIRECT("'facturation'!"&amp;(ADDRESS(index_max,COLUMN(facturation!$D$6)))),G$8,INDIRECT("'facturation'!"&amp;(ADDRESS(index_min,COLUMN(facturation!$Y$6)))):INDIRECT("'facturation'!"&amp;(ADDRESS(index_max,COLUMN(facturation!$Y$6)))))</f>
        <v>0</v>
      </c>
      <c r="H14" s="12">
        <f ca="1">SUMIF(INDIRECT("'facturation'!"&amp;(ADDRESS(index_min,COLUMN(facturation!$D$6)))):INDIRECT("'facturation'!"&amp;(ADDRESS(index_max,COLUMN(facturation!$D$6)))),H$8,INDIRECT("'facturation'!"&amp;(ADDRESS(index_min,COLUMN(facturation!$Y$6)))):INDIRECT("'facturation'!"&amp;(ADDRESS(index_max,COLUMN(facturation!$Y$6)))))</f>
        <v>0</v>
      </c>
      <c r="I14" s="12">
        <f ca="1">SUMIF(INDIRECT("'facturation'!"&amp;(ADDRESS(index_min,COLUMN(facturation!$D$6)))):INDIRECT("'facturation'!"&amp;(ADDRESS(index_max,COLUMN(facturation!$D$6)))),I$8,INDIRECT("'facturation'!"&amp;(ADDRESS(index_min,COLUMN(facturation!$Y$6)))):INDIRECT("'facturation'!"&amp;(ADDRESS(index_max,COLUMN(facturation!$Y$6)))))</f>
        <v>0</v>
      </c>
      <c r="J14" s="12">
        <f ca="1">SUMIF(INDIRECT("'facturation'!"&amp;(ADDRESS(index_min,COLUMN(facturation!$D$6)))):INDIRECT("'facturation'!"&amp;(ADDRESS(index_max,COLUMN(facturation!$D$6)))),J$8,INDIRECT("'facturation'!"&amp;(ADDRESS(index_min,COLUMN(facturation!$Y$6)))):INDIRECT("'facturation'!"&amp;(ADDRESS(index_max,COLUMN(facturation!$Y$6)))))</f>
        <v>0</v>
      </c>
      <c r="K14" s="12">
        <f ca="1">SUMIF(INDIRECT("'facturation'!"&amp;(ADDRESS(index_min,COLUMN(facturation!$D$6)))):INDIRECT("'facturation'!"&amp;(ADDRESS(index_max,COLUMN(facturation!$D$6)))),K$8,INDIRECT("'facturation'!"&amp;(ADDRESS(index_min,COLUMN(facturation!$Y$6)))):INDIRECT("'facturation'!"&amp;(ADDRESS(index_max,COLUMN(facturation!$Y$6)))))</f>
        <v>0</v>
      </c>
      <c r="L14" s="12">
        <f ca="1">SUMIF(INDIRECT("'facturation'!"&amp;(ADDRESS(index_min,COLUMN(facturation!$D$6)))):INDIRECT("'facturation'!"&amp;(ADDRESS(index_max,COLUMN(facturation!$D$6)))),L$8,INDIRECT("'facturation'!"&amp;(ADDRESS(index_min,COLUMN(facturation!$Y$6)))):INDIRECT("'facturation'!"&amp;(ADDRESS(index_max,COLUMN(facturation!$Y$6)))))</f>
        <v>0</v>
      </c>
      <c r="M14" s="12">
        <f ca="1">SUMIF(INDIRECT("'facturation'!"&amp;(ADDRESS(index_min,COLUMN(facturation!$D$6)))):INDIRECT("'facturation'!"&amp;(ADDRESS(index_max,COLUMN(facturation!$D$6)))),M$8,INDIRECT("'facturation'!"&amp;(ADDRESS(index_min,COLUMN(facturation!$Y$6)))):INDIRECT("'facturation'!"&amp;(ADDRESS(index_max,COLUMN(facturation!$Y$6)))))</f>
        <v>0</v>
      </c>
      <c r="N14" s="12">
        <f ca="1">SUMIF(INDIRECT("'facturation'!"&amp;(ADDRESS(index_min,COLUMN(facturation!$D$6)))):INDIRECT("'facturation'!"&amp;(ADDRESS(index_max,COLUMN(facturation!$D$6)))),N$8,INDIRECT("'facturation'!"&amp;(ADDRESS(index_min,COLUMN(facturation!$Y$6)))):INDIRECT("'facturation'!"&amp;(ADDRESS(index_max,COLUMN(facturation!$Y$6)))))</f>
        <v>0</v>
      </c>
      <c r="O14" s="12">
        <f ca="1">SUMIF(INDIRECT("'facturation'!"&amp;(ADDRESS(index_min,COLUMN(facturation!$D$6)))):INDIRECT("'facturation'!"&amp;(ADDRESS(index_max,COLUMN(facturation!$D$6)))),O$8,INDIRECT("'facturation'!"&amp;(ADDRESS(index_min,COLUMN(facturation!$Y$6)))):INDIRECT("'facturation'!"&amp;(ADDRESS(index_max,COLUMN(facturation!$Y$6)))))</f>
        <v>0</v>
      </c>
      <c r="P14" s="12">
        <f ca="1">SUMIF(INDIRECT("'facturation'!"&amp;(ADDRESS(index_min,COLUMN(facturation!$D$6)))):INDIRECT("'facturation'!"&amp;(ADDRESS(index_max,COLUMN(facturation!$D$6)))),P$8,INDIRECT("'facturation'!"&amp;(ADDRESS(index_min,COLUMN(facturation!$Y$6)))):INDIRECT("'facturation'!"&amp;(ADDRESS(index_max,COLUMN(facturation!$Y$6)))))</f>
        <v>0</v>
      </c>
      <c r="Q14" s="12">
        <f ca="1">SUMIF(INDIRECT("'facturation'!"&amp;(ADDRESS(index_min,COLUMN(facturation!$D$6)))):INDIRECT("'facturation'!"&amp;(ADDRESS(index_max,COLUMN(facturation!$D$6)))),Q$8,INDIRECT("'facturation'!"&amp;(ADDRESS(index_min,COLUMN(facturation!$Y$6)))):INDIRECT("'facturation'!"&amp;(ADDRESS(index_max,COLUMN(facturation!$Y$6)))))</f>
        <v>0</v>
      </c>
      <c r="R14" s="12">
        <f ca="1">SUMIF(INDIRECT("'facturation'!"&amp;(ADDRESS(index_min,COLUMN(facturation!$D$6)))):INDIRECT("'facturation'!"&amp;(ADDRESS(index_max,COLUMN(facturation!$D$6)))),R$8,INDIRECT("'facturation'!"&amp;(ADDRESS(index_min,COLUMN(facturation!$Y$6)))):INDIRECT("'facturation'!"&amp;(ADDRESS(index_max,COLUMN(facturation!$Y$6)))))</f>
        <v>0</v>
      </c>
      <c r="S14" s="12">
        <f ca="1">SUMIF(INDIRECT("'facturation'!"&amp;(ADDRESS(index_min,COLUMN(facturation!$D$6)))):INDIRECT("'facturation'!"&amp;(ADDRESS(index_max,COLUMN(facturation!$D$6)))),S$8,INDIRECT("'facturation'!"&amp;(ADDRESS(index_min,COLUMN(facturation!$Y$6)))):INDIRECT("'facturation'!"&amp;(ADDRESS(index_max,COLUMN(facturation!$Y$6)))))</f>
        <v>0</v>
      </c>
    </row>
    <row r="15" spans="1:19" ht="26.4">
      <c r="A15" s="24" t="s">
        <v>64</v>
      </c>
      <c r="B15" s="151"/>
      <c r="C15" s="21" t="s">
        <v>52</v>
      </c>
      <c r="E15" s="12">
        <f ca="1">SUMIF(INDIRECT("'facturation'!"&amp;(ADDRESS(index_min,COLUMN(facturation!$D$6)))):INDIRECT("'facturation'!"&amp;(ADDRESS(index_max,COLUMN(facturation!$D$6)))),E$8,INDIRECT("'facturation'!"&amp;(ADDRESS(index_min,COLUMN(facturation!$Z$6)))):INDIRECT("'facturation'!"&amp;(ADDRESS(index_max,COLUMN(facturation!$Z$6)))))</f>
        <v>14.644499999999994</v>
      </c>
      <c r="F15" s="12">
        <f ca="1">SUMIF(INDIRECT("'facturation'!"&amp;(ADDRESS(index_min,COLUMN(facturation!$D$6)))):INDIRECT("'facturation'!"&amp;(ADDRESS(index_max,COLUMN(facturation!$D$6)))),F$8,INDIRECT("'facturation'!"&amp;(ADDRESS(index_min,COLUMN(facturation!$Z$6)))):INDIRECT("'facturation'!"&amp;(ADDRESS(index_max,COLUMN(facturation!$Z$6)))))</f>
        <v>0</v>
      </c>
      <c r="G15" s="12">
        <f ca="1">SUMIF(INDIRECT("'facturation'!"&amp;(ADDRESS(index_min,COLUMN(facturation!$D$6)))):INDIRECT("'facturation'!"&amp;(ADDRESS(index_max,COLUMN(facturation!$D$6)))),G$8,INDIRECT("'facturation'!"&amp;(ADDRESS(index_min,COLUMN(facturation!$Z$6)))):INDIRECT("'facturation'!"&amp;(ADDRESS(index_max,COLUMN(facturation!$Z$6)))))</f>
        <v>0</v>
      </c>
      <c r="H15" s="12">
        <f ca="1">SUMIF(INDIRECT("'facturation'!"&amp;(ADDRESS(index_min,COLUMN(facturation!$D$6)))):INDIRECT("'facturation'!"&amp;(ADDRESS(index_max,COLUMN(facturation!$D$6)))),H$8,INDIRECT("'facturation'!"&amp;(ADDRESS(index_min,COLUMN(facturation!$Z$6)))):INDIRECT("'facturation'!"&amp;(ADDRESS(index_max,COLUMN(facturation!$Z$6)))))</f>
        <v>0</v>
      </c>
      <c r="I15" s="12">
        <f ca="1">SUMIF(INDIRECT("'facturation'!"&amp;(ADDRESS(index_min,COLUMN(facturation!$D$6)))):INDIRECT("'facturation'!"&amp;(ADDRESS(index_max,COLUMN(facturation!$D$6)))),I$8,INDIRECT("'facturation'!"&amp;(ADDRESS(index_min,COLUMN(facturation!$Z$6)))):INDIRECT("'facturation'!"&amp;(ADDRESS(index_max,COLUMN(facturation!$Z$6)))))</f>
        <v>0</v>
      </c>
      <c r="J15" s="12">
        <f ca="1">SUMIF(INDIRECT("'facturation'!"&amp;(ADDRESS(index_min,COLUMN(facturation!$D$6)))):INDIRECT("'facturation'!"&amp;(ADDRESS(index_max,COLUMN(facturation!$D$6)))),J$8,INDIRECT("'facturation'!"&amp;(ADDRESS(index_min,COLUMN(facturation!$Z$6)))):INDIRECT("'facturation'!"&amp;(ADDRESS(index_max,COLUMN(facturation!$Z$6)))))</f>
        <v>0</v>
      </c>
      <c r="K15" s="12">
        <f ca="1">SUMIF(INDIRECT("'facturation'!"&amp;(ADDRESS(index_min,COLUMN(facturation!$D$6)))):INDIRECT("'facturation'!"&amp;(ADDRESS(index_max,COLUMN(facturation!$D$6)))),K$8,INDIRECT("'facturation'!"&amp;(ADDRESS(index_min,COLUMN(facturation!$Z$6)))):INDIRECT("'facturation'!"&amp;(ADDRESS(index_max,COLUMN(facturation!$Z$6)))))</f>
        <v>0</v>
      </c>
      <c r="L15" s="12">
        <f ca="1">SUMIF(INDIRECT("'facturation'!"&amp;(ADDRESS(index_min,COLUMN(facturation!$D$6)))):INDIRECT("'facturation'!"&amp;(ADDRESS(index_max,COLUMN(facturation!$D$6)))),L$8,INDIRECT("'facturation'!"&amp;(ADDRESS(index_min,COLUMN(facturation!$Z$6)))):INDIRECT("'facturation'!"&amp;(ADDRESS(index_max,COLUMN(facturation!$Z$6)))))</f>
        <v>0</v>
      </c>
      <c r="M15" s="12">
        <f ca="1">SUMIF(INDIRECT("'facturation'!"&amp;(ADDRESS(index_min,COLUMN(facturation!$D$6)))):INDIRECT("'facturation'!"&amp;(ADDRESS(index_max,COLUMN(facturation!$D$6)))),M$8,INDIRECT("'facturation'!"&amp;(ADDRESS(index_min,COLUMN(facturation!$Z$6)))):INDIRECT("'facturation'!"&amp;(ADDRESS(index_max,COLUMN(facturation!$Z$6)))))</f>
        <v>0</v>
      </c>
      <c r="N15" s="12">
        <f ca="1">SUMIF(INDIRECT("'facturation'!"&amp;(ADDRESS(index_min,COLUMN(facturation!$D$6)))):INDIRECT("'facturation'!"&amp;(ADDRESS(index_max,COLUMN(facturation!$D$6)))),N$8,INDIRECT("'facturation'!"&amp;(ADDRESS(index_min,COLUMN(facturation!$Z$6)))):INDIRECT("'facturation'!"&amp;(ADDRESS(index_max,COLUMN(facturation!$Z$6)))))</f>
        <v>0</v>
      </c>
      <c r="O15" s="12">
        <f ca="1">SUMIF(INDIRECT("'facturation'!"&amp;(ADDRESS(index_min,COLUMN(facturation!$D$6)))):INDIRECT("'facturation'!"&amp;(ADDRESS(index_max,COLUMN(facturation!$D$6)))),O$8,INDIRECT("'facturation'!"&amp;(ADDRESS(index_min,COLUMN(facturation!$Z$6)))):INDIRECT("'facturation'!"&amp;(ADDRESS(index_max,COLUMN(facturation!$Z$6)))))</f>
        <v>0</v>
      </c>
      <c r="P15" s="12">
        <f ca="1">SUMIF(INDIRECT("'facturation'!"&amp;(ADDRESS(index_min,COLUMN(facturation!$D$6)))):INDIRECT("'facturation'!"&amp;(ADDRESS(index_max,COLUMN(facturation!$D$6)))),P$8,INDIRECT("'facturation'!"&amp;(ADDRESS(index_min,COLUMN(facturation!$Z$6)))):INDIRECT("'facturation'!"&amp;(ADDRESS(index_max,COLUMN(facturation!$Z$6)))))</f>
        <v>0</v>
      </c>
      <c r="Q15" s="12">
        <f ca="1">SUMIF(INDIRECT("'facturation'!"&amp;(ADDRESS(index_min,COLUMN(facturation!$D$6)))):INDIRECT("'facturation'!"&amp;(ADDRESS(index_max,COLUMN(facturation!$D$6)))),Q$8,INDIRECT("'facturation'!"&amp;(ADDRESS(index_min,COLUMN(facturation!$Z$6)))):INDIRECT("'facturation'!"&amp;(ADDRESS(index_max,COLUMN(facturation!$Z$6)))))</f>
        <v>0</v>
      </c>
      <c r="R15" s="12">
        <f ca="1">SUMIF(INDIRECT("'facturation'!"&amp;(ADDRESS(index_min,COLUMN(facturation!$D$6)))):INDIRECT("'facturation'!"&amp;(ADDRESS(index_max,COLUMN(facturation!$D$6)))),R$8,INDIRECT("'facturation'!"&amp;(ADDRESS(index_min,COLUMN(facturation!$Z$6)))):INDIRECT("'facturation'!"&amp;(ADDRESS(index_max,COLUMN(facturation!$Z$6)))))</f>
        <v>0</v>
      </c>
      <c r="S15" s="12">
        <f ca="1">SUMIF(INDIRECT("'facturation'!"&amp;(ADDRESS(index_min,COLUMN(facturation!$D$6)))):INDIRECT("'facturation'!"&amp;(ADDRESS(index_max,COLUMN(facturation!$D$6)))),S$8,INDIRECT("'facturation'!"&amp;(ADDRESS(index_min,COLUMN(facturation!$Z$6)))):INDIRECT("'facturation'!"&amp;(ADDRESS(index_max,COLUMN(facturation!$Z$6)))))</f>
        <v>0</v>
      </c>
    </row>
    <row r="16" spans="1:19" ht="26.4">
      <c r="A16" s="24" t="s">
        <v>64</v>
      </c>
      <c r="B16" s="151"/>
      <c r="C16" s="21" t="s">
        <v>102</v>
      </c>
      <c r="E16" s="12">
        <f ca="1">SUMIF(INDIRECT("'facturation'!"&amp;(ADDRESS(index_min,COLUMN(facturation!$D$6)))):INDIRECT("'facturation'!"&amp;(ADDRESS(index_max,COLUMN(facturation!$D$6)))),E$8,INDIRECT("'facturation'!"&amp;(ADDRESS(index_min,COLUMN(facturation!$AA$6)))):INDIRECT("'facturation'!"&amp;(ADDRESS(index_max,COLUMN(facturation!$AB$6)))))</f>
        <v>35.785374000000012</v>
      </c>
      <c r="F16" s="12">
        <f ca="1">SUMIF(INDIRECT("'facturation'!"&amp;(ADDRESS(index_min,COLUMN(facturation!$D$6)))):INDIRECT("'facturation'!"&amp;(ADDRESS(index_max,COLUMN(facturation!$D$6)))),F$8,INDIRECT("'facturation'!"&amp;(ADDRESS(index_min,COLUMN(facturation!$AA$6)))):INDIRECT("'facturation'!"&amp;(ADDRESS(index_max,COLUMN(facturation!$AB$6)))))</f>
        <v>0</v>
      </c>
      <c r="G16" s="12">
        <f ca="1">SUMIF(INDIRECT("'facturation'!"&amp;(ADDRESS(index_min,COLUMN(facturation!$D$6)))):INDIRECT("'facturation'!"&amp;(ADDRESS(index_max,COLUMN(facturation!$D$6)))),G$8,INDIRECT("'facturation'!"&amp;(ADDRESS(index_min,COLUMN(facturation!$AA$6)))):INDIRECT("'facturation'!"&amp;(ADDRESS(index_max,COLUMN(facturation!$AB$6)))))</f>
        <v>0</v>
      </c>
      <c r="H16" s="12">
        <f ca="1">SUMIF(INDIRECT("'facturation'!"&amp;(ADDRESS(index_min,COLUMN(facturation!$D$6)))):INDIRECT("'facturation'!"&amp;(ADDRESS(index_max,COLUMN(facturation!$D$6)))),H$8,INDIRECT("'facturation'!"&amp;(ADDRESS(index_min,COLUMN(facturation!$AA$6)))):INDIRECT("'facturation'!"&amp;(ADDRESS(index_max,COLUMN(facturation!$AB$6)))))</f>
        <v>0</v>
      </c>
      <c r="I16" s="12">
        <f ca="1">SUMIF(INDIRECT("'facturation'!"&amp;(ADDRESS(index_min,COLUMN(facturation!$D$6)))):INDIRECT("'facturation'!"&amp;(ADDRESS(index_max,COLUMN(facturation!$D$6)))),I$8,INDIRECT("'facturation'!"&amp;(ADDRESS(index_min,COLUMN(facturation!$AA$6)))):INDIRECT("'facturation'!"&amp;(ADDRESS(index_max,COLUMN(facturation!$AB$6)))))</f>
        <v>0</v>
      </c>
      <c r="J16" s="12">
        <f ca="1">SUMIF(INDIRECT("'facturation'!"&amp;(ADDRESS(index_min,COLUMN(facturation!$D$6)))):INDIRECT("'facturation'!"&amp;(ADDRESS(index_max,COLUMN(facturation!$D$6)))),J$8,INDIRECT("'facturation'!"&amp;(ADDRESS(index_min,COLUMN(facturation!$AA$6)))):INDIRECT("'facturation'!"&amp;(ADDRESS(index_max,COLUMN(facturation!$AB$6)))))</f>
        <v>0</v>
      </c>
      <c r="K16" s="12">
        <f ca="1">SUMIF(INDIRECT("'facturation'!"&amp;(ADDRESS(index_min,COLUMN(facturation!$D$6)))):INDIRECT("'facturation'!"&amp;(ADDRESS(index_max,COLUMN(facturation!$D$6)))),K$8,INDIRECT("'facturation'!"&amp;(ADDRESS(index_min,COLUMN(facturation!$AA$6)))):INDIRECT("'facturation'!"&amp;(ADDRESS(index_max,COLUMN(facturation!$AB$6)))))</f>
        <v>0</v>
      </c>
      <c r="L16" s="12">
        <f ca="1">SUMIF(INDIRECT("'facturation'!"&amp;(ADDRESS(index_min,COLUMN(facturation!$D$6)))):INDIRECT("'facturation'!"&amp;(ADDRESS(index_max,COLUMN(facturation!$D$6)))),L$8,INDIRECT("'facturation'!"&amp;(ADDRESS(index_min,COLUMN(facturation!$AA$6)))):INDIRECT("'facturation'!"&amp;(ADDRESS(index_max,COLUMN(facturation!$AB$6)))))</f>
        <v>0</v>
      </c>
      <c r="M16" s="12">
        <f ca="1">SUMIF(INDIRECT("'facturation'!"&amp;(ADDRESS(index_min,COLUMN(facturation!$D$6)))):INDIRECT("'facturation'!"&amp;(ADDRESS(index_max,COLUMN(facturation!$D$6)))),M$8,INDIRECT("'facturation'!"&amp;(ADDRESS(index_min,COLUMN(facturation!$AA$6)))):INDIRECT("'facturation'!"&amp;(ADDRESS(index_max,COLUMN(facturation!$AB$6)))))</f>
        <v>0</v>
      </c>
      <c r="N16" s="12">
        <f ca="1">SUMIF(INDIRECT("'facturation'!"&amp;(ADDRESS(index_min,COLUMN(facturation!$D$6)))):INDIRECT("'facturation'!"&amp;(ADDRESS(index_max,COLUMN(facturation!$D$6)))),N$8,INDIRECT("'facturation'!"&amp;(ADDRESS(index_min,COLUMN(facturation!$AA$6)))):INDIRECT("'facturation'!"&amp;(ADDRESS(index_max,COLUMN(facturation!$AB$6)))))</f>
        <v>0</v>
      </c>
      <c r="O16" s="12">
        <f ca="1">SUMIF(INDIRECT("'facturation'!"&amp;(ADDRESS(index_min,COLUMN(facturation!$D$6)))):INDIRECT("'facturation'!"&amp;(ADDRESS(index_max,COLUMN(facturation!$D$6)))),O$8,INDIRECT("'facturation'!"&amp;(ADDRESS(index_min,COLUMN(facturation!$AA$6)))):INDIRECT("'facturation'!"&amp;(ADDRESS(index_max,COLUMN(facturation!$AB$6)))))</f>
        <v>0</v>
      </c>
      <c r="P16" s="12">
        <f ca="1">SUMIF(INDIRECT("'facturation'!"&amp;(ADDRESS(index_min,COLUMN(facturation!$D$6)))):INDIRECT("'facturation'!"&amp;(ADDRESS(index_max,COLUMN(facturation!$D$6)))),P$8,INDIRECT("'facturation'!"&amp;(ADDRESS(index_min,COLUMN(facturation!$AA$6)))):INDIRECT("'facturation'!"&amp;(ADDRESS(index_max,COLUMN(facturation!$AB$6)))))</f>
        <v>0</v>
      </c>
      <c r="Q16" s="12">
        <f ca="1">SUMIF(INDIRECT("'facturation'!"&amp;(ADDRESS(index_min,COLUMN(facturation!$D$6)))):INDIRECT("'facturation'!"&amp;(ADDRESS(index_max,COLUMN(facturation!$D$6)))),Q$8,INDIRECT("'facturation'!"&amp;(ADDRESS(index_min,COLUMN(facturation!$AA$6)))):INDIRECT("'facturation'!"&amp;(ADDRESS(index_max,COLUMN(facturation!$AB$6)))))</f>
        <v>0</v>
      </c>
      <c r="R16" s="12">
        <f ca="1">SUMIF(INDIRECT("'facturation'!"&amp;(ADDRESS(index_min,COLUMN(facturation!$D$6)))):INDIRECT("'facturation'!"&amp;(ADDRESS(index_max,COLUMN(facturation!$D$6)))),R$8,INDIRECT("'facturation'!"&amp;(ADDRESS(index_min,COLUMN(facturation!$AA$6)))):INDIRECT("'facturation'!"&amp;(ADDRESS(index_max,COLUMN(facturation!$AB$6)))))</f>
        <v>0</v>
      </c>
      <c r="S16" s="12">
        <f ca="1">SUMIF(INDIRECT("'facturation'!"&amp;(ADDRESS(index_min,COLUMN(facturation!$D$6)))):INDIRECT("'facturation'!"&amp;(ADDRESS(index_max,COLUMN(facturation!$D$6)))),S$8,INDIRECT("'facturation'!"&amp;(ADDRESS(index_min,COLUMN(facturation!$AA$6)))):INDIRECT("'facturation'!"&amp;(ADDRESS(index_max,COLUMN(facturation!$AB$6)))))</f>
        <v>0</v>
      </c>
    </row>
    <row r="17" spans="1:18" ht="26.4">
      <c r="A17" s="24" t="s">
        <v>64</v>
      </c>
      <c r="B17" s="22" t="s">
        <v>53</v>
      </c>
      <c r="C17" s="21" t="s">
        <v>54</v>
      </c>
      <c r="D17" s="20">
        <v>365.25</v>
      </c>
      <c r="E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</row>
    <row r="18" spans="1:18" ht="26.4">
      <c r="A18" s="24" t="s">
        <v>64</v>
      </c>
      <c r="B18" s="22" t="s">
        <v>55</v>
      </c>
      <c r="C18" s="21" t="s">
        <v>56</v>
      </c>
      <c r="D18" s="20">
        <f>COUNTA(liste_mois)</f>
        <v>12</v>
      </c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</row>
    <row r="19" spans="1:18" ht="26.4">
      <c r="A19" s="24" t="s">
        <v>64</v>
      </c>
      <c r="B19" s="15" t="s">
        <v>44</v>
      </c>
      <c r="C19" s="21" t="s">
        <v>59</v>
      </c>
      <c r="D19" s="20" t="s">
        <v>59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</row>
    <row r="20" spans="1:18" ht="26.4">
      <c r="A20" s="24" t="s">
        <v>63</v>
      </c>
      <c r="B20" s="24" t="s">
        <v>65</v>
      </c>
      <c r="C20" s="24" t="s">
        <v>66</v>
      </c>
      <c r="D20" s="25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</row>
    <row r="21" spans="1:18">
      <c r="A21" s="15" t="s">
        <v>98</v>
      </c>
      <c r="B21" s="15" t="s">
        <v>44</v>
      </c>
      <c r="C21" s="3" t="s">
        <v>32</v>
      </c>
      <c r="D21" s="3" t="s">
        <v>32</v>
      </c>
    </row>
    <row r="22" spans="1:18">
      <c r="A22" s="15" t="s">
        <v>98</v>
      </c>
      <c r="B22" s="15" t="s">
        <v>46</v>
      </c>
      <c r="C22" s="9" t="s">
        <v>22</v>
      </c>
      <c r="D22" s="16">
        <f>ROW(facturation!C6)+1</f>
        <v>7</v>
      </c>
    </row>
    <row r="23" spans="1:18">
      <c r="A23" s="15" t="s">
        <v>98</v>
      </c>
      <c r="B23" s="15" t="s">
        <v>47</v>
      </c>
      <c r="C23" s="9" t="s">
        <v>23</v>
      </c>
      <c r="D23" s="16">
        <f>MATCH(fin_données,facturation!A:A,0)-1</f>
        <v>63</v>
      </c>
    </row>
    <row r="24" spans="1:18">
      <c r="A24" s="15" t="s">
        <v>98</v>
      </c>
      <c r="B24" s="15" t="s">
        <v>68</v>
      </c>
      <c r="C24" s="24" t="s">
        <v>69</v>
      </c>
      <c r="D24" s="53">
        <f ca="1">dernier_tarif</f>
        <v>8.4640000000000007E-2</v>
      </c>
    </row>
    <row r="25" spans="1:18">
      <c r="A25" s="15" t="s">
        <v>98</v>
      </c>
      <c r="B25" s="24" t="s">
        <v>74</v>
      </c>
      <c r="C25" s="24" t="s">
        <v>74</v>
      </c>
      <c r="D25" s="24" t="s">
        <v>71</v>
      </c>
      <c r="E25" s="24" t="s">
        <v>70</v>
      </c>
      <c r="F25" s="24" t="s">
        <v>73</v>
      </c>
      <c r="G25" s="24" t="s">
        <v>72</v>
      </c>
    </row>
    <row r="26" spans="1:18" ht="26.4">
      <c r="A26" s="15" t="s">
        <v>98</v>
      </c>
      <c r="B26" s="24" t="s">
        <v>81</v>
      </c>
      <c r="C26" s="24" t="s">
        <v>82</v>
      </c>
      <c r="D26" s="22" t="s">
        <v>80</v>
      </c>
      <c r="E26" s="24" t="s">
        <v>90</v>
      </c>
      <c r="F26" s="22" t="s">
        <v>7</v>
      </c>
      <c r="G26" s="24" t="s">
        <v>92</v>
      </c>
      <c r="H26" s="24" t="s">
        <v>94</v>
      </c>
      <c r="I26" s="24" t="s">
        <v>86</v>
      </c>
      <c r="J26" s="24" t="s">
        <v>87</v>
      </c>
    </row>
  </sheetData>
  <autoFilter ref="A4:E4">
    <filterColumn colId="2" showButton="0"/>
  </autoFilter>
  <mergeCells count="4">
    <mergeCell ref="B8:B10"/>
    <mergeCell ref="C4:D4"/>
    <mergeCell ref="C5:C6"/>
    <mergeCell ref="B11:B1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H64"/>
  <sheetViews>
    <sheetView topLeftCell="M1" workbookViewId="0">
      <pane ySplit="6" topLeftCell="A7" activePane="bottomLeft" state="frozen"/>
      <selection activeCell="B1" sqref="B1"/>
      <selection pane="bottomLeft" activeCell="AA3" sqref="AA3:AB3"/>
    </sheetView>
  </sheetViews>
  <sheetFormatPr baseColWidth="10" defaultRowHeight="13.2"/>
  <cols>
    <col min="1" max="1" width="16" style="28" customWidth="1"/>
    <col min="2" max="2" width="17.6640625" customWidth="1"/>
    <col min="3" max="3" width="13.6640625" customWidth="1"/>
    <col min="4" max="4" width="20.6640625" customWidth="1"/>
    <col min="11" max="13" width="14.77734375" customWidth="1"/>
    <col min="16" max="16" width="15.109375" customWidth="1"/>
    <col min="17" max="18" width="11.88671875" customWidth="1"/>
    <col min="19" max="19" width="16" customWidth="1"/>
    <col min="20" max="20" width="12.44140625" customWidth="1"/>
    <col min="21" max="21" width="11.5546875" customWidth="1"/>
    <col min="22" max="22" width="13.33203125" customWidth="1"/>
    <col min="23" max="25" width="11.5546875" customWidth="1"/>
    <col min="26" max="27" width="12.6640625" customWidth="1"/>
    <col min="28" max="28" width="16.109375" customWidth="1"/>
    <col min="29" max="30" width="11.5546875" customWidth="1"/>
  </cols>
  <sheetData>
    <row r="1" spans="1:34" ht="13.8" thickTop="1">
      <c r="A1" s="1" t="s">
        <v>99</v>
      </c>
      <c r="D1" s="1"/>
      <c r="K1" s="173" t="s">
        <v>24</v>
      </c>
      <c r="L1" s="174"/>
      <c r="M1" s="174"/>
      <c r="N1" s="174"/>
      <c r="O1" s="174"/>
      <c r="P1" s="174"/>
      <c r="Q1" s="174"/>
      <c r="R1" s="174"/>
      <c r="S1" s="174"/>
      <c r="T1" s="174"/>
      <c r="U1" s="174"/>
      <c r="V1" s="174"/>
      <c r="W1" s="174"/>
      <c r="X1" s="174"/>
      <c r="Y1" s="174"/>
      <c r="Z1" s="174"/>
      <c r="AA1" s="174"/>
      <c r="AB1" s="175"/>
      <c r="AE1" s="18" t="s">
        <v>25</v>
      </c>
      <c r="AF1" s="27" t="s">
        <v>68</v>
      </c>
    </row>
    <row r="2" spans="1:34" ht="13.8" thickBot="1">
      <c r="A2"/>
      <c r="K2" s="11"/>
      <c r="L2" s="42">
        <f ca="1">SUMIF(INDIRECT(ADDRESS(index_min,COLUMN(A6))):INDIRECT(ADDRESS(index_max,COLUMN(A6))),parametres!F26,INDIRECT(ADDRESS(index_min,COLUMN())):INDIRECT(ADDRESS(index_max,COLUMN())))</f>
        <v>242</v>
      </c>
      <c r="M2" s="10"/>
      <c r="N2" s="10"/>
      <c r="O2" s="10"/>
      <c r="P2" s="10"/>
      <c r="Q2" s="42">
        <f ca="1">SUBTOTAL(109,INDIRECT(ADDRESS(index_min,COLUMN())):INDIRECT(ADDRESS(index_max,COLUMN())))</f>
        <v>1603</v>
      </c>
      <c r="R2" s="42"/>
      <c r="S2" s="10"/>
      <c r="T2" s="10"/>
      <c r="U2" s="10"/>
      <c r="V2" s="10">
        <f ca="1">SUBTOTAL(109,INDIRECT(ADDRESS(index_min,COLUMN())):INDIRECT(ADDRESS(index_max,COLUMN())))</f>
        <v>181.47494399999999</v>
      </c>
      <c r="W2" s="10">
        <f ca="1">SUBTOTAL(109,INDIRECT(ADDRESS(index_min,COLUMN())):INDIRECT(ADDRESS(index_max,COLUMN())))</f>
        <v>181.47000000000008</v>
      </c>
      <c r="X2" s="10"/>
      <c r="Y2" s="10">
        <f ca="1">SUBTOTAL(109,INDIRECT(ADDRESS(index_min,COLUMN())):INDIRECT(ADDRESS(index_max,COLUMN())))</f>
        <v>71.791959999999989</v>
      </c>
      <c r="Z2" s="10">
        <f ca="1">SUBTOTAL(109,INDIRECT(ADDRESS(index_min,COLUMN())):INDIRECT(ADDRESS(index_max,COLUMN())))</f>
        <v>14.644499999999994</v>
      </c>
      <c r="AA2" s="147">
        <f ca="1">SUBTOTAL(109,INDIRECT(ADDRESS(index_min,COLUMN())):INDIRECT(ADDRESS(index_max,COLUMN())))</f>
        <v>35.785374000000012</v>
      </c>
      <c r="AB2" s="148">
        <f ca="1">SUBTOTAL(109,INDIRECT(ADDRESS(index_min,COLUMN())):INDIRECT(ADDRESS(index_max,COLUMN())))</f>
        <v>56.792659999999991</v>
      </c>
      <c r="AE2" s="7">
        <f ca="1">SUBTOTAL(103,INDIRECT(ADDRESS(index_min,COLUMN(C6))):INDIRECT(ADDRESS(index_max,COLUMN(C6))))</f>
        <v>0</v>
      </c>
      <c r="AF2" s="32">
        <f ca="1">INDIRECT(ADDRESS(MATCH(MAX(INDIRECT(ADDRESS(index_min,COLUMN(AD6))):INDIRECT(ADDRESS(index_max,COLUMN(AD6)))),AD:AD,0),COLUMN(S6)))</f>
        <v>8.4640000000000007E-2</v>
      </c>
      <c r="AH2" s="16"/>
    </row>
    <row r="3" spans="1:34" ht="14.4" thickTop="1" thickBot="1">
      <c r="A3"/>
      <c r="AA3" s="157">
        <f ca="1">AA2+AB2</f>
        <v>92.578034000000002</v>
      </c>
      <c r="AB3" s="158"/>
    </row>
    <row r="4" spans="1:34" ht="13.8" thickTop="1">
      <c r="E4" s="170" t="s">
        <v>11</v>
      </c>
      <c r="F4" s="171"/>
      <c r="G4" s="171"/>
      <c r="H4" s="171"/>
      <c r="I4" s="171"/>
      <c r="J4" s="171"/>
      <c r="K4" s="172"/>
      <c r="L4" s="144"/>
      <c r="M4" s="29"/>
    </row>
    <row r="5" spans="1:34" ht="13.2" customHeight="1">
      <c r="E5" s="170" t="s">
        <v>19</v>
      </c>
      <c r="F5" s="171"/>
      <c r="G5" s="171"/>
      <c r="H5" s="170" t="s">
        <v>20</v>
      </c>
      <c r="I5" s="171"/>
      <c r="J5" s="172"/>
      <c r="K5" s="33"/>
      <c r="L5" s="36"/>
      <c r="M5" s="36"/>
      <c r="N5" s="170" t="s">
        <v>75</v>
      </c>
      <c r="O5" s="171"/>
      <c r="V5" s="176" t="s">
        <v>79</v>
      </c>
      <c r="W5" s="177"/>
      <c r="X5" s="177"/>
      <c r="Y5" s="31"/>
      <c r="Z5" s="31"/>
      <c r="AA5" s="145"/>
      <c r="AB5" s="31"/>
    </row>
    <row r="6" spans="1:34" ht="26.4">
      <c r="A6" s="45" t="s">
        <v>81</v>
      </c>
      <c r="B6" s="46" t="s">
        <v>88</v>
      </c>
      <c r="C6" s="45" t="s">
        <v>21</v>
      </c>
      <c r="D6" s="45" t="s">
        <v>27</v>
      </c>
      <c r="E6" s="47" t="s">
        <v>8</v>
      </c>
      <c r="F6" s="45" t="s">
        <v>9</v>
      </c>
      <c r="G6" s="45" t="s">
        <v>10</v>
      </c>
      <c r="H6" s="47" t="s">
        <v>8</v>
      </c>
      <c r="I6" s="45" t="s">
        <v>9</v>
      </c>
      <c r="J6" s="48" t="s">
        <v>10</v>
      </c>
      <c r="K6" s="49" t="s">
        <v>6</v>
      </c>
      <c r="L6" s="51" t="s">
        <v>6</v>
      </c>
      <c r="M6" s="49" t="s">
        <v>74</v>
      </c>
      <c r="N6" s="30" t="s">
        <v>19</v>
      </c>
      <c r="O6" s="30" t="s">
        <v>20</v>
      </c>
      <c r="P6" s="50" t="s">
        <v>76</v>
      </c>
      <c r="Q6" s="51" t="s">
        <v>12</v>
      </c>
      <c r="R6" s="51" t="s">
        <v>12</v>
      </c>
      <c r="S6" s="48" t="s">
        <v>77</v>
      </c>
      <c r="T6" s="49" t="s">
        <v>78</v>
      </c>
      <c r="U6" s="49" t="s">
        <v>26</v>
      </c>
      <c r="V6" s="52" t="s">
        <v>83</v>
      </c>
      <c r="W6" s="30" t="s">
        <v>84</v>
      </c>
      <c r="X6" s="30" t="s">
        <v>48</v>
      </c>
      <c r="Y6" s="30" t="s">
        <v>49</v>
      </c>
      <c r="Z6" s="30" t="s">
        <v>50</v>
      </c>
      <c r="AA6" s="52" t="s">
        <v>97</v>
      </c>
      <c r="AB6" s="51" t="s">
        <v>96</v>
      </c>
      <c r="AC6" s="30" t="s">
        <v>67</v>
      </c>
      <c r="AD6" s="30">
        <v>0</v>
      </c>
    </row>
    <row r="7" spans="1:34" s="26" customFormat="1" ht="13.2" customHeight="1">
      <c r="A7" s="64" t="s">
        <v>80</v>
      </c>
      <c r="B7" s="65" t="s">
        <v>89</v>
      </c>
      <c r="C7" s="66"/>
      <c r="D7" s="67">
        <v>2026</v>
      </c>
      <c r="E7" s="68">
        <v>2026</v>
      </c>
      <c r="F7" s="69" t="s">
        <v>0</v>
      </c>
      <c r="G7" s="64">
        <v>1</v>
      </c>
      <c r="H7" s="70">
        <v>2026</v>
      </c>
      <c r="I7" s="71" t="s">
        <v>14</v>
      </c>
      <c r="J7" s="72">
        <v>17</v>
      </c>
      <c r="K7" s="73">
        <f t="shared" ref="K7" si="0">(H7&amp;"-"&amp;HLOOKUP(I7,MOIS,2,FALSE)&amp;"-"&amp;J7) - (E7&amp;"-"&amp;HLOOKUP(F7,MOIS,2,FALSE)&amp;"-"&amp;G7) + 1</f>
        <v>45</v>
      </c>
      <c r="L7" s="74"/>
      <c r="M7" s="74"/>
      <c r="N7" s="75"/>
      <c r="O7" s="76"/>
      <c r="P7" s="73">
        <f>K7+2</f>
        <v>47</v>
      </c>
      <c r="Q7" s="76"/>
      <c r="R7" s="76"/>
      <c r="S7" s="141">
        <v>0.26174999999999998</v>
      </c>
      <c r="T7" s="77">
        <f t="shared" ref="T7:T14" si="1">S7*P7</f>
        <v>12.302249999999999</v>
      </c>
      <c r="U7" s="78">
        <v>0.2</v>
      </c>
      <c r="V7" s="77">
        <f t="shared" ref="V7:V18" si="2">T7 * (1 + U7)</f>
        <v>14.762699999999999</v>
      </c>
      <c r="W7" s="79">
        <v>14.76</v>
      </c>
      <c r="X7" s="77">
        <f t="shared" ref="X7:X19" si="3">W7-V7</f>
        <v>-2.6999999999990365E-3</v>
      </c>
      <c r="Y7" s="77">
        <f>T7</f>
        <v>12.302249999999999</v>
      </c>
      <c r="Z7" s="80"/>
      <c r="AA7" s="80"/>
      <c r="AB7" s="80"/>
      <c r="AC7" s="69"/>
      <c r="AD7" s="80"/>
      <c r="AE7" s="41"/>
    </row>
    <row r="8" spans="1:34" ht="13.2" customHeight="1">
      <c r="A8" s="81" t="s">
        <v>7</v>
      </c>
      <c r="B8" s="82" t="s">
        <v>85</v>
      </c>
      <c r="C8" s="159"/>
      <c r="D8" s="83">
        <v>2026</v>
      </c>
      <c r="E8" s="84">
        <v>2026</v>
      </c>
      <c r="F8" s="85" t="s">
        <v>0</v>
      </c>
      <c r="G8" s="178">
        <v>2</v>
      </c>
      <c r="H8" s="86">
        <v>2026</v>
      </c>
      <c r="I8" s="87" t="s">
        <v>0</v>
      </c>
      <c r="J8" s="169">
        <v>18</v>
      </c>
      <c r="K8" s="179">
        <f t="shared" ref="K8" si="4">(H8&amp;"-"&amp;HLOOKUP(I8,MOIS,2,FALSE)&amp;"-"&amp;J8) - (E8&amp;"-"&amp;HLOOKUP(F8,MOIS,2,FALSE)&amp;"-"&amp;G8) + 1</f>
        <v>17</v>
      </c>
      <c r="L8" s="155">
        <f>K8</f>
        <v>17</v>
      </c>
      <c r="M8" s="149" t="s">
        <v>71</v>
      </c>
      <c r="N8" s="87">
        <v>9644</v>
      </c>
      <c r="O8" s="87">
        <v>9653</v>
      </c>
      <c r="P8" s="89">
        <f t="shared" ref="P8:P13" si="5">O8-N8</f>
        <v>9</v>
      </c>
      <c r="Q8" s="89">
        <f>P8</f>
        <v>9</v>
      </c>
      <c r="R8" s="165">
        <f>SUMIF(B8:B13,B8,Q8:Q13)</f>
        <v>254</v>
      </c>
      <c r="S8" s="138">
        <v>0.22942000000000001</v>
      </c>
      <c r="T8" s="91">
        <f t="shared" si="1"/>
        <v>2.0647800000000003</v>
      </c>
      <c r="U8" s="92">
        <v>0.2</v>
      </c>
      <c r="V8" s="91">
        <f t="shared" si="2"/>
        <v>2.4777360000000002</v>
      </c>
      <c r="W8" s="93">
        <v>2.4700000000000002</v>
      </c>
      <c r="X8" s="91">
        <f t="shared" si="3"/>
        <v>-7.7359999999999651E-3</v>
      </c>
      <c r="Y8" s="94"/>
      <c r="Z8" s="91">
        <f>T8</f>
        <v>2.0647800000000003</v>
      </c>
      <c r="AA8" s="91">
        <f>V8-T8</f>
        <v>0.41295599999999988</v>
      </c>
      <c r="AB8" s="94"/>
      <c r="AC8" s="95"/>
      <c r="AD8" s="96">
        <f ca="1">IF(OR(A8&lt;&gt;parametres!F$26,ISBLANK(S8)),,MAX(INDIRECT(ADDRESS(index_min-1,COLUMN())):INDIRECT(ADDRESS(index_min-1,COLUMN())):INDIRECT(ADDRESS(index_min-1,COLUMN())):INDIRECT(ADDRESS(ROW()-1,COLUMN())))+1)</f>
        <v>1</v>
      </c>
      <c r="AG8" s="41"/>
    </row>
    <row r="9" spans="1:34">
      <c r="A9" s="2" t="s">
        <v>7</v>
      </c>
      <c r="B9" s="97" t="s">
        <v>85</v>
      </c>
      <c r="C9" s="160"/>
      <c r="D9" s="57">
        <v>2026</v>
      </c>
      <c r="E9" s="54">
        <f>E8</f>
        <v>2026</v>
      </c>
      <c r="F9" s="16" t="str">
        <f>F8</f>
        <v>février</v>
      </c>
      <c r="G9" s="162"/>
      <c r="H9" s="5">
        <f>H8</f>
        <v>2026</v>
      </c>
      <c r="I9" s="6" t="str">
        <f>I8</f>
        <v>février</v>
      </c>
      <c r="J9" s="163"/>
      <c r="K9" s="164"/>
      <c r="L9" s="156"/>
      <c r="M9" s="150" t="s">
        <v>70</v>
      </c>
      <c r="N9" s="6">
        <v>0</v>
      </c>
      <c r="O9" s="6">
        <v>43</v>
      </c>
      <c r="P9" s="58">
        <f t="shared" si="5"/>
        <v>43</v>
      </c>
      <c r="Q9" s="58">
        <f t="shared" ref="Q9:Q13" si="6">P9</f>
        <v>43</v>
      </c>
      <c r="R9" s="166"/>
      <c r="S9" s="138">
        <v>0.16249</v>
      </c>
      <c r="T9" s="99">
        <f t="shared" si="1"/>
        <v>6.9870700000000001</v>
      </c>
      <c r="U9" s="35">
        <v>0.2</v>
      </c>
      <c r="V9" s="99">
        <f t="shared" si="2"/>
        <v>8.3844840000000005</v>
      </c>
      <c r="W9" s="100">
        <v>8.39</v>
      </c>
      <c r="X9" s="99">
        <f t="shared" si="3"/>
        <v>5.5160000000000764E-3</v>
      </c>
      <c r="Y9" s="43"/>
      <c r="Z9" s="99">
        <f t="shared" ref="Z9:Z13" si="7">T9</f>
        <v>6.9870700000000001</v>
      </c>
      <c r="AA9" s="99">
        <f t="shared" ref="AA9:AA18" si="8">V9-T9</f>
        <v>1.3974140000000004</v>
      </c>
      <c r="AB9" s="43"/>
      <c r="AC9" s="101"/>
      <c r="AD9" s="9">
        <f ca="1">IF(OR(A9&lt;&gt;parametres!F$26,ISBLANK(S9)),,MAX(INDIRECT(ADDRESS(index_min-1,COLUMN())):INDIRECT(ADDRESS(index_min-1,COLUMN())):INDIRECT(ADDRESS(index_min-1,COLUMN())):INDIRECT(ADDRESS(ROW()-1,COLUMN())))+1)</f>
        <v>2</v>
      </c>
    </row>
    <row r="10" spans="1:34">
      <c r="A10" s="2" t="s">
        <v>7</v>
      </c>
      <c r="B10" s="97" t="s">
        <v>85</v>
      </c>
      <c r="C10" s="160"/>
      <c r="D10" s="57">
        <v>2026</v>
      </c>
      <c r="E10" s="54">
        <v>2026</v>
      </c>
      <c r="F10" s="16" t="str">
        <f>F8</f>
        <v>février</v>
      </c>
      <c r="G10" s="162">
        <f>J8+1</f>
        <v>19</v>
      </c>
      <c r="H10" s="5">
        <v>2026</v>
      </c>
      <c r="I10" s="6" t="s">
        <v>0</v>
      </c>
      <c r="J10" s="163">
        <v>25</v>
      </c>
      <c r="K10" s="164">
        <f t="shared" ref="K10" si="9">(H10&amp;"-"&amp;HLOOKUP(I10,MOIS,2,FALSE)&amp;"-"&amp;J10) - (E10&amp;"-"&amp;HLOOKUP(F10,MOIS,2,FALSE)&amp;"-"&amp;G10) + 1</f>
        <v>7</v>
      </c>
      <c r="L10" s="156">
        <f>K10</f>
        <v>7</v>
      </c>
      <c r="M10" s="150" t="s">
        <v>71</v>
      </c>
      <c r="N10" s="16">
        <f>O8</f>
        <v>9653</v>
      </c>
      <c r="O10" s="6">
        <v>9663</v>
      </c>
      <c r="P10" s="58">
        <f t="shared" si="5"/>
        <v>10</v>
      </c>
      <c r="Q10" s="58">
        <f t="shared" si="6"/>
        <v>10</v>
      </c>
      <c r="R10" s="166"/>
      <c r="S10" s="138">
        <v>0.22942000000000001</v>
      </c>
      <c r="T10" s="99">
        <f t="shared" si="1"/>
        <v>2.2942</v>
      </c>
      <c r="U10" s="35">
        <v>0.2</v>
      </c>
      <c r="V10" s="99">
        <f t="shared" si="2"/>
        <v>2.7530399999999999</v>
      </c>
      <c r="W10" s="100">
        <v>2.76</v>
      </c>
      <c r="X10" s="99">
        <f t="shared" si="3"/>
        <v>6.9599999999998552E-3</v>
      </c>
      <c r="Y10" s="43"/>
      <c r="Z10" s="99">
        <f t="shared" si="7"/>
        <v>2.2942</v>
      </c>
      <c r="AA10" s="99">
        <f t="shared" si="8"/>
        <v>0.45883999999999991</v>
      </c>
      <c r="AB10" s="43"/>
      <c r="AC10" s="101"/>
      <c r="AD10" s="9">
        <f ca="1">IF(OR(A10&lt;&gt;parametres!F$26,ISBLANK(S10)),,MAX(INDIRECT(ADDRESS(index_min-1,COLUMN())):INDIRECT(ADDRESS(index_min-1,COLUMN())):INDIRECT(ADDRESS(index_min-1,COLUMN())):INDIRECT(ADDRESS(ROW()-1,COLUMN())))+1)</f>
        <v>3</v>
      </c>
    </row>
    <row r="11" spans="1:34">
      <c r="A11" s="2" t="s">
        <v>7</v>
      </c>
      <c r="B11" s="97" t="s">
        <v>85</v>
      </c>
      <c r="C11" s="160"/>
      <c r="D11" s="57">
        <v>2026</v>
      </c>
      <c r="E11" s="54">
        <f>E10</f>
        <v>2026</v>
      </c>
      <c r="F11" s="16" t="str">
        <f>F10</f>
        <v>février</v>
      </c>
      <c r="G11" s="162"/>
      <c r="H11" s="5">
        <f>H10</f>
        <v>2026</v>
      </c>
      <c r="I11" s="6" t="str">
        <f>I10</f>
        <v>février</v>
      </c>
      <c r="J11" s="163"/>
      <c r="K11" s="164"/>
      <c r="L11" s="156"/>
      <c r="M11" s="150" t="s">
        <v>70</v>
      </c>
      <c r="N11" s="16">
        <f>O9</f>
        <v>43</v>
      </c>
      <c r="O11" s="6">
        <v>84</v>
      </c>
      <c r="P11" s="58">
        <f t="shared" si="5"/>
        <v>41</v>
      </c>
      <c r="Q11" s="58">
        <f t="shared" si="6"/>
        <v>41</v>
      </c>
      <c r="R11" s="166"/>
      <c r="S11" s="138">
        <v>0.16249</v>
      </c>
      <c r="T11" s="99">
        <f t="shared" si="1"/>
        <v>6.6620900000000001</v>
      </c>
      <c r="U11" s="35">
        <v>0.2</v>
      </c>
      <c r="V11" s="99">
        <f t="shared" si="2"/>
        <v>7.9945079999999997</v>
      </c>
      <c r="W11" s="100">
        <v>7.99</v>
      </c>
      <c r="X11" s="99">
        <f t="shared" si="3"/>
        <v>-4.5079999999995124E-3</v>
      </c>
      <c r="Y11" s="43"/>
      <c r="Z11" s="99">
        <f t="shared" si="7"/>
        <v>6.6620900000000001</v>
      </c>
      <c r="AA11" s="99">
        <f t="shared" si="8"/>
        <v>1.3324179999999997</v>
      </c>
      <c r="AB11" s="43"/>
      <c r="AC11" s="101"/>
      <c r="AD11" s="9">
        <f ca="1">IF(OR(A11&lt;&gt;parametres!F$26,ISBLANK(S11)),,MAX(INDIRECT(ADDRESS(index_min-1,COLUMN())):INDIRECT(ADDRESS(index_min-1,COLUMN())):INDIRECT(ADDRESS(index_min-1,COLUMN())):INDIRECT(ADDRESS(ROW()-1,COLUMN())))+1)</f>
        <v>4</v>
      </c>
    </row>
    <row r="12" spans="1:34">
      <c r="A12" s="2" t="s">
        <v>7</v>
      </c>
      <c r="B12" s="97" t="s">
        <v>85</v>
      </c>
      <c r="C12" s="160"/>
      <c r="D12" s="57">
        <v>2026</v>
      </c>
      <c r="E12" s="54">
        <v>2026</v>
      </c>
      <c r="F12" s="16" t="str">
        <f>F10</f>
        <v>février</v>
      </c>
      <c r="G12" s="162">
        <f>J10+1</f>
        <v>26</v>
      </c>
      <c r="H12" s="5">
        <v>2026</v>
      </c>
      <c r="I12" s="6" t="s">
        <v>14</v>
      </c>
      <c r="J12" s="163">
        <v>18</v>
      </c>
      <c r="K12" s="164">
        <f t="shared" ref="K12:K16" si="10">(H12&amp;"-"&amp;HLOOKUP(I12,MOIS,2,FALSE)&amp;"-"&amp;J12) - (E12&amp;"-"&amp;HLOOKUP(F12,MOIS,2,FALSE)&amp;"-"&amp;G12) + 1</f>
        <v>21</v>
      </c>
      <c r="L12" s="156">
        <f>K12</f>
        <v>21</v>
      </c>
      <c r="M12" s="150" t="s">
        <v>71</v>
      </c>
      <c r="N12" s="16">
        <f>O10</f>
        <v>9663</v>
      </c>
      <c r="O12" s="6">
        <v>9692</v>
      </c>
      <c r="P12" s="58">
        <f t="shared" si="5"/>
        <v>29</v>
      </c>
      <c r="Q12" s="58">
        <f t="shared" si="6"/>
        <v>29</v>
      </c>
      <c r="R12" s="166"/>
      <c r="S12" s="138">
        <v>0.22781999999999999</v>
      </c>
      <c r="T12" s="99">
        <f t="shared" si="1"/>
        <v>6.6067799999999997</v>
      </c>
      <c r="U12" s="35">
        <v>0.2</v>
      </c>
      <c r="V12" s="99">
        <f t="shared" si="2"/>
        <v>7.9281359999999994</v>
      </c>
      <c r="W12" s="100">
        <v>7.93</v>
      </c>
      <c r="X12" s="99">
        <f t="shared" si="3"/>
        <v>1.8640000000003099E-3</v>
      </c>
      <c r="Y12" s="43"/>
      <c r="Z12" s="99">
        <f t="shared" si="7"/>
        <v>6.6067799999999997</v>
      </c>
      <c r="AA12" s="99">
        <f t="shared" si="8"/>
        <v>1.3213559999999998</v>
      </c>
      <c r="AB12" s="43"/>
      <c r="AC12" s="101"/>
      <c r="AD12" s="9">
        <f ca="1">IF(OR(A12&lt;&gt;parametres!F$26,ISBLANK(S12)),,MAX(INDIRECT(ADDRESS(index_min-1,COLUMN())):INDIRECT(ADDRESS(index_min-1,COLUMN())):INDIRECT(ADDRESS(index_min-1,COLUMN())):INDIRECT(ADDRESS(ROW()-1,COLUMN())))+1)</f>
        <v>5</v>
      </c>
    </row>
    <row r="13" spans="1:34">
      <c r="A13" s="2" t="s">
        <v>7</v>
      </c>
      <c r="B13" s="97" t="s">
        <v>85</v>
      </c>
      <c r="C13" s="160"/>
      <c r="D13" s="57">
        <v>2026</v>
      </c>
      <c r="E13" s="54">
        <f>E12</f>
        <v>2026</v>
      </c>
      <c r="F13" s="16" t="str">
        <f>F12</f>
        <v>février</v>
      </c>
      <c r="G13" s="162"/>
      <c r="H13" s="5">
        <f>H12</f>
        <v>2026</v>
      </c>
      <c r="I13" s="6" t="str">
        <f>I12</f>
        <v>mars</v>
      </c>
      <c r="J13" s="163"/>
      <c r="K13" s="164"/>
      <c r="L13" s="156"/>
      <c r="M13" s="150" t="s">
        <v>70</v>
      </c>
      <c r="N13" s="16">
        <f>O11</f>
        <v>84</v>
      </c>
      <c r="O13" s="6">
        <v>206</v>
      </c>
      <c r="P13" s="58">
        <f t="shared" si="5"/>
        <v>122</v>
      </c>
      <c r="Q13" s="58">
        <f t="shared" si="6"/>
        <v>122</v>
      </c>
      <c r="R13" s="166"/>
      <c r="S13" s="138">
        <v>0.15998000000000001</v>
      </c>
      <c r="T13" s="99">
        <f t="shared" si="1"/>
        <v>19.517560000000003</v>
      </c>
      <c r="U13" s="35">
        <v>0.2</v>
      </c>
      <c r="V13" s="99">
        <f t="shared" si="2"/>
        <v>23.421072000000002</v>
      </c>
      <c r="W13" s="100">
        <v>23.44</v>
      </c>
      <c r="X13" s="99">
        <f t="shared" si="3"/>
        <v>1.8927999999998946E-2</v>
      </c>
      <c r="Y13" s="43"/>
      <c r="Z13" s="99">
        <f t="shared" si="7"/>
        <v>19.517560000000003</v>
      </c>
      <c r="AA13" s="99">
        <f t="shared" si="8"/>
        <v>3.9035119999999992</v>
      </c>
      <c r="AB13" s="43"/>
      <c r="AC13" s="101"/>
      <c r="AD13" s="9">
        <f ca="1">IF(OR(A13&lt;&gt;parametres!F$26,ISBLANK(S13)),,MAX(INDIRECT(ADDRESS(index_min-1,COLUMN())):INDIRECT(ADDRESS(index_min-1,COLUMN())):INDIRECT(ADDRESS(index_min-1,COLUMN())):INDIRECT(ADDRESS(ROW()-1,COLUMN())))+1)</f>
        <v>6</v>
      </c>
    </row>
    <row r="14" spans="1:34" ht="13.2" customHeight="1">
      <c r="A14" s="2" t="s">
        <v>80</v>
      </c>
      <c r="B14" s="97" t="s">
        <v>85</v>
      </c>
      <c r="C14" s="160"/>
      <c r="D14" s="57">
        <v>2026</v>
      </c>
      <c r="E14" s="54">
        <f t="shared" ref="E14:E19" si="11">E13</f>
        <v>2026</v>
      </c>
      <c r="F14" s="16" t="str">
        <f>F8</f>
        <v>février</v>
      </c>
      <c r="G14" s="162">
        <f>G12</f>
        <v>26</v>
      </c>
      <c r="H14" s="5">
        <v>2026</v>
      </c>
      <c r="I14" s="6" t="s">
        <v>14</v>
      </c>
      <c r="J14" s="163">
        <v>17</v>
      </c>
      <c r="K14" s="164">
        <f t="shared" si="10"/>
        <v>20</v>
      </c>
      <c r="L14" s="37"/>
      <c r="M14" s="37"/>
      <c r="N14" s="38"/>
      <c r="O14" s="39"/>
      <c r="P14" s="164">
        <f>K14+2</f>
        <v>22</v>
      </c>
      <c r="Q14" s="39"/>
      <c r="R14" s="39"/>
      <c r="S14" s="138">
        <v>-0.26174999999999998</v>
      </c>
      <c r="T14" s="99">
        <f t="shared" si="1"/>
        <v>-5.7584999999999997</v>
      </c>
      <c r="U14" s="35">
        <v>0.2</v>
      </c>
      <c r="V14" s="99">
        <f t="shared" si="2"/>
        <v>-6.9101999999999997</v>
      </c>
      <c r="W14" s="100">
        <v>-6.91</v>
      </c>
      <c r="X14" s="99">
        <f t="shared" si="3"/>
        <v>1.9999999999953388E-4</v>
      </c>
      <c r="Y14" s="99">
        <f>T14</f>
        <v>-5.7584999999999997</v>
      </c>
      <c r="Z14" s="43"/>
      <c r="AA14" s="99">
        <f t="shared" si="8"/>
        <v>-1.1516999999999999</v>
      </c>
      <c r="AB14" s="43"/>
      <c r="AC14" s="101"/>
      <c r="AD14" s="9">
        <f ca="1">IF(OR(A14&lt;&gt;parametres!F$26,ISBLANK(S14)),,MAX(INDIRECT(ADDRESS(index_min-1,COLUMN())):INDIRECT(ADDRESS(index_min-1,COLUMN())):INDIRECT(ADDRESS(index_min-1,COLUMN())):INDIRECT(ADDRESS(ROW()-1,COLUMN())))+1)</f>
        <v>0</v>
      </c>
    </row>
    <row r="15" spans="1:34" ht="13.2" customHeight="1">
      <c r="A15" s="2" t="s">
        <v>80</v>
      </c>
      <c r="B15" s="97" t="s">
        <v>85</v>
      </c>
      <c r="C15" s="160"/>
      <c r="D15" s="57">
        <v>2026</v>
      </c>
      <c r="E15" s="54">
        <f t="shared" si="11"/>
        <v>2026</v>
      </c>
      <c r="F15" s="16" t="str">
        <f>F14</f>
        <v>février</v>
      </c>
      <c r="G15" s="162"/>
      <c r="H15" s="5">
        <f>H14</f>
        <v>2026</v>
      </c>
      <c r="I15" s="6" t="str">
        <f>I14</f>
        <v>mars</v>
      </c>
      <c r="J15" s="163"/>
      <c r="K15" s="164"/>
      <c r="L15" s="37"/>
      <c r="M15" s="37"/>
      <c r="N15" s="38"/>
      <c r="O15" s="39"/>
      <c r="P15" s="164"/>
      <c r="Q15" s="39"/>
      <c r="R15" s="39"/>
      <c r="S15" s="138">
        <v>0.2487</v>
      </c>
      <c r="T15" s="99">
        <f>S15*P14</f>
        <v>5.4714</v>
      </c>
      <c r="U15" s="35">
        <v>0.2</v>
      </c>
      <c r="V15" s="99">
        <f t="shared" si="2"/>
        <v>6.5656799999999995</v>
      </c>
      <c r="W15" s="100">
        <v>6.56</v>
      </c>
      <c r="X15" s="99">
        <f t="shared" si="3"/>
        <v>-5.6799999999999073E-3</v>
      </c>
      <c r="Y15" s="99">
        <f>T15</f>
        <v>5.4714</v>
      </c>
      <c r="Z15" s="43"/>
      <c r="AA15" s="99">
        <f t="shared" si="8"/>
        <v>1.0942799999999995</v>
      </c>
      <c r="AB15" s="43"/>
      <c r="AC15" s="101"/>
      <c r="AD15" s="9">
        <f ca="1">IF(OR(A15&lt;&gt;parametres!F$26,ISBLANK(S15)),,MAX(INDIRECT(ADDRESS(index_min-1,COLUMN())):INDIRECT(ADDRESS(index_min-1,COLUMN())):INDIRECT(ADDRESS(index_min-1,COLUMN())):INDIRECT(ADDRESS(ROW()-1,COLUMN())))+1)</f>
        <v>0</v>
      </c>
    </row>
    <row r="16" spans="1:34" ht="13.2" customHeight="1">
      <c r="A16" s="2" t="s">
        <v>80</v>
      </c>
      <c r="B16" s="97" t="s">
        <v>85</v>
      </c>
      <c r="C16" s="160"/>
      <c r="D16" s="57">
        <v>2026</v>
      </c>
      <c r="E16" s="54">
        <f t="shared" si="11"/>
        <v>2026</v>
      </c>
      <c r="F16" s="16" t="s">
        <v>14</v>
      </c>
      <c r="G16" s="40">
        <f>J14 + 1</f>
        <v>18</v>
      </c>
      <c r="H16" s="5">
        <v>2026</v>
      </c>
      <c r="I16" s="6" t="s">
        <v>15</v>
      </c>
      <c r="J16" s="56">
        <v>17</v>
      </c>
      <c r="K16" s="57">
        <f t="shared" si="10"/>
        <v>61</v>
      </c>
      <c r="L16" s="37"/>
      <c r="M16" s="37"/>
      <c r="N16" s="38"/>
      <c r="O16" s="39"/>
      <c r="P16" s="57">
        <f>K16-1</f>
        <v>60</v>
      </c>
      <c r="Q16" s="39"/>
      <c r="R16" s="39"/>
      <c r="S16" s="138">
        <v>0.2487</v>
      </c>
      <c r="T16" s="99">
        <f>S16*P16</f>
        <v>14.922000000000001</v>
      </c>
      <c r="U16" s="35">
        <v>0.2</v>
      </c>
      <c r="V16" s="99">
        <f t="shared" si="2"/>
        <v>17.906400000000001</v>
      </c>
      <c r="W16" s="100">
        <v>17.899999999999999</v>
      </c>
      <c r="X16" s="99">
        <f t="shared" si="3"/>
        <v>-6.4000000000028479E-3</v>
      </c>
      <c r="Y16" s="99">
        <f>T16</f>
        <v>14.922000000000001</v>
      </c>
      <c r="Z16" s="43"/>
      <c r="AA16" s="99">
        <f t="shared" si="8"/>
        <v>2.9844000000000008</v>
      </c>
      <c r="AB16" s="43"/>
      <c r="AC16" s="101"/>
      <c r="AD16" s="9">
        <f ca="1">IF(OR(A16&lt;&gt;parametres!F$26,ISBLANK(S16)),,MAX(INDIRECT(ADDRESS(index_min-1,COLUMN())):INDIRECT(ADDRESS(index_min-1,COLUMN())):INDIRECT(ADDRESS(index_min-1,COLUMN())):INDIRECT(ADDRESS(ROW()-1,COLUMN())))+1)</f>
        <v>0</v>
      </c>
    </row>
    <row r="17" spans="1:33">
      <c r="A17" s="2" t="s">
        <v>86</v>
      </c>
      <c r="B17" s="97" t="s">
        <v>85</v>
      </c>
      <c r="C17" s="160"/>
      <c r="D17" s="57">
        <v>2026</v>
      </c>
      <c r="E17" s="54">
        <f t="shared" si="11"/>
        <v>2026</v>
      </c>
      <c r="F17" s="43"/>
      <c r="G17" s="39"/>
      <c r="H17" s="5">
        <v>2026</v>
      </c>
      <c r="I17" s="6" t="s">
        <v>14</v>
      </c>
      <c r="J17" s="39"/>
      <c r="K17" s="39"/>
      <c r="L17" s="39"/>
      <c r="M17" s="39"/>
      <c r="N17" s="38"/>
      <c r="O17" s="39"/>
      <c r="P17" s="55">
        <v>14.4</v>
      </c>
      <c r="Q17" s="39"/>
      <c r="R17" s="39"/>
      <c r="S17" s="44">
        <v>0.15</v>
      </c>
      <c r="T17" s="99">
        <f>S17*P17</f>
        <v>2.16</v>
      </c>
      <c r="U17" s="35">
        <v>0.2</v>
      </c>
      <c r="V17" s="99">
        <f t="shared" si="2"/>
        <v>2.5920000000000001</v>
      </c>
      <c r="W17" s="100">
        <v>2.59</v>
      </c>
      <c r="X17" s="99">
        <f t="shared" si="3"/>
        <v>-2.0000000000002238E-3</v>
      </c>
      <c r="Y17" s="43"/>
      <c r="Z17" s="43"/>
      <c r="AA17" s="99">
        <f t="shared" si="8"/>
        <v>0.43199999999999994</v>
      </c>
      <c r="AB17" s="99">
        <f>T17</f>
        <v>2.16</v>
      </c>
      <c r="AC17" s="102"/>
      <c r="AD17" s="9">
        <f ca="1">IF(OR(A17&lt;&gt;parametres!F$26,ISBLANK(S17)),,MAX(INDIRECT(ADDRESS(index_min-1,COLUMN())):INDIRECT(ADDRESS(index_min-1,COLUMN())):INDIRECT(ADDRESS(index_min-1,COLUMN())):INDIRECT(ADDRESS(ROW()-1,COLUMN())))+1)</f>
        <v>0</v>
      </c>
      <c r="AE17" s="41"/>
    </row>
    <row r="18" spans="1:33">
      <c r="A18" s="103" t="s">
        <v>87</v>
      </c>
      <c r="B18" s="104" t="s">
        <v>85</v>
      </c>
      <c r="C18" s="161"/>
      <c r="D18" s="105">
        <v>2026</v>
      </c>
      <c r="E18" s="106">
        <f t="shared" si="11"/>
        <v>2026</v>
      </c>
      <c r="F18" s="107"/>
      <c r="G18" s="108"/>
      <c r="H18" s="109">
        <v>2026</v>
      </c>
      <c r="I18" s="110" t="str">
        <f>I17</f>
        <v>mars</v>
      </c>
      <c r="J18" s="108"/>
      <c r="K18" s="108"/>
      <c r="L18" s="108"/>
      <c r="M18" s="108"/>
      <c r="N18" s="111"/>
      <c r="O18" s="108"/>
      <c r="P18" s="105">
        <f>R8</f>
        <v>254</v>
      </c>
      <c r="Q18" s="108"/>
      <c r="R18" s="108"/>
      <c r="S18" s="140">
        <v>3.0849999999999999E-2</v>
      </c>
      <c r="T18" s="113">
        <f>S18*P18</f>
        <v>7.8358999999999996</v>
      </c>
      <c r="U18" s="114">
        <v>0.2</v>
      </c>
      <c r="V18" s="113">
        <f t="shared" si="2"/>
        <v>9.4030799999999992</v>
      </c>
      <c r="W18" s="115">
        <v>9.41</v>
      </c>
      <c r="X18" s="113">
        <f t="shared" si="3"/>
        <v>6.9200000000009254E-3</v>
      </c>
      <c r="Y18" s="107"/>
      <c r="Z18" s="107"/>
      <c r="AA18" s="99">
        <f t="shared" si="8"/>
        <v>1.5671799999999996</v>
      </c>
      <c r="AB18" s="113">
        <f>T18</f>
        <v>7.8358999999999996</v>
      </c>
      <c r="AC18" s="116"/>
      <c r="AD18" s="117">
        <f ca="1">IF(OR(A18&lt;&gt;parametres!F$26,ISBLANK(S18)),,MAX(INDIRECT(ADDRESS(index_min-1,COLUMN())):INDIRECT(ADDRESS(index_min-1,COLUMN())):INDIRECT(ADDRESS(index_min-1,COLUMN())):INDIRECT(ADDRESS(ROW()-1,COLUMN())))+1)</f>
        <v>0</v>
      </c>
      <c r="AE18" s="41"/>
    </row>
    <row r="19" spans="1:33" ht="55.8" customHeight="1">
      <c r="A19" s="118" t="s">
        <v>90</v>
      </c>
      <c r="B19" s="118" t="str">
        <f>A19&amp;" "&amp;E19</f>
        <v>chèque énergie 2026</v>
      </c>
      <c r="C19" s="119"/>
      <c r="D19" s="73">
        <v>2026</v>
      </c>
      <c r="E19" s="120">
        <f t="shared" si="11"/>
        <v>2026</v>
      </c>
      <c r="F19" s="121" t="s">
        <v>90</v>
      </c>
      <c r="G19" s="76"/>
      <c r="H19" s="70">
        <v>2026</v>
      </c>
      <c r="I19" s="122" t="str">
        <f>I16</f>
        <v>mai</v>
      </c>
      <c r="J19" s="76"/>
      <c r="K19" s="76"/>
      <c r="L19" s="76"/>
      <c r="M19" s="76"/>
      <c r="N19" s="75"/>
      <c r="O19" s="76"/>
      <c r="P19" s="76"/>
      <c r="Q19" s="76"/>
      <c r="R19" s="76"/>
      <c r="S19" s="76"/>
      <c r="T19" s="76"/>
      <c r="U19" s="76"/>
      <c r="V19" s="123">
        <f>W19</f>
        <v>-48</v>
      </c>
      <c r="W19" s="79">
        <v>-48</v>
      </c>
      <c r="X19" s="77">
        <f t="shared" si="3"/>
        <v>0</v>
      </c>
      <c r="Y19" s="80"/>
      <c r="Z19" s="123">
        <f>V19</f>
        <v>-48</v>
      </c>
      <c r="AA19" s="80"/>
      <c r="AB19" s="80"/>
      <c r="AC19" s="124"/>
      <c r="AD19" s="125">
        <f ca="1">IF(OR(A19&lt;&gt;parametres!F$26,ISBLANK(S19)),,MAX(INDIRECT(ADDRESS(index_min-1,COLUMN())):INDIRECT(ADDRESS(index_min-1,COLUMN())):INDIRECT(ADDRESS(index_min-1,COLUMN())):INDIRECT(ADDRESS(ROW()-1,COLUMN())))+1)</f>
        <v>0</v>
      </c>
      <c r="AE19" s="41"/>
    </row>
    <row r="20" spans="1:33" ht="13.2" customHeight="1">
      <c r="A20" s="81" t="s">
        <v>7</v>
      </c>
      <c r="B20" s="82" t="s">
        <v>91</v>
      </c>
      <c r="C20" s="159"/>
      <c r="D20" s="83">
        <v>2026</v>
      </c>
      <c r="E20" s="84">
        <v>2026</v>
      </c>
      <c r="F20" s="85" t="s">
        <v>14</v>
      </c>
      <c r="G20" s="167">
        <f>J8+1</f>
        <v>19</v>
      </c>
      <c r="H20" s="86">
        <v>2026</v>
      </c>
      <c r="I20" s="87" t="s">
        <v>1</v>
      </c>
      <c r="J20" s="169">
        <v>18</v>
      </c>
      <c r="K20" s="155">
        <f t="shared" ref="K20" si="12">(H20&amp;"-"&amp;HLOOKUP(I20,MOIS,2,FALSE)&amp;"-"&amp;J20) - (E20&amp;"-"&amp;HLOOKUP(F20,MOIS,2,FALSE)&amp;"-"&amp;G20) + 1</f>
        <v>31</v>
      </c>
      <c r="L20" s="155">
        <f>K20</f>
        <v>31</v>
      </c>
      <c r="M20" s="149" t="s">
        <v>71</v>
      </c>
      <c r="N20" s="87">
        <v>9692</v>
      </c>
      <c r="O20" s="87">
        <v>9705</v>
      </c>
      <c r="P20" s="89">
        <f t="shared" ref="P20:P25" si="13">O20-N20</f>
        <v>13</v>
      </c>
      <c r="Q20" s="89">
        <f>P20</f>
        <v>13</v>
      </c>
      <c r="R20" s="165">
        <f>SUMIF(B20:B27,B20,Q20:Q27)</f>
        <v>468</v>
      </c>
      <c r="S20" s="138">
        <v>0.22781999999999999</v>
      </c>
      <c r="T20" s="91">
        <f t="shared" ref="T20:T28" si="14">S20*P20</f>
        <v>2.9616599999999997</v>
      </c>
      <c r="U20" s="92">
        <v>0.2</v>
      </c>
      <c r="V20" s="91">
        <f t="shared" ref="V20:V31" si="15">T20 * (1 + U20)</f>
        <v>3.5539919999999996</v>
      </c>
      <c r="W20" s="93">
        <v>3.56</v>
      </c>
      <c r="X20" s="91">
        <f t="shared" ref="X20:X31" si="16">W20-V20</f>
        <v>6.0080000000004574E-3</v>
      </c>
      <c r="Y20" s="94"/>
      <c r="Z20" s="91">
        <f>T20</f>
        <v>2.9616599999999997</v>
      </c>
      <c r="AA20" s="91">
        <f>V20-T20</f>
        <v>0.59233199999999986</v>
      </c>
      <c r="AB20" s="94"/>
      <c r="AC20" s="95"/>
      <c r="AD20" s="96">
        <f ca="1">IF(OR(A20&lt;&gt;parametres!F$26,ISBLANK(S20)),,MAX(INDIRECT(ADDRESS(index_min-1,COLUMN())):INDIRECT(ADDRESS(index_min-1,COLUMN())):INDIRECT(ADDRESS(index_min-1,COLUMN())):INDIRECT(ADDRESS(ROW()-1,COLUMN())))+1)</f>
        <v>7</v>
      </c>
      <c r="AG20" s="41"/>
    </row>
    <row r="21" spans="1:33">
      <c r="A21" s="2" t="s">
        <v>7</v>
      </c>
      <c r="B21" s="97" t="str">
        <f>B20</f>
        <v>mai 2026</v>
      </c>
      <c r="C21" s="160"/>
      <c r="D21" s="57">
        <v>2026</v>
      </c>
      <c r="E21" s="54">
        <f>E20</f>
        <v>2026</v>
      </c>
      <c r="F21" s="16" t="str">
        <f>F20</f>
        <v>mars</v>
      </c>
      <c r="G21" s="168"/>
      <c r="H21" s="5">
        <f>H20</f>
        <v>2026</v>
      </c>
      <c r="I21" s="6" t="str">
        <f>I20</f>
        <v>avril</v>
      </c>
      <c r="J21" s="163"/>
      <c r="K21" s="156"/>
      <c r="L21" s="156"/>
      <c r="M21" s="150" t="s">
        <v>70</v>
      </c>
      <c r="N21" s="6">
        <v>206</v>
      </c>
      <c r="O21" s="6">
        <v>284</v>
      </c>
      <c r="P21" s="58">
        <f t="shared" si="13"/>
        <v>78</v>
      </c>
      <c r="Q21" s="58">
        <f t="shared" ref="Q21:Q25" si="17">P21</f>
        <v>78</v>
      </c>
      <c r="R21" s="166"/>
      <c r="S21" s="138">
        <v>0.15998000000000001</v>
      </c>
      <c r="T21" s="99">
        <f t="shared" si="14"/>
        <v>12.478440000000001</v>
      </c>
      <c r="U21" s="35">
        <v>0.2</v>
      </c>
      <c r="V21" s="99">
        <f t="shared" si="15"/>
        <v>14.974128</v>
      </c>
      <c r="W21" s="100">
        <v>14.96</v>
      </c>
      <c r="X21" s="99">
        <f t="shared" si="16"/>
        <v>-1.4127999999999474E-2</v>
      </c>
      <c r="Y21" s="43"/>
      <c r="Z21" s="99">
        <f t="shared" ref="Z21:Z25" si="18">T21</f>
        <v>12.478440000000001</v>
      </c>
      <c r="AA21" s="99">
        <f t="shared" ref="AA21:AA42" si="19">V21-T21</f>
        <v>2.4956879999999995</v>
      </c>
      <c r="AB21" s="43"/>
      <c r="AC21" s="101"/>
      <c r="AD21" s="9">
        <f ca="1">IF(OR(A21&lt;&gt;parametres!F$26,ISBLANK(S21)),,MAX(INDIRECT(ADDRESS(index_min-1,COLUMN())):INDIRECT(ADDRESS(index_min-1,COLUMN())):INDIRECT(ADDRESS(index_min-1,COLUMN())):INDIRECT(ADDRESS(ROW()-1,COLUMN())))+1)</f>
        <v>8</v>
      </c>
    </row>
    <row r="22" spans="1:33">
      <c r="A22" s="2" t="s">
        <v>7</v>
      </c>
      <c r="B22" s="97" t="str">
        <f t="shared" ref="B22:B28" si="20">B21</f>
        <v>mai 2026</v>
      </c>
      <c r="C22" s="160"/>
      <c r="D22" s="57">
        <v>2026</v>
      </c>
      <c r="E22" s="54">
        <v>2026</v>
      </c>
      <c r="F22" s="16" t="str">
        <f>F20</f>
        <v>mars</v>
      </c>
      <c r="G22" s="162">
        <f>G20</f>
        <v>19</v>
      </c>
      <c r="H22" s="5">
        <v>2026</v>
      </c>
      <c r="I22" s="6" t="s">
        <v>1</v>
      </c>
      <c r="J22" s="163">
        <f>J20</f>
        <v>18</v>
      </c>
      <c r="K22" s="164">
        <f t="shared" ref="K22" si="21">(H22&amp;"-"&amp;HLOOKUP(I22,MOIS,2,FALSE)&amp;"-"&amp;J22) - (E22&amp;"-"&amp;HLOOKUP(F22,MOIS,2,FALSE)&amp;"-"&amp;G22) + 1</f>
        <v>31</v>
      </c>
      <c r="L22" s="154"/>
      <c r="M22" s="150" t="s">
        <v>73</v>
      </c>
      <c r="N22" s="6">
        <v>0</v>
      </c>
      <c r="O22" s="6">
        <v>18</v>
      </c>
      <c r="P22" s="58">
        <f t="shared" si="13"/>
        <v>18</v>
      </c>
      <c r="Q22" s="58">
        <f t="shared" si="17"/>
        <v>18</v>
      </c>
      <c r="R22" s="166"/>
      <c r="S22" s="138">
        <v>0.13053999999999999</v>
      </c>
      <c r="T22" s="99">
        <f t="shared" si="14"/>
        <v>2.3497199999999996</v>
      </c>
      <c r="U22" s="35">
        <v>0.2</v>
      </c>
      <c r="V22" s="99">
        <f t="shared" si="15"/>
        <v>2.8196639999999995</v>
      </c>
      <c r="W22" s="100">
        <v>2.82</v>
      </c>
      <c r="X22" s="99">
        <f t="shared" si="16"/>
        <v>3.3600000000033603E-4</v>
      </c>
      <c r="Y22" s="43"/>
      <c r="Z22" s="99">
        <f t="shared" si="18"/>
        <v>2.3497199999999996</v>
      </c>
      <c r="AA22" s="99">
        <f t="shared" si="19"/>
        <v>0.46994399999999992</v>
      </c>
      <c r="AB22" s="43"/>
      <c r="AC22" s="101"/>
      <c r="AD22" s="9">
        <f ca="1">IF(OR(A22&lt;&gt;parametres!F$26,ISBLANK(S22)),,MAX(INDIRECT(ADDRESS(index_min-1,COLUMN())):INDIRECT(ADDRESS(index_min-1,COLUMN())):INDIRECT(ADDRESS(index_min-1,COLUMN())):INDIRECT(ADDRESS(ROW()-1,COLUMN())))+1)</f>
        <v>9</v>
      </c>
    </row>
    <row r="23" spans="1:33">
      <c r="A23" s="2" t="s">
        <v>7</v>
      </c>
      <c r="B23" s="97" t="str">
        <f t="shared" si="20"/>
        <v>mai 2026</v>
      </c>
      <c r="C23" s="160"/>
      <c r="D23" s="57">
        <v>2026</v>
      </c>
      <c r="E23" s="54">
        <f>E22</f>
        <v>2026</v>
      </c>
      <c r="F23" s="16" t="str">
        <f>F22</f>
        <v>mars</v>
      </c>
      <c r="G23" s="162"/>
      <c r="H23" s="5">
        <f>H22</f>
        <v>2026</v>
      </c>
      <c r="I23" s="6" t="str">
        <f>I22</f>
        <v>avril</v>
      </c>
      <c r="J23" s="163"/>
      <c r="K23" s="164"/>
      <c r="L23" s="154"/>
      <c r="M23" s="150" t="s">
        <v>72</v>
      </c>
      <c r="N23" s="6">
        <v>0</v>
      </c>
      <c r="O23" s="6">
        <v>130</v>
      </c>
      <c r="P23" s="58">
        <f t="shared" si="13"/>
        <v>130</v>
      </c>
      <c r="Q23" s="58">
        <f t="shared" si="17"/>
        <v>130</v>
      </c>
      <c r="R23" s="166"/>
      <c r="S23" s="138">
        <v>8.344E-2</v>
      </c>
      <c r="T23" s="99">
        <f t="shared" si="14"/>
        <v>10.847200000000001</v>
      </c>
      <c r="U23" s="35">
        <v>0.2</v>
      </c>
      <c r="V23" s="99">
        <f t="shared" si="15"/>
        <v>13.016640000000001</v>
      </c>
      <c r="W23" s="100">
        <v>13.02</v>
      </c>
      <c r="X23" s="99">
        <f t="shared" si="16"/>
        <v>3.3599999999989194E-3</v>
      </c>
      <c r="Y23" s="43"/>
      <c r="Z23" s="99">
        <f t="shared" si="18"/>
        <v>10.847200000000001</v>
      </c>
      <c r="AA23" s="99">
        <f t="shared" si="19"/>
        <v>2.1694399999999998</v>
      </c>
      <c r="AB23" s="43"/>
      <c r="AC23" s="101"/>
      <c r="AD23" s="9">
        <f ca="1">IF(OR(A23&lt;&gt;parametres!F$26,ISBLANK(S23)),,MAX(INDIRECT(ADDRESS(index_min-1,COLUMN())):INDIRECT(ADDRESS(index_min-1,COLUMN())):INDIRECT(ADDRESS(index_min-1,COLUMN())):INDIRECT(ADDRESS(ROW()-1,COLUMN())))+1)</f>
        <v>10</v>
      </c>
    </row>
    <row r="24" spans="1:33">
      <c r="A24" s="2" t="s">
        <v>7</v>
      </c>
      <c r="B24" s="97" t="str">
        <f t="shared" si="20"/>
        <v>mai 2026</v>
      </c>
      <c r="C24" s="160"/>
      <c r="D24" s="57">
        <v>2026</v>
      </c>
      <c r="E24" s="54">
        <v>2026</v>
      </c>
      <c r="F24" s="16" t="s">
        <v>1</v>
      </c>
      <c r="G24" s="162">
        <f>J20+1</f>
        <v>19</v>
      </c>
      <c r="H24" s="5">
        <v>2026</v>
      </c>
      <c r="I24" s="6" t="s">
        <v>15</v>
      </c>
      <c r="J24" s="163">
        <v>18</v>
      </c>
      <c r="K24" s="164">
        <f t="shared" ref="K24" si="22">(H24&amp;"-"&amp;HLOOKUP(I24,MOIS,2,FALSE)&amp;"-"&amp;J24) - (E24&amp;"-"&amp;HLOOKUP(F24,MOIS,2,FALSE)&amp;"-"&amp;G24) + 1</f>
        <v>30</v>
      </c>
      <c r="L24" s="156">
        <f>K24</f>
        <v>30</v>
      </c>
      <c r="M24" s="150" t="s">
        <v>71</v>
      </c>
      <c r="N24" s="16">
        <f>O20</f>
        <v>9705</v>
      </c>
      <c r="O24" s="6">
        <v>9705</v>
      </c>
      <c r="P24" s="58">
        <f t="shared" si="13"/>
        <v>0</v>
      </c>
      <c r="Q24" s="58">
        <f t="shared" si="17"/>
        <v>0</v>
      </c>
      <c r="R24" s="166"/>
      <c r="S24" s="138">
        <v>0.22781999999999999</v>
      </c>
      <c r="T24" s="99">
        <f t="shared" si="14"/>
        <v>0</v>
      </c>
      <c r="U24" s="35">
        <v>0.2</v>
      </c>
      <c r="V24" s="99">
        <f t="shared" si="15"/>
        <v>0</v>
      </c>
      <c r="W24" s="100">
        <v>0</v>
      </c>
      <c r="X24" s="99">
        <f t="shared" si="16"/>
        <v>0</v>
      </c>
      <c r="Y24" s="43"/>
      <c r="Z24" s="99">
        <f t="shared" si="18"/>
        <v>0</v>
      </c>
      <c r="AA24" s="99">
        <f t="shared" si="19"/>
        <v>0</v>
      </c>
      <c r="AB24" s="43"/>
      <c r="AC24" s="101"/>
      <c r="AD24" s="9">
        <f ca="1">IF(OR(A24&lt;&gt;parametres!F$26,ISBLANK(S24)),,MAX(INDIRECT(ADDRESS(index_min-1,COLUMN())):INDIRECT(ADDRESS(index_min-1,COLUMN())):INDIRECT(ADDRESS(index_min-1,COLUMN())):INDIRECT(ADDRESS(ROW()-1,COLUMN())))+1)</f>
        <v>11</v>
      </c>
    </row>
    <row r="25" spans="1:33">
      <c r="A25" s="2" t="s">
        <v>7</v>
      </c>
      <c r="B25" s="97" t="str">
        <f t="shared" si="20"/>
        <v>mai 2026</v>
      </c>
      <c r="C25" s="160"/>
      <c r="D25" s="57">
        <v>2026</v>
      </c>
      <c r="E25" s="54">
        <f>E24</f>
        <v>2026</v>
      </c>
      <c r="F25" s="16" t="str">
        <f>F24</f>
        <v>avril</v>
      </c>
      <c r="G25" s="162"/>
      <c r="H25" s="5">
        <f>H24</f>
        <v>2026</v>
      </c>
      <c r="I25" s="6" t="str">
        <f>I24</f>
        <v>mai</v>
      </c>
      <c r="J25" s="163"/>
      <c r="K25" s="164"/>
      <c r="L25" s="156"/>
      <c r="M25" s="150" t="s">
        <v>70</v>
      </c>
      <c r="N25" s="16">
        <f>O21</f>
        <v>284</v>
      </c>
      <c r="O25" s="6">
        <v>284</v>
      </c>
      <c r="P25" s="58">
        <f t="shared" si="13"/>
        <v>0</v>
      </c>
      <c r="Q25" s="58">
        <f t="shared" si="17"/>
        <v>0</v>
      </c>
      <c r="R25" s="166"/>
      <c r="S25" s="138">
        <v>0.15998000000000001</v>
      </c>
      <c r="T25" s="99">
        <f t="shared" si="14"/>
        <v>0</v>
      </c>
      <c r="U25" s="35">
        <v>0.2</v>
      </c>
      <c r="V25" s="99">
        <f t="shared" si="15"/>
        <v>0</v>
      </c>
      <c r="W25" s="100">
        <v>0</v>
      </c>
      <c r="X25" s="99">
        <f t="shared" si="16"/>
        <v>0</v>
      </c>
      <c r="Y25" s="43"/>
      <c r="Z25" s="99">
        <f t="shared" si="18"/>
        <v>0</v>
      </c>
      <c r="AA25" s="99">
        <f t="shared" si="19"/>
        <v>0</v>
      </c>
      <c r="AB25" s="43"/>
      <c r="AC25" s="101"/>
      <c r="AD25" s="9">
        <f ca="1">IF(OR(A25&lt;&gt;parametres!F$26,ISBLANK(S25)),,MAX(INDIRECT(ADDRESS(index_min-1,COLUMN())):INDIRECT(ADDRESS(index_min-1,COLUMN())):INDIRECT(ADDRESS(index_min-1,COLUMN())):INDIRECT(ADDRESS(ROW()-1,COLUMN())))+1)</f>
        <v>12</v>
      </c>
    </row>
    <row r="26" spans="1:33">
      <c r="A26" s="2" t="s">
        <v>7</v>
      </c>
      <c r="B26" s="97" t="str">
        <f t="shared" si="20"/>
        <v>mai 2026</v>
      </c>
      <c r="C26" s="160"/>
      <c r="D26" s="57">
        <v>2026</v>
      </c>
      <c r="E26" s="54">
        <v>2026</v>
      </c>
      <c r="F26" s="16" t="s">
        <v>1</v>
      </c>
      <c r="G26" s="162">
        <f>G24</f>
        <v>19</v>
      </c>
      <c r="H26" s="5">
        <v>2026</v>
      </c>
      <c r="I26" s="6" t="s">
        <v>15</v>
      </c>
      <c r="J26" s="163">
        <f>J24</f>
        <v>18</v>
      </c>
      <c r="K26" s="164">
        <f t="shared" ref="K26:K28" si="23">(H26&amp;"-"&amp;HLOOKUP(I26,MOIS,2,FALSE)&amp;"-"&amp;J26) - (E26&amp;"-"&amp;HLOOKUP(F26,MOIS,2,FALSE)&amp;"-"&amp;G26) + 1</f>
        <v>30</v>
      </c>
      <c r="L26" s="154"/>
      <c r="M26" s="150" t="s">
        <v>73</v>
      </c>
      <c r="N26" s="16">
        <f>O22</f>
        <v>18</v>
      </c>
      <c r="O26" s="6">
        <v>71</v>
      </c>
      <c r="P26" s="58">
        <f t="shared" ref="P26:P27" si="24">O26-N26</f>
        <v>53</v>
      </c>
      <c r="Q26" s="58">
        <f t="shared" ref="Q26:Q27" si="25">P26</f>
        <v>53</v>
      </c>
      <c r="R26" s="166"/>
      <c r="S26" s="138">
        <v>0.13053999999999999</v>
      </c>
      <c r="T26" s="99">
        <f t="shared" ref="T26:T27" si="26">S26*P26</f>
        <v>6.9186199999999998</v>
      </c>
      <c r="U26" s="35">
        <v>0.2</v>
      </c>
      <c r="V26" s="99">
        <f t="shared" ref="V26:V27" si="27">T26 * (1 + U26)</f>
        <v>8.3023439999999997</v>
      </c>
      <c r="W26" s="100">
        <v>8.2899999999999991</v>
      </c>
      <c r="X26" s="99">
        <f t="shared" ref="X26:X27" si="28">W26-V26</f>
        <v>-1.2344000000000577E-2</v>
      </c>
      <c r="Y26" s="43"/>
      <c r="Z26" s="99">
        <f t="shared" ref="Z26:Z29" si="29">T26</f>
        <v>6.9186199999999998</v>
      </c>
      <c r="AA26" s="99">
        <f t="shared" si="19"/>
        <v>1.383724</v>
      </c>
      <c r="AB26" s="43"/>
      <c r="AC26" s="101"/>
      <c r="AD26" s="9">
        <f ca="1">IF(OR(A26&lt;&gt;parametres!F$26,ISBLANK(S26)),,MAX(INDIRECT(ADDRESS(index_min-1,COLUMN())):INDIRECT(ADDRESS(index_min-1,COLUMN())):INDIRECT(ADDRESS(index_min-1,COLUMN())):INDIRECT(ADDRESS(ROW()-1,COLUMN())))+1)</f>
        <v>13</v>
      </c>
    </row>
    <row r="27" spans="1:33">
      <c r="A27" s="2" t="s">
        <v>7</v>
      </c>
      <c r="B27" s="97" t="str">
        <f t="shared" si="20"/>
        <v>mai 2026</v>
      </c>
      <c r="C27" s="160"/>
      <c r="D27" s="57">
        <v>2026</v>
      </c>
      <c r="E27" s="54">
        <f>E26</f>
        <v>2026</v>
      </c>
      <c r="F27" s="16" t="str">
        <f>F26</f>
        <v>avril</v>
      </c>
      <c r="G27" s="162"/>
      <c r="H27" s="5">
        <f>H26</f>
        <v>2026</v>
      </c>
      <c r="I27" s="6" t="str">
        <f>I26</f>
        <v>mai</v>
      </c>
      <c r="J27" s="163"/>
      <c r="K27" s="164"/>
      <c r="L27" s="154"/>
      <c r="M27" s="150" t="s">
        <v>72</v>
      </c>
      <c r="N27" s="16">
        <f>O23</f>
        <v>130</v>
      </c>
      <c r="O27" s="6">
        <v>306</v>
      </c>
      <c r="P27" s="58">
        <f t="shared" si="24"/>
        <v>176</v>
      </c>
      <c r="Q27" s="58">
        <f t="shared" si="25"/>
        <v>176</v>
      </c>
      <c r="R27" s="166"/>
      <c r="S27" s="138">
        <v>8.344E-2</v>
      </c>
      <c r="T27" s="99">
        <f t="shared" si="26"/>
        <v>14.68544</v>
      </c>
      <c r="U27" s="35">
        <v>0.2</v>
      </c>
      <c r="V27" s="99">
        <f t="shared" si="27"/>
        <v>17.622527999999999</v>
      </c>
      <c r="W27" s="100">
        <v>17.62</v>
      </c>
      <c r="X27" s="99">
        <f t="shared" si="28"/>
        <v>-2.5279999999980873E-3</v>
      </c>
      <c r="Y27" s="43"/>
      <c r="Z27" s="99">
        <f t="shared" si="29"/>
        <v>14.68544</v>
      </c>
      <c r="AA27" s="99">
        <f t="shared" si="19"/>
        <v>2.9370879999999993</v>
      </c>
      <c r="AB27" s="43"/>
      <c r="AC27" s="101"/>
      <c r="AD27" s="9">
        <f ca="1">IF(OR(A27&lt;&gt;parametres!F$26,ISBLANK(S27)),,MAX(INDIRECT(ADDRESS(index_min-1,COLUMN())):INDIRECT(ADDRESS(index_min-1,COLUMN())):INDIRECT(ADDRESS(index_min-1,COLUMN())):INDIRECT(ADDRESS(ROW()-1,COLUMN())))+1)</f>
        <v>14</v>
      </c>
    </row>
    <row r="28" spans="1:33" ht="13.2" customHeight="1">
      <c r="A28" s="2" t="s">
        <v>80</v>
      </c>
      <c r="B28" s="97" t="str">
        <f t="shared" si="20"/>
        <v>mai 2026</v>
      </c>
      <c r="C28" s="160"/>
      <c r="D28" s="57">
        <v>2026</v>
      </c>
      <c r="E28" s="54">
        <f>E25</f>
        <v>2026</v>
      </c>
      <c r="F28" s="16" t="str">
        <f>I24</f>
        <v>mai</v>
      </c>
      <c r="G28" s="16">
        <f>J24</f>
        <v>18</v>
      </c>
      <c r="H28" s="5">
        <v>2026</v>
      </c>
      <c r="I28" s="16" t="str">
        <f>INDEX(MOIS,1,MATCH(F28,liste_mois,0) + 2)</f>
        <v>juillet</v>
      </c>
      <c r="J28" s="59">
        <f>G28-1</f>
        <v>17</v>
      </c>
      <c r="K28" s="57">
        <f t="shared" si="23"/>
        <v>61</v>
      </c>
      <c r="L28" s="39"/>
      <c r="M28" s="37"/>
      <c r="N28" s="38"/>
      <c r="O28" s="39"/>
      <c r="P28" s="57">
        <f>K28-1</f>
        <v>60</v>
      </c>
      <c r="Q28" s="39"/>
      <c r="R28" s="39"/>
      <c r="S28" s="138">
        <v>0.2487</v>
      </c>
      <c r="T28" s="99">
        <f t="shared" si="14"/>
        <v>14.922000000000001</v>
      </c>
      <c r="U28" s="35">
        <v>0.2</v>
      </c>
      <c r="V28" s="99">
        <f t="shared" si="15"/>
        <v>17.906400000000001</v>
      </c>
      <c r="W28" s="100">
        <v>17.899999999999999</v>
      </c>
      <c r="X28" s="99">
        <f t="shared" si="16"/>
        <v>-6.4000000000028479E-3</v>
      </c>
      <c r="Y28" s="99">
        <f>T28</f>
        <v>14.922000000000001</v>
      </c>
      <c r="Z28" s="43"/>
      <c r="AA28" s="99">
        <f t="shared" si="19"/>
        <v>2.9844000000000008</v>
      </c>
      <c r="AB28" s="43"/>
      <c r="AC28" s="101"/>
      <c r="AD28" s="9">
        <f ca="1">IF(OR(A28&lt;&gt;parametres!F$26,ISBLANK(S28)),,MAX(INDIRECT(ADDRESS(index_min-1,COLUMN())):INDIRECT(ADDRESS(index_min-1,COLUMN())):INDIRECT(ADDRESS(index_min-1,COLUMN())):INDIRECT(ADDRESS(ROW()-1,COLUMN())))+1)</f>
        <v>0</v>
      </c>
    </row>
    <row r="29" spans="1:33" ht="13.2" customHeight="1">
      <c r="A29" s="2" t="s">
        <v>92</v>
      </c>
      <c r="B29" s="2" t="str">
        <f>A29&amp;" "&amp;E29</f>
        <v>parrainage 2026</v>
      </c>
      <c r="C29" s="160"/>
      <c r="D29" s="57">
        <v>2026</v>
      </c>
      <c r="E29" s="54">
        <v>2026</v>
      </c>
      <c r="F29" s="16" t="s">
        <v>92</v>
      </c>
      <c r="G29" s="39"/>
      <c r="H29" s="5">
        <v>2026</v>
      </c>
      <c r="I29" s="6" t="s">
        <v>1</v>
      </c>
      <c r="J29" s="39"/>
      <c r="K29" s="39"/>
      <c r="L29" s="39"/>
      <c r="M29" s="37"/>
      <c r="N29" s="38"/>
      <c r="O29" s="39"/>
      <c r="P29" s="34">
        <v>-1</v>
      </c>
      <c r="Q29" s="39"/>
      <c r="R29" s="39"/>
      <c r="S29" s="139">
        <v>41.67</v>
      </c>
      <c r="T29" s="99">
        <f t="shared" ref="T29" si="30">S29*P29</f>
        <v>-41.67</v>
      </c>
      <c r="U29" s="35">
        <v>0.2</v>
      </c>
      <c r="V29" s="99">
        <f t="shared" ref="V29" si="31">T29 * (1 + U29)</f>
        <v>-50.003999999999998</v>
      </c>
      <c r="W29" s="100">
        <v>-50</v>
      </c>
      <c r="X29" s="99">
        <f t="shared" ref="X29" si="32">W29-V29</f>
        <v>3.9999999999977831E-3</v>
      </c>
      <c r="Y29" s="43"/>
      <c r="Z29" s="99">
        <f t="shared" si="29"/>
        <v>-41.67</v>
      </c>
      <c r="AA29" s="99">
        <f t="shared" si="19"/>
        <v>-8.3339999999999961</v>
      </c>
      <c r="AB29" s="43"/>
      <c r="AC29" s="101"/>
      <c r="AD29" s="9">
        <f ca="1">IF(OR(A29&lt;&gt;parametres!F$26,ISBLANK(S29)),,MAX(INDIRECT(ADDRESS(index_min-1,COLUMN())):INDIRECT(ADDRESS(index_min-1,COLUMN())):INDIRECT(ADDRESS(index_min-1,COLUMN())):INDIRECT(ADDRESS(ROW()-1,COLUMN())))+1)</f>
        <v>0</v>
      </c>
      <c r="AG29" s="41"/>
    </row>
    <row r="30" spans="1:33">
      <c r="A30" s="2" t="s">
        <v>86</v>
      </c>
      <c r="B30" s="97" t="s">
        <v>91</v>
      </c>
      <c r="C30" s="160"/>
      <c r="D30" s="57">
        <v>2026</v>
      </c>
      <c r="E30" s="54">
        <f t="shared" ref="E30" si="33">E28</f>
        <v>2026</v>
      </c>
      <c r="F30" s="43"/>
      <c r="G30" s="39"/>
      <c r="H30" s="5">
        <v>2026</v>
      </c>
      <c r="I30" s="16" t="str">
        <f>I24</f>
        <v>mai</v>
      </c>
      <c r="J30" s="39"/>
      <c r="K30" s="39"/>
      <c r="L30" s="39"/>
      <c r="M30" s="39"/>
      <c r="N30" s="38"/>
      <c r="O30" s="39"/>
      <c r="P30" s="55">
        <v>11.56</v>
      </c>
      <c r="Q30" s="39"/>
      <c r="R30" s="39"/>
      <c r="S30" s="44">
        <v>0.15</v>
      </c>
      <c r="T30" s="99">
        <f>S30*P30</f>
        <v>1.734</v>
      </c>
      <c r="U30" s="35">
        <v>0.2</v>
      </c>
      <c r="V30" s="99">
        <f t="shared" si="15"/>
        <v>2.0808</v>
      </c>
      <c r="W30" s="100">
        <v>2.08</v>
      </c>
      <c r="X30" s="99">
        <f t="shared" si="16"/>
        <v>-7.9999999999991189E-4</v>
      </c>
      <c r="Y30" s="43"/>
      <c r="Z30" s="43"/>
      <c r="AA30" s="99">
        <f t="shared" si="19"/>
        <v>0.3468</v>
      </c>
      <c r="AB30" s="99">
        <f>T30</f>
        <v>1.734</v>
      </c>
      <c r="AC30" s="102"/>
      <c r="AD30" s="9">
        <f ca="1">IF(OR(A30&lt;&gt;parametres!F$26,ISBLANK(S30)),,MAX(INDIRECT(ADDRESS(index_min-1,COLUMN())):INDIRECT(ADDRESS(index_min-1,COLUMN())):INDIRECT(ADDRESS(index_min-1,COLUMN())):INDIRECT(ADDRESS(ROW()-1,COLUMN())))+1)</f>
        <v>0</v>
      </c>
      <c r="AE30" s="41"/>
    </row>
    <row r="31" spans="1:33">
      <c r="A31" s="103" t="s">
        <v>87</v>
      </c>
      <c r="B31" s="104" t="str">
        <f>B30</f>
        <v>mai 2026</v>
      </c>
      <c r="C31" s="161"/>
      <c r="D31" s="105">
        <v>2026</v>
      </c>
      <c r="E31" s="106">
        <f t="shared" ref="E31" si="34">E30</f>
        <v>2026</v>
      </c>
      <c r="F31" s="107"/>
      <c r="G31" s="108"/>
      <c r="H31" s="109">
        <v>2026</v>
      </c>
      <c r="I31" s="126" t="str">
        <f>I30</f>
        <v>mai</v>
      </c>
      <c r="J31" s="108"/>
      <c r="K31" s="108"/>
      <c r="L31" s="108"/>
      <c r="M31" s="108"/>
      <c r="N31" s="111"/>
      <c r="O31" s="108"/>
      <c r="P31" s="105">
        <f>R20</f>
        <v>468</v>
      </c>
      <c r="Q31" s="108"/>
      <c r="R31" s="108"/>
      <c r="S31" s="112">
        <v>3.0849999999999999E-2</v>
      </c>
      <c r="T31" s="113">
        <f>S31*P31</f>
        <v>14.437799999999999</v>
      </c>
      <c r="U31" s="114">
        <v>0.2</v>
      </c>
      <c r="V31" s="113">
        <f t="shared" si="15"/>
        <v>17.32536</v>
      </c>
      <c r="W31" s="115">
        <v>17.329999999999998</v>
      </c>
      <c r="X31" s="113">
        <f t="shared" si="16"/>
        <v>4.6399999999984232E-3</v>
      </c>
      <c r="Y31" s="107"/>
      <c r="Z31" s="107"/>
      <c r="AA31" s="99">
        <f t="shared" si="19"/>
        <v>2.8875600000000006</v>
      </c>
      <c r="AB31" s="113">
        <f>T31</f>
        <v>14.437799999999999</v>
      </c>
      <c r="AC31" s="116"/>
      <c r="AD31" s="117">
        <f ca="1">IF(OR(A31&lt;&gt;parametres!F$26,ISBLANK(S31)),,MAX(INDIRECT(ADDRESS(index_min-1,COLUMN())):INDIRECT(ADDRESS(index_min-1,COLUMN())):INDIRECT(ADDRESS(index_min-1,COLUMN())):INDIRECT(ADDRESS(ROW()-1,COLUMN())))+1)</f>
        <v>0</v>
      </c>
      <c r="AE31" s="41"/>
    </row>
    <row r="32" spans="1:33" ht="13.2" customHeight="1">
      <c r="A32" s="81" t="s">
        <v>7</v>
      </c>
      <c r="B32" s="82" t="s">
        <v>93</v>
      </c>
      <c r="C32" s="159"/>
      <c r="D32" s="88">
        <v>2026</v>
      </c>
      <c r="E32" s="84">
        <v>2026</v>
      </c>
      <c r="F32" s="85" t="s">
        <v>15</v>
      </c>
      <c r="G32" s="167">
        <f>J20+1</f>
        <v>19</v>
      </c>
      <c r="H32" s="86">
        <v>2026</v>
      </c>
      <c r="I32" s="87" t="s">
        <v>2</v>
      </c>
      <c r="J32" s="169">
        <v>18</v>
      </c>
      <c r="K32" s="155">
        <f t="shared" ref="K32" si="35">(H32&amp;"-"&amp;HLOOKUP(I32,MOIS,2,FALSE)&amp;"-"&amp;J32) - (E32&amp;"-"&amp;HLOOKUP(F32,MOIS,2,FALSE)&amp;"-"&amp;G32) + 1</f>
        <v>31</v>
      </c>
      <c r="L32" s="155">
        <f>K32</f>
        <v>31</v>
      </c>
      <c r="M32" s="149" t="s">
        <v>71</v>
      </c>
      <c r="N32" s="87">
        <v>9705</v>
      </c>
      <c r="O32" s="87">
        <v>9705</v>
      </c>
      <c r="P32" s="90">
        <f t="shared" ref="P32:P39" si="36">O32-N32</f>
        <v>0</v>
      </c>
      <c r="Q32" s="90">
        <f>P32</f>
        <v>0</v>
      </c>
      <c r="R32" s="165">
        <f>SUMIF(B32:B39,B32,Q32:Q39)</f>
        <v>450</v>
      </c>
      <c r="S32" s="137">
        <v>0.22781999999999999</v>
      </c>
      <c r="T32" s="91">
        <f t="shared" ref="T32:T41" si="37">S32*P32</f>
        <v>0</v>
      </c>
      <c r="U32" s="92">
        <v>0.2</v>
      </c>
      <c r="V32" s="91">
        <f t="shared" ref="V32:V43" si="38">T32 * (1 + U32)</f>
        <v>0</v>
      </c>
      <c r="W32" s="93">
        <v>0</v>
      </c>
      <c r="X32" s="91">
        <f t="shared" ref="X32:X43" si="39">W32-V32</f>
        <v>0</v>
      </c>
      <c r="Y32" s="94"/>
      <c r="Z32" s="91">
        <f>T32</f>
        <v>0</v>
      </c>
      <c r="AA32" s="91">
        <f>V32-T32</f>
        <v>0</v>
      </c>
      <c r="AB32" s="94"/>
      <c r="AC32" s="95"/>
      <c r="AD32" s="96">
        <f ca="1">IF(OR(A32&lt;&gt;parametres!F$26,ISBLANK(S32)),,MAX(INDIRECT(ADDRESS(index_min-1,COLUMN())):INDIRECT(ADDRESS(index_min-1,COLUMN())):INDIRECT(ADDRESS(index_min-1,COLUMN())):INDIRECT(ADDRESS(ROW()-1,COLUMN())))+1)</f>
        <v>15</v>
      </c>
      <c r="AG32" s="41"/>
    </row>
    <row r="33" spans="1:33">
      <c r="A33" s="2" t="s">
        <v>7</v>
      </c>
      <c r="B33" s="97" t="str">
        <f t="shared" ref="B33:B40" si="40">B32</f>
        <v>juillet 2026</v>
      </c>
      <c r="C33" s="160"/>
      <c r="D33" s="61">
        <v>2026</v>
      </c>
      <c r="E33" s="54">
        <f>E32</f>
        <v>2026</v>
      </c>
      <c r="F33" s="98" t="str">
        <f>F32</f>
        <v>mai</v>
      </c>
      <c r="G33" s="168"/>
      <c r="H33" s="5">
        <f>H32</f>
        <v>2026</v>
      </c>
      <c r="I33" s="6" t="str">
        <f>I32</f>
        <v>juin</v>
      </c>
      <c r="J33" s="163"/>
      <c r="K33" s="156"/>
      <c r="L33" s="156"/>
      <c r="M33" s="150" t="s">
        <v>70</v>
      </c>
      <c r="N33" s="6">
        <v>284</v>
      </c>
      <c r="O33" s="6">
        <v>284</v>
      </c>
      <c r="P33" s="60">
        <f t="shared" si="36"/>
        <v>0</v>
      </c>
      <c r="Q33" s="60">
        <f t="shared" ref="Q33:Q39" si="41">P33</f>
        <v>0</v>
      </c>
      <c r="R33" s="166"/>
      <c r="S33" s="138">
        <v>0.15998000000000001</v>
      </c>
      <c r="T33" s="99">
        <f t="shared" si="37"/>
        <v>0</v>
      </c>
      <c r="U33" s="35">
        <v>0.2</v>
      </c>
      <c r="V33" s="99">
        <f t="shared" si="38"/>
        <v>0</v>
      </c>
      <c r="W33" s="100">
        <v>0</v>
      </c>
      <c r="X33" s="99">
        <f t="shared" si="39"/>
        <v>0</v>
      </c>
      <c r="Y33" s="43"/>
      <c r="Z33" s="99">
        <f t="shared" ref="Z33:Z39" si="42">T33</f>
        <v>0</v>
      </c>
      <c r="AA33" s="99">
        <f t="shared" si="19"/>
        <v>0</v>
      </c>
      <c r="AB33" s="43"/>
      <c r="AC33" s="101"/>
      <c r="AD33" s="9">
        <f ca="1">IF(OR(A33&lt;&gt;parametres!F$26,ISBLANK(S33)),,MAX(INDIRECT(ADDRESS(index_min-1,COLUMN())):INDIRECT(ADDRESS(index_min-1,COLUMN())):INDIRECT(ADDRESS(index_min-1,COLUMN())):INDIRECT(ADDRESS(ROW()-1,COLUMN())))+1)</f>
        <v>16</v>
      </c>
    </row>
    <row r="34" spans="1:33">
      <c r="A34" s="2" t="s">
        <v>7</v>
      </c>
      <c r="B34" s="97" t="str">
        <f t="shared" si="40"/>
        <v>juillet 2026</v>
      </c>
      <c r="C34" s="160"/>
      <c r="D34" s="61">
        <v>2026</v>
      </c>
      <c r="E34" s="54">
        <v>2026</v>
      </c>
      <c r="F34" s="98" t="str">
        <f>F32</f>
        <v>mai</v>
      </c>
      <c r="G34" s="162">
        <f>G32</f>
        <v>19</v>
      </c>
      <c r="H34" s="5">
        <v>2026</v>
      </c>
      <c r="I34" s="6" t="s">
        <v>2</v>
      </c>
      <c r="J34" s="163">
        <f>J32</f>
        <v>18</v>
      </c>
      <c r="K34" s="164">
        <f t="shared" ref="K34" si="43">(H34&amp;"-"&amp;HLOOKUP(I34,MOIS,2,FALSE)&amp;"-"&amp;J34) - (E34&amp;"-"&amp;HLOOKUP(F34,MOIS,2,FALSE)&amp;"-"&amp;G34) + 1</f>
        <v>31</v>
      </c>
      <c r="L34" s="154"/>
      <c r="M34" s="150" t="s">
        <v>73</v>
      </c>
      <c r="N34" s="6">
        <v>71</v>
      </c>
      <c r="O34" s="6">
        <v>157</v>
      </c>
      <c r="P34" s="60">
        <f t="shared" si="36"/>
        <v>86</v>
      </c>
      <c r="Q34" s="60">
        <f t="shared" si="41"/>
        <v>86</v>
      </c>
      <c r="R34" s="166"/>
      <c r="S34" s="138">
        <v>0.13053999999999999</v>
      </c>
      <c r="T34" s="99">
        <f t="shared" si="37"/>
        <v>11.226439999999998</v>
      </c>
      <c r="U34" s="35">
        <v>0.2</v>
      </c>
      <c r="V34" s="99">
        <f t="shared" si="38"/>
        <v>13.471727999999997</v>
      </c>
      <c r="W34" s="100">
        <v>13.48</v>
      </c>
      <c r="X34" s="99">
        <f t="shared" si="39"/>
        <v>8.2720000000033878E-3</v>
      </c>
      <c r="Y34" s="43"/>
      <c r="Z34" s="99">
        <f t="shared" si="42"/>
        <v>11.226439999999998</v>
      </c>
      <c r="AA34" s="99">
        <f t="shared" si="19"/>
        <v>2.2452879999999986</v>
      </c>
      <c r="AB34" s="43"/>
      <c r="AC34" s="101"/>
      <c r="AD34" s="9">
        <f ca="1">IF(OR(A34&lt;&gt;parametres!F$26,ISBLANK(S34)),,MAX(INDIRECT(ADDRESS(index_min-1,COLUMN())):INDIRECT(ADDRESS(index_min-1,COLUMN())):INDIRECT(ADDRESS(index_min-1,COLUMN())):INDIRECT(ADDRESS(ROW()-1,COLUMN())))+1)</f>
        <v>17</v>
      </c>
    </row>
    <row r="35" spans="1:33">
      <c r="A35" s="2" t="s">
        <v>7</v>
      </c>
      <c r="B35" s="97" t="str">
        <f t="shared" si="40"/>
        <v>juillet 2026</v>
      </c>
      <c r="C35" s="160"/>
      <c r="D35" s="61">
        <v>2026</v>
      </c>
      <c r="E35" s="54">
        <f>E34</f>
        <v>2026</v>
      </c>
      <c r="F35" s="98" t="str">
        <f>F34</f>
        <v>mai</v>
      </c>
      <c r="G35" s="162"/>
      <c r="H35" s="5">
        <f>H34</f>
        <v>2026</v>
      </c>
      <c r="I35" s="6" t="str">
        <f>I34</f>
        <v>juin</v>
      </c>
      <c r="J35" s="163"/>
      <c r="K35" s="164"/>
      <c r="L35" s="154"/>
      <c r="M35" s="150" t="s">
        <v>72</v>
      </c>
      <c r="N35" s="6">
        <v>306</v>
      </c>
      <c r="O35" s="6">
        <v>462</v>
      </c>
      <c r="P35" s="60">
        <f t="shared" si="36"/>
        <v>156</v>
      </c>
      <c r="Q35" s="60">
        <f t="shared" si="41"/>
        <v>156</v>
      </c>
      <c r="R35" s="166"/>
      <c r="S35" s="138">
        <v>8.344E-2</v>
      </c>
      <c r="T35" s="99">
        <f t="shared" si="37"/>
        <v>13.016640000000001</v>
      </c>
      <c r="U35" s="35">
        <v>0.2</v>
      </c>
      <c r="V35" s="99">
        <f t="shared" si="38"/>
        <v>15.619968</v>
      </c>
      <c r="W35" s="100">
        <v>15.62</v>
      </c>
      <c r="X35" s="99">
        <f t="shared" si="39"/>
        <v>3.1999999999143824E-5</v>
      </c>
      <c r="Y35" s="43"/>
      <c r="Z35" s="99">
        <f t="shared" si="42"/>
        <v>13.016640000000001</v>
      </c>
      <c r="AA35" s="99">
        <f t="shared" si="19"/>
        <v>2.6033279999999994</v>
      </c>
      <c r="AB35" s="43"/>
      <c r="AC35" s="101"/>
      <c r="AD35" s="9">
        <f ca="1">IF(OR(A35&lt;&gt;parametres!F$26,ISBLANK(S35)),,MAX(INDIRECT(ADDRESS(index_min-1,COLUMN())):INDIRECT(ADDRESS(index_min-1,COLUMN())):INDIRECT(ADDRESS(index_min-1,COLUMN())):INDIRECT(ADDRESS(ROW()-1,COLUMN())))+1)</f>
        <v>18</v>
      </c>
    </row>
    <row r="36" spans="1:33">
      <c r="A36" s="2" t="s">
        <v>7</v>
      </c>
      <c r="B36" s="97" t="str">
        <f t="shared" si="40"/>
        <v>juillet 2026</v>
      </c>
      <c r="C36" s="160"/>
      <c r="D36" s="61">
        <v>2026</v>
      </c>
      <c r="E36" s="54">
        <v>2026</v>
      </c>
      <c r="F36" s="98" t="s">
        <v>2</v>
      </c>
      <c r="G36" s="162">
        <f>J32+1</f>
        <v>19</v>
      </c>
      <c r="H36" s="5">
        <v>2026</v>
      </c>
      <c r="I36" s="6" t="s">
        <v>16</v>
      </c>
      <c r="J36" s="163">
        <v>18</v>
      </c>
      <c r="K36" s="164">
        <f t="shared" ref="K36" si="44">(H36&amp;"-"&amp;HLOOKUP(I36,MOIS,2,FALSE)&amp;"-"&amp;J36) - (E36&amp;"-"&amp;HLOOKUP(F36,MOIS,2,FALSE)&amp;"-"&amp;G36) + 1</f>
        <v>30</v>
      </c>
      <c r="L36" s="156">
        <f>K36</f>
        <v>30</v>
      </c>
      <c r="M36" s="150" t="s">
        <v>71</v>
      </c>
      <c r="N36" s="98">
        <f>O32</f>
        <v>9705</v>
      </c>
      <c r="O36" s="6">
        <v>9705</v>
      </c>
      <c r="P36" s="60">
        <f t="shared" si="36"/>
        <v>0</v>
      </c>
      <c r="Q36" s="60">
        <f t="shared" si="41"/>
        <v>0</v>
      </c>
      <c r="R36" s="166"/>
      <c r="S36" s="138">
        <v>0.22781999999999999</v>
      </c>
      <c r="T36" s="99">
        <f t="shared" si="37"/>
        <v>0</v>
      </c>
      <c r="U36" s="35">
        <v>0.2</v>
      </c>
      <c r="V36" s="99">
        <f t="shared" si="38"/>
        <v>0</v>
      </c>
      <c r="W36" s="100">
        <v>0</v>
      </c>
      <c r="X36" s="99">
        <f t="shared" si="39"/>
        <v>0</v>
      </c>
      <c r="Y36" s="43"/>
      <c r="Z36" s="99">
        <f t="shared" si="42"/>
        <v>0</v>
      </c>
      <c r="AA36" s="99">
        <f t="shared" si="19"/>
        <v>0</v>
      </c>
      <c r="AB36" s="43"/>
      <c r="AC36" s="101"/>
      <c r="AD36" s="9">
        <f ca="1">IF(OR(A36&lt;&gt;parametres!F$26,ISBLANK(S36)),,MAX(INDIRECT(ADDRESS(index_min-1,COLUMN())):INDIRECT(ADDRESS(index_min-1,COLUMN())):INDIRECT(ADDRESS(index_min-1,COLUMN())):INDIRECT(ADDRESS(ROW()-1,COLUMN())))+1)</f>
        <v>19</v>
      </c>
    </row>
    <row r="37" spans="1:33">
      <c r="A37" s="2" t="s">
        <v>7</v>
      </c>
      <c r="B37" s="97" t="str">
        <f t="shared" si="40"/>
        <v>juillet 2026</v>
      </c>
      <c r="C37" s="160"/>
      <c r="D37" s="61">
        <v>2026</v>
      </c>
      <c r="E37" s="54">
        <f>E36</f>
        <v>2026</v>
      </c>
      <c r="F37" s="98" t="str">
        <f>F36</f>
        <v>juin</v>
      </c>
      <c r="G37" s="162"/>
      <c r="H37" s="5">
        <f>H36</f>
        <v>2026</v>
      </c>
      <c r="I37" s="6" t="str">
        <f>I36</f>
        <v>juillet</v>
      </c>
      <c r="J37" s="163"/>
      <c r="K37" s="164"/>
      <c r="L37" s="156"/>
      <c r="M37" s="150" t="s">
        <v>70</v>
      </c>
      <c r="N37" s="98">
        <f>O33</f>
        <v>284</v>
      </c>
      <c r="O37" s="6">
        <v>284</v>
      </c>
      <c r="P37" s="60">
        <f t="shared" si="36"/>
        <v>0</v>
      </c>
      <c r="Q37" s="60">
        <f t="shared" si="41"/>
        <v>0</v>
      </c>
      <c r="R37" s="166"/>
      <c r="S37" s="138">
        <v>0.15998000000000001</v>
      </c>
      <c r="T37" s="99">
        <f t="shared" si="37"/>
        <v>0</v>
      </c>
      <c r="U37" s="35">
        <v>0.2</v>
      </c>
      <c r="V37" s="99">
        <f t="shared" si="38"/>
        <v>0</v>
      </c>
      <c r="W37" s="100">
        <v>0</v>
      </c>
      <c r="X37" s="99">
        <f t="shared" si="39"/>
        <v>0</v>
      </c>
      <c r="Y37" s="43"/>
      <c r="Z37" s="99">
        <f t="shared" si="42"/>
        <v>0</v>
      </c>
      <c r="AA37" s="99">
        <f t="shared" si="19"/>
        <v>0</v>
      </c>
      <c r="AB37" s="43"/>
      <c r="AC37" s="101"/>
      <c r="AD37" s="9">
        <f ca="1">IF(OR(A37&lt;&gt;parametres!F$26,ISBLANK(S37)),,MAX(INDIRECT(ADDRESS(index_min-1,COLUMN())):INDIRECT(ADDRESS(index_min-1,COLUMN())):INDIRECT(ADDRESS(index_min-1,COLUMN())):INDIRECT(ADDRESS(ROW()-1,COLUMN())))+1)</f>
        <v>20</v>
      </c>
    </row>
    <row r="38" spans="1:33">
      <c r="A38" s="2" t="s">
        <v>7</v>
      </c>
      <c r="B38" s="97" t="str">
        <f t="shared" si="40"/>
        <v>juillet 2026</v>
      </c>
      <c r="C38" s="160"/>
      <c r="D38" s="61">
        <v>2026</v>
      </c>
      <c r="E38" s="54">
        <v>2026</v>
      </c>
      <c r="F38" s="98" t="s">
        <v>2</v>
      </c>
      <c r="G38" s="162">
        <f>G36</f>
        <v>19</v>
      </c>
      <c r="H38" s="5">
        <v>2026</v>
      </c>
      <c r="I38" s="6" t="s">
        <v>16</v>
      </c>
      <c r="J38" s="163">
        <f>J36</f>
        <v>18</v>
      </c>
      <c r="K38" s="164">
        <f t="shared" ref="K38" si="45">(H38&amp;"-"&amp;HLOOKUP(I38,MOIS,2,FALSE)&amp;"-"&amp;J38) - (E38&amp;"-"&amp;HLOOKUP(F38,MOIS,2,FALSE)&amp;"-"&amp;G38) + 1</f>
        <v>30</v>
      </c>
      <c r="L38" s="154"/>
      <c r="M38" s="150" t="s">
        <v>73</v>
      </c>
      <c r="N38" s="98">
        <f>O34</f>
        <v>157</v>
      </c>
      <c r="O38" s="6">
        <v>214</v>
      </c>
      <c r="P38" s="60">
        <f t="shared" si="36"/>
        <v>57</v>
      </c>
      <c r="Q38" s="60">
        <f t="shared" si="41"/>
        <v>57</v>
      </c>
      <c r="R38" s="166"/>
      <c r="S38" s="138">
        <v>0.13053999999999999</v>
      </c>
      <c r="T38" s="99">
        <f t="shared" si="37"/>
        <v>7.4407799999999993</v>
      </c>
      <c r="U38" s="35">
        <v>0.2</v>
      </c>
      <c r="V38" s="99">
        <f t="shared" si="38"/>
        <v>8.9289359999999984</v>
      </c>
      <c r="W38" s="100">
        <v>8.93</v>
      </c>
      <c r="X38" s="99">
        <f t="shared" si="39"/>
        <v>1.0640000000012861E-3</v>
      </c>
      <c r="Y38" s="43"/>
      <c r="Z38" s="99">
        <f t="shared" si="42"/>
        <v>7.4407799999999993</v>
      </c>
      <c r="AA38" s="99">
        <f t="shared" si="19"/>
        <v>1.4881559999999991</v>
      </c>
      <c r="AB38" s="43"/>
      <c r="AC38" s="101"/>
      <c r="AD38" s="9">
        <f ca="1">IF(OR(A38&lt;&gt;parametres!F$26,ISBLANK(S38)),,MAX(INDIRECT(ADDRESS(index_min-1,COLUMN())):INDIRECT(ADDRESS(index_min-1,COLUMN())):INDIRECT(ADDRESS(index_min-1,COLUMN())):INDIRECT(ADDRESS(ROW()-1,COLUMN())))+1)</f>
        <v>21</v>
      </c>
    </row>
    <row r="39" spans="1:33">
      <c r="A39" s="2" t="s">
        <v>7</v>
      </c>
      <c r="B39" s="97" t="str">
        <f t="shared" si="40"/>
        <v>juillet 2026</v>
      </c>
      <c r="C39" s="160"/>
      <c r="D39" s="61">
        <v>2026</v>
      </c>
      <c r="E39" s="54">
        <f>E38</f>
        <v>2026</v>
      </c>
      <c r="F39" s="98" t="str">
        <f>F38</f>
        <v>juin</v>
      </c>
      <c r="G39" s="162"/>
      <c r="H39" s="5">
        <f>H38</f>
        <v>2026</v>
      </c>
      <c r="I39" s="6" t="str">
        <f>I38</f>
        <v>juillet</v>
      </c>
      <c r="J39" s="163"/>
      <c r="K39" s="164"/>
      <c r="L39" s="154"/>
      <c r="M39" s="150" t="s">
        <v>72</v>
      </c>
      <c r="N39" s="98">
        <f>O35</f>
        <v>462</v>
      </c>
      <c r="O39" s="6">
        <v>613</v>
      </c>
      <c r="P39" s="60">
        <f t="shared" si="36"/>
        <v>151</v>
      </c>
      <c r="Q39" s="60">
        <f t="shared" si="41"/>
        <v>151</v>
      </c>
      <c r="R39" s="166"/>
      <c r="S39" s="138">
        <v>8.344E-2</v>
      </c>
      <c r="T39" s="99">
        <f t="shared" si="37"/>
        <v>12.59944</v>
      </c>
      <c r="U39" s="35">
        <v>0.2</v>
      </c>
      <c r="V39" s="99">
        <f t="shared" si="38"/>
        <v>15.119327999999999</v>
      </c>
      <c r="W39" s="100">
        <v>15.12</v>
      </c>
      <c r="X39" s="99">
        <f t="shared" si="39"/>
        <v>6.7199999999978388E-4</v>
      </c>
      <c r="Y39" s="43"/>
      <c r="Z39" s="99">
        <f t="shared" si="42"/>
        <v>12.59944</v>
      </c>
      <c r="AA39" s="99">
        <f t="shared" si="19"/>
        <v>2.5198879999999999</v>
      </c>
      <c r="AB39" s="43"/>
      <c r="AC39" s="101"/>
      <c r="AD39" s="9">
        <f ca="1">IF(OR(A39&lt;&gt;parametres!F$26,ISBLANK(S39)),,MAX(INDIRECT(ADDRESS(index_min-1,COLUMN())):INDIRECT(ADDRESS(index_min-1,COLUMN())):INDIRECT(ADDRESS(index_min-1,COLUMN())):INDIRECT(ADDRESS(ROW()-1,COLUMN())))+1)</f>
        <v>22</v>
      </c>
    </row>
    <row r="40" spans="1:33" ht="13.2" customHeight="1">
      <c r="A40" s="2" t="s">
        <v>80</v>
      </c>
      <c r="B40" s="97" t="str">
        <f t="shared" si="40"/>
        <v>juillet 2026</v>
      </c>
      <c r="C40" s="160"/>
      <c r="D40" s="61">
        <v>2026</v>
      </c>
      <c r="E40" s="54">
        <f>E37</f>
        <v>2026</v>
      </c>
      <c r="F40" s="98" t="str">
        <f>I36</f>
        <v>juillet</v>
      </c>
      <c r="G40" s="98">
        <f>J36</f>
        <v>18</v>
      </c>
      <c r="H40" s="5">
        <v>2026</v>
      </c>
      <c r="I40" s="98" t="str">
        <f>INDEX(MOIS,1,MATCH(F40,liste_mois,0) + 2)</f>
        <v>septembre</v>
      </c>
      <c r="J40" s="63">
        <f>G40-1</f>
        <v>17</v>
      </c>
      <c r="K40" s="61">
        <f t="shared" ref="K40" si="46">(H40&amp;"-"&amp;HLOOKUP(I40,MOIS,2,FALSE)&amp;"-"&amp;J40) - (E40&amp;"-"&amp;HLOOKUP(F40,MOIS,2,FALSE)&amp;"-"&amp;G40) + 1</f>
        <v>62</v>
      </c>
      <c r="L40" s="39"/>
      <c r="M40" s="37"/>
      <c r="N40" s="38"/>
      <c r="O40" s="39"/>
      <c r="P40" s="61">
        <f>K40-2</f>
        <v>60</v>
      </c>
      <c r="Q40" s="39"/>
      <c r="R40" s="39"/>
      <c r="S40" s="138">
        <v>0.2487</v>
      </c>
      <c r="T40" s="99">
        <f t="shared" si="37"/>
        <v>14.922000000000001</v>
      </c>
      <c r="U40" s="35">
        <v>0.2</v>
      </c>
      <c r="V40" s="99">
        <f t="shared" si="38"/>
        <v>17.906400000000001</v>
      </c>
      <c r="W40" s="100">
        <v>17.899999999999999</v>
      </c>
      <c r="X40" s="99">
        <f t="shared" si="39"/>
        <v>-6.4000000000028479E-3</v>
      </c>
      <c r="Y40" s="99">
        <f>T40</f>
        <v>14.922000000000001</v>
      </c>
      <c r="Z40" s="43"/>
      <c r="AA40" s="99">
        <f t="shared" si="19"/>
        <v>2.9844000000000008</v>
      </c>
      <c r="AB40" s="43"/>
      <c r="AC40" s="101"/>
      <c r="AD40" s="9">
        <f ca="1">IF(OR(A40&lt;&gt;parametres!F$26,ISBLANK(S40)),,MAX(INDIRECT(ADDRESS(index_min-1,COLUMN())):INDIRECT(ADDRESS(index_min-1,COLUMN())):INDIRECT(ADDRESS(index_min-1,COLUMN())):INDIRECT(ADDRESS(ROW()-1,COLUMN())))+1)</f>
        <v>0</v>
      </c>
    </row>
    <row r="41" spans="1:33" ht="25.8" customHeight="1">
      <c r="A41" s="127" t="s">
        <v>94</v>
      </c>
      <c r="B41" s="127" t="str">
        <f>A41&amp;" "&amp;E41</f>
        <v>remise offre solidaire 2026</v>
      </c>
      <c r="C41" s="160"/>
      <c r="D41" s="61">
        <v>2026</v>
      </c>
      <c r="E41" s="54">
        <v>2026</v>
      </c>
      <c r="F41" s="143" t="s">
        <v>0</v>
      </c>
      <c r="G41" s="98">
        <v>1</v>
      </c>
      <c r="H41" s="5">
        <v>2026</v>
      </c>
      <c r="I41" s="6" t="s">
        <v>15</v>
      </c>
      <c r="J41" s="62">
        <v>31</v>
      </c>
      <c r="K41" s="39"/>
      <c r="L41" s="39"/>
      <c r="M41" s="37"/>
      <c r="N41" s="38"/>
      <c r="O41" s="39"/>
      <c r="P41" s="34">
        <v>-1</v>
      </c>
      <c r="Q41" s="39"/>
      <c r="R41" s="39"/>
      <c r="S41" s="139">
        <v>40.08</v>
      </c>
      <c r="T41" s="99">
        <f t="shared" si="37"/>
        <v>-40.08</v>
      </c>
      <c r="U41" s="35">
        <v>0.2</v>
      </c>
      <c r="V41" s="99">
        <f t="shared" si="38"/>
        <v>-48.095999999999997</v>
      </c>
      <c r="W41" s="100">
        <v>-48.1</v>
      </c>
      <c r="X41" s="99">
        <f t="shared" si="39"/>
        <v>-4.0000000000048885E-3</v>
      </c>
      <c r="Y41" s="43"/>
      <c r="Z41" s="99">
        <f t="shared" ref="Z41" si="47">T41</f>
        <v>-40.08</v>
      </c>
      <c r="AA41" s="99">
        <f t="shared" si="19"/>
        <v>-8.0159999999999982</v>
      </c>
      <c r="AB41" s="43"/>
      <c r="AC41" s="101"/>
      <c r="AD41" s="9">
        <f ca="1">IF(OR(A41&lt;&gt;parametres!F$26,ISBLANK(S41)),,MAX(INDIRECT(ADDRESS(index_min-1,COLUMN())):INDIRECT(ADDRESS(index_min-1,COLUMN())):INDIRECT(ADDRESS(index_min-1,COLUMN())):INDIRECT(ADDRESS(ROW()-1,COLUMN())))+1)</f>
        <v>0</v>
      </c>
      <c r="AG41" s="41"/>
    </row>
    <row r="42" spans="1:33">
      <c r="A42" s="2" t="s">
        <v>86</v>
      </c>
      <c r="B42" s="97" t="str">
        <f>B40</f>
        <v>juillet 2026</v>
      </c>
      <c r="C42" s="160"/>
      <c r="D42" s="61">
        <v>2026</v>
      </c>
      <c r="E42" s="54">
        <f t="shared" ref="E42" si="48">E40</f>
        <v>2026</v>
      </c>
      <c r="F42" s="43"/>
      <c r="G42" s="39"/>
      <c r="H42" s="5">
        <v>2026</v>
      </c>
      <c r="I42" s="98" t="str">
        <f>I36</f>
        <v>juillet</v>
      </c>
      <c r="J42" s="39"/>
      <c r="K42" s="39"/>
      <c r="L42" s="39"/>
      <c r="M42" s="39"/>
      <c r="N42" s="38"/>
      <c r="O42" s="39"/>
      <c r="P42" s="55">
        <v>11.56</v>
      </c>
      <c r="Q42" s="39"/>
      <c r="R42" s="39"/>
      <c r="S42" s="44">
        <v>0.15</v>
      </c>
      <c r="T42" s="99">
        <f>S42*P42</f>
        <v>1.734</v>
      </c>
      <c r="U42" s="35">
        <v>0.2</v>
      </c>
      <c r="V42" s="99">
        <f t="shared" si="38"/>
        <v>2.0808</v>
      </c>
      <c r="W42" s="100">
        <v>2.08</v>
      </c>
      <c r="X42" s="99">
        <f t="shared" si="39"/>
        <v>-7.9999999999991189E-4</v>
      </c>
      <c r="Y42" s="43"/>
      <c r="Z42" s="43"/>
      <c r="AA42" s="99">
        <f t="shared" si="19"/>
        <v>0.3468</v>
      </c>
      <c r="AB42" s="99">
        <f>T42</f>
        <v>1.734</v>
      </c>
      <c r="AC42" s="102"/>
      <c r="AD42" s="9">
        <f ca="1">IF(OR(A42&lt;&gt;parametres!F$26,ISBLANK(S42)),,MAX(INDIRECT(ADDRESS(index_min-1,COLUMN())):INDIRECT(ADDRESS(index_min-1,COLUMN())):INDIRECT(ADDRESS(index_min-1,COLUMN())):INDIRECT(ADDRESS(ROW()-1,COLUMN())))+1)</f>
        <v>0</v>
      </c>
      <c r="AE42" s="41"/>
    </row>
    <row r="43" spans="1:33">
      <c r="A43" s="103" t="s">
        <v>87</v>
      </c>
      <c r="B43" s="104" t="str">
        <f>B42</f>
        <v>juillet 2026</v>
      </c>
      <c r="C43" s="161"/>
      <c r="D43" s="105">
        <v>2026</v>
      </c>
      <c r="E43" s="106">
        <f t="shared" ref="E43" si="49">E42</f>
        <v>2026</v>
      </c>
      <c r="F43" s="107"/>
      <c r="G43" s="108"/>
      <c r="H43" s="109">
        <v>2026</v>
      </c>
      <c r="I43" s="126" t="str">
        <f>I42</f>
        <v>juillet</v>
      </c>
      <c r="J43" s="108"/>
      <c r="K43" s="108"/>
      <c r="L43" s="108"/>
      <c r="M43" s="108"/>
      <c r="N43" s="111"/>
      <c r="O43" s="108"/>
      <c r="P43" s="105">
        <f>R32</f>
        <v>450</v>
      </c>
      <c r="Q43" s="108"/>
      <c r="R43" s="108"/>
      <c r="S43" s="112">
        <v>3.0849999999999999E-2</v>
      </c>
      <c r="T43" s="113">
        <f>S43*P43</f>
        <v>13.8825</v>
      </c>
      <c r="U43" s="114">
        <v>0.2</v>
      </c>
      <c r="V43" s="113">
        <f t="shared" si="38"/>
        <v>16.658999999999999</v>
      </c>
      <c r="W43" s="115">
        <v>16.66</v>
      </c>
      <c r="X43" s="113">
        <f t="shared" si="39"/>
        <v>1.0000000000012221E-3</v>
      </c>
      <c r="Y43" s="107"/>
      <c r="Z43" s="107"/>
      <c r="AA43" s="99">
        <f t="shared" ref="AA43" si="50">V43-T43</f>
        <v>2.7764999999999986</v>
      </c>
      <c r="AB43" s="113">
        <f>T43</f>
        <v>13.8825</v>
      </c>
      <c r="AC43" s="116"/>
      <c r="AD43" s="117">
        <f ca="1">IF(OR(A43&lt;&gt;parametres!F$26,ISBLANK(S43)),,MAX(INDIRECT(ADDRESS(index_min-1,COLUMN())):INDIRECT(ADDRESS(index_min-1,COLUMN())):INDIRECT(ADDRESS(index_min-1,COLUMN())):INDIRECT(ADDRESS(ROW()-1,COLUMN())))+1)</f>
        <v>0</v>
      </c>
      <c r="AE43" s="41"/>
    </row>
    <row r="44" spans="1:33" ht="13.2" customHeight="1">
      <c r="A44" s="81" t="s">
        <v>7</v>
      </c>
      <c r="B44" s="82" t="s">
        <v>95</v>
      </c>
      <c r="C44" s="159"/>
      <c r="D44" s="134">
        <v>2026</v>
      </c>
      <c r="E44" s="84">
        <v>2026</v>
      </c>
      <c r="F44" s="85" t="s">
        <v>16</v>
      </c>
      <c r="G44" s="167">
        <f>J32+1</f>
        <v>19</v>
      </c>
      <c r="H44" s="86">
        <v>2026</v>
      </c>
      <c r="I44" s="87" t="s">
        <v>16</v>
      </c>
      <c r="J44" s="169">
        <v>31</v>
      </c>
      <c r="K44" s="155">
        <f t="shared" ref="K44" si="51">(H44&amp;"-"&amp;HLOOKUP(I44,MOIS,2,FALSE)&amp;"-"&amp;J44) - (E44&amp;"-"&amp;HLOOKUP(F44,MOIS,2,FALSE)&amp;"-"&amp;G44) + 1</f>
        <v>13</v>
      </c>
      <c r="L44" s="155">
        <f>K44</f>
        <v>13</v>
      </c>
      <c r="M44" s="149" t="s">
        <v>71</v>
      </c>
      <c r="N44" s="87">
        <f>O36</f>
        <v>9705</v>
      </c>
      <c r="O44" s="87">
        <v>9705</v>
      </c>
      <c r="P44" s="130">
        <f t="shared" ref="P44:P51" si="52">O44-N44</f>
        <v>0</v>
      </c>
      <c r="Q44" s="130">
        <f>P44</f>
        <v>0</v>
      </c>
      <c r="R44" s="165">
        <f>SUMIF(B44:B47,B44,Q44:Q47)</f>
        <v>88</v>
      </c>
      <c r="S44" s="137">
        <v>0.22781999999999999</v>
      </c>
      <c r="T44" s="91">
        <f t="shared" ref="T44:T56" si="53">S44*P44</f>
        <v>0</v>
      </c>
      <c r="U44" s="92">
        <v>0.2</v>
      </c>
      <c r="V44" s="91">
        <f t="shared" ref="V44:V62" si="54">T44 * (1 + U44)</f>
        <v>0</v>
      </c>
      <c r="W44" s="93">
        <v>0</v>
      </c>
      <c r="X44" s="91">
        <f t="shared" ref="X44:X62" si="55">W44-V44</f>
        <v>0</v>
      </c>
      <c r="Y44" s="94"/>
      <c r="Z44" s="91">
        <f>T44</f>
        <v>0</v>
      </c>
      <c r="AA44" s="91">
        <f>V44-T44</f>
        <v>0</v>
      </c>
      <c r="AB44" s="94"/>
      <c r="AC44" s="95"/>
      <c r="AD44" s="96">
        <f ca="1">IF(OR(A44&lt;&gt;parametres!F$26,ISBLANK(S44)),,MAX(INDIRECT(ADDRESS(index_min-1,COLUMN())):INDIRECT(ADDRESS(index_min-1,COLUMN())):INDIRECT(ADDRESS(index_min-1,COLUMN())):INDIRECT(ADDRESS(ROW()-1,COLUMN())))+1)</f>
        <v>23</v>
      </c>
      <c r="AG44" s="41"/>
    </row>
    <row r="45" spans="1:33">
      <c r="A45" s="2" t="s">
        <v>7</v>
      </c>
      <c r="B45" s="97" t="str">
        <f t="shared" ref="B45:B55" si="56">B44</f>
        <v>septembre 2026</v>
      </c>
      <c r="C45" s="160"/>
      <c r="D45" s="133">
        <v>2026</v>
      </c>
      <c r="E45" s="54">
        <f>E44</f>
        <v>2026</v>
      </c>
      <c r="F45" s="132" t="str">
        <f>F44</f>
        <v>juillet</v>
      </c>
      <c r="G45" s="168"/>
      <c r="H45" s="5">
        <f>H44</f>
        <v>2026</v>
      </c>
      <c r="I45" s="6" t="str">
        <f>I44</f>
        <v>juillet</v>
      </c>
      <c r="J45" s="163"/>
      <c r="K45" s="156"/>
      <c r="L45" s="156"/>
      <c r="M45" s="150" t="s">
        <v>70</v>
      </c>
      <c r="N45" s="5">
        <f>O37</f>
        <v>284</v>
      </c>
      <c r="O45" s="6">
        <v>284</v>
      </c>
      <c r="P45" s="131">
        <f t="shared" si="52"/>
        <v>0</v>
      </c>
      <c r="Q45" s="131">
        <f t="shared" ref="Q45:Q51" si="57">P45</f>
        <v>0</v>
      </c>
      <c r="R45" s="166"/>
      <c r="S45" s="138">
        <v>0.15998000000000001</v>
      </c>
      <c r="T45" s="99">
        <f t="shared" si="53"/>
        <v>0</v>
      </c>
      <c r="U45" s="35">
        <v>0.2</v>
      </c>
      <c r="V45" s="99">
        <f t="shared" si="54"/>
        <v>0</v>
      </c>
      <c r="W45" s="100">
        <v>0</v>
      </c>
      <c r="X45" s="99">
        <f t="shared" si="55"/>
        <v>0</v>
      </c>
      <c r="Y45" s="43"/>
      <c r="Z45" s="99">
        <f t="shared" ref="Z45:Z51" si="58">T45</f>
        <v>0</v>
      </c>
      <c r="AA45" s="99">
        <f t="shared" ref="AA45:AA62" si="59">V45-T45</f>
        <v>0</v>
      </c>
      <c r="AB45" s="43"/>
      <c r="AC45" s="101"/>
      <c r="AD45" s="9">
        <f ca="1">IF(OR(A45&lt;&gt;parametres!F$26,ISBLANK(S45)),,MAX(INDIRECT(ADDRESS(index_min-1,COLUMN())):INDIRECT(ADDRESS(index_min-1,COLUMN())):INDIRECT(ADDRESS(index_min-1,COLUMN())):INDIRECT(ADDRESS(ROW()-1,COLUMN())))+1)</f>
        <v>24</v>
      </c>
    </row>
    <row r="46" spans="1:33">
      <c r="A46" s="2" t="s">
        <v>7</v>
      </c>
      <c r="B46" s="97" t="str">
        <f t="shared" si="56"/>
        <v>septembre 2026</v>
      </c>
      <c r="C46" s="160"/>
      <c r="D46" s="133">
        <v>2026</v>
      </c>
      <c r="E46" s="54">
        <v>2026</v>
      </c>
      <c r="F46" s="132" t="str">
        <f>F44</f>
        <v>juillet</v>
      </c>
      <c r="G46" s="162">
        <f>G44</f>
        <v>19</v>
      </c>
      <c r="H46" s="5">
        <v>2026</v>
      </c>
      <c r="I46" s="6" t="s">
        <v>16</v>
      </c>
      <c r="J46" s="163">
        <f>J44</f>
        <v>31</v>
      </c>
      <c r="K46" s="164">
        <f t="shared" ref="K46" si="60">(H46&amp;"-"&amp;HLOOKUP(I46,MOIS,2,FALSE)&amp;"-"&amp;J46) - (E46&amp;"-"&amp;HLOOKUP(F46,MOIS,2,FALSE)&amp;"-"&amp;G46) + 1</f>
        <v>13</v>
      </c>
      <c r="L46" s="154"/>
      <c r="M46" s="150" t="s">
        <v>73</v>
      </c>
      <c r="N46" s="5">
        <f>O38</f>
        <v>214</v>
      </c>
      <c r="O46" s="6">
        <v>230</v>
      </c>
      <c r="P46" s="131">
        <f t="shared" si="52"/>
        <v>16</v>
      </c>
      <c r="Q46" s="131">
        <f t="shared" si="57"/>
        <v>16</v>
      </c>
      <c r="R46" s="166"/>
      <c r="S46" s="138">
        <v>0.13053999999999999</v>
      </c>
      <c r="T46" s="99">
        <f>S46*P46</f>
        <v>2.0886399999999998</v>
      </c>
      <c r="U46" s="35">
        <v>0.2</v>
      </c>
      <c r="V46" s="99">
        <f t="shared" si="54"/>
        <v>2.5063679999999997</v>
      </c>
      <c r="W46" s="100">
        <v>2.52</v>
      </c>
      <c r="X46" s="99">
        <f t="shared" si="55"/>
        <v>1.3632000000000311E-2</v>
      </c>
      <c r="Y46" s="43"/>
      <c r="Z46" s="99">
        <f t="shared" si="58"/>
        <v>2.0886399999999998</v>
      </c>
      <c r="AA46" s="99">
        <f t="shared" si="59"/>
        <v>0.41772799999999988</v>
      </c>
      <c r="AB46" s="43"/>
      <c r="AC46" s="101"/>
      <c r="AD46" s="9">
        <f ca="1">IF(OR(A46&lt;&gt;parametres!F$26,ISBLANK(S46)),,MAX(INDIRECT(ADDRESS(index_min-1,COLUMN())):INDIRECT(ADDRESS(index_min-1,COLUMN())):INDIRECT(ADDRESS(index_min-1,COLUMN())):INDIRECT(ADDRESS(ROW()-1,COLUMN())))+1)</f>
        <v>25</v>
      </c>
    </row>
    <row r="47" spans="1:33">
      <c r="A47" s="2" t="s">
        <v>7</v>
      </c>
      <c r="B47" s="97" t="str">
        <f t="shared" si="56"/>
        <v>septembre 2026</v>
      </c>
      <c r="C47" s="160"/>
      <c r="D47" s="133">
        <v>2026</v>
      </c>
      <c r="E47" s="54">
        <f>E46</f>
        <v>2026</v>
      </c>
      <c r="F47" s="132" t="str">
        <f>F46</f>
        <v>juillet</v>
      </c>
      <c r="G47" s="162"/>
      <c r="H47" s="5">
        <f>H46</f>
        <v>2026</v>
      </c>
      <c r="I47" s="6" t="str">
        <f>I46</f>
        <v>juillet</v>
      </c>
      <c r="J47" s="163"/>
      <c r="K47" s="164"/>
      <c r="L47" s="154"/>
      <c r="M47" s="150" t="s">
        <v>72</v>
      </c>
      <c r="N47" s="5">
        <f>O39</f>
        <v>613</v>
      </c>
      <c r="O47" s="6">
        <v>685</v>
      </c>
      <c r="P47" s="131">
        <f t="shared" si="52"/>
        <v>72</v>
      </c>
      <c r="Q47" s="131">
        <f t="shared" si="57"/>
        <v>72</v>
      </c>
      <c r="R47" s="166"/>
      <c r="S47" s="138">
        <v>8.344E-2</v>
      </c>
      <c r="T47" s="99">
        <f t="shared" si="53"/>
        <v>6.0076799999999997</v>
      </c>
      <c r="U47" s="35">
        <v>0.2</v>
      </c>
      <c r="V47" s="99">
        <f t="shared" si="54"/>
        <v>7.2092159999999996</v>
      </c>
      <c r="W47" s="100">
        <v>7.22</v>
      </c>
      <c r="X47" s="99">
        <f t="shared" si="55"/>
        <v>1.0784000000000127E-2</v>
      </c>
      <c r="Y47" s="43"/>
      <c r="Z47" s="99">
        <f t="shared" si="58"/>
        <v>6.0076799999999997</v>
      </c>
      <c r="AA47" s="99">
        <f t="shared" si="59"/>
        <v>1.2015359999999999</v>
      </c>
      <c r="AB47" s="43"/>
      <c r="AC47" s="101"/>
      <c r="AD47" s="9">
        <f ca="1">IF(OR(A47&lt;&gt;parametres!F$26,ISBLANK(S47)),,MAX(INDIRECT(ADDRESS(index_min-1,COLUMN())):INDIRECT(ADDRESS(index_min-1,COLUMN())):INDIRECT(ADDRESS(index_min-1,COLUMN())):INDIRECT(ADDRESS(ROW()-1,COLUMN())))+1)</f>
        <v>26</v>
      </c>
    </row>
    <row r="48" spans="1:33">
      <c r="A48" s="2" t="s">
        <v>7</v>
      </c>
      <c r="B48" s="97" t="str">
        <f t="shared" si="56"/>
        <v>septembre 2026</v>
      </c>
      <c r="C48" s="160"/>
      <c r="D48" s="133">
        <v>2026</v>
      </c>
      <c r="E48" s="54">
        <v>2026</v>
      </c>
      <c r="F48" s="136" t="s">
        <v>3</v>
      </c>
      <c r="G48" s="162">
        <v>1</v>
      </c>
      <c r="H48" s="5">
        <v>2026</v>
      </c>
      <c r="I48" s="6" t="s">
        <v>3</v>
      </c>
      <c r="J48" s="163">
        <v>31</v>
      </c>
      <c r="K48" s="164">
        <f t="shared" ref="K48" si="61">(H48&amp;"-"&amp;HLOOKUP(I48,MOIS,2,FALSE)&amp;"-"&amp;J48) - (E48&amp;"-"&amp;HLOOKUP(F48,MOIS,2,FALSE)&amp;"-"&amp;G48) + 1</f>
        <v>31</v>
      </c>
      <c r="L48" s="156">
        <f t="shared" ref="L48" si="62">K48</f>
        <v>31</v>
      </c>
      <c r="M48" s="150" t="s">
        <v>71</v>
      </c>
      <c r="N48" s="132">
        <f t="shared" ref="N48:N55" si="63">O44</f>
        <v>9705</v>
      </c>
      <c r="O48" s="6">
        <v>9705</v>
      </c>
      <c r="P48" s="131">
        <f t="shared" si="52"/>
        <v>0</v>
      </c>
      <c r="Q48" s="131">
        <f t="shared" si="57"/>
        <v>0</v>
      </c>
      <c r="R48" s="166">
        <f>SUMIF(B48:B55,B48,Q48:Q55)</f>
        <v>343</v>
      </c>
      <c r="S48" s="138">
        <v>0.23272000000000001</v>
      </c>
      <c r="T48" s="99">
        <f t="shared" si="53"/>
        <v>0</v>
      </c>
      <c r="U48" s="35">
        <v>0.2</v>
      </c>
      <c r="V48" s="99">
        <f t="shared" si="54"/>
        <v>0</v>
      </c>
      <c r="W48" s="100">
        <v>0</v>
      </c>
      <c r="X48" s="99">
        <f t="shared" si="55"/>
        <v>0</v>
      </c>
      <c r="Y48" s="43"/>
      <c r="Z48" s="99">
        <f t="shared" si="58"/>
        <v>0</v>
      </c>
      <c r="AA48" s="99">
        <f t="shared" si="59"/>
        <v>0</v>
      </c>
      <c r="AB48" s="43"/>
      <c r="AC48" s="101"/>
      <c r="AD48" s="9">
        <f ca="1">IF(OR(A48&lt;&gt;parametres!F$26,ISBLANK(S48)),,MAX(INDIRECT(ADDRESS(index_min-1,COLUMN())):INDIRECT(ADDRESS(index_min-1,COLUMN())):INDIRECT(ADDRESS(index_min-1,COLUMN())):INDIRECT(ADDRESS(ROW()-1,COLUMN())))+1)</f>
        <v>27</v>
      </c>
    </row>
    <row r="49" spans="1:33">
      <c r="A49" s="2" t="s">
        <v>7</v>
      </c>
      <c r="B49" s="97" t="str">
        <f t="shared" si="56"/>
        <v>septembre 2026</v>
      </c>
      <c r="C49" s="160"/>
      <c r="D49" s="133">
        <v>2026</v>
      </c>
      <c r="E49" s="54">
        <f>E48</f>
        <v>2026</v>
      </c>
      <c r="F49" s="132" t="str">
        <f>F48</f>
        <v>août</v>
      </c>
      <c r="G49" s="162"/>
      <c r="H49" s="5">
        <f>H48</f>
        <v>2026</v>
      </c>
      <c r="I49" s="6" t="str">
        <f>I48</f>
        <v>août</v>
      </c>
      <c r="J49" s="163"/>
      <c r="K49" s="164"/>
      <c r="L49" s="156"/>
      <c r="M49" s="150" t="s">
        <v>70</v>
      </c>
      <c r="N49" s="132">
        <f t="shared" si="63"/>
        <v>284</v>
      </c>
      <c r="O49" s="6">
        <v>284</v>
      </c>
      <c r="P49" s="131">
        <f t="shared" si="52"/>
        <v>0</v>
      </c>
      <c r="Q49" s="131">
        <f t="shared" si="57"/>
        <v>0</v>
      </c>
      <c r="R49" s="166"/>
      <c r="S49" s="138">
        <v>0.15568000000000001</v>
      </c>
      <c r="T49" s="99">
        <f t="shared" si="53"/>
        <v>0</v>
      </c>
      <c r="U49" s="35">
        <v>0.2</v>
      </c>
      <c r="V49" s="99">
        <f t="shared" si="54"/>
        <v>0</v>
      </c>
      <c r="W49" s="100">
        <v>0</v>
      </c>
      <c r="X49" s="99">
        <f t="shared" si="55"/>
        <v>0</v>
      </c>
      <c r="Y49" s="43"/>
      <c r="Z49" s="99">
        <f t="shared" si="58"/>
        <v>0</v>
      </c>
      <c r="AA49" s="99">
        <f t="shared" si="59"/>
        <v>0</v>
      </c>
      <c r="AB49" s="43"/>
      <c r="AC49" s="101"/>
      <c r="AD49" s="9">
        <f ca="1">IF(OR(A49&lt;&gt;parametres!F$26,ISBLANK(S49)),,MAX(INDIRECT(ADDRESS(index_min-1,COLUMN())):INDIRECT(ADDRESS(index_min-1,COLUMN())):INDIRECT(ADDRESS(index_min-1,COLUMN())):INDIRECT(ADDRESS(ROW()-1,COLUMN())))+1)</f>
        <v>28</v>
      </c>
    </row>
    <row r="50" spans="1:33">
      <c r="A50" s="2" t="s">
        <v>7</v>
      </c>
      <c r="B50" s="97" t="str">
        <f t="shared" si="56"/>
        <v>septembre 2026</v>
      </c>
      <c r="C50" s="160"/>
      <c r="D50" s="133">
        <v>2026</v>
      </c>
      <c r="E50" s="54">
        <v>2026</v>
      </c>
      <c r="F50" s="136" t="s">
        <v>3</v>
      </c>
      <c r="G50" s="162">
        <f>G48</f>
        <v>1</v>
      </c>
      <c r="H50" s="5">
        <v>2026</v>
      </c>
      <c r="I50" s="6" t="s">
        <v>3</v>
      </c>
      <c r="J50" s="163">
        <v>18</v>
      </c>
      <c r="K50" s="164">
        <f t="shared" ref="K50" si="64">(H50&amp;"-"&amp;HLOOKUP(I50,MOIS,2,FALSE)&amp;"-"&amp;J50) - (E50&amp;"-"&amp;HLOOKUP(F50,MOIS,2,FALSE)&amp;"-"&amp;G50) + 1</f>
        <v>18</v>
      </c>
      <c r="L50" s="154"/>
      <c r="M50" s="150" t="s">
        <v>73</v>
      </c>
      <c r="N50" s="132">
        <f t="shared" si="63"/>
        <v>230</v>
      </c>
      <c r="O50" s="6">
        <v>251</v>
      </c>
      <c r="P50" s="131">
        <f t="shared" si="52"/>
        <v>21</v>
      </c>
      <c r="Q50" s="131">
        <f t="shared" si="57"/>
        <v>21</v>
      </c>
      <c r="R50" s="166"/>
      <c r="S50" s="138">
        <v>0.13244</v>
      </c>
      <c r="T50" s="99">
        <f t="shared" si="53"/>
        <v>2.7812399999999999</v>
      </c>
      <c r="U50" s="35">
        <v>0.2</v>
      </c>
      <c r="V50" s="99">
        <f t="shared" si="54"/>
        <v>3.337488</v>
      </c>
      <c r="W50" s="100">
        <v>3.34</v>
      </c>
      <c r="X50" s="99">
        <f t="shared" si="55"/>
        <v>2.5119999999998477E-3</v>
      </c>
      <c r="Y50" s="43"/>
      <c r="Z50" s="99">
        <f t="shared" si="58"/>
        <v>2.7812399999999999</v>
      </c>
      <c r="AA50" s="99">
        <f t="shared" si="59"/>
        <v>0.55624800000000008</v>
      </c>
      <c r="AB50" s="43"/>
      <c r="AC50" s="101"/>
      <c r="AD50" s="9">
        <f ca="1">IF(OR(A50&lt;&gt;parametres!F$26,ISBLANK(S50)),,MAX(INDIRECT(ADDRESS(index_min-1,COLUMN())):INDIRECT(ADDRESS(index_min-1,COLUMN())):INDIRECT(ADDRESS(index_min-1,COLUMN())):INDIRECT(ADDRESS(ROW()-1,COLUMN())))+1)</f>
        <v>29</v>
      </c>
    </row>
    <row r="51" spans="1:33">
      <c r="A51" s="2" t="s">
        <v>7</v>
      </c>
      <c r="B51" s="97" t="str">
        <f t="shared" si="56"/>
        <v>septembre 2026</v>
      </c>
      <c r="C51" s="160"/>
      <c r="D51" s="133">
        <v>2026</v>
      </c>
      <c r="E51" s="54">
        <f>E50</f>
        <v>2026</v>
      </c>
      <c r="F51" s="132" t="str">
        <f>F50</f>
        <v>août</v>
      </c>
      <c r="G51" s="162"/>
      <c r="H51" s="5">
        <f>H50</f>
        <v>2026</v>
      </c>
      <c r="I51" s="6" t="str">
        <f>I50</f>
        <v>août</v>
      </c>
      <c r="J51" s="163"/>
      <c r="K51" s="164"/>
      <c r="L51" s="154"/>
      <c r="M51" s="150" t="s">
        <v>72</v>
      </c>
      <c r="N51" s="132">
        <f t="shared" si="63"/>
        <v>685</v>
      </c>
      <c r="O51" s="6">
        <v>785</v>
      </c>
      <c r="P51" s="131">
        <f t="shared" si="52"/>
        <v>100</v>
      </c>
      <c r="Q51" s="131">
        <f t="shared" si="57"/>
        <v>100</v>
      </c>
      <c r="R51" s="166"/>
      <c r="S51" s="138">
        <v>8.4640000000000007E-2</v>
      </c>
      <c r="T51" s="99">
        <f t="shared" si="53"/>
        <v>8.4640000000000004</v>
      </c>
      <c r="U51" s="35">
        <v>0.2</v>
      </c>
      <c r="V51" s="99">
        <f t="shared" si="54"/>
        <v>10.1568</v>
      </c>
      <c r="W51" s="100">
        <v>10.15</v>
      </c>
      <c r="X51" s="99">
        <f t="shared" si="55"/>
        <v>-6.8000000000001393E-3</v>
      </c>
      <c r="Y51" s="43"/>
      <c r="Z51" s="99">
        <f t="shared" si="58"/>
        <v>8.4640000000000004</v>
      </c>
      <c r="AA51" s="99">
        <f t="shared" si="59"/>
        <v>1.6928000000000001</v>
      </c>
      <c r="AB51" s="43"/>
      <c r="AC51" s="101"/>
      <c r="AD51" s="9">
        <f ca="1">IF(OR(A51&lt;&gt;parametres!F$26,ISBLANK(S51)),,MAX(INDIRECT(ADDRESS(index_min-1,COLUMN())):INDIRECT(ADDRESS(index_min-1,COLUMN())):INDIRECT(ADDRESS(index_min-1,COLUMN())):INDIRECT(ADDRESS(ROW()-1,COLUMN())))+1)</f>
        <v>30</v>
      </c>
    </row>
    <row r="52" spans="1:33">
      <c r="A52" s="2" t="s">
        <v>7</v>
      </c>
      <c r="B52" s="97" t="str">
        <f t="shared" si="56"/>
        <v>septembre 2026</v>
      </c>
      <c r="C52" s="160"/>
      <c r="D52" s="133">
        <v>2026</v>
      </c>
      <c r="E52" s="54">
        <v>2026</v>
      </c>
      <c r="F52" s="136" t="s">
        <v>3</v>
      </c>
      <c r="G52" s="162">
        <v>19</v>
      </c>
      <c r="H52" s="5">
        <v>2026</v>
      </c>
      <c r="I52" s="6" t="s">
        <v>17</v>
      </c>
      <c r="J52" s="163">
        <f>J50</f>
        <v>18</v>
      </c>
      <c r="K52" s="164">
        <f t="shared" ref="K52" si="65">(H52&amp;"-"&amp;HLOOKUP(I52,MOIS,2,FALSE)&amp;"-"&amp;J52) - (E52&amp;"-"&amp;HLOOKUP(F52,MOIS,2,FALSE)&amp;"-"&amp;G52) + 1</f>
        <v>31</v>
      </c>
      <c r="L52" s="156">
        <f t="shared" ref="L52" si="66">K52</f>
        <v>31</v>
      </c>
      <c r="M52" s="150" t="s">
        <v>71</v>
      </c>
      <c r="N52" s="132">
        <f t="shared" si="63"/>
        <v>9705</v>
      </c>
      <c r="O52" s="6">
        <v>9705</v>
      </c>
      <c r="P52" s="131">
        <f t="shared" ref="P52:P53" si="67">O52-N52</f>
        <v>0</v>
      </c>
      <c r="Q52" s="131">
        <f t="shared" ref="Q52:Q53" si="68">P52</f>
        <v>0</v>
      </c>
      <c r="R52" s="166"/>
      <c r="S52" s="138">
        <v>0.23272000000000001</v>
      </c>
      <c r="T52" s="99">
        <f t="shared" ref="T52:T53" si="69">S52*P52</f>
        <v>0</v>
      </c>
      <c r="U52" s="35">
        <v>0.2</v>
      </c>
      <c r="V52" s="99">
        <f t="shared" ref="V52:V53" si="70">T52 * (1 + U52)</f>
        <v>0</v>
      </c>
      <c r="W52" s="100">
        <v>0</v>
      </c>
      <c r="X52" s="99">
        <f t="shared" ref="X52:X53" si="71">W52-V52</f>
        <v>0</v>
      </c>
      <c r="Y52" s="43"/>
      <c r="Z52" s="99">
        <f t="shared" ref="Z52:Z53" si="72">T52</f>
        <v>0</v>
      </c>
      <c r="AA52" s="99">
        <f t="shared" si="59"/>
        <v>0</v>
      </c>
      <c r="AB52" s="43"/>
      <c r="AC52" s="101"/>
      <c r="AD52" s="9">
        <f ca="1">IF(OR(A52&lt;&gt;parametres!F$26,ISBLANK(S52)),,MAX(INDIRECT(ADDRESS(index_min-1,COLUMN())):INDIRECT(ADDRESS(index_min-1,COLUMN())):INDIRECT(ADDRESS(index_min-1,COLUMN())):INDIRECT(ADDRESS(ROW()-1,COLUMN())))+1)</f>
        <v>31</v>
      </c>
    </row>
    <row r="53" spans="1:33">
      <c r="A53" s="2" t="s">
        <v>7</v>
      </c>
      <c r="B53" s="97" t="str">
        <f t="shared" si="56"/>
        <v>septembre 2026</v>
      </c>
      <c r="C53" s="160"/>
      <c r="D53" s="133">
        <v>2026</v>
      </c>
      <c r="E53" s="54">
        <f>E52</f>
        <v>2026</v>
      </c>
      <c r="F53" s="132" t="str">
        <f>F52</f>
        <v>août</v>
      </c>
      <c r="G53" s="162"/>
      <c r="H53" s="5">
        <f>H52</f>
        <v>2026</v>
      </c>
      <c r="I53" s="6" t="str">
        <f>I52</f>
        <v>septembre</v>
      </c>
      <c r="J53" s="163"/>
      <c r="K53" s="164"/>
      <c r="L53" s="156"/>
      <c r="M53" s="150" t="s">
        <v>70</v>
      </c>
      <c r="N53" s="132">
        <f t="shared" si="63"/>
        <v>284</v>
      </c>
      <c r="O53" s="6">
        <v>284</v>
      </c>
      <c r="P53" s="131">
        <f t="shared" si="67"/>
        <v>0</v>
      </c>
      <c r="Q53" s="131">
        <f t="shared" si="68"/>
        <v>0</v>
      </c>
      <c r="R53" s="166"/>
      <c r="S53" s="138">
        <v>0.15568000000000001</v>
      </c>
      <c r="T53" s="99">
        <f t="shared" si="69"/>
        <v>0</v>
      </c>
      <c r="U53" s="35">
        <v>0.2</v>
      </c>
      <c r="V53" s="99">
        <f t="shared" si="70"/>
        <v>0</v>
      </c>
      <c r="W53" s="100">
        <v>0</v>
      </c>
      <c r="X53" s="99">
        <f t="shared" si="71"/>
        <v>0</v>
      </c>
      <c r="Y53" s="43"/>
      <c r="Z53" s="99">
        <f t="shared" si="72"/>
        <v>0</v>
      </c>
      <c r="AA53" s="99">
        <f t="shared" si="59"/>
        <v>0</v>
      </c>
      <c r="AB53" s="43"/>
      <c r="AC53" s="101"/>
      <c r="AD53" s="9">
        <f ca="1">IF(OR(A53&lt;&gt;parametres!F$26,ISBLANK(S53)),,MAX(INDIRECT(ADDRESS(index_min-1,COLUMN())):INDIRECT(ADDRESS(index_min-1,COLUMN())):INDIRECT(ADDRESS(index_min-1,COLUMN())):INDIRECT(ADDRESS(ROW()-1,COLUMN())))+1)</f>
        <v>32</v>
      </c>
    </row>
    <row r="54" spans="1:33">
      <c r="A54" s="2" t="s">
        <v>7</v>
      </c>
      <c r="B54" s="97" t="str">
        <f t="shared" si="56"/>
        <v>septembre 2026</v>
      </c>
      <c r="C54" s="160"/>
      <c r="D54" s="133">
        <v>2026</v>
      </c>
      <c r="E54" s="54">
        <v>2026</v>
      </c>
      <c r="F54" s="136" t="s">
        <v>3</v>
      </c>
      <c r="G54" s="162">
        <v>19</v>
      </c>
      <c r="H54" s="5">
        <v>2026</v>
      </c>
      <c r="I54" s="6" t="s">
        <v>17</v>
      </c>
      <c r="J54" s="163">
        <f>J52</f>
        <v>18</v>
      </c>
      <c r="K54" s="164">
        <f t="shared" ref="K54" si="73">(H54&amp;"-"&amp;HLOOKUP(I54,MOIS,2,FALSE)&amp;"-"&amp;J54) - (E54&amp;"-"&amp;HLOOKUP(F54,MOIS,2,FALSE)&amp;"-"&amp;G54) + 1</f>
        <v>31</v>
      </c>
      <c r="L54" s="154"/>
      <c r="M54" s="150" t="s">
        <v>73</v>
      </c>
      <c r="N54" s="132">
        <f t="shared" si="63"/>
        <v>251</v>
      </c>
      <c r="O54" s="6">
        <v>321</v>
      </c>
      <c r="P54" s="131">
        <f t="shared" ref="P54:P55" si="74">O54-N54</f>
        <v>70</v>
      </c>
      <c r="Q54" s="131">
        <f t="shared" ref="Q54:Q55" si="75">P54</f>
        <v>70</v>
      </c>
      <c r="R54" s="166"/>
      <c r="S54" s="138">
        <v>0.13244</v>
      </c>
      <c r="T54" s="99">
        <f t="shared" ref="T54:T55" si="76">S54*P54</f>
        <v>9.2707999999999995</v>
      </c>
      <c r="U54" s="35">
        <v>0.2</v>
      </c>
      <c r="V54" s="99">
        <f t="shared" ref="V54:V55" si="77">T54 * (1 + U54)</f>
        <v>11.12496</v>
      </c>
      <c r="W54" s="100">
        <v>11.12</v>
      </c>
      <c r="X54" s="99">
        <f t="shared" ref="X54:X55" si="78">W54-V54</f>
        <v>-4.9600000000005195E-3</v>
      </c>
      <c r="Y54" s="43"/>
      <c r="Z54" s="99">
        <f t="shared" ref="Z54:Z55" si="79">T54</f>
        <v>9.2707999999999995</v>
      </c>
      <c r="AA54" s="99">
        <f t="shared" si="59"/>
        <v>1.8541600000000003</v>
      </c>
      <c r="AB54" s="43"/>
      <c r="AC54" s="101"/>
      <c r="AD54" s="9">
        <f ca="1">IF(OR(A54&lt;&gt;parametres!F$26,ISBLANK(S54)),,MAX(INDIRECT(ADDRESS(index_min-1,COLUMN())):INDIRECT(ADDRESS(index_min-1,COLUMN())):INDIRECT(ADDRESS(index_min-1,COLUMN())):INDIRECT(ADDRESS(ROW()-1,COLUMN())))+1)</f>
        <v>33</v>
      </c>
    </row>
    <row r="55" spans="1:33">
      <c r="A55" s="2" t="s">
        <v>7</v>
      </c>
      <c r="B55" s="97" t="str">
        <f t="shared" si="56"/>
        <v>septembre 2026</v>
      </c>
      <c r="C55" s="160"/>
      <c r="D55" s="133">
        <v>2026</v>
      </c>
      <c r="E55" s="54">
        <f>E54</f>
        <v>2026</v>
      </c>
      <c r="F55" s="132" t="str">
        <f>F54</f>
        <v>août</v>
      </c>
      <c r="G55" s="162"/>
      <c r="H55" s="5">
        <f>H54</f>
        <v>2026</v>
      </c>
      <c r="I55" s="6" t="str">
        <f>I54</f>
        <v>septembre</v>
      </c>
      <c r="J55" s="163"/>
      <c r="K55" s="164"/>
      <c r="L55" s="154"/>
      <c r="M55" s="150" t="s">
        <v>72</v>
      </c>
      <c r="N55" s="132">
        <f t="shared" si="63"/>
        <v>785</v>
      </c>
      <c r="O55" s="6">
        <v>937</v>
      </c>
      <c r="P55" s="131">
        <f t="shared" si="74"/>
        <v>152</v>
      </c>
      <c r="Q55" s="131">
        <f t="shared" si="75"/>
        <v>152</v>
      </c>
      <c r="R55" s="166"/>
      <c r="S55" s="138">
        <v>8.4640000000000007E-2</v>
      </c>
      <c r="T55" s="99">
        <f t="shared" si="76"/>
        <v>12.86528</v>
      </c>
      <c r="U55" s="35">
        <v>0.2</v>
      </c>
      <c r="V55" s="99">
        <f t="shared" si="77"/>
        <v>15.438336</v>
      </c>
      <c r="W55" s="100">
        <v>15.43</v>
      </c>
      <c r="X55" s="99">
        <f t="shared" si="78"/>
        <v>-8.335999999999899E-3</v>
      </c>
      <c r="Y55" s="43"/>
      <c r="Z55" s="99">
        <f t="shared" si="79"/>
        <v>12.86528</v>
      </c>
      <c r="AA55" s="99">
        <f t="shared" si="59"/>
        <v>2.5730559999999993</v>
      </c>
      <c r="AB55" s="43"/>
      <c r="AC55" s="101"/>
      <c r="AD55" s="9">
        <f ca="1">IF(OR(A55&lt;&gt;parametres!F$26,ISBLANK(S55)),,MAX(INDIRECT(ADDRESS(index_min-1,COLUMN())):INDIRECT(ADDRESS(index_min-1,COLUMN())):INDIRECT(ADDRESS(index_min-1,COLUMN())):INDIRECT(ADDRESS(ROW()-1,COLUMN())))+1)</f>
        <v>34</v>
      </c>
    </row>
    <row r="56" spans="1:33" ht="13.2" customHeight="1">
      <c r="A56" s="2" t="s">
        <v>80</v>
      </c>
      <c r="B56" s="97" t="str">
        <f>B51</f>
        <v>septembre 2026</v>
      </c>
      <c r="C56" s="160"/>
      <c r="D56" s="133">
        <v>2026</v>
      </c>
      <c r="E56" s="54">
        <f>E49</f>
        <v>2026</v>
      </c>
      <c r="F56" s="132" t="s">
        <v>16</v>
      </c>
      <c r="G56" s="132">
        <v>18</v>
      </c>
      <c r="H56" s="5">
        <v>2026</v>
      </c>
      <c r="I56" s="6" t="s">
        <v>16</v>
      </c>
      <c r="J56" s="129">
        <v>31</v>
      </c>
      <c r="K56" s="133">
        <f t="shared" ref="K56" si="80">(H56&amp;"-"&amp;HLOOKUP(I56,MOIS,2,FALSE)&amp;"-"&amp;J56) - (E56&amp;"-"&amp;HLOOKUP(F56,MOIS,2,FALSE)&amp;"-"&amp;G56) + 1</f>
        <v>14</v>
      </c>
      <c r="L56" s="39"/>
      <c r="M56" s="37"/>
      <c r="N56" s="38"/>
      <c r="O56" s="39"/>
      <c r="P56" s="133">
        <f>K56-1</f>
        <v>13</v>
      </c>
      <c r="Q56" s="39"/>
      <c r="R56" s="39"/>
      <c r="S56" s="138">
        <v>0.2487</v>
      </c>
      <c r="T56" s="99">
        <f t="shared" si="53"/>
        <v>3.2330999999999999</v>
      </c>
      <c r="U56" s="35">
        <v>0.2</v>
      </c>
      <c r="V56" s="99">
        <f t="shared" si="54"/>
        <v>3.8797199999999998</v>
      </c>
      <c r="W56" s="100">
        <v>3.88</v>
      </c>
      <c r="X56" s="99">
        <f t="shared" si="55"/>
        <v>2.8000000000005798E-4</v>
      </c>
      <c r="Y56" s="99">
        <f>T56</f>
        <v>3.2330999999999999</v>
      </c>
      <c r="Z56" s="43"/>
      <c r="AA56" s="99">
        <f t="shared" si="59"/>
        <v>0.64661999999999997</v>
      </c>
      <c r="AB56" s="43"/>
      <c r="AC56" s="101"/>
      <c r="AD56" s="9">
        <f ca="1">IF(OR(A56&lt;&gt;parametres!F$26,ISBLANK(S56)),,MAX(INDIRECT(ADDRESS(index_min-1,COLUMN())):INDIRECT(ADDRESS(index_min-1,COLUMN())):INDIRECT(ADDRESS(index_min-1,COLUMN())):INDIRECT(ADDRESS(ROW()-1,COLUMN())))+1)</f>
        <v>0</v>
      </c>
    </row>
    <row r="57" spans="1:33" ht="13.2" customHeight="1">
      <c r="A57" s="2" t="s">
        <v>80</v>
      </c>
      <c r="B57" s="97" t="str">
        <f>B52</f>
        <v>septembre 2026</v>
      </c>
      <c r="C57" s="160"/>
      <c r="D57" s="133">
        <v>2026</v>
      </c>
      <c r="E57" s="54">
        <f>E50</f>
        <v>2026</v>
      </c>
      <c r="F57" s="132" t="s">
        <v>16</v>
      </c>
      <c r="G57" s="132">
        <v>18</v>
      </c>
      <c r="H57" s="5">
        <v>2026</v>
      </c>
      <c r="I57" s="6" t="s">
        <v>17</v>
      </c>
      <c r="J57" s="129">
        <v>17</v>
      </c>
      <c r="K57" s="133">
        <f t="shared" ref="K57" si="81">(H57&amp;"-"&amp;HLOOKUP(I57,MOIS,2,FALSE)&amp;"-"&amp;J57) - (E57&amp;"-"&amp;HLOOKUP(F57,MOIS,2,FALSE)&amp;"-"&amp;G57) + 1</f>
        <v>62</v>
      </c>
      <c r="L57" s="39"/>
      <c r="M57" s="37"/>
      <c r="N57" s="38"/>
      <c r="O57" s="39"/>
      <c r="P57" s="135">
        <f>-(K57-2)</f>
        <v>-60</v>
      </c>
      <c r="Q57" s="39"/>
      <c r="R57" s="39"/>
      <c r="S57" s="138">
        <v>0.2487</v>
      </c>
      <c r="T57" s="99">
        <f t="shared" ref="T57" si="82">S57*P57</f>
        <v>-14.922000000000001</v>
      </c>
      <c r="U57" s="35">
        <v>0.2</v>
      </c>
      <c r="V57" s="99">
        <f t="shared" ref="V57" si="83">T57 * (1 + U57)</f>
        <v>-17.906400000000001</v>
      </c>
      <c r="W57" s="100">
        <v>-17.899999999999999</v>
      </c>
      <c r="X57" s="99">
        <f t="shared" ref="X57" si="84">W57-V57</f>
        <v>6.4000000000028479E-3</v>
      </c>
      <c r="Y57" s="99">
        <f>T57</f>
        <v>-14.922000000000001</v>
      </c>
      <c r="Z57" s="43"/>
      <c r="AA57" s="99">
        <f t="shared" si="59"/>
        <v>-2.9844000000000008</v>
      </c>
      <c r="AB57" s="43"/>
      <c r="AC57" s="101"/>
      <c r="AD57" s="9">
        <f ca="1">IF(OR(A57&lt;&gt;parametres!F$26,ISBLANK(S57)),,MAX(INDIRECT(ADDRESS(index_min-1,COLUMN())):INDIRECT(ADDRESS(index_min-1,COLUMN())):INDIRECT(ADDRESS(index_min-1,COLUMN())):INDIRECT(ADDRESS(ROW()-1,COLUMN())))+1)</f>
        <v>0</v>
      </c>
    </row>
    <row r="58" spans="1:33" ht="13.2" customHeight="1">
      <c r="A58" s="2" t="s">
        <v>80</v>
      </c>
      <c r="B58" s="97" t="str">
        <f>B53</f>
        <v>septembre 2026</v>
      </c>
      <c r="C58" s="160"/>
      <c r="D58" s="133">
        <v>2026</v>
      </c>
      <c r="E58" s="54">
        <f>E51</f>
        <v>2026</v>
      </c>
      <c r="F58" s="136" t="s">
        <v>3</v>
      </c>
      <c r="G58" s="132">
        <v>1</v>
      </c>
      <c r="H58" s="5">
        <v>2026</v>
      </c>
      <c r="I58" s="6" t="s">
        <v>17</v>
      </c>
      <c r="J58" s="129">
        <v>17</v>
      </c>
      <c r="K58" s="133">
        <f t="shared" ref="K58" si="85">(H58&amp;"-"&amp;HLOOKUP(I58,MOIS,2,FALSE)&amp;"-"&amp;J58) - (E58&amp;"-"&amp;HLOOKUP(F58,MOIS,2,FALSE)&amp;"-"&amp;G58) + 1</f>
        <v>48</v>
      </c>
      <c r="L58" s="39"/>
      <c r="M58" s="37"/>
      <c r="N58" s="38"/>
      <c r="O58" s="39"/>
      <c r="P58" s="133">
        <f>K58-1</f>
        <v>47</v>
      </c>
      <c r="Q58" s="39"/>
      <c r="R58" s="39"/>
      <c r="S58" s="138">
        <v>0.24953</v>
      </c>
      <c r="T58" s="99">
        <f t="shared" ref="T58" si="86">S58*P58</f>
        <v>11.72791</v>
      </c>
      <c r="U58" s="35">
        <v>0.2</v>
      </c>
      <c r="V58" s="99">
        <f t="shared" ref="V58" si="87">T58 * (1 + U58)</f>
        <v>14.073492</v>
      </c>
      <c r="W58" s="100">
        <v>14.08</v>
      </c>
      <c r="X58" s="99">
        <f t="shared" ref="X58" si="88">W58-V58</f>
        <v>6.5080000000001803E-3</v>
      </c>
      <c r="Y58" s="99">
        <f>T58</f>
        <v>11.72791</v>
      </c>
      <c r="Z58" s="43"/>
      <c r="AA58" s="99">
        <f t="shared" si="59"/>
        <v>2.3455820000000003</v>
      </c>
      <c r="AB58" s="43"/>
      <c r="AC58" s="101"/>
      <c r="AD58" s="9">
        <f ca="1">IF(OR(A58&lt;&gt;parametres!F$26,ISBLANK(S58)),,MAX(INDIRECT(ADDRESS(index_min-1,COLUMN())):INDIRECT(ADDRESS(index_min-1,COLUMN())):INDIRECT(ADDRESS(index_min-1,COLUMN())):INDIRECT(ADDRESS(ROW()-1,COLUMN())))+1)</f>
        <v>0</v>
      </c>
    </row>
    <row r="59" spans="1:33" ht="13.2" customHeight="1">
      <c r="A59" s="2" t="s">
        <v>80</v>
      </c>
      <c r="B59" s="97" t="str">
        <f>B54</f>
        <v>septembre 2026</v>
      </c>
      <c r="C59" s="160"/>
      <c r="D59" s="133">
        <v>2026</v>
      </c>
      <c r="E59" s="54">
        <f>E52</f>
        <v>2026</v>
      </c>
      <c r="F59" s="136" t="s">
        <v>17</v>
      </c>
      <c r="G59" s="132">
        <v>18</v>
      </c>
      <c r="H59" s="5">
        <v>2026</v>
      </c>
      <c r="I59" s="6" t="s">
        <v>18</v>
      </c>
      <c r="J59" s="129">
        <v>17</v>
      </c>
      <c r="K59" s="133">
        <f t="shared" ref="K59" si="89">(H59&amp;"-"&amp;HLOOKUP(I59,MOIS,2,FALSE)&amp;"-"&amp;J59) - (E59&amp;"-"&amp;HLOOKUP(F59,MOIS,2,FALSE)&amp;"-"&amp;G59) + 1</f>
        <v>61</v>
      </c>
      <c r="L59" s="39"/>
      <c r="M59" s="37"/>
      <c r="N59" s="38"/>
      <c r="O59" s="39"/>
      <c r="P59" s="133">
        <f>K59-1</f>
        <v>60</v>
      </c>
      <c r="Q59" s="39"/>
      <c r="R59" s="39"/>
      <c r="S59" s="138">
        <v>0.24953</v>
      </c>
      <c r="T59" s="99">
        <f t="shared" ref="T59" si="90">S59*P59</f>
        <v>14.9718</v>
      </c>
      <c r="U59" s="35">
        <v>0.2</v>
      </c>
      <c r="V59" s="99">
        <f t="shared" ref="V59" si="91">T59 * (1 + U59)</f>
        <v>17.966159999999999</v>
      </c>
      <c r="W59" s="100">
        <v>17.96</v>
      </c>
      <c r="X59" s="99">
        <f t="shared" ref="X59" si="92">W59-V59</f>
        <v>-6.1599999999977229E-3</v>
      </c>
      <c r="Y59" s="99">
        <f>T59</f>
        <v>14.9718</v>
      </c>
      <c r="Z59" s="43"/>
      <c r="AA59" s="99">
        <f t="shared" si="59"/>
        <v>2.9943599999999986</v>
      </c>
      <c r="AB59" s="43"/>
      <c r="AC59" s="101"/>
      <c r="AD59" s="9">
        <f ca="1">IF(OR(A59&lt;&gt;parametres!F$26,ISBLANK(S59)),,MAX(INDIRECT(ADDRESS(index_min-1,COLUMN())):INDIRECT(ADDRESS(index_min-1,COLUMN())):INDIRECT(ADDRESS(index_min-1,COLUMN())):INDIRECT(ADDRESS(ROW()-1,COLUMN())))+1)</f>
        <v>0</v>
      </c>
    </row>
    <row r="60" spans="1:33" ht="25.8" customHeight="1">
      <c r="A60" s="128" t="s">
        <v>94</v>
      </c>
      <c r="B60" s="127" t="str">
        <f>A60&amp;" "&amp;E60</f>
        <v>remise offre solidaire 2026</v>
      </c>
      <c r="C60" s="160"/>
      <c r="D60" s="133">
        <v>2026</v>
      </c>
      <c r="E60" s="54">
        <v>2026</v>
      </c>
      <c r="F60" s="136" t="s">
        <v>3</v>
      </c>
      <c r="G60" s="132">
        <v>1</v>
      </c>
      <c r="H60" s="5">
        <v>2026</v>
      </c>
      <c r="I60" s="6" t="s">
        <v>18</v>
      </c>
      <c r="J60" s="129">
        <v>17</v>
      </c>
      <c r="K60" s="39"/>
      <c r="L60" s="39"/>
      <c r="M60" s="37"/>
      <c r="N60" s="38"/>
      <c r="O60" s="39"/>
      <c r="P60" s="34">
        <v>1</v>
      </c>
      <c r="Q60" s="39"/>
      <c r="R60" s="39"/>
      <c r="S60" s="142">
        <v>-0.33400000000000002</v>
      </c>
      <c r="T60" s="99">
        <v>-35.74</v>
      </c>
      <c r="U60" s="35">
        <v>0.2</v>
      </c>
      <c r="V60" s="99">
        <f t="shared" si="54"/>
        <v>-42.887999999999998</v>
      </c>
      <c r="W60" s="100">
        <v>-42.89</v>
      </c>
      <c r="X60" s="99">
        <f t="shared" si="55"/>
        <v>-2.0000000000024443E-3</v>
      </c>
      <c r="Y60" s="43"/>
      <c r="Z60" s="99">
        <f t="shared" ref="Z60" si="93">T60</f>
        <v>-35.74</v>
      </c>
      <c r="AA60" s="99">
        <f t="shared" si="59"/>
        <v>-7.1479999999999961</v>
      </c>
      <c r="AB60" s="43"/>
      <c r="AC60" s="101"/>
      <c r="AD60" s="9">
        <f ca="1">IF(OR(A60&lt;&gt;parametres!F$26,ISBLANK(S60)),,MAX(INDIRECT(ADDRESS(index_min-1,COLUMN())):INDIRECT(ADDRESS(index_min-1,COLUMN())):INDIRECT(ADDRESS(index_min-1,COLUMN())):INDIRECT(ADDRESS(ROW()-1,COLUMN())))+1)</f>
        <v>0</v>
      </c>
      <c r="AG60" s="41"/>
    </row>
    <row r="61" spans="1:33">
      <c r="A61" s="2" t="s">
        <v>86</v>
      </c>
      <c r="B61" s="97" t="str">
        <f>B56</f>
        <v>septembre 2026</v>
      </c>
      <c r="C61" s="160"/>
      <c r="D61" s="133">
        <v>2026</v>
      </c>
      <c r="E61" s="54">
        <f t="shared" ref="E61" si="94">E56</f>
        <v>2026</v>
      </c>
      <c r="F61" s="43"/>
      <c r="G61" s="39"/>
      <c r="H61" s="5">
        <v>2026</v>
      </c>
      <c r="I61" s="132" t="str">
        <f>I48</f>
        <v>août</v>
      </c>
      <c r="J61" s="39"/>
      <c r="K61" s="39"/>
      <c r="L61" s="39"/>
      <c r="M61" s="39"/>
      <c r="N61" s="38"/>
      <c r="O61" s="39"/>
      <c r="P61" s="55">
        <v>11.94</v>
      </c>
      <c r="Q61" s="39"/>
      <c r="R61" s="39"/>
      <c r="S61" s="44">
        <v>0.15</v>
      </c>
      <c r="T61" s="99">
        <f>S61*P61</f>
        <v>1.7909999999999999</v>
      </c>
      <c r="U61" s="35">
        <v>0.2</v>
      </c>
      <c r="V61" s="99">
        <f t="shared" si="54"/>
        <v>2.1492</v>
      </c>
      <c r="W61" s="100">
        <v>2.15</v>
      </c>
      <c r="X61" s="99">
        <f t="shared" si="55"/>
        <v>7.9999999999991189E-4</v>
      </c>
      <c r="Y61" s="43"/>
      <c r="Z61" s="43"/>
      <c r="AA61" s="99">
        <f t="shared" si="59"/>
        <v>0.35820000000000007</v>
      </c>
      <c r="AB61" s="99">
        <f>T61</f>
        <v>1.7909999999999999</v>
      </c>
      <c r="AC61" s="102"/>
      <c r="AD61" s="9">
        <f ca="1">IF(OR(A61&lt;&gt;parametres!F$26,ISBLANK(S61)),,MAX(INDIRECT(ADDRESS(index_min-1,COLUMN())):INDIRECT(ADDRESS(index_min-1,COLUMN())):INDIRECT(ADDRESS(index_min-1,COLUMN())):INDIRECT(ADDRESS(ROW()-1,COLUMN())))+1)</f>
        <v>0</v>
      </c>
      <c r="AE61" s="41"/>
    </row>
    <row r="62" spans="1:33">
      <c r="A62" s="2" t="s">
        <v>87</v>
      </c>
      <c r="B62" s="97" t="str">
        <f>B61</f>
        <v>septembre 2026</v>
      </c>
      <c r="C62" s="160"/>
      <c r="D62" s="133">
        <v>2026</v>
      </c>
      <c r="E62" s="54">
        <f t="shared" ref="E62:E63" si="95">E61</f>
        <v>2026</v>
      </c>
      <c r="F62" s="43"/>
      <c r="G62" s="39"/>
      <c r="H62" s="5">
        <v>2026</v>
      </c>
      <c r="I62" s="132" t="str">
        <f>I61</f>
        <v>août</v>
      </c>
      <c r="J62" s="39"/>
      <c r="K62" s="39"/>
      <c r="L62" s="39"/>
      <c r="M62" s="39"/>
      <c r="N62" s="38"/>
      <c r="O62" s="39"/>
      <c r="P62" s="133">
        <f>R44</f>
        <v>88</v>
      </c>
      <c r="Q62" s="39"/>
      <c r="R62" s="39"/>
      <c r="S62" s="34">
        <v>3.0849999999999999E-2</v>
      </c>
      <c r="T62" s="99">
        <f>S62*P62</f>
        <v>2.7147999999999999</v>
      </c>
      <c r="U62" s="35">
        <v>0.2</v>
      </c>
      <c r="V62" s="99">
        <f t="shared" si="54"/>
        <v>3.2577599999999998</v>
      </c>
      <c r="W62" s="100">
        <v>3.25</v>
      </c>
      <c r="X62" s="99">
        <f t="shared" si="55"/>
        <v>-7.7599999999997671E-3</v>
      </c>
      <c r="Y62" s="43"/>
      <c r="Z62" s="43"/>
      <c r="AA62" s="99">
        <f t="shared" si="59"/>
        <v>0.54295999999999989</v>
      </c>
      <c r="AB62" s="99">
        <f>T62</f>
        <v>2.7147999999999999</v>
      </c>
      <c r="AC62" s="101"/>
      <c r="AD62" s="9">
        <f ca="1">IF(OR(A62&lt;&gt;parametres!F$26,ISBLANK(S62)),,MAX(INDIRECT(ADDRESS(index_min-1,COLUMN())):INDIRECT(ADDRESS(index_min-1,COLUMN())):INDIRECT(ADDRESS(index_min-1,COLUMN())):INDIRECT(ADDRESS(ROW()-1,COLUMN())))+1)</f>
        <v>0</v>
      </c>
      <c r="AE62" s="41"/>
    </row>
    <row r="63" spans="1:33">
      <c r="A63" s="103" t="s">
        <v>87</v>
      </c>
      <c r="B63" s="104" t="str">
        <f>B62</f>
        <v>septembre 2026</v>
      </c>
      <c r="C63" s="161"/>
      <c r="D63" s="105">
        <v>2026</v>
      </c>
      <c r="E63" s="106">
        <f t="shared" si="95"/>
        <v>2026</v>
      </c>
      <c r="F63" s="107"/>
      <c r="G63" s="108"/>
      <c r="H63" s="109">
        <v>2026</v>
      </c>
      <c r="I63" s="126" t="str">
        <f>I62</f>
        <v>août</v>
      </c>
      <c r="J63" s="108"/>
      <c r="K63" s="108"/>
      <c r="L63" s="108"/>
      <c r="M63" s="108"/>
      <c r="N63" s="111"/>
      <c r="O63" s="108"/>
      <c r="P63" s="105">
        <f>R48</f>
        <v>343</v>
      </c>
      <c r="Q63" s="108"/>
      <c r="R63" s="108"/>
      <c r="S63" s="112">
        <v>3.0620000000000001E-2</v>
      </c>
      <c r="T63" s="113">
        <f>S63*P63</f>
        <v>10.502660000000001</v>
      </c>
      <c r="U63" s="114">
        <v>0.2</v>
      </c>
      <c r="V63" s="113">
        <f t="shared" ref="V63" si="96">T63 * (1 + U63)</f>
        <v>12.603192</v>
      </c>
      <c r="W63" s="115">
        <v>12.6</v>
      </c>
      <c r="X63" s="113">
        <f t="shared" ref="X63" si="97">W63-V63</f>
        <v>-3.1920000000003057E-3</v>
      </c>
      <c r="Y63" s="107"/>
      <c r="Z63" s="107"/>
      <c r="AA63" s="113">
        <f t="shared" ref="AA63" si="98">V63-T63</f>
        <v>2.1005319999999994</v>
      </c>
      <c r="AB63" s="113">
        <f>T63</f>
        <v>10.502660000000001</v>
      </c>
      <c r="AC63" s="116"/>
      <c r="AD63" s="117">
        <f ca="1">IF(OR(A63&lt;&gt;parametres!F$26,ISBLANK(S63)),,MAX(INDIRECT(ADDRESS(index_min-1,COLUMN())):INDIRECT(ADDRESS(index_min-1,COLUMN())):INDIRECT(ADDRESS(index_min-1,COLUMN())):INDIRECT(ADDRESS(ROW()-1,COLUMN())))+1)</f>
        <v>0</v>
      </c>
      <c r="AE63" s="41"/>
    </row>
    <row r="64" spans="1:33">
      <c r="A64" s="8" t="str">
        <f>fin_données</f>
        <v>fin_données</v>
      </c>
    </row>
  </sheetData>
  <autoFilter ref="A6:AB66">
    <filterColumn colId="11"/>
    <filterColumn colId="17"/>
    <filterColumn colId="26"/>
  </autoFilter>
  <mergeCells count="88">
    <mergeCell ref="J26:J27"/>
    <mergeCell ref="K26:K27"/>
    <mergeCell ref="R20:R27"/>
    <mergeCell ref="C20:C31"/>
    <mergeCell ref="G20:G21"/>
    <mergeCell ref="J20:J21"/>
    <mergeCell ref="K20:K21"/>
    <mergeCell ref="G22:G23"/>
    <mergeCell ref="J22:J23"/>
    <mergeCell ref="K22:K23"/>
    <mergeCell ref="G24:G25"/>
    <mergeCell ref="J24:J25"/>
    <mergeCell ref="K24:K25"/>
    <mergeCell ref="G26:G27"/>
    <mergeCell ref="L22:L23"/>
    <mergeCell ref="L24:L25"/>
    <mergeCell ref="C8:C18"/>
    <mergeCell ref="P14:P15"/>
    <mergeCell ref="K12:K13"/>
    <mergeCell ref="J14:J15"/>
    <mergeCell ref="K14:K15"/>
    <mergeCell ref="G14:G15"/>
    <mergeCell ref="J10:J11"/>
    <mergeCell ref="K10:K11"/>
    <mergeCell ref="G12:G13"/>
    <mergeCell ref="J12:J13"/>
    <mergeCell ref="G8:G9"/>
    <mergeCell ref="J8:J9"/>
    <mergeCell ref="K8:K9"/>
    <mergeCell ref="G10:G11"/>
    <mergeCell ref="E5:G5"/>
    <mergeCell ref="E4:K4"/>
    <mergeCell ref="H5:J5"/>
    <mergeCell ref="K1:AB1"/>
    <mergeCell ref="R8:R13"/>
    <mergeCell ref="V5:X5"/>
    <mergeCell ref="C32:C43"/>
    <mergeCell ref="G32:G33"/>
    <mergeCell ref="J32:J33"/>
    <mergeCell ref="K32:K33"/>
    <mergeCell ref="R32:R39"/>
    <mergeCell ref="G34:G35"/>
    <mergeCell ref="J34:J35"/>
    <mergeCell ref="K34:K35"/>
    <mergeCell ref="G36:G37"/>
    <mergeCell ref="J36:J37"/>
    <mergeCell ref="K36:K37"/>
    <mergeCell ref="G38:G39"/>
    <mergeCell ref="J38:J39"/>
    <mergeCell ref="K38:K39"/>
    <mergeCell ref="J50:J51"/>
    <mergeCell ref="K50:K51"/>
    <mergeCell ref="G52:G53"/>
    <mergeCell ref="J52:J53"/>
    <mergeCell ref="K52:K53"/>
    <mergeCell ref="C44:C63"/>
    <mergeCell ref="G54:G55"/>
    <mergeCell ref="J54:J55"/>
    <mergeCell ref="K54:K55"/>
    <mergeCell ref="R44:R47"/>
    <mergeCell ref="R48:R55"/>
    <mergeCell ref="G44:G45"/>
    <mergeCell ref="J44:J45"/>
    <mergeCell ref="K44:K45"/>
    <mergeCell ref="G46:G47"/>
    <mergeCell ref="J46:J47"/>
    <mergeCell ref="K46:K47"/>
    <mergeCell ref="G48:G49"/>
    <mergeCell ref="J48:J49"/>
    <mergeCell ref="K48:K49"/>
    <mergeCell ref="G50:G51"/>
    <mergeCell ref="AA3:AB3"/>
    <mergeCell ref="L8:L9"/>
    <mergeCell ref="L10:L11"/>
    <mergeCell ref="L12:L13"/>
    <mergeCell ref="L20:L21"/>
    <mergeCell ref="N5:O5"/>
    <mergeCell ref="L26:L27"/>
    <mergeCell ref="L32:L33"/>
    <mergeCell ref="L34:L35"/>
    <mergeCell ref="L36:L37"/>
    <mergeCell ref="L38:L39"/>
    <mergeCell ref="L54:L55"/>
    <mergeCell ref="L44:L45"/>
    <mergeCell ref="L46:L47"/>
    <mergeCell ref="L48:L49"/>
    <mergeCell ref="L50:L51"/>
    <mergeCell ref="L52:L53"/>
  </mergeCells>
  <dataValidations count="5">
    <dataValidation type="list" allowBlank="1" showInputMessage="1" showErrorMessage="1" sqref="H26 H7:H8 H36 H34 H38 H28:H32 H24 H22 H16:H20 H12 H14 H10 H40:H44 H48 H46 H50 H54 H52 H56:H63">
      <formula1>matrice_année</formula1>
    </dataValidation>
    <dataValidation type="list" allowBlank="1" showInputMessage="1" showErrorMessage="1" sqref="I22 I36 I38 I32 I34 I29 I24 I26 I20 I10 I12 I14 I16:I17 I7:I8 I41 I48 I50 I44 I54 I46 I52 I56:I60">
      <formula1>liste_mois</formula1>
    </dataValidation>
    <dataValidation type="list" allowBlank="1" showInputMessage="1" showErrorMessage="1" sqref="D7:D63">
      <formula1>matrice_année_appliquée</formula1>
    </dataValidation>
    <dataValidation type="list" allowBlank="1" showInputMessage="1" showErrorMessage="1" sqref="A7:A63">
      <formula1>objet_facturé</formula1>
    </dataValidation>
    <dataValidation type="list" allowBlank="1" showInputMessage="1" showErrorMessage="1" sqref="M8:M13 M32:M39 M20:M27 M44:M55">
      <formula1>heures</formula1>
    </dataValidation>
  </dataValidations>
  <pageMargins left="0.7" right="0.7" top="0.75" bottom="0.75" header="0.3" footer="0.3"/>
  <pageSetup paperSize="9" orientation="portrait" r:id="rId1"/>
  <ignoredErrors>
    <ignoredError sqref="F11:F12 F10 F14 T15 I28" 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LA QUESTION</vt:lpstr>
      <vt:lpstr>parametres</vt:lpstr>
      <vt:lpstr>facturation</vt:lpstr>
      <vt:lpstr>dernier_tarif</vt:lpstr>
      <vt:lpstr>fin_données</vt:lpstr>
      <vt:lpstr>heures</vt:lpstr>
      <vt:lpstr>index_max</vt:lpstr>
      <vt:lpstr>index_min</vt:lpstr>
      <vt:lpstr>liste_mois</vt:lpstr>
      <vt:lpstr>matrice_abt</vt:lpstr>
      <vt:lpstr>matrice_année</vt:lpstr>
      <vt:lpstr>matrice_année_appliquée</vt:lpstr>
      <vt:lpstr>matrice_conso</vt:lpstr>
      <vt:lpstr>matrice_énergie</vt:lpstr>
      <vt:lpstr>matrice_mois</vt:lpstr>
      <vt:lpstr>matrice_montant_calc</vt:lpstr>
      <vt:lpstr>matrice_montant_fact</vt:lpstr>
      <vt:lpstr>matrice_nb_de_jours</vt:lpstr>
      <vt:lpstr>matrice_taxe</vt:lpstr>
      <vt:lpstr>matrice_totale</vt:lpstr>
      <vt:lpstr>MOIS</vt:lpstr>
      <vt:lpstr>nb_j_an</vt:lpstr>
      <vt:lpstr>nb_mois_an</vt:lpstr>
      <vt:lpstr>no_mois</vt:lpstr>
      <vt:lpstr>objet_facturé</vt:lpstr>
      <vt:lpstr>STOP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yannick dubreuil</cp:lastModifiedBy>
  <dcterms:created xsi:type="dcterms:W3CDTF">2016-04-09T12:14:48Z</dcterms:created>
  <dcterms:modified xsi:type="dcterms:W3CDTF">2026-09-29T20:31:09Z</dcterms:modified>
</cp:coreProperties>
</file>