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45" windowWidth="14115" windowHeight="4425" activeTab="2"/>
  </bookViews>
  <sheets>
    <sheet name="Radiateur" sheetId="1" r:id="rId1"/>
    <sheet name="rad monotube" sheetId="2" r:id="rId2"/>
    <sheet name="deperd tuyauterie" sheetId="3" r:id="rId3"/>
    <sheet name="coef kt-kti" sheetId="4" r:id="rId4"/>
    <sheet name="coef Fct" sheetId="5" r:id="rId5"/>
    <sheet name="coef Fcti" sheetId="6" r:id="rId6"/>
    <sheet name="annexe" sheetId="7" r:id="rId7"/>
  </sheets>
  <definedNames>
    <definedName name="DN">'coef kt-kti'!$B$5:$E$18</definedName>
    <definedName name="etat" localSheetId="6">annexe!$B$1:$B$3</definedName>
    <definedName name="fct" localSheetId="4">'coef Fct'!$D$6:$L$15</definedName>
    <definedName name="fcti">'coef Fcti'!$D$6:$L$15</definedName>
    <definedName name="position" localSheetId="6">annexe!$E$1:$F$4</definedName>
    <definedName name="tatr">annexe!$G$1:$H$11</definedName>
    <definedName name="ti">annexe!$J$1:$K$10</definedName>
    <definedName name="tii">annexe!$M$1:$N$10</definedName>
  </definedNames>
  <calcPr calcId="125725"/>
</workbook>
</file>

<file path=xl/calcChain.xml><?xml version="1.0" encoding="utf-8"?>
<calcChain xmlns="http://schemas.openxmlformats.org/spreadsheetml/2006/main">
  <c r="M122" i="3"/>
  <c r="I122"/>
  <c r="E122"/>
  <c r="F122" s="1"/>
  <c r="D122"/>
  <c r="K122" s="1"/>
  <c r="M120"/>
  <c r="I120"/>
  <c r="E120"/>
  <c r="F120" s="1"/>
  <c r="D120"/>
  <c r="K120" s="1"/>
  <c r="O120" s="1"/>
  <c r="P120" s="1"/>
  <c r="M118"/>
  <c r="I118"/>
  <c r="E118"/>
  <c r="F118" s="1"/>
  <c r="D118"/>
  <c r="K118" s="1"/>
  <c r="O118" s="1"/>
  <c r="P118" s="1"/>
  <c r="M116"/>
  <c r="I116"/>
  <c r="F116"/>
  <c r="E116"/>
  <c r="D116"/>
  <c r="K116" s="1"/>
  <c r="O116" s="1"/>
  <c r="P116" s="1"/>
  <c r="M114"/>
  <c r="I114"/>
  <c r="E114"/>
  <c r="F114" s="1"/>
  <c r="D114"/>
  <c r="K114" s="1"/>
  <c r="O114" s="1"/>
  <c r="P114" s="1"/>
  <c r="M112"/>
  <c r="I112"/>
  <c r="E112"/>
  <c r="F112" s="1"/>
  <c r="D112"/>
  <c r="K112" s="1"/>
  <c r="O112" s="1"/>
  <c r="P112" s="1"/>
  <c r="M110"/>
  <c r="I110"/>
  <c r="F110"/>
  <c r="E110"/>
  <c r="D110"/>
  <c r="K110" s="1"/>
  <c r="O110" s="1"/>
  <c r="P110" s="1"/>
  <c r="M108"/>
  <c r="I108"/>
  <c r="E108"/>
  <c r="F108" s="1"/>
  <c r="D108"/>
  <c r="K108" s="1"/>
  <c r="O108" s="1"/>
  <c r="P108" s="1"/>
  <c r="M106"/>
  <c r="I106"/>
  <c r="E106"/>
  <c r="F106" s="1"/>
  <c r="D106"/>
  <c r="K106" s="1"/>
  <c r="O106" s="1"/>
  <c r="P106" s="1"/>
  <c r="M104"/>
  <c r="I104"/>
  <c r="E104"/>
  <c r="F104" s="1"/>
  <c r="D104"/>
  <c r="K104" s="1"/>
  <c r="O104" s="1"/>
  <c r="P104" s="1"/>
  <c r="M102"/>
  <c r="I102"/>
  <c r="F102"/>
  <c r="E102"/>
  <c r="D102"/>
  <c r="K102" s="1"/>
  <c r="O102" s="1"/>
  <c r="P102" s="1"/>
  <c r="M100"/>
  <c r="I100"/>
  <c r="F100"/>
  <c r="E100"/>
  <c r="D100"/>
  <c r="K100" s="1"/>
  <c r="O100" s="1"/>
  <c r="P100" s="1"/>
  <c r="M98"/>
  <c r="I98"/>
  <c r="E98"/>
  <c r="F98" s="1"/>
  <c r="D98"/>
  <c r="K98" s="1"/>
  <c r="M96"/>
  <c r="I96"/>
  <c r="F96"/>
  <c r="E96"/>
  <c r="D96"/>
  <c r="K96" s="1"/>
  <c r="O96" s="1"/>
  <c r="P96" s="1"/>
  <c r="S95"/>
  <c r="M94"/>
  <c r="I94"/>
  <c r="F94"/>
  <c r="E94"/>
  <c r="D94"/>
  <c r="K94" s="1"/>
  <c r="O94" s="1"/>
  <c r="P94" s="1"/>
  <c r="M92"/>
  <c r="I92"/>
  <c r="E92"/>
  <c r="F92" s="1"/>
  <c r="D92"/>
  <c r="K92" s="1"/>
  <c r="O92" s="1"/>
  <c r="P92" s="1"/>
  <c r="M90"/>
  <c r="I90"/>
  <c r="E90"/>
  <c r="F90" s="1"/>
  <c r="D90"/>
  <c r="K90" s="1"/>
  <c r="O90" s="1"/>
  <c r="P90" s="1"/>
  <c r="S88"/>
  <c r="S86" s="1"/>
  <c r="S84" s="1"/>
  <c r="S72" s="1"/>
  <c r="M88"/>
  <c r="I88"/>
  <c r="E88"/>
  <c r="F88" s="1"/>
  <c r="D88"/>
  <c r="K88" s="1"/>
  <c r="M86"/>
  <c r="I86"/>
  <c r="E86"/>
  <c r="F86" s="1"/>
  <c r="D86"/>
  <c r="K86" s="1"/>
  <c r="M84"/>
  <c r="I84"/>
  <c r="E84"/>
  <c r="F84" s="1"/>
  <c r="D84"/>
  <c r="K84" s="1"/>
  <c r="M82"/>
  <c r="I82"/>
  <c r="E82"/>
  <c r="F82" s="1"/>
  <c r="D82"/>
  <c r="K82" s="1"/>
  <c r="M80"/>
  <c r="I80"/>
  <c r="D80"/>
  <c r="E80" s="1"/>
  <c r="F80" s="1"/>
  <c r="M78"/>
  <c r="I78"/>
  <c r="D78"/>
  <c r="E78" s="1"/>
  <c r="F78" s="1"/>
  <c r="M76"/>
  <c r="I76"/>
  <c r="D76"/>
  <c r="E76" s="1"/>
  <c r="F76" s="1"/>
  <c r="M74"/>
  <c r="I74"/>
  <c r="D74"/>
  <c r="E74" s="1"/>
  <c r="F74" s="1"/>
  <c r="M72"/>
  <c r="I72"/>
  <c r="D72"/>
  <c r="E72" s="1"/>
  <c r="F72" s="1"/>
  <c r="M70"/>
  <c r="I70"/>
  <c r="D70"/>
  <c r="E70" s="1"/>
  <c r="F70" s="1"/>
  <c r="S28"/>
  <c r="S26" s="1"/>
  <c r="S35"/>
  <c r="M12"/>
  <c r="M14"/>
  <c r="M16"/>
  <c r="M18"/>
  <c r="M20"/>
  <c r="M22"/>
  <c r="M24"/>
  <c r="M26"/>
  <c r="M28"/>
  <c r="M30"/>
  <c r="M32"/>
  <c r="M34"/>
  <c r="M36"/>
  <c r="M38"/>
  <c r="M40"/>
  <c r="M42"/>
  <c r="M44"/>
  <c r="M46"/>
  <c r="M48"/>
  <c r="M50"/>
  <c r="M52"/>
  <c r="M54"/>
  <c r="M56"/>
  <c r="M58"/>
  <c r="M60"/>
  <c r="M62"/>
  <c r="K62"/>
  <c r="O62" s="1"/>
  <c r="P62" s="1"/>
  <c r="I12"/>
  <c r="I14"/>
  <c r="I16"/>
  <c r="I18"/>
  <c r="I20"/>
  <c r="I22"/>
  <c r="I24"/>
  <c r="I26"/>
  <c r="I28"/>
  <c r="I30"/>
  <c r="I32"/>
  <c r="I34"/>
  <c r="I36"/>
  <c r="I38"/>
  <c r="I40"/>
  <c r="I42"/>
  <c r="I44"/>
  <c r="I46"/>
  <c r="I48"/>
  <c r="I50"/>
  <c r="I52"/>
  <c r="I54"/>
  <c r="I56"/>
  <c r="I58"/>
  <c r="I60"/>
  <c r="I62"/>
  <c r="E12"/>
  <c r="F12" s="1"/>
  <c r="E14"/>
  <c r="F14" s="1"/>
  <c r="E22"/>
  <c r="F22" s="1"/>
  <c r="E28"/>
  <c r="F28" s="1"/>
  <c r="E32"/>
  <c r="F32" s="1"/>
  <c r="E34"/>
  <c r="F34" s="1"/>
  <c r="E38"/>
  <c r="F38" s="1"/>
  <c r="E40"/>
  <c r="F40" s="1"/>
  <c r="E42"/>
  <c r="F42" s="1"/>
  <c r="E44"/>
  <c r="F44" s="1"/>
  <c r="E46"/>
  <c r="F46" s="1"/>
  <c r="E48"/>
  <c r="F48" s="1"/>
  <c r="E50"/>
  <c r="F50" s="1"/>
  <c r="E52"/>
  <c r="F52" s="1"/>
  <c r="E54"/>
  <c r="F54" s="1"/>
  <c r="E56"/>
  <c r="F56" s="1"/>
  <c r="E58"/>
  <c r="F58" s="1"/>
  <c r="E60"/>
  <c r="F60" s="1"/>
  <c r="E62"/>
  <c r="F62" s="1"/>
  <c r="D12"/>
  <c r="D14"/>
  <c r="D16"/>
  <c r="E16" s="1"/>
  <c r="F16" s="1"/>
  <c r="D18"/>
  <c r="E18" s="1"/>
  <c r="F18" s="1"/>
  <c r="D20"/>
  <c r="E20" s="1"/>
  <c r="F20" s="1"/>
  <c r="D22"/>
  <c r="D24"/>
  <c r="E24" s="1"/>
  <c r="F24" s="1"/>
  <c r="D26"/>
  <c r="E26" s="1"/>
  <c r="F26" s="1"/>
  <c r="D28"/>
  <c r="D30"/>
  <c r="E30" s="1"/>
  <c r="F30" s="1"/>
  <c r="D32"/>
  <c r="D34"/>
  <c r="D36"/>
  <c r="E36" s="1"/>
  <c r="F36" s="1"/>
  <c r="D38"/>
  <c r="D40"/>
  <c r="K40" s="1"/>
  <c r="D42"/>
  <c r="K42" s="1"/>
  <c r="D44"/>
  <c r="K44" s="1"/>
  <c r="D46"/>
  <c r="K46" s="1"/>
  <c r="O46" s="1"/>
  <c r="P46" s="1"/>
  <c r="D48"/>
  <c r="K48" s="1"/>
  <c r="D50"/>
  <c r="K50" s="1"/>
  <c r="D52"/>
  <c r="K52" s="1"/>
  <c r="D54"/>
  <c r="K54" s="1"/>
  <c r="D56"/>
  <c r="K56" s="1"/>
  <c r="D58"/>
  <c r="K58" s="1"/>
  <c r="O58" s="1"/>
  <c r="P58" s="1"/>
  <c r="D60"/>
  <c r="K60" s="1"/>
  <c r="D62"/>
  <c r="D10"/>
  <c r="E10" s="1"/>
  <c r="F10" s="1"/>
  <c r="I10"/>
  <c r="M10"/>
  <c r="S24" l="1"/>
  <c r="S22" s="1"/>
  <c r="S20" s="1"/>
  <c r="S18" s="1"/>
  <c r="S16" s="1"/>
  <c r="S14" s="1"/>
  <c r="O98"/>
  <c r="P98" s="1"/>
  <c r="O122"/>
  <c r="P122" s="1"/>
  <c r="O88"/>
  <c r="P88" s="1"/>
  <c r="K74"/>
  <c r="O74" s="1"/>
  <c r="P74" s="1"/>
  <c r="K78"/>
  <c r="O78" s="1"/>
  <c r="P78" s="1"/>
  <c r="K80"/>
  <c r="O80" s="1"/>
  <c r="P80" s="1"/>
  <c r="K76"/>
  <c r="O76" s="1"/>
  <c r="P76" s="1"/>
  <c r="K72"/>
  <c r="O72" s="1"/>
  <c r="P72" s="1"/>
  <c r="K70"/>
  <c r="O70" s="1"/>
  <c r="P70" s="1"/>
  <c r="O86"/>
  <c r="P86" s="1"/>
  <c r="O82"/>
  <c r="P82" s="1"/>
  <c r="O84"/>
  <c r="P84" s="1"/>
  <c r="O40"/>
  <c r="P40" s="1"/>
  <c r="O42"/>
  <c r="P42" s="1"/>
  <c r="O44"/>
  <c r="P44" s="1"/>
  <c r="O48"/>
  <c r="P48" s="1"/>
  <c r="O50"/>
  <c r="P50" s="1"/>
  <c r="O52"/>
  <c r="P52" s="1"/>
  <c r="O54"/>
  <c r="P54" s="1"/>
  <c r="O56"/>
  <c r="P56" s="1"/>
  <c r="O60"/>
  <c r="P60" s="1"/>
  <c r="G3" i="7" l="1"/>
  <c r="G4"/>
  <c r="G5"/>
  <c r="G6"/>
  <c r="G7"/>
  <c r="G8"/>
  <c r="G9"/>
  <c r="G10"/>
  <c r="G11"/>
  <c r="G2"/>
  <c r="M29" i="2"/>
  <c r="M30"/>
  <c r="M31"/>
  <c r="M32"/>
  <c r="M33"/>
  <c r="M34"/>
  <c r="M35"/>
  <c r="M36"/>
  <c r="M37"/>
  <c r="M38"/>
  <c r="M55"/>
  <c r="M56"/>
  <c r="M57"/>
  <c r="M58"/>
  <c r="M59"/>
  <c r="M60"/>
  <c r="M61"/>
  <c r="M62"/>
  <c r="M63"/>
  <c r="M64"/>
  <c r="F65"/>
  <c r="K12" i="3" l="1"/>
  <c r="O12" s="1"/>
  <c r="P12" s="1"/>
  <c r="K10"/>
  <c r="O10" s="1"/>
  <c r="P10" s="1"/>
  <c r="K20"/>
  <c r="O20" s="1"/>
  <c r="P20" s="1"/>
  <c r="K16"/>
  <c r="O16" s="1"/>
  <c r="P16" s="1"/>
  <c r="K24"/>
  <c r="O24" s="1"/>
  <c r="P24" s="1"/>
  <c r="K32"/>
  <c r="O32" s="1"/>
  <c r="P32" s="1"/>
  <c r="K14"/>
  <c r="O14" s="1"/>
  <c r="P14" s="1"/>
  <c r="K28"/>
  <c r="O28" s="1"/>
  <c r="P28" s="1"/>
  <c r="K38"/>
  <c r="O38" s="1"/>
  <c r="P38" s="1"/>
  <c r="K22"/>
  <c r="O22" s="1"/>
  <c r="P22" s="1"/>
  <c r="K30"/>
  <c r="O30" s="1"/>
  <c r="P30" s="1"/>
  <c r="K18"/>
  <c r="O18" s="1"/>
  <c r="P18" s="1"/>
  <c r="K36"/>
  <c r="O36" s="1"/>
  <c r="P36" s="1"/>
  <c r="K34"/>
  <c r="O34" s="1"/>
  <c r="P34" s="1"/>
  <c r="K26"/>
  <c r="O26" s="1"/>
  <c r="P26" s="1"/>
  <c r="T26" s="1"/>
  <c r="B48" i="2"/>
  <c r="D56" s="1"/>
  <c r="E54"/>
  <c r="B65"/>
  <c r="B39"/>
  <c r="F39"/>
  <c r="H39" s="1"/>
  <c r="B22"/>
  <c r="E28"/>
  <c r="F28" s="1"/>
  <c r="C29"/>
  <c r="C30"/>
  <c r="C31"/>
  <c r="C32"/>
  <c r="C33"/>
  <c r="C34"/>
  <c r="C35"/>
  <c r="C36"/>
  <c r="C37"/>
  <c r="C38"/>
  <c r="C28"/>
  <c r="F38" i="1"/>
  <c r="G18"/>
  <c r="G22" s="1"/>
  <c r="D18"/>
  <c r="D8"/>
  <c r="D6"/>
  <c r="T24" i="3" l="1"/>
  <c r="T22" s="1"/>
  <c r="T20" s="1"/>
  <c r="T18" s="1"/>
  <c r="T16" s="1"/>
  <c r="D54" i="2"/>
  <c r="D57"/>
  <c r="D64"/>
  <c r="B49"/>
  <c r="B50" s="1"/>
  <c r="C60" s="1"/>
  <c r="D60"/>
  <c r="D61"/>
  <c r="H28"/>
  <c r="I28" s="1"/>
  <c r="J28" s="1"/>
  <c r="D63"/>
  <c r="D59"/>
  <c r="D55"/>
  <c r="D62"/>
  <c r="D58"/>
  <c r="C58"/>
  <c r="C63"/>
  <c r="C61"/>
  <c r="E55"/>
  <c r="E56" s="1"/>
  <c r="D28"/>
  <c r="E29" s="1"/>
  <c r="M28"/>
  <c r="D35"/>
  <c r="D29"/>
  <c r="D31"/>
  <c r="D38"/>
  <c r="D34"/>
  <c r="D30"/>
  <c r="D36"/>
  <c r="D32"/>
  <c r="D37"/>
  <c r="D33"/>
  <c r="G26" i="1"/>
  <c r="E34"/>
  <c r="F39" s="1"/>
  <c r="I6"/>
  <c r="I4"/>
  <c r="C54" i="2" l="1"/>
  <c r="F54" s="1"/>
  <c r="H54" s="1"/>
  <c r="I54" s="1"/>
  <c r="M54" s="1"/>
  <c r="C59"/>
  <c r="C57"/>
  <c r="C64"/>
  <c r="C62"/>
  <c r="C56"/>
  <c r="F56" s="1"/>
  <c r="H56" s="1"/>
  <c r="I56" s="1"/>
  <c r="C55"/>
  <c r="F55" s="1"/>
  <c r="H55" s="1"/>
  <c r="I55" s="1"/>
  <c r="F29"/>
  <c r="H29" s="1"/>
  <c r="I29" s="1"/>
  <c r="E57"/>
  <c r="F57" s="1"/>
  <c r="E30"/>
  <c r="F40" i="1"/>
  <c r="I8"/>
  <c r="J54" i="2" l="1"/>
  <c r="J29"/>
  <c r="E31"/>
  <c r="F31" s="1"/>
  <c r="H31" s="1"/>
  <c r="I31" s="1"/>
  <c r="F30"/>
  <c r="H30" s="1"/>
  <c r="I30" s="1"/>
  <c r="J55"/>
  <c r="J56"/>
  <c r="H57"/>
  <c r="I57" s="1"/>
  <c r="E58"/>
  <c r="F58" s="1"/>
  <c r="E32" l="1"/>
  <c r="F32" s="1"/>
  <c r="H32" s="1"/>
  <c r="I32" s="1"/>
  <c r="J57"/>
  <c r="H58"/>
  <c r="I58" s="1"/>
  <c r="E59"/>
  <c r="F59" s="1"/>
  <c r="J30"/>
  <c r="J31"/>
  <c r="E33"/>
  <c r="F33" s="1"/>
  <c r="J58" l="1"/>
  <c r="H59"/>
  <c r="I59" s="1"/>
  <c r="E60"/>
  <c r="F60" s="1"/>
  <c r="J32"/>
  <c r="E34"/>
  <c r="F34" s="1"/>
  <c r="H33"/>
  <c r="I33" s="1"/>
  <c r="J59" l="1"/>
  <c r="E61"/>
  <c r="H60"/>
  <c r="I60" s="1"/>
  <c r="J33"/>
  <c r="E35"/>
  <c r="F35" s="1"/>
  <c r="H34"/>
  <c r="I34" s="1"/>
  <c r="F61" l="1"/>
  <c r="H61" s="1"/>
  <c r="I61" s="1"/>
  <c r="J60"/>
  <c r="J34"/>
  <c r="E36"/>
  <c r="F36" s="1"/>
  <c r="H35"/>
  <c r="I35" s="1"/>
  <c r="J61" l="1"/>
  <c r="E62"/>
  <c r="F62" s="1"/>
  <c r="J35"/>
  <c r="E37"/>
  <c r="F37" s="1"/>
  <c r="H36"/>
  <c r="I36" s="1"/>
  <c r="H62" l="1"/>
  <c r="I62" s="1"/>
  <c r="E63"/>
  <c r="F63" s="1"/>
  <c r="J36"/>
  <c r="E38"/>
  <c r="H37"/>
  <c r="I37" s="1"/>
  <c r="F38" l="1"/>
  <c r="H38" s="1"/>
  <c r="I38" s="1"/>
  <c r="J62"/>
  <c r="H63"/>
  <c r="I63" s="1"/>
  <c r="E64"/>
  <c r="J37"/>
  <c r="J38" l="1"/>
  <c r="M39"/>
  <c r="F64"/>
  <c r="H64" s="1"/>
  <c r="I64" s="1"/>
  <c r="J63"/>
  <c r="M65" l="1"/>
  <c r="J64"/>
</calcChain>
</file>

<file path=xl/comments1.xml><?xml version="1.0" encoding="utf-8"?>
<comments xmlns="http://schemas.openxmlformats.org/spreadsheetml/2006/main">
  <authors>
    <author>anthony</author>
  </authors>
  <commentList>
    <comment ref="B9" authorId="0">
      <text>
        <r>
          <rPr>
            <sz val="9"/>
            <color indexed="81"/>
            <rFont val="Tahoma"/>
            <family val="2"/>
          </rPr>
          <t xml:space="preserve">facteur de forme suivant tableau p.14
</t>
        </r>
      </text>
    </comment>
    <comment ref="B22" authorId="0">
      <text>
        <r>
          <rPr>
            <sz val="8"/>
            <color indexed="81"/>
            <rFont val="Calibri"/>
            <family val="2"/>
          </rPr>
          <t>Φ</t>
        </r>
        <r>
          <rPr>
            <sz val="8"/>
            <color indexed="81"/>
            <rFont val="Tahoma"/>
            <family val="2"/>
          </rPr>
          <t xml:space="preserve">: Puissance du radiateur
</t>
        </r>
        <r>
          <rPr>
            <sz val="8"/>
            <color indexed="81"/>
            <rFont val="Calibri"/>
            <family val="2"/>
          </rPr>
          <t>Φ</t>
        </r>
        <r>
          <rPr>
            <sz val="8"/>
            <color indexed="81"/>
            <rFont val="Tahoma"/>
            <family val="2"/>
          </rPr>
          <t xml:space="preserve">n : Déperdition de la pièce
</t>
        </r>
        <r>
          <rPr>
            <sz val="8"/>
            <color indexed="81"/>
            <rFont val="Calibri"/>
            <family val="2"/>
          </rPr>
          <t>Δ</t>
        </r>
        <r>
          <rPr>
            <sz val="8"/>
            <color indexed="81"/>
            <rFont val="Tahoma"/>
            <family val="2"/>
          </rPr>
          <t>t : du nouveaux régime de Température
50 : Δt du regime de la norme (75/65/20)
n : Facteur de forme du radiateur</t>
        </r>
      </text>
    </comment>
    <comment ref="B26" authorId="0">
      <text>
        <r>
          <rPr>
            <sz val="8"/>
            <color indexed="81"/>
            <rFont val="Calibri"/>
            <family val="2"/>
          </rPr>
          <t>Φ</t>
        </r>
        <r>
          <rPr>
            <sz val="8"/>
            <color indexed="81"/>
            <rFont val="Tahoma"/>
            <family val="2"/>
          </rPr>
          <t xml:space="preserve">: Puissance du radiateur
</t>
        </r>
        <r>
          <rPr>
            <sz val="8"/>
            <color indexed="81"/>
            <rFont val="Calibri"/>
            <family val="2"/>
          </rPr>
          <t>Φ</t>
        </r>
        <r>
          <rPr>
            <sz val="8"/>
            <color indexed="81"/>
            <rFont val="Tahoma"/>
            <family val="2"/>
          </rPr>
          <t xml:space="preserve">n : Déperdition de la pièce
</t>
        </r>
        <r>
          <rPr>
            <sz val="8"/>
            <color indexed="81"/>
            <rFont val="Calibri"/>
            <family val="2"/>
          </rPr>
          <t>Δ</t>
        </r>
        <r>
          <rPr>
            <sz val="8"/>
            <color indexed="81"/>
            <rFont val="Tahoma"/>
            <family val="2"/>
          </rPr>
          <t>t : du nouveaux régime de Température
50 : Δt du regime de la norme (75/65/20)
n : Facteur de forme du radiateur</t>
        </r>
      </text>
    </comment>
    <comment ref="B32" authorId="0">
      <text>
        <r>
          <rPr>
            <sz val="9"/>
            <color indexed="81"/>
            <rFont val="Tahoma"/>
            <family val="2"/>
          </rPr>
          <t xml:space="preserve">Puissance indiqué sur la tabelle du constructeur.
</t>
        </r>
      </text>
    </comment>
  </commentList>
</comments>
</file>

<file path=xl/comments2.xml><?xml version="1.0" encoding="utf-8"?>
<comments xmlns="http://schemas.openxmlformats.org/spreadsheetml/2006/main">
  <authors>
    <author>anthony</author>
  </authors>
  <commentList>
    <comment ref="C27" authorId="0">
      <text>
        <r>
          <rPr>
            <sz val="9"/>
            <color indexed="81"/>
            <rFont val="Tahoma"/>
            <family val="2"/>
          </rPr>
          <t>Grad = débit
(Qr*3600)/(c*</t>
        </r>
        <r>
          <rPr>
            <sz val="9"/>
            <color indexed="81"/>
            <rFont val="Calibri"/>
            <family val="2"/>
          </rPr>
          <t>Δtr)</t>
        </r>
        <r>
          <rPr>
            <sz val="9"/>
            <color indexed="81"/>
            <rFont val="Tahoma"/>
            <family val="2"/>
          </rPr>
          <t xml:space="preserve">
</t>
        </r>
      </text>
    </comment>
    <comment ref="D27" authorId="0">
      <text>
        <r>
          <rPr>
            <sz val="9"/>
            <color indexed="81"/>
            <rFont val="Tahoma"/>
            <family val="2"/>
          </rPr>
          <t>(Qr*</t>
        </r>
        <r>
          <rPr>
            <sz val="9"/>
            <color indexed="81"/>
            <rFont val="Calibri"/>
            <family val="2"/>
          </rPr>
          <t>Δ</t>
        </r>
        <r>
          <rPr>
            <sz val="9"/>
            <color indexed="81"/>
            <rFont val="Tahoma"/>
            <family val="2"/>
          </rPr>
          <t xml:space="preserve">tcol)/Qcol
</t>
        </r>
      </text>
    </comment>
    <comment ref="F27" authorId="0">
      <text>
        <r>
          <rPr>
            <sz val="9"/>
            <color indexed="81"/>
            <rFont val="Tahoma"/>
            <family val="2"/>
          </rPr>
          <t>ter-(</t>
        </r>
        <r>
          <rPr>
            <sz val="9"/>
            <color indexed="81"/>
            <rFont val="Calibri"/>
            <family val="2"/>
          </rPr>
          <t>Δ</t>
        </r>
        <r>
          <rPr>
            <sz val="9"/>
            <color indexed="81"/>
            <rFont val="Tahoma"/>
            <family val="2"/>
          </rPr>
          <t xml:space="preserve">tr/2)
</t>
        </r>
      </text>
    </comment>
    <comment ref="I27" authorId="0">
      <text>
        <r>
          <rPr>
            <sz val="9"/>
            <color indexed="81"/>
            <rFont val="Tahoma"/>
            <family val="2"/>
          </rPr>
          <t xml:space="preserve">D'après tabelle 5 EN442
</t>
        </r>
      </text>
    </comment>
    <comment ref="F39" authorId="0">
      <text>
        <r>
          <rPr>
            <sz val="9"/>
            <color indexed="81"/>
            <rFont val="Tahoma"/>
            <family val="2"/>
          </rPr>
          <t xml:space="preserve">température moyenne de la série
</t>
        </r>
      </text>
    </comment>
    <comment ref="D53" authorId="0">
      <text>
        <r>
          <rPr>
            <sz val="9"/>
            <color indexed="81"/>
            <rFont val="Tahoma"/>
            <family val="2"/>
          </rPr>
          <t>(Qr*</t>
        </r>
        <r>
          <rPr>
            <sz val="9"/>
            <color indexed="81"/>
            <rFont val="Calibri"/>
            <family val="2"/>
          </rPr>
          <t>Δ</t>
        </r>
        <r>
          <rPr>
            <sz val="9"/>
            <color indexed="81"/>
            <rFont val="Tahoma"/>
            <family val="2"/>
          </rPr>
          <t xml:space="preserve">tcol)/Qcol
</t>
        </r>
      </text>
    </comment>
    <comment ref="F53" authorId="0">
      <text>
        <r>
          <rPr>
            <sz val="9"/>
            <color indexed="81"/>
            <rFont val="Tahoma"/>
            <family val="2"/>
          </rPr>
          <t>ter-(</t>
        </r>
        <r>
          <rPr>
            <sz val="9"/>
            <color indexed="81"/>
            <rFont val="Calibri"/>
            <family val="2"/>
          </rPr>
          <t>Δ</t>
        </r>
        <r>
          <rPr>
            <sz val="9"/>
            <color indexed="81"/>
            <rFont val="Tahoma"/>
            <family val="2"/>
          </rPr>
          <t xml:space="preserve">tr/2)
</t>
        </r>
      </text>
    </comment>
    <comment ref="I53" authorId="0">
      <text>
        <r>
          <rPr>
            <sz val="9"/>
            <color indexed="81"/>
            <rFont val="Tahoma"/>
            <family val="2"/>
          </rPr>
          <t xml:space="preserve">D'après tabelle 5 EN442
</t>
        </r>
      </text>
    </comment>
    <comment ref="F65" authorId="0">
      <text>
        <r>
          <rPr>
            <sz val="9"/>
            <color indexed="81"/>
            <rFont val="Tahoma"/>
            <family val="2"/>
          </rPr>
          <t xml:space="preserve">température moyenne de la série
</t>
        </r>
      </text>
    </comment>
  </commentList>
</comments>
</file>

<file path=xl/comments3.xml><?xml version="1.0" encoding="utf-8"?>
<comments xmlns="http://schemas.openxmlformats.org/spreadsheetml/2006/main">
  <authors>
    <author>anthony</author>
  </authors>
  <commentList>
    <comment ref="Q8" authorId="0">
      <text>
        <r>
          <rPr>
            <b/>
            <sz val="9"/>
            <color indexed="81"/>
            <rFont val="Tahoma"/>
            <family val="2"/>
          </rPr>
          <t>Débit des radiateurs</t>
        </r>
        <r>
          <rPr>
            <sz val="9"/>
            <color indexed="81"/>
            <rFont val="Tahoma"/>
            <family val="2"/>
          </rPr>
          <t xml:space="preserve">
du plus proche au plus éloignée</t>
        </r>
      </text>
    </comment>
    <comment ref="R8" authorId="0">
      <text>
        <r>
          <rPr>
            <sz val="9"/>
            <color indexed="81"/>
            <rFont val="Tahoma"/>
            <family val="2"/>
          </rPr>
          <t xml:space="preserve">Débit des tayauterie des tronçon déjà calculé
</t>
        </r>
      </text>
    </comment>
    <comment ref="Q68" authorId="0">
      <text>
        <r>
          <rPr>
            <b/>
            <sz val="9"/>
            <color indexed="81"/>
            <rFont val="Tahoma"/>
            <family val="2"/>
          </rPr>
          <t>Débit des radiateurs</t>
        </r>
        <r>
          <rPr>
            <sz val="9"/>
            <color indexed="81"/>
            <rFont val="Tahoma"/>
            <family val="2"/>
          </rPr>
          <t xml:space="preserve">
du plus proche au plus éloignée</t>
        </r>
      </text>
    </comment>
    <comment ref="R68" authorId="0">
      <text>
        <r>
          <rPr>
            <sz val="9"/>
            <color indexed="81"/>
            <rFont val="Tahoma"/>
            <family val="2"/>
          </rPr>
          <t xml:space="preserve">Débit des tayauterie des tronçon déjà calculé
</t>
        </r>
      </text>
    </comment>
  </commentList>
</comments>
</file>

<file path=xl/sharedStrings.xml><?xml version="1.0" encoding="utf-8"?>
<sst xmlns="http://schemas.openxmlformats.org/spreadsheetml/2006/main" count="580" uniqueCount="159">
  <si>
    <t>CALCUL DE RADIATEURS</t>
  </si>
  <si>
    <t>Température aller</t>
  </si>
  <si>
    <t>Température Retour</t>
  </si>
  <si>
    <t>°C</t>
  </si>
  <si>
    <t>Température moyenne</t>
  </si>
  <si>
    <t>Delta T</t>
  </si>
  <si>
    <t>K</t>
  </si>
  <si>
    <t>Facteur n ou m</t>
  </si>
  <si>
    <t>Déperdition</t>
  </si>
  <si>
    <t>W</t>
  </si>
  <si>
    <t>Tr-Ti/Ta-Ti</t>
  </si>
  <si>
    <t xml:space="preserve">&gt; ou = 0.7 </t>
  </si>
  <si>
    <t xml:space="preserve">alors </t>
  </si>
  <si>
    <t>Δt=((Ta-Tr)/2)-Ti</t>
  </si>
  <si>
    <t>&lt;0.7</t>
  </si>
  <si>
    <t>Δt=(Ta-Tr)/ln((Ta-Ti)/(Tr-Ti))</t>
  </si>
  <si>
    <t>Donc =&gt;</t>
  </si>
  <si>
    <t>Tr-Ti/Ta-Ti =</t>
  </si>
  <si>
    <t xml:space="preserve">      =&gt;</t>
  </si>
  <si>
    <t>Δt =</t>
  </si>
  <si>
    <t>2/ Coefficient de correction</t>
  </si>
  <si>
    <t>Φ=Φn/(Δt/50)^n</t>
  </si>
  <si>
    <t>d’où</t>
  </si>
  <si>
    <t>d’où (Δt/50)^n</t>
  </si>
  <si>
    <t>3/Puissance utile du radiaeur</t>
  </si>
  <si>
    <t xml:space="preserve"> </t>
  </si>
  <si>
    <t xml:space="preserve">     =&gt;</t>
  </si>
  <si>
    <t>4/Puissance reelle du radiateur</t>
  </si>
  <si>
    <t>Choix du radiateur :</t>
  </si>
  <si>
    <r>
      <t xml:space="preserve">Puissance du radiateur à </t>
    </r>
    <r>
      <rPr>
        <sz val="11"/>
        <color theme="1"/>
        <rFont val="Calibri"/>
        <family val="2"/>
      </rPr>
      <t>Δt=50 K</t>
    </r>
  </si>
  <si>
    <t>Puissance reelle du radiateur    =&gt;</t>
  </si>
  <si>
    <t>5/Débit du radiateur</t>
  </si>
  <si>
    <r>
      <t>Q = m*C*</t>
    </r>
    <r>
      <rPr>
        <sz val="11"/>
        <color theme="1"/>
        <rFont val="Calibri"/>
        <family val="2"/>
      </rPr>
      <t>Δt</t>
    </r>
  </si>
  <si>
    <r>
      <t>m=Q/(C*</t>
    </r>
    <r>
      <rPr>
        <sz val="11"/>
        <color theme="1"/>
        <rFont val="Calibri"/>
        <family val="2"/>
      </rPr>
      <t>Δt)</t>
    </r>
  </si>
  <si>
    <t>Kg/s</t>
  </si>
  <si>
    <t xml:space="preserve"> m=</t>
  </si>
  <si>
    <t>Kg/h</t>
  </si>
  <si>
    <t>d’où    m=</t>
  </si>
  <si>
    <t>m=</t>
  </si>
  <si>
    <t>m3/h</t>
  </si>
  <si>
    <r>
      <t xml:space="preserve">Puissance du radiateur </t>
    </r>
    <r>
      <rPr>
        <sz val="11"/>
        <color theme="0"/>
        <rFont val="Calibri"/>
        <family val="2"/>
      </rPr>
      <t>Φ =</t>
    </r>
  </si>
  <si>
    <t>Puissance réelle du radiateur =</t>
  </si>
  <si>
    <t>Débit dans le radiateur =</t>
  </si>
  <si>
    <r>
      <t xml:space="preserve">1/ Calcul du </t>
    </r>
    <r>
      <rPr>
        <b/>
        <u/>
        <sz val="11"/>
        <rFont val="Calibri"/>
        <family val="2"/>
      </rPr>
      <t>Δt</t>
    </r>
  </si>
  <si>
    <t>Radiateur tubulaire</t>
  </si>
  <si>
    <t>Panneaux chauffant simple :</t>
  </si>
  <si>
    <t>h : 14 à 49 cm</t>
  </si>
  <si>
    <t>h : 56 à 91 cm</t>
  </si>
  <si>
    <t>n= 1.25 à 1.28</t>
  </si>
  <si>
    <t>h : plus de 91 cm</t>
  </si>
  <si>
    <t>n= 1.29 à 1.30</t>
  </si>
  <si>
    <t>n= 1.22 à 1.24</t>
  </si>
  <si>
    <t>n= 1.30</t>
  </si>
  <si>
    <t>Panneaux chauffant double :</t>
  </si>
  <si>
    <t>h : 21 à 42 cm</t>
  </si>
  <si>
    <t>n = 1.22 à 1.26</t>
  </si>
  <si>
    <t>h : plus de 42 cm</t>
  </si>
  <si>
    <t>n = 1.27 à 1.30</t>
  </si>
  <si>
    <t>Panneaux lamellés</t>
  </si>
  <si>
    <t>n = 1.20 à 1.37</t>
  </si>
  <si>
    <t>Collecteurs</t>
  </si>
  <si>
    <t>n = 1.19 à 1.40</t>
  </si>
  <si>
    <t>Température ambiante</t>
  </si>
  <si>
    <t>Facteur de forme n ou m</t>
  </si>
  <si>
    <t>CALCUL DE RADIATEUR MONOTUBE</t>
  </si>
  <si>
    <r>
      <t xml:space="preserve">1/ INSTALLATION AVEC UN </t>
    </r>
    <r>
      <rPr>
        <b/>
        <u/>
        <sz val="11"/>
        <color theme="1"/>
        <rFont val="Calibri"/>
        <family val="2"/>
      </rPr>
      <t>Δt CONSTANT ET DEBIT VARIABLE</t>
    </r>
  </si>
  <si>
    <t>N°</t>
  </si>
  <si>
    <t>Δt rm - ti</t>
  </si>
  <si>
    <t>Facteur de correction</t>
  </si>
  <si>
    <r>
      <t>Q</t>
    </r>
    <r>
      <rPr>
        <vertAlign val="subscript"/>
        <sz val="11"/>
        <color theme="1"/>
        <rFont val="Calibri"/>
        <family val="2"/>
        <scheme val="minor"/>
      </rPr>
      <t xml:space="preserve">n </t>
    </r>
    <r>
      <rPr>
        <sz val="11"/>
        <color theme="1"/>
        <rFont val="Calibri"/>
        <family val="2"/>
        <scheme val="minor"/>
      </rPr>
      <t xml:space="preserve">à 50 K </t>
    </r>
    <r>
      <rPr>
        <sz val="11"/>
        <color theme="1"/>
        <rFont val="Calibri"/>
        <family val="2"/>
      </rPr>
      <t>[W]</t>
    </r>
  </si>
  <si>
    <t>Type de radiateur</t>
  </si>
  <si>
    <r>
      <t>Q</t>
    </r>
    <r>
      <rPr>
        <vertAlign val="subscript"/>
        <sz val="11"/>
        <color theme="1"/>
        <rFont val="Calibri"/>
        <family val="2"/>
        <scheme val="minor"/>
      </rPr>
      <t>eff</t>
    </r>
  </si>
  <si>
    <t>Z</t>
  </si>
  <si>
    <t>Δt col</t>
  </si>
  <si>
    <t>Δtr const</t>
  </si>
  <si>
    <t>Température Départ</t>
  </si>
  <si>
    <r>
      <t>t</t>
    </r>
    <r>
      <rPr>
        <vertAlign val="subscript"/>
        <sz val="11"/>
        <color theme="1"/>
        <rFont val="Calibri"/>
        <family val="2"/>
        <scheme val="minor"/>
      </rPr>
      <t>D</t>
    </r>
  </si>
  <si>
    <t>Température retour</t>
  </si>
  <si>
    <r>
      <t>t</t>
    </r>
    <r>
      <rPr>
        <vertAlign val="subscript"/>
        <sz val="11"/>
        <color theme="1"/>
        <rFont val="Calibri"/>
        <family val="2"/>
        <scheme val="minor"/>
      </rPr>
      <t>R</t>
    </r>
  </si>
  <si>
    <t>Température moyenne entre 2 radiateurs</t>
  </si>
  <si>
    <r>
      <t>t</t>
    </r>
    <r>
      <rPr>
        <vertAlign val="subscript"/>
        <sz val="11"/>
        <color theme="1"/>
        <rFont val="Calibri"/>
        <family val="2"/>
        <scheme val="minor"/>
      </rPr>
      <t>em</t>
    </r>
  </si>
  <si>
    <t>Température entré radiateur</t>
  </si>
  <si>
    <r>
      <t>t</t>
    </r>
    <r>
      <rPr>
        <vertAlign val="subscript"/>
        <sz val="11"/>
        <color theme="1"/>
        <rFont val="Calibri"/>
        <family val="2"/>
        <scheme val="minor"/>
      </rPr>
      <t>er</t>
    </r>
  </si>
  <si>
    <t>Température sortie radiateur</t>
  </si>
  <si>
    <r>
      <t>t</t>
    </r>
    <r>
      <rPr>
        <vertAlign val="subscript"/>
        <sz val="11"/>
        <color theme="1"/>
        <rFont val="Calibri"/>
        <family val="2"/>
        <scheme val="minor"/>
      </rPr>
      <t>sr</t>
    </r>
  </si>
  <si>
    <t>Température moyenne du radiateur</t>
  </si>
  <si>
    <r>
      <t>t</t>
    </r>
    <r>
      <rPr>
        <vertAlign val="subscript"/>
        <sz val="11"/>
        <color theme="1"/>
        <rFont val="Calibri"/>
        <family val="2"/>
        <scheme val="minor"/>
      </rPr>
      <t>rm</t>
    </r>
  </si>
  <si>
    <r>
      <t xml:space="preserve">Grad </t>
    </r>
    <r>
      <rPr>
        <sz val="11"/>
        <color theme="1"/>
        <rFont val="Calibri"/>
        <family val="2"/>
      </rPr>
      <t>[</t>
    </r>
    <r>
      <rPr>
        <sz val="11"/>
        <color theme="1"/>
        <rFont val="Calibri"/>
        <family val="2"/>
        <scheme val="minor"/>
      </rPr>
      <t>Kg/h</t>
    </r>
    <r>
      <rPr>
        <sz val="11"/>
        <color theme="1"/>
        <rFont val="Calibri"/>
        <family val="2"/>
      </rPr>
      <t>]</t>
    </r>
  </si>
  <si>
    <r>
      <t xml:space="preserve">Qh </t>
    </r>
    <r>
      <rPr>
        <sz val="11"/>
        <color theme="1"/>
        <rFont val="Calibri"/>
        <family val="2"/>
      </rPr>
      <t>[W]</t>
    </r>
  </si>
  <si>
    <t>Δt'col [°C]</t>
  </si>
  <si>
    <t>tme [°C]</t>
  </si>
  <si>
    <t>trm [°C]</t>
  </si>
  <si>
    <t>ti [°C]</t>
  </si>
  <si>
    <r>
      <t>14</t>
    </r>
    <r>
      <rPr>
        <sz val="11"/>
        <color theme="1"/>
        <rFont val="Calibri"/>
        <family val="2"/>
      </rPr>
      <t>Δ</t>
    </r>
  </si>
  <si>
    <t>Δtr</t>
  </si>
  <si>
    <t>td</t>
  </si>
  <si>
    <t>tr</t>
  </si>
  <si>
    <t xml:space="preserve">Fact correct n </t>
  </si>
  <si>
    <t>Puissance rad à 50K</t>
  </si>
  <si>
    <t>Z nbre rad</t>
  </si>
  <si>
    <t>2/ INSTALLATION AVEC UN DEBIT CONSTANT</t>
  </si>
  <si>
    <t>Débit col</t>
  </si>
  <si>
    <t>Z nbr rad</t>
  </si>
  <si>
    <t>Debit serie</t>
  </si>
  <si>
    <t>Fact correct n</t>
  </si>
  <si>
    <t>DN</t>
  </si>
  <si>
    <t>ep. Isol</t>
  </si>
  <si>
    <t>KT</t>
  </si>
  <si>
    <t>Kti</t>
  </si>
  <si>
    <t>3/8"</t>
  </si>
  <si>
    <t>1/2"</t>
  </si>
  <si>
    <t>3/4"</t>
  </si>
  <si>
    <t>1 "</t>
  </si>
  <si>
    <t>1 1/4"</t>
  </si>
  <si>
    <t>51/57</t>
  </si>
  <si>
    <t>54/60</t>
  </si>
  <si>
    <t>57/63</t>
  </si>
  <si>
    <t>64/70</t>
  </si>
  <si>
    <t>70/76</t>
  </si>
  <si>
    <t>82/89</t>
  </si>
  <si>
    <t>107/114</t>
  </si>
  <si>
    <t>FACTEUR DE CORRECTION MOYEN POUR TUYAU NU fCT</t>
  </si>
  <si>
    <t>Ti</t>
  </si>
  <si>
    <t>Ta</t>
  </si>
  <si>
    <t>Tr</t>
  </si>
  <si>
    <t>****</t>
  </si>
  <si>
    <t>FACTEUR DE CORRECTION MOYEN POUR TUYAU NU fCTi</t>
  </si>
  <si>
    <t>nu</t>
  </si>
  <si>
    <t>isole</t>
  </si>
  <si>
    <t>Tuyau</t>
  </si>
  <si>
    <t>Tronçon</t>
  </si>
  <si>
    <t>diam</t>
  </si>
  <si>
    <t>index</t>
  </si>
  <si>
    <t>tatr</t>
  </si>
  <si>
    <t>Kt/kti</t>
  </si>
  <si>
    <t>fct/fcti</t>
  </si>
  <si>
    <t>fp</t>
  </si>
  <si>
    <t>43/48</t>
  </si>
  <si>
    <t>Φtot [w]</t>
  </si>
  <si>
    <r>
      <t xml:space="preserve">ta </t>
    </r>
    <r>
      <rPr>
        <sz val="11"/>
        <color theme="1"/>
        <rFont val="Calibri"/>
        <family val="2"/>
      </rPr>
      <t>[°C]</t>
    </r>
  </si>
  <si>
    <t>tr [°C]</t>
  </si>
  <si>
    <t>Long tube [m]</t>
  </si>
  <si>
    <t>Φn [w/m]</t>
  </si>
  <si>
    <t>Débit + pertes</t>
  </si>
  <si>
    <t>Compens pertes</t>
  </si>
  <si>
    <t>Débit total</t>
  </si>
  <si>
    <t>Majoration [%]</t>
  </si>
  <si>
    <t xml:space="preserve">Tuyau hori sous plafond </t>
  </si>
  <si>
    <t xml:space="preserve">Tuyau hori sur sol </t>
  </si>
  <si>
    <t xml:space="preserve">Tuyau vert  </t>
  </si>
  <si>
    <t>Position tuyauterie</t>
  </si>
  <si>
    <t>DEPERDITION TAYAUTERIE NU ET ISOLE</t>
  </si>
  <si>
    <t>Débit des pertes tuyauterie [kg/h]</t>
  </si>
  <si>
    <t>Débit réel des tuyauteries antérieurs</t>
  </si>
  <si>
    <t>cumul des débits réels</t>
  </si>
  <si>
    <t xml:space="preserve"> Cumul Débit net [kg/h]</t>
  </si>
  <si>
    <t xml:space="preserve">  </t>
  </si>
  <si>
    <t>Débit net</t>
  </si>
  <si>
    <t>Débit tuyauterie</t>
  </si>
</sst>
</file>

<file path=xl/styles.xml><?xml version="1.0" encoding="utf-8"?>
<styleSheet xmlns="http://schemas.openxmlformats.org/spreadsheetml/2006/main">
  <numFmts count="2">
    <numFmt numFmtId="164" formatCode="0.000"/>
    <numFmt numFmtId="165" formatCode="0.0000"/>
  </numFmts>
  <fonts count="21">
    <font>
      <sz val="11"/>
      <color theme="1"/>
      <name val="Calibri"/>
      <family val="2"/>
      <scheme val="minor"/>
    </font>
    <font>
      <b/>
      <sz val="18"/>
      <color rgb="FFFF0000"/>
      <name val="Calibri"/>
      <family val="2"/>
      <scheme val="minor"/>
    </font>
    <font>
      <sz val="9"/>
      <color indexed="81"/>
      <name val="Tahoma"/>
      <family val="2"/>
    </font>
    <font>
      <sz val="11"/>
      <color theme="1"/>
      <name val="Calibri"/>
      <family val="2"/>
    </font>
    <font>
      <sz val="11"/>
      <color theme="0"/>
      <name val="Calibri"/>
      <family val="2"/>
      <scheme val="minor"/>
    </font>
    <font>
      <sz val="8"/>
      <color indexed="81"/>
      <name val="Calibri"/>
      <family val="2"/>
    </font>
    <font>
      <sz val="8"/>
      <color indexed="81"/>
      <name val="Tahoma"/>
      <family val="2"/>
    </font>
    <font>
      <sz val="11"/>
      <name val="Calibri"/>
      <family val="2"/>
      <scheme val="minor"/>
    </font>
    <font>
      <sz val="11"/>
      <color theme="0"/>
      <name val="Calibri"/>
      <family val="2"/>
    </font>
    <font>
      <b/>
      <u/>
      <sz val="11"/>
      <color theme="1"/>
      <name val="Calibri"/>
      <family val="2"/>
      <scheme val="minor"/>
    </font>
    <font>
      <b/>
      <u/>
      <sz val="11"/>
      <name val="Calibri"/>
      <family val="2"/>
    </font>
    <font>
      <b/>
      <u/>
      <sz val="11"/>
      <name val="Calibri"/>
      <family val="2"/>
      <scheme val="minor"/>
    </font>
    <font>
      <sz val="11"/>
      <color rgb="FFFF0000"/>
      <name val="Calibri"/>
      <family val="2"/>
      <scheme val="minor"/>
    </font>
    <font>
      <b/>
      <sz val="16"/>
      <color rgb="FFFF0000"/>
      <name val="Calibri"/>
      <family val="2"/>
      <scheme val="minor"/>
    </font>
    <font>
      <b/>
      <u/>
      <sz val="11"/>
      <color theme="1"/>
      <name val="Calibri"/>
      <family val="2"/>
    </font>
    <font>
      <vertAlign val="subscript"/>
      <sz val="11"/>
      <color theme="1"/>
      <name val="Calibri"/>
      <family val="2"/>
      <scheme val="minor"/>
    </font>
    <font>
      <sz val="10"/>
      <color theme="1"/>
      <name val="Calibri"/>
      <family val="2"/>
      <scheme val="minor"/>
    </font>
    <font>
      <sz val="9"/>
      <color indexed="81"/>
      <name val="Calibri"/>
      <family val="2"/>
    </font>
    <font>
      <sz val="10"/>
      <color theme="1"/>
      <name val="Calibri"/>
      <family val="2"/>
    </font>
    <font>
      <sz val="11"/>
      <color theme="1"/>
      <name val="Agency FB"/>
      <family val="2"/>
    </font>
    <font>
      <b/>
      <sz val="9"/>
      <color indexed="81"/>
      <name val="Tahoma"/>
      <family val="2"/>
    </font>
  </fonts>
  <fills count="13">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theme="1"/>
        <bgColor indexed="64"/>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C000"/>
        <bgColor indexed="64"/>
      </patternFill>
    </fill>
    <fill>
      <patternFill patternType="solid">
        <fgColor theme="7" tint="0.59999389629810485"/>
        <bgColor indexed="64"/>
      </patternFill>
    </fill>
    <fill>
      <patternFill patternType="solid">
        <fgColor rgb="FF7030A0"/>
        <bgColor indexed="64"/>
      </patternFill>
    </fill>
    <fill>
      <patternFill patternType="solid">
        <fgColor rgb="FF00B050"/>
        <bgColor indexed="64"/>
      </patternFill>
    </fill>
    <fill>
      <patternFill patternType="lightDown"/>
    </fill>
  </fills>
  <borders count="51">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right style="medium">
        <color indexed="64"/>
      </right>
      <top/>
      <bottom/>
      <diagonal/>
    </border>
  </borders>
  <cellStyleXfs count="1">
    <xf numFmtId="0" fontId="0" fillId="0" borderId="0"/>
  </cellStyleXfs>
  <cellXfs count="212">
    <xf numFmtId="0" fontId="0" fillId="0" borderId="0" xfId="0"/>
    <xf numFmtId="0" fontId="0" fillId="2" borderId="0" xfId="0" applyFill="1"/>
    <xf numFmtId="0" fontId="3" fillId="0" borderId="0" xfId="0" applyFont="1"/>
    <xf numFmtId="0" fontId="0" fillId="3" borderId="0" xfId="0" applyFill="1"/>
    <xf numFmtId="0" fontId="3" fillId="3" borderId="0" xfId="0" applyFont="1" applyFill="1"/>
    <xf numFmtId="164" fontId="0" fillId="3" borderId="0" xfId="0" applyNumberFormat="1" applyFill="1"/>
    <xf numFmtId="2" fontId="0" fillId="3" borderId="0" xfId="0" applyNumberFormat="1" applyFill="1"/>
    <xf numFmtId="0" fontId="0" fillId="0" borderId="0" xfId="0" applyAlignment="1">
      <alignment horizontal="center"/>
    </xf>
    <xf numFmtId="1" fontId="0" fillId="3" borderId="0" xfId="0" applyNumberFormat="1" applyFill="1"/>
    <xf numFmtId="165" fontId="0" fillId="3" borderId="0" xfId="0" applyNumberFormat="1" applyFill="1"/>
    <xf numFmtId="1" fontId="4" fillId="4" borderId="0" xfId="0" applyNumberFormat="1" applyFont="1" applyFill="1"/>
    <xf numFmtId="0" fontId="4" fillId="4" borderId="0" xfId="0" applyFont="1" applyFill="1"/>
    <xf numFmtId="164" fontId="0" fillId="3" borderId="0" xfId="0" applyNumberFormat="1" applyFill="1" applyAlignment="1">
      <alignment horizontal="right"/>
    </xf>
    <xf numFmtId="164" fontId="7" fillId="3" borderId="0" xfId="0" applyNumberFormat="1" applyFont="1" applyFill="1"/>
    <xf numFmtId="164" fontId="4" fillId="4" borderId="0" xfId="0" applyNumberFormat="1" applyFont="1" applyFill="1" applyAlignment="1">
      <alignment horizontal="right"/>
    </xf>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9" xfId="0" applyBorder="1"/>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3" fillId="0" borderId="3" xfId="0" applyFont="1" applyBorder="1" applyAlignment="1">
      <alignment horizontal="center"/>
    </xf>
    <xf numFmtId="0" fontId="0" fillId="0" borderId="13" xfId="0" applyBorder="1" applyAlignment="1">
      <alignment horizontal="center"/>
    </xf>
    <xf numFmtId="0" fontId="0" fillId="0" borderId="4" xfId="0" applyBorder="1" applyAlignment="1">
      <alignment horizontal="center"/>
    </xf>
    <xf numFmtId="0" fontId="3" fillId="0" borderId="5" xfId="0" applyFont="1" applyBorder="1" applyAlignment="1">
      <alignment horizontal="center"/>
    </xf>
    <xf numFmtId="0" fontId="0" fillId="0" borderId="15" xfId="0" applyBorder="1" applyAlignment="1">
      <alignment horizontal="center"/>
    </xf>
    <xf numFmtId="0" fontId="0" fillId="0" borderId="6" xfId="0" applyBorder="1" applyAlignment="1">
      <alignment horizontal="center"/>
    </xf>
    <xf numFmtId="0" fontId="3" fillId="0" borderId="20" xfId="0" applyFont="1" applyBorder="1" applyAlignment="1">
      <alignment horizontal="center" vertical="center"/>
    </xf>
    <xf numFmtId="0" fontId="0" fillId="0" borderId="21" xfId="0" applyBorder="1"/>
    <xf numFmtId="0" fontId="0" fillId="0" borderId="22" xfId="0" applyBorder="1"/>
    <xf numFmtId="0" fontId="18" fillId="0" borderId="0" xfId="0" applyFont="1"/>
    <xf numFmtId="0" fontId="0" fillId="0" borderId="23" xfId="0" applyBorder="1" applyAlignment="1">
      <alignment horizontal="center" vertical="center"/>
    </xf>
    <xf numFmtId="0" fontId="0" fillId="0" borderId="20" xfId="0" applyBorder="1" applyAlignment="1">
      <alignment horizontal="center" vertical="center"/>
    </xf>
    <xf numFmtId="0" fontId="0" fillId="0" borderId="24" xfId="0" applyBorder="1" applyAlignment="1">
      <alignment horizontal="center" vertical="center"/>
    </xf>
    <xf numFmtId="0" fontId="3" fillId="0" borderId="23" xfId="0" applyFont="1" applyBorder="1" applyAlignment="1">
      <alignment horizontal="center" vertical="center"/>
    </xf>
    <xf numFmtId="0" fontId="16" fillId="0" borderId="20" xfId="0" applyFont="1" applyBorder="1" applyAlignment="1">
      <alignment horizontal="center" vertical="center"/>
    </xf>
    <xf numFmtId="0" fontId="0" fillId="0" borderId="25" xfId="0" applyBorder="1" applyAlignment="1">
      <alignment horizontal="center" vertical="center"/>
    </xf>
    <xf numFmtId="0" fontId="0" fillId="0" borderId="26" xfId="0" applyBorder="1"/>
    <xf numFmtId="2" fontId="0" fillId="0" borderId="14" xfId="0" applyNumberFormat="1" applyBorder="1"/>
    <xf numFmtId="2" fontId="0" fillId="0" borderId="17" xfId="0" applyNumberFormat="1" applyBorder="1"/>
    <xf numFmtId="2" fontId="0" fillId="0" borderId="21" xfId="0" applyNumberFormat="1" applyBorder="1"/>
    <xf numFmtId="2" fontId="0" fillId="0" borderId="13" xfId="0" applyNumberFormat="1" applyBorder="1"/>
    <xf numFmtId="2" fontId="0" fillId="0" borderId="15" xfId="0" applyNumberFormat="1" applyBorder="1"/>
    <xf numFmtId="2" fontId="0" fillId="0" borderId="2" xfId="0" applyNumberFormat="1" applyBorder="1"/>
    <xf numFmtId="2" fontId="0" fillId="0" borderId="18" xfId="0" applyNumberFormat="1" applyBorder="1"/>
    <xf numFmtId="2" fontId="0" fillId="0" borderId="10" xfId="0" applyNumberFormat="1" applyBorder="1"/>
    <xf numFmtId="2" fontId="0" fillId="0" borderId="0" xfId="0" applyNumberFormat="1"/>
    <xf numFmtId="2" fontId="0" fillId="0" borderId="1" xfId="0" applyNumberFormat="1" applyBorder="1"/>
    <xf numFmtId="2" fontId="0" fillId="0" borderId="16" xfId="0" applyNumberFormat="1" applyBorder="1"/>
    <xf numFmtId="2" fontId="0" fillId="0" borderId="9" xfId="0" applyNumberFormat="1" applyBorder="1"/>
    <xf numFmtId="2" fontId="7" fillId="3" borderId="10" xfId="0" applyNumberFormat="1" applyFont="1" applyFill="1" applyBorder="1"/>
    <xf numFmtId="2" fontId="0" fillId="3" borderId="10" xfId="0" applyNumberFormat="1" applyFill="1" applyBorder="1"/>
    <xf numFmtId="0" fontId="0" fillId="2" borderId="1" xfId="0" applyFill="1" applyBorder="1"/>
    <xf numFmtId="0" fontId="0" fillId="2" borderId="14" xfId="0" applyFill="1" applyBorder="1"/>
    <xf numFmtId="0" fontId="0" fillId="2" borderId="3" xfId="0" applyFill="1" applyBorder="1"/>
    <xf numFmtId="0" fontId="0" fillId="2" borderId="13" xfId="0" applyFill="1" applyBorder="1"/>
    <xf numFmtId="0" fontId="0" fillId="2" borderId="5" xfId="0" applyFill="1" applyBorder="1"/>
    <xf numFmtId="0" fontId="0" fillId="2" borderId="15" xfId="0" applyFill="1" applyBorder="1"/>
    <xf numFmtId="0" fontId="0" fillId="2" borderId="27" xfId="0" applyFill="1" applyBorder="1"/>
    <xf numFmtId="0" fontId="0" fillId="2" borderId="22" xfId="0" applyFill="1" applyBorder="1"/>
    <xf numFmtId="0" fontId="0" fillId="2" borderId="19" xfId="0" applyFill="1" applyBorder="1"/>
    <xf numFmtId="0" fontId="0" fillId="3" borderId="21" xfId="0" applyFill="1" applyBorder="1"/>
    <xf numFmtId="0" fontId="16" fillId="0" borderId="20" xfId="0" applyFont="1" applyBorder="1" applyAlignment="1">
      <alignment horizontal="center" vertical="justify"/>
    </xf>
    <xf numFmtId="0" fontId="16" fillId="0" borderId="24" xfId="0" applyFont="1" applyBorder="1" applyAlignment="1">
      <alignment horizontal="center" vertical="justify"/>
    </xf>
    <xf numFmtId="0" fontId="0" fillId="2" borderId="16" xfId="0" applyFill="1" applyBorder="1"/>
    <xf numFmtId="0" fontId="0" fillId="2" borderId="17" xfId="0" applyFill="1" applyBorder="1"/>
    <xf numFmtId="0" fontId="0" fillId="0" borderId="28" xfId="0" applyBorder="1"/>
    <xf numFmtId="0" fontId="0" fillId="2" borderId="28" xfId="0" applyFill="1" applyBorder="1"/>
    <xf numFmtId="0" fontId="0" fillId="0" borderId="7" xfId="0" applyBorder="1" applyAlignment="1">
      <alignment horizontal="center" vertical="center"/>
    </xf>
    <xf numFmtId="0" fontId="0" fillId="0" borderId="29" xfId="0" applyBorder="1" applyAlignment="1">
      <alignment horizontal="center" vertical="center"/>
    </xf>
    <xf numFmtId="0" fontId="3" fillId="0" borderId="29" xfId="0" applyFont="1" applyBorder="1" applyAlignment="1">
      <alignment horizontal="center" vertical="center"/>
    </xf>
    <xf numFmtId="0" fontId="0" fillId="0" borderId="30" xfId="0" applyBorder="1" applyAlignment="1">
      <alignment horizontal="center" vertical="center"/>
    </xf>
    <xf numFmtId="0" fontId="3" fillId="0" borderId="7" xfId="0" applyFont="1" applyBorder="1" applyAlignment="1">
      <alignment horizontal="center" vertical="center"/>
    </xf>
    <xf numFmtId="0" fontId="16" fillId="0" borderId="29" xfId="0" applyFont="1" applyBorder="1" applyAlignment="1">
      <alignment horizontal="center" vertical="justify"/>
    </xf>
    <xf numFmtId="0" fontId="16" fillId="0" borderId="29" xfId="0" applyFont="1" applyBorder="1" applyAlignment="1">
      <alignment horizontal="center" vertical="center"/>
    </xf>
    <xf numFmtId="0" fontId="16" fillId="0" borderId="30" xfId="0" applyFont="1" applyBorder="1" applyAlignment="1">
      <alignment horizontal="center" vertical="justify"/>
    </xf>
    <xf numFmtId="0" fontId="0" fillId="0" borderId="8" xfId="0" applyBorder="1" applyAlignment="1">
      <alignment horizontal="center" vertical="center"/>
    </xf>
    <xf numFmtId="2" fontId="0" fillId="0" borderId="4" xfId="0" applyNumberFormat="1" applyBorder="1"/>
    <xf numFmtId="0" fontId="9" fillId="0" borderId="0" xfId="0" applyFont="1" applyAlignment="1"/>
    <xf numFmtId="0" fontId="0" fillId="2" borderId="31" xfId="0" applyFill="1" applyBorder="1" applyAlignment="1">
      <alignment horizontal="center" vertical="center"/>
    </xf>
    <xf numFmtId="0" fontId="0" fillId="2" borderId="7" xfId="0" applyFill="1" applyBorder="1" applyAlignment="1">
      <alignment horizontal="center" vertical="center"/>
    </xf>
    <xf numFmtId="0" fontId="0" fillId="2" borderId="32" xfId="0" applyFill="1" applyBorder="1" applyAlignment="1">
      <alignment horizontal="center"/>
    </xf>
    <xf numFmtId="0" fontId="0" fillId="2" borderId="8" xfId="0" applyFill="1" applyBorder="1" applyAlignment="1">
      <alignment horizontal="center"/>
    </xf>
    <xf numFmtId="49" fontId="0" fillId="0" borderId="35" xfId="0" applyNumberFormat="1" applyBorder="1" applyAlignment="1">
      <alignment horizontal="center" vertical="center"/>
    </xf>
    <xf numFmtId="0" fontId="0" fillId="2" borderId="7" xfId="0" applyFill="1" applyBorder="1" applyAlignment="1">
      <alignment horizontal="center"/>
    </xf>
    <xf numFmtId="0" fontId="0" fillId="2" borderId="29" xfId="0" applyFill="1" applyBorder="1" applyAlignment="1">
      <alignment horizontal="center"/>
    </xf>
    <xf numFmtId="0" fontId="0" fillId="2" borderId="16" xfId="0" applyFill="1" applyBorder="1" applyAlignment="1">
      <alignment horizontal="center"/>
    </xf>
    <xf numFmtId="0" fontId="0" fillId="2" borderId="18" xfId="0" applyFill="1" applyBorder="1" applyAlignment="1">
      <alignment horizontal="center"/>
    </xf>
    <xf numFmtId="0" fontId="0" fillId="0" borderId="34"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0" borderId="36" xfId="0"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0" borderId="38" xfId="0" applyBorder="1" applyAlignment="1">
      <alignment horizontal="center"/>
    </xf>
    <xf numFmtId="0" fontId="0" fillId="5" borderId="39" xfId="0" applyFill="1" applyBorder="1"/>
    <xf numFmtId="0" fontId="0" fillId="6" borderId="40" xfId="0" applyFill="1" applyBorder="1"/>
    <xf numFmtId="0" fontId="0" fillId="7" borderId="40" xfId="0" applyFill="1" applyBorder="1"/>
    <xf numFmtId="0" fontId="0" fillId="8" borderId="0" xfId="0" applyFill="1"/>
    <xf numFmtId="0" fontId="0" fillId="9" borderId="0" xfId="0" applyFill="1"/>
    <xf numFmtId="0" fontId="0" fillId="5" borderId="41" xfId="0" applyFill="1" applyBorder="1"/>
    <xf numFmtId="0" fontId="19" fillId="7" borderId="42" xfId="0" applyFont="1" applyFill="1" applyBorder="1"/>
    <xf numFmtId="0" fontId="0" fillId="2" borderId="0" xfId="0" applyFill="1" applyBorder="1" applyAlignment="1">
      <alignment horizontal="center"/>
    </xf>
    <xf numFmtId="0" fontId="0" fillId="9" borderId="0" xfId="0" applyFill="1" applyBorder="1" applyAlignment="1">
      <alignment horizontal="center"/>
    </xf>
    <xf numFmtId="0" fontId="0" fillId="5" borderId="28" xfId="0" applyFill="1" applyBorder="1"/>
    <xf numFmtId="0" fontId="19" fillId="7" borderId="17" xfId="0" applyFont="1" applyFill="1" applyBorder="1"/>
    <xf numFmtId="49" fontId="0" fillId="0" borderId="33" xfId="0" applyNumberFormat="1" applyBorder="1" applyAlignment="1">
      <alignment horizontal="center" vertical="center"/>
    </xf>
    <xf numFmtId="49" fontId="0" fillId="0" borderId="16" xfId="0" applyNumberFormat="1" applyBorder="1" applyAlignment="1">
      <alignment horizontal="center" vertical="top"/>
    </xf>
    <xf numFmtId="49" fontId="0" fillId="0" borderId="34" xfId="0" applyNumberFormat="1" applyBorder="1" applyAlignment="1">
      <alignment horizontal="center"/>
    </xf>
    <xf numFmtId="49" fontId="0" fillId="0" borderId="18" xfId="0" applyNumberFormat="1" applyBorder="1" applyAlignment="1">
      <alignment horizontal="center"/>
    </xf>
    <xf numFmtId="49" fontId="0" fillId="0" borderId="3" xfId="0" applyNumberFormat="1" applyBorder="1" applyAlignment="1">
      <alignment horizontal="center" vertical="top"/>
    </xf>
    <xf numFmtId="49" fontId="0" fillId="0" borderId="36" xfId="0" applyNumberFormat="1" applyBorder="1" applyAlignment="1">
      <alignment horizontal="center"/>
    </xf>
    <xf numFmtId="49" fontId="0" fillId="0" borderId="4" xfId="0" applyNumberFormat="1" applyBorder="1" applyAlignment="1">
      <alignment horizontal="center"/>
    </xf>
    <xf numFmtId="49" fontId="0" fillId="6" borderId="0" xfId="0" applyNumberFormat="1" applyFill="1" applyBorder="1" applyAlignment="1">
      <alignment horizontal="center" vertical="center"/>
    </xf>
    <xf numFmtId="0" fontId="0" fillId="0" borderId="11" xfId="0" applyBorder="1" applyAlignment="1">
      <alignment horizontal="center" vertical="justify"/>
    </xf>
    <xf numFmtId="0" fontId="0" fillId="0" borderId="29" xfId="0" applyBorder="1" applyAlignment="1">
      <alignment horizontal="center" vertical="justify"/>
    </xf>
    <xf numFmtId="0" fontId="0" fillId="0" borderId="37" xfId="0" applyBorder="1" applyAlignment="1">
      <alignment horizontal="center" vertical="justify"/>
    </xf>
    <xf numFmtId="0" fontId="3" fillId="0" borderId="29" xfId="0" applyFont="1" applyBorder="1" applyAlignment="1">
      <alignment horizontal="center" vertical="justify"/>
    </xf>
    <xf numFmtId="0" fontId="3" fillId="0" borderId="37" xfId="0" applyFont="1" applyBorder="1" applyAlignment="1">
      <alignment horizontal="center" vertical="justify"/>
    </xf>
    <xf numFmtId="0" fontId="3" fillId="0" borderId="29" xfId="0" applyFont="1" applyFill="1" applyBorder="1" applyAlignment="1">
      <alignment horizontal="center" vertical="justify"/>
    </xf>
    <xf numFmtId="0" fontId="3" fillId="0" borderId="8" xfId="0" applyFont="1" applyFill="1" applyBorder="1" applyAlignment="1">
      <alignment horizontal="center" vertical="justify"/>
    </xf>
    <xf numFmtId="0" fontId="9" fillId="0" borderId="0" xfId="0" applyFont="1" applyAlignment="1"/>
    <xf numFmtId="0" fontId="0" fillId="0" borderId="43" xfId="0" applyBorder="1"/>
    <xf numFmtId="0" fontId="0" fillId="0" borderId="44" xfId="0" applyBorder="1"/>
    <xf numFmtId="0" fontId="0" fillId="0" borderId="45" xfId="0" applyBorder="1"/>
    <xf numFmtId="0" fontId="0" fillId="0" borderId="46" xfId="0" applyBorder="1"/>
    <xf numFmtId="0" fontId="0" fillId="0" borderId="0" xfId="0" applyBorder="1"/>
    <xf numFmtId="0" fontId="0" fillId="12" borderId="41" xfId="0" applyFill="1" applyBorder="1" applyAlignment="1">
      <alignment horizontal="center"/>
    </xf>
    <xf numFmtId="0" fontId="0" fillId="12" borderId="42" xfId="0" applyFill="1" applyBorder="1"/>
    <xf numFmtId="0" fontId="0" fillId="12" borderId="48" xfId="0" applyFill="1" applyBorder="1"/>
    <xf numFmtId="0" fontId="0" fillId="12" borderId="49" xfId="0" applyFill="1" applyBorder="1" applyAlignment="1">
      <alignment horizontal="center"/>
    </xf>
    <xf numFmtId="0" fontId="0" fillId="12" borderId="42" xfId="0" applyFill="1" applyBorder="1" applyAlignment="1">
      <alignment horizontal="center"/>
    </xf>
    <xf numFmtId="0" fontId="0" fillId="0" borderId="50" xfId="0" applyBorder="1"/>
    <xf numFmtId="0" fontId="0" fillId="0" borderId="20" xfId="0" applyFill="1" applyBorder="1" applyAlignment="1">
      <alignment horizontal="center"/>
    </xf>
    <xf numFmtId="0" fontId="0" fillId="0" borderId="21" xfId="0" applyFill="1" applyBorder="1" applyAlignment="1">
      <alignment horizontal="center"/>
    </xf>
    <xf numFmtId="0" fontId="0" fillId="0" borderId="21" xfId="0" applyBorder="1" applyAlignment="1">
      <alignment horizontal="center"/>
    </xf>
    <xf numFmtId="0" fontId="0" fillId="0" borderId="20" xfId="0" applyBorder="1" applyAlignment="1">
      <alignment horizontal="center"/>
    </xf>
    <xf numFmtId="0" fontId="0" fillId="0" borderId="42" xfId="0" applyBorder="1" applyAlignment="1">
      <alignment horizontal="center"/>
    </xf>
    <xf numFmtId="0" fontId="0" fillId="0" borderId="24" xfId="0" applyFill="1" applyBorder="1" applyAlignment="1">
      <alignment horizontal="center"/>
    </xf>
    <xf numFmtId="0" fontId="0" fillId="0" borderId="26" xfId="0" applyBorder="1" applyAlignment="1">
      <alignment horizontal="center"/>
    </xf>
    <xf numFmtId="0" fontId="0" fillId="0" borderId="21" xfId="0" applyBorder="1" applyAlignment="1">
      <alignment horizontal="center"/>
    </xf>
    <xf numFmtId="0" fontId="0" fillId="0" borderId="42" xfId="0" applyBorder="1" applyAlignment="1">
      <alignment horizontal="center"/>
    </xf>
    <xf numFmtId="0" fontId="0" fillId="0" borderId="20" xfId="0" applyFill="1" applyBorder="1" applyAlignment="1">
      <alignment horizontal="center"/>
    </xf>
    <xf numFmtId="0" fontId="0" fillId="0" borderId="0" xfId="0" applyAlignment="1"/>
    <xf numFmtId="0" fontId="0" fillId="0" borderId="0" xfId="0" applyFont="1" applyAlignment="1"/>
    <xf numFmtId="0" fontId="9" fillId="0" borderId="0" xfId="0" applyFont="1" applyAlignment="1"/>
    <xf numFmtId="0" fontId="4" fillId="4" borderId="0" xfId="0" applyFont="1" applyFill="1" applyAlignment="1">
      <alignment horizontal="right"/>
    </xf>
    <xf numFmtId="0" fontId="0" fillId="2" borderId="0" xfId="0" applyFill="1" applyAlignment="1"/>
    <xf numFmtId="0" fontId="3" fillId="0" borderId="0" xfId="0" applyFont="1" applyAlignment="1"/>
    <xf numFmtId="0" fontId="11" fillId="0" borderId="0" xfId="0" applyFont="1" applyAlignment="1"/>
    <xf numFmtId="0" fontId="10" fillId="0" borderId="0" xfId="0" applyFont="1" applyBorder="1" applyAlignment="1"/>
    <xf numFmtId="0" fontId="11" fillId="0" borderId="0" xfId="0" applyFont="1" applyBorder="1" applyAlignment="1"/>
    <xf numFmtId="0" fontId="12" fillId="0" borderId="11" xfId="0" applyFont="1" applyBorder="1" applyAlignment="1">
      <alignment horizontal="center"/>
    </xf>
    <xf numFmtId="0" fontId="12" fillId="0" borderId="12" xfId="0" applyFont="1" applyBorder="1" applyAlignment="1">
      <alignment horizontal="center"/>
    </xf>
    <xf numFmtId="0" fontId="1" fillId="0" borderId="0" xfId="0" applyFont="1" applyAlignment="1">
      <alignment horizontal="center" vertical="center"/>
    </xf>
    <xf numFmtId="0" fontId="0" fillId="0" borderId="0" xfId="0" applyAlignment="1">
      <alignment horizontal="center" vertical="center"/>
    </xf>
    <xf numFmtId="0" fontId="13" fillId="0" borderId="0" xfId="0" applyFont="1" applyAlignment="1"/>
    <xf numFmtId="0" fontId="0" fillId="2" borderId="40" xfId="0" applyFill="1" applyBorder="1" applyAlignment="1">
      <alignment horizontal="center"/>
    </xf>
    <xf numFmtId="0" fontId="0" fillId="0" borderId="17" xfId="0" applyBorder="1" applyAlignment="1">
      <alignment horizontal="center"/>
    </xf>
    <xf numFmtId="0" fontId="0" fillId="11" borderId="40" xfId="0" applyFill="1" applyBorder="1" applyAlignment="1"/>
    <xf numFmtId="0" fontId="0" fillId="0" borderId="17" xfId="0" applyBorder="1" applyAlignment="1"/>
    <xf numFmtId="14" fontId="0" fillId="2" borderId="40" xfId="0" applyNumberFormat="1" applyFill="1" applyBorder="1" applyAlignment="1"/>
    <xf numFmtId="0" fontId="0" fillId="11" borderId="40" xfId="0" applyFill="1" applyBorder="1" applyAlignment="1">
      <alignment horizontal="center"/>
    </xf>
    <xf numFmtId="2" fontId="0" fillId="0" borderId="40" xfId="0" applyNumberFormat="1" applyBorder="1" applyAlignment="1">
      <alignment horizontal="center"/>
    </xf>
    <xf numFmtId="1" fontId="0" fillId="0" borderId="40" xfId="0" applyNumberFormat="1" applyBorder="1" applyAlignment="1">
      <alignment horizontal="center"/>
    </xf>
    <xf numFmtId="0" fontId="0" fillId="0" borderId="20" xfId="0" applyFill="1" applyBorder="1" applyAlignment="1">
      <alignment horizontal="center"/>
    </xf>
    <xf numFmtId="0" fontId="0" fillId="0" borderId="21" xfId="0" applyBorder="1" applyAlignment="1">
      <alignment horizontal="center"/>
    </xf>
    <xf numFmtId="0" fontId="0" fillId="2" borderId="47" xfId="0" applyFill="1" applyBorder="1" applyAlignment="1">
      <alignment horizontal="center"/>
    </xf>
    <xf numFmtId="0" fontId="0" fillId="0" borderId="16" xfId="0" applyBorder="1" applyAlignment="1">
      <alignment horizontal="center"/>
    </xf>
    <xf numFmtId="0" fontId="0" fillId="2" borderId="40" xfId="0" applyFill="1" applyBorder="1" applyAlignment="1"/>
    <xf numFmtId="0" fontId="0" fillId="10" borderId="40" xfId="0" applyFill="1" applyBorder="1" applyAlignment="1">
      <alignment horizontal="center"/>
    </xf>
    <xf numFmtId="0" fontId="0" fillId="2" borderId="42" xfId="0" applyFill="1" applyBorder="1" applyAlignment="1">
      <alignment horizontal="center"/>
    </xf>
    <xf numFmtId="0" fontId="0" fillId="11" borderId="42" xfId="0" applyFill="1" applyBorder="1" applyAlignment="1"/>
    <xf numFmtId="0" fontId="0" fillId="0" borderId="21" xfId="0" applyBorder="1" applyAlignment="1"/>
    <xf numFmtId="14" fontId="0" fillId="2" borderId="42" xfId="0" applyNumberFormat="1" applyFill="1" applyBorder="1" applyAlignment="1"/>
    <xf numFmtId="0" fontId="0" fillId="11" borderId="42" xfId="0" applyFill="1" applyBorder="1" applyAlignment="1">
      <alignment horizontal="center"/>
    </xf>
    <xf numFmtId="2" fontId="0" fillId="0" borderId="42" xfId="0" applyNumberFormat="1" applyBorder="1" applyAlignment="1">
      <alignment horizontal="center"/>
    </xf>
    <xf numFmtId="1" fontId="0" fillId="0" borderId="42" xfId="0" applyNumberFormat="1" applyBorder="1" applyAlignment="1">
      <alignment horizontal="center"/>
    </xf>
    <xf numFmtId="0" fontId="0" fillId="2" borderId="49" xfId="0" applyFill="1" applyBorder="1" applyAlignment="1">
      <alignment horizontal="center"/>
    </xf>
    <xf numFmtId="0" fontId="0" fillId="2" borderId="42" xfId="0" applyFill="1" applyBorder="1" applyAlignment="1"/>
    <xf numFmtId="0" fontId="0" fillId="10" borderId="42" xfId="0" applyFill="1" applyBorder="1" applyAlignment="1">
      <alignment horizontal="center"/>
    </xf>
    <xf numFmtId="0" fontId="0" fillId="0" borderId="9" xfId="0" applyBorder="1" applyAlignment="1">
      <alignment horizontal="center"/>
    </xf>
    <xf numFmtId="0" fontId="0" fillId="2" borderId="20" xfId="0" applyFill="1" applyBorder="1" applyAlignment="1">
      <alignment horizontal="center"/>
    </xf>
    <xf numFmtId="0" fontId="0" fillId="0" borderId="42" xfId="0" applyBorder="1" applyAlignment="1">
      <alignment horizontal="center"/>
    </xf>
    <xf numFmtId="0" fontId="0" fillId="11" borderId="20" xfId="0" applyFill="1" applyBorder="1" applyAlignment="1"/>
    <xf numFmtId="0" fontId="0" fillId="0" borderId="42" xfId="0" applyBorder="1" applyAlignment="1"/>
    <xf numFmtId="14" fontId="0" fillId="2" borderId="20" xfId="0" applyNumberFormat="1" applyFill="1" applyBorder="1" applyAlignment="1"/>
    <xf numFmtId="0" fontId="0" fillId="11" borderId="20" xfId="0" applyFill="1" applyBorder="1" applyAlignment="1">
      <alignment horizontal="center"/>
    </xf>
    <xf numFmtId="2" fontId="0" fillId="0" borderId="20" xfId="0" applyNumberFormat="1" applyBorder="1" applyAlignment="1">
      <alignment horizontal="center"/>
    </xf>
    <xf numFmtId="1" fontId="0" fillId="0" borderId="20" xfId="0" applyNumberFormat="1" applyBorder="1" applyAlignment="1">
      <alignment horizontal="center"/>
    </xf>
    <xf numFmtId="0" fontId="0" fillId="2" borderId="23" xfId="0" applyFill="1" applyBorder="1" applyAlignment="1">
      <alignment horizontal="center"/>
    </xf>
    <xf numFmtId="0" fontId="0" fillId="2" borderId="20" xfId="0" applyFill="1" applyBorder="1" applyAlignment="1"/>
    <xf numFmtId="0" fontId="0" fillId="10" borderId="20" xfId="0" applyFill="1" applyBorder="1" applyAlignment="1">
      <alignment horizontal="center"/>
    </xf>
    <xf numFmtId="0" fontId="0" fillId="0" borderId="49" xfId="0" applyBorder="1" applyAlignment="1">
      <alignment horizontal="center"/>
    </xf>
    <xf numFmtId="0" fontId="0" fillId="0" borderId="24" xfId="0" applyBorder="1" applyAlignment="1"/>
    <xf numFmtId="0" fontId="0" fillId="0" borderId="26" xfId="0" applyBorder="1" applyAlignment="1"/>
    <xf numFmtId="1" fontId="0" fillId="0" borderId="24" xfId="0" applyNumberFormat="1" applyBorder="1" applyAlignment="1"/>
    <xf numFmtId="0" fontId="13" fillId="0" borderId="0" xfId="0" applyFont="1" applyAlignment="1">
      <alignment horizontal="center"/>
    </xf>
    <xf numFmtId="0" fontId="12" fillId="0" borderId="0" xfId="0" applyFont="1" applyAlignment="1">
      <alignment horizontal="center"/>
    </xf>
    <xf numFmtId="0" fontId="0" fillId="2" borderId="11" xfId="0" applyFill="1" applyBorder="1" applyAlignment="1">
      <alignment horizontal="center"/>
    </xf>
    <xf numFmtId="0" fontId="0" fillId="2" borderId="37" xfId="0" applyFill="1" applyBorder="1" applyAlignment="1">
      <alignment horizontal="center"/>
    </xf>
    <xf numFmtId="0" fontId="0" fillId="2" borderId="12" xfId="0" applyFill="1" applyBorder="1" applyAlignment="1">
      <alignment horizontal="center"/>
    </xf>
  </cellXfs>
  <cellStyles count="1">
    <cellStyle name="Normal" xfId="0" builtinId="0"/>
  </cellStyles>
  <dxfs count="5">
    <dxf>
      <font>
        <color theme="2"/>
      </font>
    </dxf>
    <dxf>
      <font>
        <color theme="2"/>
      </font>
    </dxf>
    <dxf>
      <fill>
        <patternFill patternType="lightUp"/>
      </fill>
    </dxf>
    <dxf>
      <fill>
        <patternFill patternType="lightUp"/>
      </fill>
    </dxf>
    <dxf>
      <fill>
        <patternFill patternType="lightDown"/>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N40"/>
  <sheetViews>
    <sheetView workbookViewId="0">
      <selection activeCell="F39" sqref="F39"/>
    </sheetView>
  </sheetViews>
  <sheetFormatPr baseColWidth="10" defaultRowHeight="15"/>
  <cols>
    <col min="5" max="5" width="14.140625" customWidth="1"/>
    <col min="12" max="12" width="26.85546875" customWidth="1"/>
    <col min="13" max="13" width="14.140625" customWidth="1"/>
  </cols>
  <sheetData>
    <row r="1" spans="1:14" ht="15.75" thickBot="1">
      <c r="A1" s="164" t="s">
        <v>0</v>
      </c>
      <c r="B1" s="165"/>
      <c r="C1" s="165"/>
      <c r="D1" s="165"/>
      <c r="E1" s="165"/>
    </row>
    <row r="2" spans="1:14" ht="15.75" thickBot="1">
      <c r="A2" s="165"/>
      <c r="B2" s="165"/>
      <c r="C2" s="165"/>
      <c r="D2" s="165"/>
      <c r="E2" s="165"/>
      <c r="L2" s="162" t="s">
        <v>63</v>
      </c>
      <c r="M2" s="163"/>
    </row>
    <row r="3" spans="1:14" ht="15.75" thickBot="1">
      <c r="L3" s="21" t="s">
        <v>44</v>
      </c>
      <c r="M3" s="22" t="s">
        <v>52</v>
      </c>
    </row>
    <row r="4" spans="1:14">
      <c r="B4" s="153" t="s">
        <v>1</v>
      </c>
      <c r="C4" s="153"/>
      <c r="D4" s="1"/>
      <c r="E4" t="s">
        <v>3</v>
      </c>
      <c r="F4" s="156" t="s">
        <v>40</v>
      </c>
      <c r="G4" s="156"/>
      <c r="H4" s="156"/>
      <c r="I4" s="10" t="str">
        <f>IF(ISERROR($D$10/$G$22),"",$D$10/$G$22)</f>
        <v/>
      </c>
      <c r="J4" s="11" t="s">
        <v>9</v>
      </c>
      <c r="L4" s="15" t="s">
        <v>45</v>
      </c>
      <c r="M4" s="16" t="s">
        <v>25</v>
      </c>
    </row>
    <row r="5" spans="1:14">
      <c r="B5" s="153" t="s">
        <v>2</v>
      </c>
      <c r="C5" s="153"/>
      <c r="D5" s="1"/>
      <c r="E5" t="s">
        <v>3</v>
      </c>
      <c r="L5" s="17" t="s">
        <v>46</v>
      </c>
      <c r="M5" s="18" t="s">
        <v>51</v>
      </c>
      <c r="N5" t="s">
        <v>25</v>
      </c>
    </row>
    <row r="6" spans="1:14">
      <c r="B6" s="153" t="s">
        <v>4</v>
      </c>
      <c r="C6" s="153"/>
      <c r="D6">
        <f>IF(ISERROR((D4+D5)/2),"",(D4+D5)/2)</f>
        <v>0</v>
      </c>
      <c r="E6" t="s">
        <v>3</v>
      </c>
      <c r="F6" s="156" t="s">
        <v>41</v>
      </c>
      <c r="G6" s="156"/>
      <c r="H6" s="156"/>
      <c r="I6" s="10" t="str">
        <f>IF(ISERROR($E$32*$G$22),"",$E$32*$G$22)</f>
        <v/>
      </c>
      <c r="J6" s="11" t="s">
        <v>9</v>
      </c>
      <c r="L6" s="17" t="s">
        <v>47</v>
      </c>
      <c r="M6" s="18" t="s">
        <v>48</v>
      </c>
    </row>
    <row r="7" spans="1:14" ht="15.75" thickBot="1">
      <c r="B7" s="153" t="s">
        <v>62</v>
      </c>
      <c r="C7" s="153"/>
      <c r="D7" s="1"/>
      <c r="E7" t="s">
        <v>3</v>
      </c>
      <c r="L7" s="19" t="s">
        <v>49</v>
      </c>
      <c r="M7" s="20" t="s">
        <v>50</v>
      </c>
    </row>
    <row r="8" spans="1:14">
      <c r="B8" s="153" t="s">
        <v>5</v>
      </c>
      <c r="C8" s="153"/>
      <c r="D8">
        <f>IF(ISERROR(D6-D7),"",D6-D7)</f>
        <v>0</v>
      </c>
      <c r="E8" t="s">
        <v>6</v>
      </c>
      <c r="F8" s="156" t="s">
        <v>42</v>
      </c>
      <c r="G8" s="156"/>
      <c r="H8" s="156"/>
      <c r="I8" s="14" t="str">
        <f>IF(ISERROR($F$39*0.001),"",$F$39*0.001)</f>
        <v/>
      </c>
      <c r="J8" s="11" t="s">
        <v>39</v>
      </c>
      <c r="L8" s="15" t="s">
        <v>53</v>
      </c>
      <c r="M8" s="16"/>
    </row>
    <row r="9" spans="1:14">
      <c r="B9" s="153" t="s">
        <v>7</v>
      </c>
      <c r="C9" s="153"/>
      <c r="D9" s="1"/>
      <c r="L9" s="17" t="s">
        <v>54</v>
      </c>
      <c r="M9" s="18" t="s">
        <v>55</v>
      </c>
    </row>
    <row r="10" spans="1:14" ht="15.75" thickBot="1">
      <c r="B10" t="s">
        <v>8</v>
      </c>
      <c r="D10" s="1"/>
      <c r="E10" t="s">
        <v>9</v>
      </c>
      <c r="L10" s="19" t="s">
        <v>56</v>
      </c>
      <c r="M10" s="20" t="s">
        <v>57</v>
      </c>
    </row>
    <row r="11" spans="1:14" ht="15.75" thickBot="1">
      <c r="L11" s="21" t="s">
        <v>58</v>
      </c>
      <c r="M11" s="22" t="s">
        <v>59</v>
      </c>
    </row>
    <row r="12" spans="1:14" ht="15.75" thickBot="1">
      <c r="L12" s="23" t="s">
        <v>60</v>
      </c>
      <c r="M12" s="24" t="s">
        <v>61</v>
      </c>
    </row>
    <row r="13" spans="1:14">
      <c r="B13" s="159" t="s">
        <v>43</v>
      </c>
      <c r="C13" s="159"/>
    </row>
    <row r="15" spans="1:14">
      <c r="B15" t="s">
        <v>10</v>
      </c>
      <c r="C15" t="s">
        <v>11</v>
      </c>
      <c r="D15" t="s">
        <v>12</v>
      </c>
      <c r="E15" s="158" t="s">
        <v>13</v>
      </c>
      <c r="F15" s="153"/>
    </row>
    <row r="16" spans="1:14">
      <c r="B16" t="s">
        <v>10</v>
      </c>
      <c r="C16" t="s">
        <v>14</v>
      </c>
      <c r="D16" t="s">
        <v>12</v>
      </c>
      <c r="E16" s="158" t="s">
        <v>15</v>
      </c>
      <c r="F16" s="153"/>
      <c r="G16" s="153"/>
    </row>
    <row r="18" spans="2:8">
      <c r="B18" t="s">
        <v>16</v>
      </c>
      <c r="C18" t="s">
        <v>17</v>
      </c>
      <c r="D18" s="5" t="str">
        <f>IF(ISERROR(($D$5-$D$7)/($D$4-$D$7)),"",($D$5-$D$7)/($D$4-$D$7))</f>
        <v/>
      </c>
      <c r="E18" t="s">
        <v>18</v>
      </c>
      <c r="F18" s="2" t="s">
        <v>19</v>
      </c>
      <c r="G18" s="6">
        <f>IF(D18&lt;0.7,(D4-D5)/LN((D4-D7)/(D5-D7)),((D4+D5)/2)-D7)</f>
        <v>0</v>
      </c>
      <c r="H18" s="4" t="s">
        <v>6</v>
      </c>
    </row>
    <row r="20" spans="2:8">
      <c r="B20" s="155" t="s">
        <v>20</v>
      </c>
      <c r="C20" s="155"/>
      <c r="D20" s="155"/>
    </row>
    <row r="22" spans="2:8">
      <c r="B22" s="158" t="s">
        <v>21</v>
      </c>
      <c r="C22" s="153"/>
      <c r="E22" t="s">
        <v>23</v>
      </c>
      <c r="F22" t="s">
        <v>18</v>
      </c>
      <c r="G22" s="13" t="str">
        <f>IF(ISERROR((G18/50)^D9),"",(G18/50)^D9)</f>
        <v/>
      </c>
    </row>
    <row r="24" spans="2:8">
      <c r="B24" s="160" t="s">
        <v>24</v>
      </c>
      <c r="C24" s="161"/>
      <c r="D24" s="161"/>
    </row>
    <row r="26" spans="2:8">
      <c r="B26" s="158" t="s">
        <v>21</v>
      </c>
      <c r="C26" s="153"/>
      <c r="D26" t="s">
        <v>25</v>
      </c>
      <c r="E26" t="s">
        <v>22</v>
      </c>
      <c r="F26" t="s">
        <v>26</v>
      </c>
      <c r="G26" s="8" t="str">
        <f>IF(ISERROR($D$10/$G$22),"",$D$10/$G$22)</f>
        <v/>
      </c>
      <c r="H26" s="3" t="s">
        <v>9</v>
      </c>
    </row>
    <row r="29" spans="2:8">
      <c r="B29" s="155" t="s">
        <v>27</v>
      </c>
      <c r="C29" s="155"/>
      <c r="D29" s="155"/>
    </row>
    <row r="31" spans="2:8">
      <c r="B31" t="s">
        <v>28</v>
      </c>
      <c r="E31" s="157"/>
      <c r="F31" s="157"/>
      <c r="G31" s="157"/>
    </row>
    <row r="32" spans="2:8">
      <c r="B32" s="153" t="s">
        <v>29</v>
      </c>
      <c r="C32" s="153"/>
      <c r="D32" s="153"/>
      <c r="E32" s="157"/>
      <c r="F32" s="157"/>
      <c r="G32" s="1" t="s">
        <v>9</v>
      </c>
    </row>
    <row r="34" spans="2:7">
      <c r="B34" s="153" t="s">
        <v>30</v>
      </c>
      <c r="C34" s="154"/>
      <c r="D34" s="154"/>
      <c r="E34" s="8" t="str">
        <f>IF(ISERROR($E$32*$G$22),"",$E$32*$G$22)</f>
        <v/>
      </c>
      <c r="F34" s="3" t="s">
        <v>9</v>
      </c>
    </row>
    <row r="36" spans="2:7">
      <c r="B36" s="155" t="s">
        <v>31</v>
      </c>
      <c r="C36" s="155"/>
    </row>
    <row r="38" spans="2:7">
      <c r="B38" t="s">
        <v>32</v>
      </c>
      <c r="C38" s="7" t="s">
        <v>22</v>
      </c>
      <c r="D38" t="s">
        <v>33</v>
      </c>
      <c r="E38" t="s">
        <v>37</v>
      </c>
      <c r="F38" s="9" t="str">
        <f>IF(ISERROR(E34/(4187*(D4-D5))),"",E34/(4187*(D4-D5)))</f>
        <v/>
      </c>
      <c r="G38" s="3" t="s">
        <v>34</v>
      </c>
    </row>
    <row r="39" spans="2:7">
      <c r="B39" t="s">
        <v>25</v>
      </c>
      <c r="E39" s="7" t="s">
        <v>35</v>
      </c>
      <c r="F39" s="9" t="str">
        <f>IF(ISERROR(F38*3600),"",F38*3600)</f>
        <v/>
      </c>
      <c r="G39" s="3" t="s">
        <v>36</v>
      </c>
    </row>
    <row r="40" spans="2:7">
      <c r="E40" s="7" t="s">
        <v>38</v>
      </c>
      <c r="F40" s="12" t="str">
        <f>IF(ISERROR($F$39*0.001),"",$F$39*0.001)</f>
        <v/>
      </c>
      <c r="G40" s="3" t="s">
        <v>39</v>
      </c>
    </row>
  </sheetData>
  <mergeCells count="24">
    <mergeCell ref="L2:M2"/>
    <mergeCell ref="B9:C9"/>
    <mergeCell ref="A1:E2"/>
    <mergeCell ref="B4:C4"/>
    <mergeCell ref="B5:C5"/>
    <mergeCell ref="B6:C6"/>
    <mergeCell ref="B7:C7"/>
    <mergeCell ref="B8:C8"/>
    <mergeCell ref="B34:D34"/>
    <mergeCell ref="B36:C36"/>
    <mergeCell ref="F4:H4"/>
    <mergeCell ref="F6:H6"/>
    <mergeCell ref="F8:H8"/>
    <mergeCell ref="B29:D29"/>
    <mergeCell ref="E31:G31"/>
    <mergeCell ref="E32:F32"/>
    <mergeCell ref="B32:D32"/>
    <mergeCell ref="B22:C22"/>
    <mergeCell ref="B13:C13"/>
    <mergeCell ref="B20:D20"/>
    <mergeCell ref="B24:D24"/>
    <mergeCell ref="B26:C26"/>
    <mergeCell ref="E15:F15"/>
    <mergeCell ref="E16:G16"/>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M65"/>
  <sheetViews>
    <sheetView topLeftCell="B42" workbookViewId="0">
      <selection activeCell="H22" sqref="H22"/>
    </sheetView>
  </sheetViews>
  <sheetFormatPr baseColWidth="10" defaultRowHeight="15"/>
  <cols>
    <col min="1" max="1" width="11.85546875" customWidth="1"/>
    <col min="4" max="4" width="12.140625" customWidth="1"/>
    <col min="5" max="5" width="7.7109375" customWidth="1"/>
    <col min="7" max="7" width="7" customWidth="1"/>
    <col min="8" max="8" width="8.42578125" customWidth="1"/>
    <col min="9" max="9" width="9.28515625" customWidth="1"/>
    <col min="10" max="10" width="11.28515625" customWidth="1"/>
    <col min="11" max="11" width="14" customWidth="1"/>
    <col min="12" max="12" width="8.140625" customWidth="1"/>
    <col min="13" max="13" width="13.140625" customWidth="1"/>
  </cols>
  <sheetData>
    <row r="1" spans="1:8" ht="21">
      <c r="C1" s="166" t="s">
        <v>64</v>
      </c>
      <c r="D1" s="166"/>
      <c r="E1" s="166"/>
      <c r="F1" s="166"/>
      <c r="G1" s="153"/>
    </row>
    <row r="2" spans="1:8" ht="5.25" customHeight="1"/>
    <row r="3" spans="1:8" ht="3.75" customHeight="1"/>
    <row r="4" spans="1:8" ht="3" customHeight="1"/>
    <row r="5" spans="1:8" ht="18">
      <c r="A5" s="153" t="s">
        <v>75</v>
      </c>
      <c r="B5" s="153"/>
      <c r="C5" t="s">
        <v>76</v>
      </c>
    </row>
    <row r="6" spans="1:8" ht="18">
      <c r="A6" s="153" t="s">
        <v>77</v>
      </c>
      <c r="B6" s="153"/>
      <c r="C6" t="s">
        <v>78</v>
      </c>
    </row>
    <row r="7" spans="1:8" ht="18">
      <c r="A7" s="154" t="s">
        <v>79</v>
      </c>
      <c r="B7" s="154"/>
      <c r="C7" s="154"/>
      <c r="D7" s="154"/>
      <c r="E7" t="s">
        <v>80</v>
      </c>
    </row>
    <row r="8" spans="1:8" ht="18">
      <c r="A8" s="153" t="s">
        <v>81</v>
      </c>
      <c r="B8" s="153"/>
      <c r="C8" s="153"/>
      <c r="E8" t="s">
        <v>82</v>
      </c>
    </row>
    <row r="9" spans="1:8" ht="18">
      <c r="A9" s="153" t="s">
        <v>83</v>
      </c>
      <c r="B9" s="153"/>
      <c r="C9" s="153"/>
      <c r="D9" s="153"/>
      <c r="E9" t="s">
        <v>84</v>
      </c>
    </row>
    <row r="10" spans="1:8" ht="18">
      <c r="A10" s="153" t="s">
        <v>85</v>
      </c>
      <c r="B10" s="153"/>
      <c r="C10" s="153"/>
      <c r="D10" s="153"/>
      <c r="E10" t="s">
        <v>86</v>
      </c>
    </row>
    <row r="11" spans="1:8" ht="2.25" customHeight="1"/>
    <row r="12" spans="1:8" ht="15.75" thickBot="1"/>
    <row r="13" spans="1:8" ht="15.75" customHeight="1">
      <c r="A13" s="26" t="s">
        <v>72</v>
      </c>
      <c r="B13" s="27">
        <v>2</v>
      </c>
      <c r="C13" s="27">
        <v>4</v>
      </c>
      <c r="D13" s="27">
        <v>6</v>
      </c>
      <c r="E13" s="27">
        <v>8</v>
      </c>
      <c r="F13" s="27">
        <v>11</v>
      </c>
      <c r="G13" s="27" t="s">
        <v>93</v>
      </c>
      <c r="H13" s="28">
        <v>20</v>
      </c>
    </row>
    <row r="14" spans="1:8">
      <c r="A14" s="29" t="s">
        <v>73</v>
      </c>
      <c r="B14" s="30">
        <v>20</v>
      </c>
      <c r="C14" s="30">
        <v>16.5</v>
      </c>
      <c r="D14" s="30">
        <v>15</v>
      </c>
      <c r="E14" s="30">
        <v>14.5</v>
      </c>
      <c r="F14" s="30">
        <v>14</v>
      </c>
      <c r="G14" s="30">
        <v>14</v>
      </c>
      <c r="H14" s="31">
        <v>14</v>
      </c>
    </row>
    <row r="15" spans="1:8" ht="15.75" thickBot="1">
      <c r="A15" s="32" t="s">
        <v>74</v>
      </c>
      <c r="B15" s="33">
        <v>10</v>
      </c>
      <c r="C15" s="33">
        <v>8.25</v>
      </c>
      <c r="D15" s="33">
        <v>7.5</v>
      </c>
      <c r="E15" s="33">
        <v>7.25</v>
      </c>
      <c r="F15" s="33">
        <v>7</v>
      </c>
      <c r="G15" s="33">
        <v>7</v>
      </c>
      <c r="H15" s="34">
        <v>7</v>
      </c>
    </row>
    <row r="17" spans="1:13" ht="2.25" customHeight="1"/>
    <row r="18" spans="1:13">
      <c r="A18" s="155" t="s">
        <v>65</v>
      </c>
      <c r="B18" s="155"/>
      <c r="C18" s="155"/>
      <c r="D18" s="155"/>
      <c r="E18" s="155"/>
    </row>
    <row r="20" spans="1:13">
      <c r="A20" t="s">
        <v>95</v>
      </c>
      <c r="B20" s="1"/>
      <c r="C20" t="s">
        <v>3</v>
      </c>
    </row>
    <row r="21" spans="1:13">
      <c r="A21" t="s">
        <v>96</v>
      </c>
      <c r="B21" s="1"/>
      <c r="C21" t="s">
        <v>3</v>
      </c>
    </row>
    <row r="22" spans="1:13">
      <c r="A22" s="2" t="s">
        <v>73</v>
      </c>
      <c r="B22" t="str">
        <f>IF(OR(B20="",B21=""),"",B20-B21)</f>
        <v/>
      </c>
      <c r="C22" t="s">
        <v>3</v>
      </c>
    </row>
    <row r="23" spans="1:13">
      <c r="A23" s="38" t="s">
        <v>97</v>
      </c>
    </row>
    <row r="24" spans="1:13">
      <c r="A24" s="2" t="s">
        <v>94</v>
      </c>
      <c r="B24" s="1"/>
      <c r="C24" t="s">
        <v>6</v>
      </c>
    </row>
    <row r="25" spans="1:13">
      <c r="A25" s="2" t="s">
        <v>99</v>
      </c>
      <c r="B25" s="1"/>
    </row>
    <row r="26" spans="1:13" ht="15.75" thickBot="1"/>
    <row r="27" spans="1:13" ht="39.75" customHeight="1" thickBot="1">
      <c r="A27" s="39" t="s">
        <v>66</v>
      </c>
      <c r="B27" s="40" t="s">
        <v>88</v>
      </c>
      <c r="C27" s="40" t="s">
        <v>87</v>
      </c>
      <c r="D27" s="35" t="s">
        <v>89</v>
      </c>
      <c r="E27" s="40" t="s">
        <v>90</v>
      </c>
      <c r="F27" s="40" t="s">
        <v>91</v>
      </c>
      <c r="G27" s="41" t="s">
        <v>92</v>
      </c>
      <c r="H27" s="42" t="s">
        <v>67</v>
      </c>
      <c r="I27" s="70" t="s">
        <v>68</v>
      </c>
      <c r="J27" s="40" t="s">
        <v>69</v>
      </c>
      <c r="K27" s="43" t="s">
        <v>70</v>
      </c>
      <c r="L27" s="71" t="s">
        <v>98</v>
      </c>
      <c r="M27" s="44" t="s">
        <v>71</v>
      </c>
    </row>
    <row r="28" spans="1:13">
      <c r="A28" s="60"/>
      <c r="B28" s="61"/>
      <c r="C28" s="46" t="str">
        <f>IF($B$24="","",(B28*3600)/(4187*$B$24))</f>
        <v/>
      </c>
      <c r="D28" s="46" t="str">
        <f>IF(OR(B28="",$B$22="",$B$39=""),"",(B28*$B$22)/$B$39)</f>
        <v/>
      </c>
      <c r="E28" s="46" t="str">
        <f>IF(B20="","",B20)</f>
        <v/>
      </c>
      <c r="F28" s="46" t="str">
        <f>IF(OR($B$24="",E28="",A28=""),"",E28-($B$24/2))</f>
        <v/>
      </c>
      <c r="G28" s="66"/>
      <c r="H28" s="55" t="str">
        <f>IF(OR(G28="",F28=""),"",F28-G28)</f>
        <v/>
      </c>
      <c r="I28" s="46" t="str">
        <f>IF(OR($B$23="",H28=""),"",(H28/50)^$B$23)</f>
        <v/>
      </c>
      <c r="J28" s="46" t="str">
        <f>IF(OR(B28="",I28=""),"",B28/I28)</f>
        <v/>
      </c>
      <c r="K28" s="61"/>
      <c r="L28" s="66"/>
      <c r="M28" s="51" t="str">
        <f>IF(OR(I28="",L28=""),"",L28*I28)</f>
        <v/>
      </c>
    </row>
    <row r="29" spans="1:13">
      <c r="A29" s="62"/>
      <c r="B29" s="63"/>
      <c r="C29" s="47" t="str">
        <f t="shared" ref="C29:C38" si="0">IF($B$24="","",(B29*3600)/(4187*$B$24))</f>
        <v/>
      </c>
      <c r="D29" s="49" t="str">
        <f t="shared" ref="D29:D38" si="1">IF(OR(B29="",$B$22="",$B$39=""),"",(B29*$B$22)/$B$39)</f>
        <v/>
      </c>
      <c r="E29" s="49" t="str">
        <f>IF(OR(E28="",D28=""),"",E28-D28)</f>
        <v/>
      </c>
      <c r="F29" s="49" t="str">
        <f t="shared" ref="F29:F38" si="2">IF(OR($B$24="",E29="",A29=""),"",E29-($B$24/2))</f>
        <v/>
      </c>
      <c r="G29" s="67"/>
      <c r="H29" s="56" t="str">
        <f t="shared" ref="H29:H39" si="3">IF(OR(G29="",F29=""),"",F29-G29)</f>
        <v/>
      </c>
      <c r="I29" s="47" t="str">
        <f t="shared" ref="I29:I38" si="4">IF(OR($B$23="",H29=""),"",(H29/50)^$B$23)</f>
        <v/>
      </c>
      <c r="J29" s="47" t="str">
        <f t="shared" ref="J29:J38" si="5">IF(OR(B29="",I29=""),"",B29/I29)</f>
        <v/>
      </c>
      <c r="K29" s="63"/>
      <c r="L29" s="67"/>
      <c r="M29" s="85" t="str">
        <f t="shared" ref="M29:M38" si="6">IF(OR(I29="",L29=""),"",L29*I29)</f>
        <v/>
      </c>
    </row>
    <row r="30" spans="1:13">
      <c r="A30" s="62"/>
      <c r="B30" s="63"/>
      <c r="C30" s="47" t="str">
        <f t="shared" si="0"/>
        <v/>
      </c>
      <c r="D30" s="49" t="str">
        <f t="shared" si="1"/>
        <v/>
      </c>
      <c r="E30" s="49" t="str">
        <f t="shared" ref="E30:E38" si="7">IF(OR(E29="",D29=""),"",E29-D29)</f>
        <v/>
      </c>
      <c r="F30" s="49" t="str">
        <f t="shared" si="2"/>
        <v/>
      </c>
      <c r="G30" s="67"/>
      <c r="H30" s="56" t="str">
        <f t="shared" si="3"/>
        <v/>
      </c>
      <c r="I30" s="47" t="str">
        <f t="shared" si="4"/>
        <v/>
      </c>
      <c r="J30" s="47" t="str">
        <f t="shared" si="5"/>
        <v/>
      </c>
      <c r="K30" s="63"/>
      <c r="L30" s="67"/>
      <c r="M30" s="85" t="str">
        <f t="shared" si="6"/>
        <v/>
      </c>
    </row>
    <row r="31" spans="1:13">
      <c r="A31" s="62"/>
      <c r="B31" s="63"/>
      <c r="C31" s="47" t="str">
        <f t="shared" si="0"/>
        <v/>
      </c>
      <c r="D31" s="49" t="str">
        <f t="shared" si="1"/>
        <v/>
      </c>
      <c r="E31" s="49" t="str">
        <f t="shared" si="7"/>
        <v/>
      </c>
      <c r="F31" s="49" t="str">
        <f t="shared" si="2"/>
        <v/>
      </c>
      <c r="G31" s="67"/>
      <c r="H31" s="56" t="str">
        <f t="shared" si="3"/>
        <v/>
      </c>
      <c r="I31" s="47" t="str">
        <f t="shared" si="4"/>
        <v/>
      </c>
      <c r="J31" s="47" t="str">
        <f t="shared" si="5"/>
        <v/>
      </c>
      <c r="K31" s="63"/>
      <c r="L31" s="67"/>
      <c r="M31" s="85" t="str">
        <f t="shared" si="6"/>
        <v/>
      </c>
    </row>
    <row r="32" spans="1:13">
      <c r="A32" s="62"/>
      <c r="B32" s="63"/>
      <c r="C32" s="47" t="str">
        <f t="shared" si="0"/>
        <v/>
      </c>
      <c r="D32" s="49" t="str">
        <f t="shared" si="1"/>
        <v/>
      </c>
      <c r="E32" s="49" t="str">
        <f t="shared" si="7"/>
        <v/>
      </c>
      <c r="F32" s="49" t="str">
        <f t="shared" si="2"/>
        <v/>
      </c>
      <c r="G32" s="67"/>
      <c r="H32" s="56" t="str">
        <f t="shared" si="3"/>
        <v/>
      </c>
      <c r="I32" s="47" t="str">
        <f t="shared" si="4"/>
        <v/>
      </c>
      <c r="J32" s="47" t="str">
        <f t="shared" si="5"/>
        <v/>
      </c>
      <c r="K32" s="63"/>
      <c r="L32" s="67"/>
      <c r="M32" s="85" t="str">
        <f t="shared" si="6"/>
        <v/>
      </c>
    </row>
    <row r="33" spans="1:13">
      <c r="A33" s="62"/>
      <c r="B33" s="63"/>
      <c r="C33" s="47" t="str">
        <f t="shared" si="0"/>
        <v/>
      </c>
      <c r="D33" s="49" t="str">
        <f t="shared" si="1"/>
        <v/>
      </c>
      <c r="E33" s="49" t="str">
        <f t="shared" si="7"/>
        <v/>
      </c>
      <c r="F33" s="49" t="str">
        <f t="shared" si="2"/>
        <v/>
      </c>
      <c r="G33" s="67"/>
      <c r="H33" s="56" t="str">
        <f t="shared" si="3"/>
        <v/>
      </c>
      <c r="I33" s="47" t="str">
        <f t="shared" si="4"/>
        <v/>
      </c>
      <c r="J33" s="47" t="str">
        <f t="shared" si="5"/>
        <v/>
      </c>
      <c r="K33" s="63"/>
      <c r="L33" s="67"/>
      <c r="M33" s="85" t="str">
        <f t="shared" si="6"/>
        <v/>
      </c>
    </row>
    <row r="34" spans="1:13">
      <c r="A34" s="62"/>
      <c r="B34" s="63"/>
      <c r="C34" s="47" t="str">
        <f t="shared" si="0"/>
        <v/>
      </c>
      <c r="D34" s="49" t="str">
        <f t="shared" si="1"/>
        <v/>
      </c>
      <c r="E34" s="49" t="str">
        <f t="shared" si="7"/>
        <v/>
      </c>
      <c r="F34" s="49" t="str">
        <f t="shared" si="2"/>
        <v/>
      </c>
      <c r="G34" s="67"/>
      <c r="H34" s="56" t="str">
        <f t="shared" si="3"/>
        <v/>
      </c>
      <c r="I34" s="47" t="str">
        <f t="shared" si="4"/>
        <v/>
      </c>
      <c r="J34" s="47" t="str">
        <f t="shared" si="5"/>
        <v/>
      </c>
      <c r="K34" s="63"/>
      <c r="L34" s="67"/>
      <c r="M34" s="85" t="str">
        <f t="shared" si="6"/>
        <v/>
      </c>
    </row>
    <row r="35" spans="1:13">
      <c r="A35" s="62"/>
      <c r="B35" s="63"/>
      <c r="C35" s="47" t="str">
        <f t="shared" si="0"/>
        <v/>
      </c>
      <c r="D35" s="49" t="str">
        <f t="shared" si="1"/>
        <v/>
      </c>
      <c r="E35" s="49" t="str">
        <f t="shared" si="7"/>
        <v/>
      </c>
      <c r="F35" s="49" t="str">
        <f t="shared" si="2"/>
        <v/>
      </c>
      <c r="G35" s="67"/>
      <c r="H35" s="56" t="str">
        <f t="shared" si="3"/>
        <v/>
      </c>
      <c r="I35" s="47" t="str">
        <f t="shared" si="4"/>
        <v/>
      </c>
      <c r="J35" s="47" t="str">
        <f t="shared" si="5"/>
        <v/>
      </c>
      <c r="K35" s="63"/>
      <c r="L35" s="67"/>
      <c r="M35" s="85" t="str">
        <f t="shared" si="6"/>
        <v/>
      </c>
    </row>
    <row r="36" spans="1:13">
      <c r="A36" s="62"/>
      <c r="B36" s="63"/>
      <c r="C36" s="47" t="str">
        <f t="shared" si="0"/>
        <v/>
      </c>
      <c r="D36" s="49" t="str">
        <f t="shared" si="1"/>
        <v/>
      </c>
      <c r="E36" s="49" t="str">
        <f t="shared" si="7"/>
        <v/>
      </c>
      <c r="F36" s="49" t="str">
        <f t="shared" si="2"/>
        <v/>
      </c>
      <c r="G36" s="67"/>
      <c r="H36" s="56" t="str">
        <f t="shared" si="3"/>
        <v/>
      </c>
      <c r="I36" s="47" t="str">
        <f t="shared" si="4"/>
        <v/>
      </c>
      <c r="J36" s="47" t="str">
        <f t="shared" si="5"/>
        <v/>
      </c>
      <c r="K36" s="63"/>
      <c r="L36" s="67"/>
      <c r="M36" s="85" t="str">
        <f t="shared" si="6"/>
        <v/>
      </c>
    </row>
    <row r="37" spans="1:13">
      <c r="A37" s="62"/>
      <c r="B37" s="63"/>
      <c r="C37" s="47" t="str">
        <f t="shared" si="0"/>
        <v/>
      </c>
      <c r="D37" s="49" t="str">
        <f t="shared" si="1"/>
        <v/>
      </c>
      <c r="E37" s="49" t="str">
        <f t="shared" si="7"/>
        <v/>
      </c>
      <c r="F37" s="49" t="str">
        <f t="shared" si="2"/>
        <v/>
      </c>
      <c r="G37" s="67"/>
      <c r="H37" s="56" t="str">
        <f t="shared" si="3"/>
        <v/>
      </c>
      <c r="I37" s="47" t="str">
        <f t="shared" si="4"/>
        <v/>
      </c>
      <c r="J37" s="47" t="str">
        <f t="shared" si="5"/>
        <v/>
      </c>
      <c r="K37" s="63"/>
      <c r="L37" s="67"/>
      <c r="M37" s="85" t="str">
        <f t="shared" si="6"/>
        <v/>
      </c>
    </row>
    <row r="38" spans="1:13" ht="15.75" thickBot="1">
      <c r="A38" s="64"/>
      <c r="B38" s="65"/>
      <c r="C38" s="48" t="str">
        <f t="shared" si="0"/>
        <v/>
      </c>
      <c r="D38" s="50" t="str">
        <f t="shared" si="1"/>
        <v/>
      </c>
      <c r="E38" s="50" t="str">
        <f t="shared" si="7"/>
        <v/>
      </c>
      <c r="F38" s="50" t="str">
        <f t="shared" si="2"/>
        <v/>
      </c>
      <c r="G38" s="68"/>
      <c r="H38" s="57" t="str">
        <f t="shared" si="3"/>
        <v/>
      </c>
      <c r="I38" s="48" t="str">
        <f t="shared" si="4"/>
        <v/>
      </c>
      <c r="J38" s="48" t="str">
        <f t="shared" si="5"/>
        <v/>
      </c>
      <c r="K38" s="65"/>
      <c r="L38" s="68"/>
      <c r="M38" s="53" t="str">
        <f t="shared" si="6"/>
        <v/>
      </c>
    </row>
    <row r="39" spans="1:13" ht="15.75" thickBot="1">
      <c r="A39" s="23"/>
      <c r="B39" s="69">
        <f>SUM(B28:B38)</f>
        <v>0</v>
      </c>
      <c r="C39" s="36"/>
      <c r="D39" s="36"/>
      <c r="E39" s="48"/>
      <c r="F39" s="48" t="str">
        <f>IF(B25="","",SUM(F28:F38)/B25)</f>
        <v/>
      </c>
      <c r="G39" s="45"/>
      <c r="H39" s="23" t="str">
        <f t="shared" si="3"/>
        <v/>
      </c>
      <c r="I39" s="36"/>
      <c r="J39" s="36"/>
      <c r="K39" s="36"/>
      <c r="L39" s="45"/>
      <c r="M39" s="59">
        <f>SUM(M28:M38)</f>
        <v>0</v>
      </c>
    </row>
    <row r="44" spans="1:13">
      <c r="A44" s="155" t="s">
        <v>100</v>
      </c>
      <c r="B44" s="155"/>
      <c r="C44" s="155"/>
      <c r="D44" s="155"/>
    </row>
    <row r="45" spans="1:13">
      <c r="D45" t="s">
        <v>104</v>
      </c>
      <c r="E45" s="1"/>
    </row>
    <row r="46" spans="1:13">
      <c r="A46" t="s">
        <v>95</v>
      </c>
      <c r="B46" s="1"/>
      <c r="C46" t="s">
        <v>3</v>
      </c>
      <c r="D46" s="2" t="s">
        <v>102</v>
      </c>
      <c r="E46" s="1"/>
    </row>
    <row r="47" spans="1:13">
      <c r="A47" t="s">
        <v>96</v>
      </c>
      <c r="B47" s="1"/>
      <c r="C47" t="s">
        <v>3</v>
      </c>
    </row>
    <row r="48" spans="1:13">
      <c r="A48" s="2" t="s">
        <v>73</v>
      </c>
      <c r="B48" t="str">
        <f>IF(OR(B46="",B47=""),"",B46-B47)</f>
        <v/>
      </c>
      <c r="C48" t="s">
        <v>3</v>
      </c>
    </row>
    <row r="49" spans="1:13">
      <c r="A49" s="2" t="s">
        <v>101</v>
      </c>
      <c r="B49" s="54" t="str">
        <f>IF(OR(B48="",B65=""),"",(B65*3600)/(B48*4187))</f>
        <v/>
      </c>
      <c r="C49" t="s">
        <v>36</v>
      </c>
    </row>
    <row r="50" spans="1:13">
      <c r="A50" s="2" t="s">
        <v>103</v>
      </c>
      <c r="B50" s="54" t="str">
        <f>IF(OR(B49="",E46=""),"",(2*B49)/E46)</f>
        <v/>
      </c>
      <c r="C50" t="s">
        <v>36</v>
      </c>
    </row>
    <row r="51" spans="1:13">
      <c r="A51" s="2" t="s">
        <v>25</v>
      </c>
      <c r="B51" t="s">
        <v>25</v>
      </c>
    </row>
    <row r="52" spans="1:13" ht="15.75" thickBot="1"/>
    <row r="53" spans="1:13" ht="39.75" customHeight="1" thickBot="1">
      <c r="A53" s="76" t="s">
        <v>66</v>
      </c>
      <c r="B53" s="77" t="s">
        <v>88</v>
      </c>
      <c r="C53" s="78" t="s">
        <v>94</v>
      </c>
      <c r="D53" s="78" t="s">
        <v>89</v>
      </c>
      <c r="E53" s="77" t="s">
        <v>90</v>
      </c>
      <c r="F53" s="77" t="s">
        <v>91</v>
      </c>
      <c r="G53" s="79" t="s">
        <v>92</v>
      </c>
      <c r="H53" s="80" t="s">
        <v>67</v>
      </c>
      <c r="I53" s="81" t="s">
        <v>68</v>
      </c>
      <c r="J53" s="77" t="s">
        <v>69</v>
      </c>
      <c r="K53" s="82" t="s">
        <v>70</v>
      </c>
      <c r="L53" s="83" t="s">
        <v>98</v>
      </c>
      <c r="M53" s="84" t="s">
        <v>71</v>
      </c>
    </row>
    <row r="54" spans="1:13">
      <c r="A54" s="72"/>
      <c r="B54" s="73"/>
      <c r="C54" s="47" t="str">
        <f>IF(OR($B$50="",B54=""),"",(B54*3600)/($B$50*4187))</f>
        <v/>
      </c>
      <c r="D54" s="47" t="str">
        <f>IF(OR($B$48="",B54="",$B$65=""),"",B54*$B$48/$B$65)</f>
        <v/>
      </c>
      <c r="E54" s="47" t="str">
        <f>IF(B46="","",B46)</f>
        <v/>
      </c>
      <c r="F54" s="47" t="str">
        <f>IF(OR(C54="",E54="",A54=""),"",E54-(C54/2))</f>
        <v/>
      </c>
      <c r="G54" s="74"/>
      <c r="H54" s="56" t="str">
        <f>IF(OR(G54="",F54=""),"",F54-G54)</f>
        <v/>
      </c>
      <c r="I54" s="47" t="str">
        <f>IF(OR($E$45="",H54=""),"",(H54/50)^$E$45)</f>
        <v/>
      </c>
      <c r="J54" s="47" t="str">
        <f>IF(OR(B54="",I54=""),"",B54/I54)</f>
        <v/>
      </c>
      <c r="K54" s="73"/>
      <c r="L54" s="75"/>
      <c r="M54" s="52" t="str">
        <f>IF(OR(I54="",L54=""),"",L54*I54)</f>
        <v/>
      </c>
    </row>
    <row r="55" spans="1:13">
      <c r="A55" s="62"/>
      <c r="B55" s="63"/>
      <c r="C55" s="49" t="str">
        <f t="shared" ref="C55:C64" si="8">IF(OR($B$50="",B55=""),"",(B55*3600)/($B$50*4187))</f>
        <v/>
      </c>
      <c r="D55" s="49" t="str">
        <f t="shared" ref="D55:D64" si="9">IF(OR($B$48="",B55="",$B$65=""),"",B55*$B$48/$B$65)</f>
        <v/>
      </c>
      <c r="E55" s="49" t="str">
        <f>IF(OR(E54="",D54=""),"",E54-D54)</f>
        <v/>
      </c>
      <c r="F55" s="49" t="str">
        <f t="shared" ref="F55:F64" si="10">IF(OR(C55="",E55="",A55=""),"",E55-(C55/2))</f>
        <v/>
      </c>
      <c r="G55" s="37"/>
      <c r="H55" s="56" t="str">
        <f t="shared" ref="H55:H64" si="11">IF(OR(G55="",F55=""),"",F55-G55)</f>
        <v/>
      </c>
      <c r="I55" s="49" t="str">
        <f t="shared" ref="I55:I64" si="12">IF(OR($E$45="",H55=""),"",(H55/50)^$E$45)</f>
        <v/>
      </c>
      <c r="J55" s="47" t="str">
        <f t="shared" ref="J55:J64" si="13">IF(OR(B55="",I55=""),"",B55/I55)</f>
        <v/>
      </c>
      <c r="K55" s="63"/>
      <c r="L55" s="67"/>
      <c r="M55" s="52" t="str">
        <f t="shared" ref="M55:M64" si="14">IF(OR(I55="",L55=""),"",L55*I55)</f>
        <v/>
      </c>
    </row>
    <row r="56" spans="1:13">
      <c r="A56" s="62"/>
      <c r="B56" s="63"/>
      <c r="C56" s="49" t="str">
        <f t="shared" si="8"/>
        <v/>
      </c>
      <c r="D56" s="49" t="str">
        <f t="shared" si="9"/>
        <v/>
      </c>
      <c r="E56" s="49" t="str">
        <f t="shared" ref="E56:E64" si="15">IF(OR(E55="",D55=""),"",E55-D55)</f>
        <v/>
      </c>
      <c r="F56" s="49" t="str">
        <f t="shared" si="10"/>
        <v/>
      </c>
      <c r="G56" s="37"/>
      <c r="H56" s="56" t="str">
        <f t="shared" si="11"/>
        <v/>
      </c>
      <c r="I56" s="49" t="str">
        <f t="shared" si="12"/>
        <v/>
      </c>
      <c r="J56" s="47" t="str">
        <f t="shared" si="13"/>
        <v/>
      </c>
      <c r="K56" s="63"/>
      <c r="L56" s="67"/>
      <c r="M56" s="52" t="str">
        <f t="shared" si="14"/>
        <v/>
      </c>
    </row>
    <row r="57" spans="1:13">
      <c r="A57" s="62"/>
      <c r="B57" s="63"/>
      <c r="C57" s="49" t="str">
        <f t="shared" si="8"/>
        <v/>
      </c>
      <c r="D57" s="49" t="str">
        <f t="shared" si="9"/>
        <v/>
      </c>
      <c r="E57" s="49" t="str">
        <f t="shared" si="15"/>
        <v/>
      </c>
      <c r="F57" s="49" t="str">
        <f t="shared" si="10"/>
        <v/>
      </c>
      <c r="G57" s="37"/>
      <c r="H57" s="56" t="str">
        <f t="shared" si="11"/>
        <v/>
      </c>
      <c r="I57" s="49" t="str">
        <f t="shared" si="12"/>
        <v/>
      </c>
      <c r="J57" s="47" t="str">
        <f t="shared" si="13"/>
        <v/>
      </c>
      <c r="K57" s="63"/>
      <c r="L57" s="67"/>
      <c r="M57" s="52" t="str">
        <f t="shared" si="14"/>
        <v/>
      </c>
    </row>
    <row r="58" spans="1:13">
      <c r="A58" s="62"/>
      <c r="B58" s="63"/>
      <c r="C58" s="49" t="str">
        <f t="shared" si="8"/>
        <v/>
      </c>
      <c r="D58" s="49" t="str">
        <f t="shared" si="9"/>
        <v/>
      </c>
      <c r="E58" s="49" t="str">
        <f t="shared" si="15"/>
        <v/>
      </c>
      <c r="F58" s="49" t="str">
        <f t="shared" si="10"/>
        <v/>
      </c>
      <c r="G58" s="37"/>
      <c r="H58" s="56" t="str">
        <f t="shared" si="11"/>
        <v/>
      </c>
      <c r="I58" s="49" t="str">
        <f t="shared" si="12"/>
        <v/>
      </c>
      <c r="J58" s="47" t="str">
        <f t="shared" si="13"/>
        <v/>
      </c>
      <c r="K58" s="63"/>
      <c r="L58" s="67"/>
      <c r="M58" s="52" t="str">
        <f t="shared" si="14"/>
        <v/>
      </c>
    </row>
    <row r="59" spans="1:13">
      <c r="A59" s="62"/>
      <c r="B59" s="63"/>
      <c r="C59" s="49" t="str">
        <f t="shared" si="8"/>
        <v/>
      </c>
      <c r="D59" s="49" t="str">
        <f t="shared" si="9"/>
        <v/>
      </c>
      <c r="E59" s="49" t="str">
        <f t="shared" si="15"/>
        <v/>
      </c>
      <c r="F59" s="49" t="str">
        <f t="shared" si="10"/>
        <v/>
      </c>
      <c r="G59" s="37"/>
      <c r="H59" s="56" t="str">
        <f t="shared" si="11"/>
        <v/>
      </c>
      <c r="I59" s="49" t="str">
        <f t="shared" si="12"/>
        <v/>
      </c>
      <c r="J59" s="47" t="str">
        <f t="shared" si="13"/>
        <v/>
      </c>
      <c r="K59" s="63"/>
      <c r="L59" s="67"/>
      <c r="M59" s="52" t="str">
        <f t="shared" si="14"/>
        <v/>
      </c>
    </row>
    <row r="60" spans="1:13">
      <c r="A60" s="62"/>
      <c r="B60" s="63"/>
      <c r="C60" s="49" t="str">
        <f t="shared" si="8"/>
        <v/>
      </c>
      <c r="D60" s="49" t="str">
        <f t="shared" si="9"/>
        <v/>
      </c>
      <c r="E60" s="49" t="str">
        <f t="shared" si="15"/>
        <v/>
      </c>
      <c r="F60" s="49" t="str">
        <f t="shared" si="10"/>
        <v/>
      </c>
      <c r="G60" s="37"/>
      <c r="H60" s="56" t="str">
        <f t="shared" si="11"/>
        <v/>
      </c>
      <c r="I60" s="49" t="str">
        <f t="shared" si="12"/>
        <v/>
      </c>
      <c r="J60" s="47" t="str">
        <f t="shared" si="13"/>
        <v/>
      </c>
      <c r="K60" s="63"/>
      <c r="L60" s="67"/>
      <c r="M60" s="52" t="str">
        <f t="shared" si="14"/>
        <v/>
      </c>
    </row>
    <row r="61" spans="1:13">
      <c r="A61" s="62"/>
      <c r="B61" s="63"/>
      <c r="C61" s="49" t="str">
        <f t="shared" si="8"/>
        <v/>
      </c>
      <c r="D61" s="49" t="str">
        <f t="shared" si="9"/>
        <v/>
      </c>
      <c r="E61" s="49" t="str">
        <f t="shared" si="15"/>
        <v/>
      </c>
      <c r="F61" s="49" t="str">
        <f t="shared" si="10"/>
        <v/>
      </c>
      <c r="G61" s="37"/>
      <c r="H61" s="56" t="str">
        <f t="shared" si="11"/>
        <v/>
      </c>
      <c r="I61" s="49" t="str">
        <f t="shared" si="12"/>
        <v/>
      </c>
      <c r="J61" s="47" t="str">
        <f t="shared" si="13"/>
        <v/>
      </c>
      <c r="K61" s="63"/>
      <c r="L61" s="67"/>
      <c r="M61" s="52" t="str">
        <f t="shared" si="14"/>
        <v/>
      </c>
    </row>
    <row r="62" spans="1:13">
      <c r="A62" s="62"/>
      <c r="B62" s="63"/>
      <c r="C62" s="49" t="str">
        <f t="shared" si="8"/>
        <v/>
      </c>
      <c r="D62" s="49" t="str">
        <f t="shared" si="9"/>
        <v/>
      </c>
      <c r="E62" s="49" t="str">
        <f t="shared" si="15"/>
        <v/>
      </c>
      <c r="F62" s="49" t="str">
        <f t="shared" si="10"/>
        <v/>
      </c>
      <c r="G62" s="37"/>
      <c r="H62" s="56" t="str">
        <f t="shared" si="11"/>
        <v/>
      </c>
      <c r="I62" s="49" t="str">
        <f t="shared" si="12"/>
        <v/>
      </c>
      <c r="J62" s="47" t="str">
        <f t="shared" si="13"/>
        <v/>
      </c>
      <c r="K62" s="63"/>
      <c r="L62" s="67"/>
      <c r="M62" s="52" t="str">
        <f t="shared" si="14"/>
        <v/>
      </c>
    </row>
    <row r="63" spans="1:13">
      <c r="A63" s="62"/>
      <c r="B63" s="63"/>
      <c r="C63" s="49" t="str">
        <f t="shared" si="8"/>
        <v/>
      </c>
      <c r="D63" s="49" t="str">
        <f t="shared" si="9"/>
        <v/>
      </c>
      <c r="E63" s="49" t="str">
        <f t="shared" si="15"/>
        <v/>
      </c>
      <c r="F63" s="49" t="str">
        <f t="shared" si="10"/>
        <v/>
      </c>
      <c r="G63" s="37"/>
      <c r="H63" s="56" t="str">
        <f t="shared" si="11"/>
        <v/>
      </c>
      <c r="I63" s="49" t="str">
        <f t="shared" si="12"/>
        <v/>
      </c>
      <c r="J63" s="47" t="str">
        <f t="shared" si="13"/>
        <v/>
      </c>
      <c r="K63" s="63"/>
      <c r="L63" s="67"/>
      <c r="M63" s="52" t="str">
        <f t="shared" si="14"/>
        <v/>
      </c>
    </row>
    <row r="64" spans="1:13" ht="15.75" thickBot="1">
      <c r="A64" s="64"/>
      <c r="B64" s="65"/>
      <c r="C64" s="49" t="str">
        <f t="shared" si="8"/>
        <v/>
      </c>
      <c r="D64" s="49" t="str">
        <f t="shared" si="9"/>
        <v/>
      </c>
      <c r="E64" s="50" t="str">
        <f t="shared" si="15"/>
        <v/>
      </c>
      <c r="F64" s="50" t="str">
        <f t="shared" si="10"/>
        <v/>
      </c>
      <c r="G64" s="25"/>
      <c r="H64" s="57" t="str">
        <f t="shared" si="11"/>
        <v/>
      </c>
      <c r="I64" s="50" t="str">
        <f t="shared" si="12"/>
        <v/>
      </c>
      <c r="J64" s="48" t="str">
        <f t="shared" si="13"/>
        <v/>
      </c>
      <c r="K64" s="65"/>
      <c r="L64" s="68"/>
      <c r="M64" s="52" t="str">
        <f t="shared" si="14"/>
        <v/>
      </c>
    </row>
    <row r="65" spans="1:13" ht="15.75" thickBot="1">
      <c r="A65" s="23"/>
      <c r="B65" s="69">
        <f>SUM(B54:B64)</f>
        <v>0</v>
      </c>
      <c r="C65" s="36"/>
      <c r="D65" s="36"/>
      <c r="E65" s="48"/>
      <c r="F65" s="48" t="str">
        <f>IF(E46="","",SUM(F54:F64)/E46)</f>
        <v/>
      </c>
      <c r="G65" s="45"/>
      <c r="H65" s="23" t="s">
        <v>25</v>
      </c>
      <c r="I65" s="36"/>
      <c r="J65" s="36"/>
      <c r="K65" s="36"/>
      <c r="L65" s="45"/>
      <c r="M65" s="58">
        <f>SUM(M54:M64)</f>
        <v>0</v>
      </c>
    </row>
  </sheetData>
  <mergeCells count="9">
    <mergeCell ref="C1:G1"/>
    <mergeCell ref="A44:D44"/>
    <mergeCell ref="A18:E18"/>
    <mergeCell ref="A5:B5"/>
    <mergeCell ref="A7:D7"/>
    <mergeCell ref="A6:B6"/>
    <mergeCell ref="A8:C8"/>
    <mergeCell ref="A9:D9"/>
    <mergeCell ref="A10:D10"/>
  </mergeCells>
  <conditionalFormatting sqref="M54:M64">
    <cfRule type="expression" dxfId="4" priority="3">
      <formula>si+$M$54&lt;$B$54-10</formula>
    </cfRule>
    <cfRule type="expression" dxfId="3" priority="2">
      <formula>M54&lt;(B54-10)</formula>
    </cfRule>
  </conditionalFormatting>
  <conditionalFormatting sqref="M28:M38">
    <cfRule type="expression" dxfId="2" priority="1">
      <formula>M28&lt;(B28-10)</formula>
    </cfRule>
  </conditionalFormatting>
  <pageMargins left="0.19685039370078741" right="0.19685039370078741" top="0.19685039370078741" bottom="0.19685039370078741" header="0.31496062992125984" footer="0.31496062992125984"/>
  <pageSetup paperSize="9" orientation="landscape" r:id="rId1"/>
  <legacyDrawing r:id="rId2"/>
</worksheet>
</file>

<file path=xl/worksheets/sheet3.xml><?xml version="1.0" encoding="utf-8"?>
<worksheet xmlns="http://schemas.openxmlformats.org/spreadsheetml/2006/main" xmlns:r="http://schemas.openxmlformats.org/officeDocument/2006/relationships">
  <dimension ref="A5:W123"/>
  <sheetViews>
    <sheetView tabSelected="1" topLeftCell="H68" workbookViewId="0">
      <selection activeCell="S84" sqref="S84:S85"/>
    </sheetView>
  </sheetViews>
  <sheetFormatPr baseColWidth="10" defaultRowHeight="15"/>
  <cols>
    <col min="1" max="1" width="8" customWidth="1"/>
    <col min="2" max="2" width="8.5703125" customWidth="1"/>
    <col min="4" max="4" width="7.85546875" customWidth="1"/>
    <col min="5" max="5" width="10.85546875" customWidth="1"/>
    <col min="6" max="6" width="8.140625" customWidth="1"/>
    <col min="7" max="7" width="7.42578125" customWidth="1"/>
    <col min="8" max="8" width="8.7109375" customWidth="1"/>
    <col min="9" max="9" width="7.5703125" customWidth="1"/>
    <col min="10" max="10" width="9.140625" customWidth="1"/>
    <col min="11" max="11" width="10.28515625" customWidth="1"/>
    <col min="12" max="12" width="15.85546875" customWidth="1"/>
    <col min="13" max="13" width="7.7109375" customWidth="1"/>
    <col min="14" max="14" width="9.42578125" customWidth="1"/>
    <col min="15" max="15" width="10.140625" customWidth="1"/>
    <col min="17" max="17" width="15.42578125" customWidth="1"/>
    <col min="20" max="20" width="11.7109375" customWidth="1"/>
  </cols>
  <sheetData>
    <row r="5" spans="1:23">
      <c r="A5" s="131" t="s">
        <v>25</v>
      </c>
      <c r="B5" s="86"/>
      <c r="C5" s="86"/>
      <c r="D5" s="86"/>
      <c r="E5" s="86"/>
    </row>
    <row r="6" spans="1:23" ht="21">
      <c r="H6" s="207" t="s">
        <v>151</v>
      </c>
      <c r="I6" s="207"/>
      <c r="J6" s="207"/>
      <c r="K6" s="207"/>
      <c r="L6" s="207"/>
      <c r="M6" s="207"/>
    </row>
    <row r="7" spans="1:23" ht="15.75" thickBot="1"/>
    <row r="8" spans="1:23" ht="60.75" thickBot="1">
      <c r="A8" s="124" t="s">
        <v>130</v>
      </c>
      <c r="B8" s="125" t="s">
        <v>131</v>
      </c>
      <c r="C8" s="126" t="s">
        <v>129</v>
      </c>
      <c r="D8" s="125" t="s">
        <v>132</v>
      </c>
      <c r="E8" s="125" t="s">
        <v>134</v>
      </c>
      <c r="F8" s="127" t="s">
        <v>142</v>
      </c>
      <c r="G8" s="126" t="s">
        <v>139</v>
      </c>
      <c r="H8" s="125" t="s">
        <v>140</v>
      </c>
      <c r="I8" s="126" t="s">
        <v>133</v>
      </c>
      <c r="J8" s="125" t="s">
        <v>92</v>
      </c>
      <c r="K8" s="125" t="s">
        <v>135</v>
      </c>
      <c r="L8" s="126" t="s">
        <v>150</v>
      </c>
      <c r="M8" s="125" t="s">
        <v>136</v>
      </c>
      <c r="N8" s="127" t="s">
        <v>141</v>
      </c>
      <c r="O8" s="127" t="s">
        <v>138</v>
      </c>
      <c r="P8" s="128" t="s">
        <v>152</v>
      </c>
      <c r="Q8" s="127" t="s">
        <v>155</v>
      </c>
      <c r="R8" s="126" t="s">
        <v>153</v>
      </c>
      <c r="S8" s="126" t="s">
        <v>154</v>
      </c>
      <c r="T8" s="129" t="s">
        <v>143</v>
      </c>
      <c r="U8" s="129" t="s">
        <v>144</v>
      </c>
      <c r="V8" s="129" t="s">
        <v>145</v>
      </c>
      <c r="W8" s="130" t="s">
        <v>146</v>
      </c>
    </row>
    <row r="9" spans="1:23" ht="15.75" thickBot="1">
      <c r="A9" s="140"/>
      <c r="B9" s="141"/>
      <c r="C9" s="141"/>
      <c r="D9" s="141"/>
      <c r="E9" s="141"/>
      <c r="F9" s="141"/>
      <c r="G9" s="141"/>
      <c r="H9" s="141"/>
      <c r="I9" s="141"/>
      <c r="J9" s="141"/>
      <c r="K9" s="141"/>
      <c r="L9" s="141"/>
      <c r="M9" s="141"/>
      <c r="N9" s="141"/>
      <c r="O9" s="141"/>
      <c r="P9" s="137"/>
      <c r="Q9" s="137"/>
      <c r="R9" s="137"/>
      <c r="S9" s="137"/>
      <c r="T9" s="138"/>
      <c r="U9" s="138"/>
      <c r="V9" s="138"/>
      <c r="W9" s="139"/>
    </row>
    <row r="10" spans="1:23">
      <c r="A10" s="200">
        <v>1</v>
      </c>
      <c r="B10" s="192"/>
      <c r="C10" s="201"/>
      <c r="D10" s="202" t="str">
        <f t="shared" ref="D10:D62" si="0">IF(C10="nu",3,IF(C10="isole",4,IF(C10="","")))</f>
        <v/>
      </c>
      <c r="E10" s="197" t="str">
        <f>IF(OR(C10="",B10=""),"",VLOOKUP(B10,DN,D10,0))</f>
        <v/>
      </c>
      <c r="F10" s="198" t="str">
        <f t="shared" ref="F10:F62" si="1">IF(E10="","",E10*60)</f>
        <v/>
      </c>
      <c r="G10" s="192" t="s">
        <v>25</v>
      </c>
      <c r="H10" s="192" t="s">
        <v>25</v>
      </c>
      <c r="I10" s="202" t="str">
        <f t="shared" ref="I10:I62" si="2">G10&amp;H10</f>
        <v xml:space="preserve">  </v>
      </c>
      <c r="J10" s="192" t="s">
        <v>25</v>
      </c>
      <c r="K10" s="194" t="str">
        <f>IF(D10=3,INDEX('coef Fct'!fct,VLOOKUP(I10,tatr,2,0),VLOOKUP('deperd tuyauterie'!J10,ti,2,0)),IF(D10=4,INDEX(fcti,VLOOKUP(I10,tatr,2,0),VLOOKUP('deperd tuyauterie'!J10,tii,2,0)),IF(D10="","")))</f>
        <v/>
      </c>
      <c r="L10" s="196"/>
      <c r="M10" s="197" t="str">
        <f>IF(L10="","",VLOOKUP(L10,annexe!position,2,0))</f>
        <v/>
      </c>
      <c r="N10" s="192" t="s">
        <v>25</v>
      </c>
      <c r="O10" s="198" t="str">
        <f>IF(OR(M10="",K10=""),"",IF(M10="",F10*K10*N10,IF(N10&lt;&gt;"",F10*K10*M10*N10)))</f>
        <v/>
      </c>
      <c r="P10" s="199" t="str">
        <f>IF(OR(O10="",C10=""),"",(O10*0.86)/(G10-H10))</f>
        <v/>
      </c>
      <c r="Q10" s="132" t="s">
        <v>157</v>
      </c>
      <c r="R10" s="143"/>
      <c r="S10" s="175" t="s">
        <v>25</v>
      </c>
      <c r="T10" s="132"/>
      <c r="U10" s="132"/>
      <c r="V10" s="132"/>
      <c r="W10" s="133"/>
    </row>
    <row r="11" spans="1:23" ht="15.75" thickBot="1">
      <c r="A11" s="191"/>
      <c r="B11" s="176"/>
      <c r="C11" s="183"/>
      <c r="D11" s="176"/>
      <c r="E11" s="176"/>
      <c r="F11" s="176"/>
      <c r="G11" s="176"/>
      <c r="H11" s="176"/>
      <c r="I11" s="176"/>
      <c r="J11" s="176"/>
      <c r="K11" s="183"/>
      <c r="L11" s="183"/>
      <c r="M11" s="176"/>
      <c r="N11" s="176"/>
      <c r="O11" s="176"/>
      <c r="P11" s="176"/>
      <c r="Q11" s="134" t="s">
        <v>158</v>
      </c>
      <c r="R11" s="144"/>
      <c r="S11" s="176"/>
      <c r="T11" s="134"/>
      <c r="U11" s="134"/>
      <c r="V11" s="134"/>
      <c r="W11" s="135"/>
    </row>
    <row r="12" spans="1:23">
      <c r="A12" s="200">
        <v>2</v>
      </c>
      <c r="B12" s="192"/>
      <c r="C12" s="201"/>
      <c r="D12" s="202" t="str">
        <f t="shared" si="0"/>
        <v/>
      </c>
      <c r="E12" s="197" t="str">
        <f>IF(OR(C12="",B12=""),"",VLOOKUP(B12,DN,D12,0))</f>
        <v/>
      </c>
      <c r="F12" s="198" t="str">
        <f t="shared" si="1"/>
        <v/>
      </c>
      <c r="G12" s="192" t="s">
        <v>25</v>
      </c>
      <c r="H12" s="192" t="s">
        <v>25</v>
      </c>
      <c r="I12" s="202" t="str">
        <f t="shared" si="2"/>
        <v xml:space="preserve">  </v>
      </c>
      <c r="J12" s="192" t="s">
        <v>25</v>
      </c>
      <c r="K12" s="194" t="str">
        <f>IF(D12=3,INDEX('coef Fct'!fct,VLOOKUP(I12,tatr,2,0),VLOOKUP('deperd tuyauterie'!J12,ti,2,0)),IF(D12=4,INDEX(fcti,VLOOKUP(I12,tatr,2,0),VLOOKUP('deperd tuyauterie'!J12,tii,2,0)),IF(D12="","")))</f>
        <v/>
      </c>
      <c r="L12" s="196"/>
      <c r="M12" s="197" t="str">
        <f>IF(L12="","",VLOOKUP(L12,annexe!position,2,0))</f>
        <v/>
      </c>
      <c r="N12" s="192" t="s">
        <v>25</v>
      </c>
      <c r="O12" s="198" t="str">
        <f t="shared" ref="O12" si="3">IF(OR(M12="",K12=""),"",IF(M12="",F12*K12*N12,IF(N12&lt;&gt;"",F12*K12*M12*N12)))</f>
        <v/>
      </c>
      <c r="P12" s="199" t="str">
        <f t="shared" ref="P12" si="4">IF(OR(O12="",C12=""),"",(O12*0.86)/(G12-H12))</f>
        <v/>
      </c>
      <c r="Q12" s="132" t="s">
        <v>157</v>
      </c>
      <c r="R12" s="143" t="s">
        <v>25</v>
      </c>
      <c r="S12" s="175" t="s">
        <v>25</v>
      </c>
      <c r="T12" s="132"/>
      <c r="U12" s="132"/>
      <c r="V12" s="132"/>
      <c r="W12" s="133"/>
    </row>
    <row r="13" spans="1:23" ht="15.75" thickBot="1">
      <c r="A13" s="191"/>
      <c r="B13" s="176"/>
      <c r="C13" s="183"/>
      <c r="D13" s="176"/>
      <c r="E13" s="176"/>
      <c r="F13" s="176"/>
      <c r="G13" s="176"/>
      <c r="H13" s="176"/>
      <c r="I13" s="176"/>
      <c r="J13" s="176"/>
      <c r="K13" s="183"/>
      <c r="L13" s="183"/>
      <c r="M13" s="176"/>
      <c r="N13" s="176"/>
      <c r="O13" s="176"/>
      <c r="P13" s="176"/>
      <c r="Q13" s="134" t="s">
        <v>158</v>
      </c>
      <c r="R13" s="144" t="s">
        <v>25</v>
      </c>
      <c r="S13" s="176"/>
      <c r="T13" s="134"/>
      <c r="U13" s="134"/>
      <c r="V13" s="134"/>
      <c r="W13" s="135"/>
    </row>
    <row r="14" spans="1:23">
      <c r="A14" s="200">
        <v>3</v>
      </c>
      <c r="B14" s="192"/>
      <c r="C14" s="201"/>
      <c r="D14" s="202" t="str">
        <f t="shared" si="0"/>
        <v/>
      </c>
      <c r="E14" s="197" t="str">
        <f>IF(OR(C14="",B14=""),"",VLOOKUP(B14,DN,D14,0))</f>
        <v/>
      </c>
      <c r="F14" s="198" t="str">
        <f t="shared" si="1"/>
        <v/>
      </c>
      <c r="G14" s="192" t="s">
        <v>25</v>
      </c>
      <c r="H14" s="192" t="s">
        <v>25</v>
      </c>
      <c r="I14" s="202" t="str">
        <f t="shared" si="2"/>
        <v xml:space="preserve">  </v>
      </c>
      <c r="J14" s="192" t="s">
        <v>25</v>
      </c>
      <c r="K14" s="194" t="str">
        <f>IF(D14=3,INDEX('coef Fct'!fct,VLOOKUP(I14,tatr,2,0),VLOOKUP('deperd tuyauterie'!J14,ti,2,0)),IF(D14=4,INDEX(fcti,VLOOKUP(I14,tatr,2,0),VLOOKUP('deperd tuyauterie'!J14,tii,2,0)),IF(D14="","")))</f>
        <v/>
      </c>
      <c r="L14" s="196"/>
      <c r="M14" s="197" t="str">
        <f>IF(L14="","",VLOOKUP(L14,annexe!position,2,0))</f>
        <v/>
      </c>
      <c r="N14" s="192" t="s">
        <v>25</v>
      </c>
      <c r="O14" s="198" t="str">
        <f t="shared" ref="O14" si="5">IF(OR(M14="",K14=""),"",IF(M14="",F14*K14*N14,IF(N14&lt;&gt;"",F14*K14*M14*N14)))</f>
        <v/>
      </c>
      <c r="P14" s="199" t="str">
        <f t="shared" ref="P14" si="6">IF(OR(O14="",C14=""),"",(O14*0.86)/(G14-H14))</f>
        <v/>
      </c>
      <c r="Q14" s="132" t="s">
        <v>157</v>
      </c>
      <c r="R14" s="143" t="s">
        <v>25</v>
      </c>
      <c r="S14" s="175">
        <f>IF(ISERROR(S16+R14),0,S16+R14)</f>
        <v>0</v>
      </c>
      <c r="T14" s="204"/>
      <c r="U14" s="132"/>
      <c r="V14" s="132"/>
      <c r="W14" s="133"/>
    </row>
    <row r="15" spans="1:23" ht="15.75" thickBot="1">
      <c r="A15" s="191"/>
      <c r="B15" s="176"/>
      <c r="C15" s="183"/>
      <c r="D15" s="176"/>
      <c r="E15" s="176"/>
      <c r="F15" s="176"/>
      <c r="G15" s="176"/>
      <c r="H15" s="176"/>
      <c r="I15" s="176"/>
      <c r="J15" s="176"/>
      <c r="K15" s="183"/>
      <c r="L15" s="183"/>
      <c r="M15" s="176"/>
      <c r="N15" s="176"/>
      <c r="O15" s="176"/>
      <c r="P15" s="176"/>
      <c r="Q15" s="134" t="s">
        <v>158</v>
      </c>
      <c r="R15" s="144" t="s">
        <v>25</v>
      </c>
      <c r="S15" s="176"/>
      <c r="T15" s="205"/>
      <c r="U15" s="134"/>
      <c r="V15" s="134"/>
      <c r="W15" s="135"/>
    </row>
    <row r="16" spans="1:23">
      <c r="A16" s="200">
        <v>4</v>
      </c>
      <c r="B16" s="192" t="s">
        <v>114</v>
      </c>
      <c r="C16" s="201" t="s">
        <v>127</v>
      </c>
      <c r="D16" s="202">
        <f t="shared" si="0"/>
        <v>3</v>
      </c>
      <c r="E16" s="197">
        <f>IF(OR(C16="",B16=""),"",VLOOKUP(B16,DN,D16,0))</f>
        <v>2.33</v>
      </c>
      <c r="F16" s="198">
        <f t="shared" si="1"/>
        <v>139.80000000000001</v>
      </c>
      <c r="G16" s="192">
        <v>90</v>
      </c>
      <c r="H16" s="192">
        <v>70</v>
      </c>
      <c r="I16" s="202" t="str">
        <f t="shared" si="2"/>
        <v>9070</v>
      </c>
      <c r="J16" s="192">
        <v>10</v>
      </c>
      <c r="K16" s="194">
        <f>IF(D16=3,INDEX('coef Fct'!fct,VLOOKUP(I16,tatr,2,0),VLOOKUP('deperd tuyauterie'!J16,ti,2,0)),IF(D16=4,INDEX(fcti,VLOOKUP(I16,tatr,2,0),VLOOKUP('deperd tuyauterie'!J16,tii,2,0)),IF(D16="","")))</f>
        <v>1.1739999999999999</v>
      </c>
      <c r="L16" s="196" t="s">
        <v>147</v>
      </c>
      <c r="M16" s="197">
        <f>IF(L16="","",VLOOKUP(L16,annexe!position,2,0))</f>
        <v>0.75</v>
      </c>
      <c r="N16" s="192">
        <v>16</v>
      </c>
      <c r="O16" s="198">
        <f t="shared" ref="O16" si="7">IF(OR(M16="",K16=""),"",IF(M16="",F16*K16*N16,IF(N16&lt;&gt;"",F16*K16*M16*N16)))</f>
        <v>1969.5024000000001</v>
      </c>
      <c r="P16" s="199">
        <f t="shared" ref="P16" si="8">IF(OR(O16="",C16=""),"",(O16*0.86)/(G16-H16))</f>
        <v>84.688603200000003</v>
      </c>
      <c r="Q16" s="132" t="s">
        <v>157</v>
      </c>
      <c r="R16" s="143">
        <v>930</v>
      </c>
      <c r="S16" s="175">
        <f>IF(ISERROR(S18+R16),0,S18+R16)</f>
        <v>3330</v>
      </c>
      <c r="T16" s="206">
        <f>IF(AND(T18="",R17=""),P16+R16+S16,P16+R16)</f>
        <v>1014.6886032</v>
      </c>
      <c r="U16" s="132"/>
      <c r="V16" s="132"/>
      <c r="W16" s="133"/>
    </row>
    <row r="17" spans="1:23" ht="15" customHeight="1" thickBot="1">
      <c r="A17" s="191"/>
      <c r="B17" s="176"/>
      <c r="C17" s="183"/>
      <c r="D17" s="176"/>
      <c r="E17" s="176"/>
      <c r="F17" s="176"/>
      <c r="G17" s="176"/>
      <c r="H17" s="176"/>
      <c r="I17" s="176"/>
      <c r="J17" s="176"/>
      <c r="K17" s="183"/>
      <c r="L17" s="183"/>
      <c r="M17" s="176"/>
      <c r="N17" s="176"/>
      <c r="O17" s="176"/>
      <c r="P17" s="176"/>
      <c r="Q17" s="134" t="s">
        <v>158</v>
      </c>
      <c r="R17" s="144">
        <v>180</v>
      </c>
      <c r="S17" s="176"/>
      <c r="T17" s="205"/>
      <c r="U17" s="134"/>
      <c r="V17" s="134"/>
      <c r="W17" s="135"/>
    </row>
    <row r="18" spans="1:23">
      <c r="A18" s="200">
        <v>5</v>
      </c>
      <c r="B18" s="192" t="s">
        <v>137</v>
      </c>
      <c r="C18" s="201" t="s">
        <v>128</v>
      </c>
      <c r="D18" s="202">
        <f t="shared" si="0"/>
        <v>4</v>
      </c>
      <c r="E18" s="197">
        <f>IF(OR(C18="",B18=""),"",VLOOKUP(B18,DN,D18,0))</f>
        <v>0.33</v>
      </c>
      <c r="F18" s="198">
        <f t="shared" si="1"/>
        <v>19.8</v>
      </c>
      <c r="G18" s="192">
        <v>90</v>
      </c>
      <c r="H18" s="192">
        <v>70</v>
      </c>
      <c r="I18" s="202" t="str">
        <f t="shared" si="2"/>
        <v>9070</v>
      </c>
      <c r="J18" s="192">
        <v>7</v>
      </c>
      <c r="K18" s="194">
        <f>IF(D18=3,INDEX('coef Fct'!fct,VLOOKUP(I18,tatr,2,0),VLOOKUP('deperd tuyauterie'!J18,ti,2,0)),IF(D18=4,INDEX(fcti,VLOOKUP(I18,tatr,2,0),VLOOKUP('deperd tuyauterie'!J18,tii,2,0)),IF(D18="","")))</f>
        <v>1.2170000000000001</v>
      </c>
      <c r="L18" s="196" t="s">
        <v>147</v>
      </c>
      <c r="M18" s="197">
        <f>IF(L18="","",VLOOKUP(L18,annexe!position,2,0))</f>
        <v>0.75</v>
      </c>
      <c r="N18" s="192">
        <v>16</v>
      </c>
      <c r="O18" s="198">
        <f t="shared" ref="O18" si="9">IF(OR(M18="",K18=""),"",IF(M18="",F18*K18*N18,IF(N18&lt;&gt;"",F18*K18*M18*N18)))</f>
        <v>289.15920000000006</v>
      </c>
      <c r="P18" s="199">
        <f t="shared" ref="P18" si="10">IF(OR(O18="",C18=""),"",(O18*0.86)/(G18-H18))</f>
        <v>12.433845600000001</v>
      </c>
      <c r="Q18" s="132" t="s">
        <v>157</v>
      </c>
      <c r="R18" s="143">
        <v>1300</v>
      </c>
      <c r="S18" s="175">
        <f>IF(ISERROR(S20+R18),0,S20+R18)</f>
        <v>2400</v>
      </c>
      <c r="T18" s="206">
        <f>IF(AND(T20="",R19=""),P18+R18+S18,P18+R18)</f>
        <v>1312.4338456</v>
      </c>
      <c r="U18" s="132"/>
      <c r="V18" s="132"/>
      <c r="W18" s="133"/>
    </row>
    <row r="19" spans="1:23" ht="15.75" thickBot="1">
      <c r="A19" s="191"/>
      <c r="B19" s="176"/>
      <c r="C19" s="183"/>
      <c r="D19" s="176"/>
      <c r="E19" s="176"/>
      <c r="F19" s="176"/>
      <c r="G19" s="176"/>
      <c r="H19" s="176"/>
      <c r="I19" s="176"/>
      <c r="J19" s="176"/>
      <c r="K19" s="183"/>
      <c r="L19" s="183"/>
      <c r="M19" s="176"/>
      <c r="N19" s="176"/>
      <c r="O19" s="176"/>
      <c r="P19" s="176"/>
      <c r="Q19" s="134" t="s">
        <v>158</v>
      </c>
      <c r="R19" s="144">
        <v>210</v>
      </c>
      <c r="S19" s="176"/>
      <c r="T19" s="205"/>
      <c r="U19" s="134"/>
      <c r="V19" s="134"/>
      <c r="W19" s="135"/>
    </row>
    <row r="20" spans="1:23">
      <c r="A20" s="200">
        <v>6</v>
      </c>
      <c r="B20" s="192" t="s">
        <v>112</v>
      </c>
      <c r="C20" s="201" t="s">
        <v>128</v>
      </c>
      <c r="D20" s="202">
        <f t="shared" si="0"/>
        <v>4</v>
      </c>
      <c r="E20" s="197">
        <f>IF(OR(C20="",B20=""),"",VLOOKUP(B20,DN,D20,0))</f>
        <v>0.33</v>
      </c>
      <c r="F20" s="198">
        <f t="shared" si="1"/>
        <v>19.8</v>
      </c>
      <c r="G20" s="192">
        <v>90</v>
      </c>
      <c r="H20" s="192">
        <v>70</v>
      </c>
      <c r="I20" s="202" t="str">
        <f t="shared" si="2"/>
        <v>9070</v>
      </c>
      <c r="J20" s="192">
        <v>7</v>
      </c>
      <c r="K20" s="194">
        <f>IF(D20=3,INDEX('coef Fct'!fct,VLOOKUP(I20,tatr,2,0),VLOOKUP('deperd tuyauterie'!J20,ti,2,0)),IF(D20=4,INDEX(fcti,VLOOKUP(I20,tatr,2,0),VLOOKUP('deperd tuyauterie'!J20,tii,2,0)),IF(D20="","")))</f>
        <v>1.2170000000000001</v>
      </c>
      <c r="L20" s="196" t="s">
        <v>147</v>
      </c>
      <c r="M20" s="197">
        <f>IF(L20="","",VLOOKUP(L20,annexe!position,2,0))</f>
        <v>0.75</v>
      </c>
      <c r="N20" s="192">
        <v>28</v>
      </c>
      <c r="O20" s="198">
        <f t="shared" ref="O20" si="11">IF(OR(M20="",K20=""),"",IF(M20="",F20*K20*N20,IF(N20&lt;&gt;"",F20*K20*M20*N20)))</f>
        <v>506.0286000000001</v>
      </c>
      <c r="P20" s="199">
        <f t="shared" ref="P20" si="12">IF(OR(O20="",C20=""),"",(O20*0.86)/(G20-H20))</f>
        <v>21.759229800000004</v>
      </c>
      <c r="Q20" s="132" t="s">
        <v>157</v>
      </c>
      <c r="R20" s="143">
        <v>750</v>
      </c>
      <c r="S20" s="175">
        <f>IF(ISERROR(S22+R20),0,S22+R20)</f>
        <v>1100</v>
      </c>
      <c r="T20" s="206">
        <f>IF(AND(T22="",R21=""),P20+R20+S20,P20+R20)</f>
        <v>771.75922979999996</v>
      </c>
      <c r="U20" s="132"/>
      <c r="V20" s="132"/>
      <c r="W20" s="133"/>
    </row>
    <row r="21" spans="1:23" ht="15.75" thickBot="1">
      <c r="A21" s="191"/>
      <c r="B21" s="176"/>
      <c r="C21" s="183"/>
      <c r="D21" s="176"/>
      <c r="E21" s="176"/>
      <c r="F21" s="176"/>
      <c r="G21" s="176"/>
      <c r="H21" s="176"/>
      <c r="I21" s="176"/>
      <c r="J21" s="176"/>
      <c r="K21" s="183"/>
      <c r="L21" s="183"/>
      <c r="M21" s="176"/>
      <c r="N21" s="176"/>
      <c r="O21" s="176"/>
      <c r="P21" s="176"/>
      <c r="Q21" s="134" t="s">
        <v>158</v>
      </c>
      <c r="R21" s="144">
        <v>120</v>
      </c>
      <c r="S21" s="176"/>
      <c r="T21" s="205"/>
      <c r="U21" s="134"/>
      <c r="V21" s="134"/>
      <c r="W21" s="135"/>
    </row>
    <row r="22" spans="1:23">
      <c r="A22" s="200">
        <v>7</v>
      </c>
      <c r="B22" s="192" t="s">
        <v>111</v>
      </c>
      <c r="C22" s="201" t="s">
        <v>127</v>
      </c>
      <c r="D22" s="202">
        <f t="shared" si="0"/>
        <v>3</v>
      </c>
      <c r="E22" s="197">
        <f>IF(OR(C22="",B22=""),"",VLOOKUP(B22,DN,D22,0))</f>
        <v>1.22</v>
      </c>
      <c r="F22" s="198">
        <f t="shared" si="1"/>
        <v>73.2</v>
      </c>
      <c r="G22" s="192">
        <v>90</v>
      </c>
      <c r="H22" s="192">
        <v>70</v>
      </c>
      <c r="I22" s="202" t="str">
        <f t="shared" si="2"/>
        <v>9070</v>
      </c>
      <c r="J22" s="192">
        <v>15</v>
      </c>
      <c r="K22" s="194">
        <f>IF(D22=3,INDEX('coef Fct'!fct,VLOOKUP(I22,tatr,2,0),VLOOKUP('deperd tuyauterie'!J22,ti,2,0)),IF(D22=4,INDEX(fcti,VLOOKUP(I22,tatr,2,0),VLOOKUP('deperd tuyauterie'!J22,tii,2,0)),IF(D22="","")))</f>
        <v>1.0860000000000001</v>
      </c>
      <c r="L22" s="196" t="s">
        <v>147</v>
      </c>
      <c r="M22" s="197">
        <f>IF(L22="","",VLOOKUP(L22,annexe!position,2,0))</f>
        <v>0.75</v>
      </c>
      <c r="N22" s="192">
        <v>18</v>
      </c>
      <c r="O22" s="198">
        <f t="shared" ref="O22" si="13">IF(OR(M22="",K22=""),"",IF(M22="",F22*K22*N22,IF(N22&lt;&gt;"",F22*K22*M22*N22)))</f>
        <v>1073.1852000000001</v>
      </c>
      <c r="P22" s="199">
        <f t="shared" ref="P22" si="14">IF(OR(O22="",C22=""),"",(O22*0.86)/(G22-H22))</f>
        <v>46.146963600000007</v>
      </c>
      <c r="Q22" s="132" t="s">
        <v>157</v>
      </c>
      <c r="R22" s="143">
        <v>150</v>
      </c>
      <c r="S22" s="175">
        <f>IF(ISERROR(S24+R22),0,S24+R22)</f>
        <v>350</v>
      </c>
      <c r="T22" s="206">
        <f>IF(AND(T24="",R23=""),P22+R22+S22,P22+R22)</f>
        <v>196.14696359999999</v>
      </c>
      <c r="U22" s="132"/>
      <c r="V22" s="132"/>
      <c r="W22" s="133"/>
    </row>
    <row r="23" spans="1:23" ht="15.75" thickBot="1">
      <c r="A23" s="191"/>
      <c r="B23" s="176"/>
      <c r="C23" s="183"/>
      <c r="D23" s="176"/>
      <c r="E23" s="176"/>
      <c r="F23" s="176"/>
      <c r="G23" s="176"/>
      <c r="H23" s="176"/>
      <c r="I23" s="176"/>
      <c r="J23" s="176"/>
      <c r="K23" s="183"/>
      <c r="L23" s="183"/>
      <c r="M23" s="176"/>
      <c r="N23" s="176"/>
      <c r="O23" s="176"/>
      <c r="P23" s="176"/>
      <c r="Q23" s="134" t="s">
        <v>158</v>
      </c>
      <c r="R23" s="144">
        <v>18</v>
      </c>
      <c r="S23" s="176"/>
      <c r="T23" s="205"/>
      <c r="U23" s="134"/>
      <c r="V23" s="134"/>
      <c r="W23" s="135"/>
    </row>
    <row r="24" spans="1:23">
      <c r="A24" s="200">
        <v>8</v>
      </c>
      <c r="B24" s="192" t="s">
        <v>112</v>
      </c>
      <c r="C24" s="201" t="s">
        <v>127</v>
      </c>
      <c r="D24" s="202">
        <f t="shared" si="0"/>
        <v>3</v>
      </c>
      <c r="E24" s="197">
        <f>IF(OR(C24="",B24=""),"",VLOOKUP(B24,DN,D24,0))</f>
        <v>1.48</v>
      </c>
      <c r="F24" s="198">
        <f t="shared" si="1"/>
        <v>88.8</v>
      </c>
      <c r="G24" s="192">
        <v>90</v>
      </c>
      <c r="H24" s="192">
        <v>70</v>
      </c>
      <c r="I24" s="202" t="str">
        <f t="shared" si="2"/>
        <v>9070</v>
      </c>
      <c r="J24" s="192">
        <v>20</v>
      </c>
      <c r="K24" s="194">
        <f>IF(D24=3,INDEX('coef Fct'!fct,VLOOKUP(I24,tatr,2,0),VLOOKUP('deperd tuyauterie'!J24,ti,2,0)),IF(D24=4,INDEX(fcti,VLOOKUP(I24,tatr,2,0),VLOOKUP('deperd tuyauterie'!J24,tii,2,0)),IF(D24="","")))</f>
        <v>1</v>
      </c>
      <c r="L24" s="196" t="s">
        <v>149</v>
      </c>
      <c r="M24" s="197">
        <f>IF(L24="","",VLOOKUP(L24,annexe!position,2,0))</f>
        <v>0.9</v>
      </c>
      <c r="N24" s="192">
        <v>6</v>
      </c>
      <c r="O24" s="198">
        <f t="shared" ref="O24" si="15">IF(OR(M24="",K24=""),"",IF(M24="",F24*K24*N24,IF(N24&lt;&gt;"",F24*K24*M24*N24)))</f>
        <v>479.52</v>
      </c>
      <c r="P24" s="199">
        <f t="shared" ref="P24" si="16">IF(OR(O24="",C24=""),"",(O24*0.86)/(G24-H24))</f>
        <v>20.619359999999997</v>
      </c>
      <c r="Q24" s="132" t="s">
        <v>157</v>
      </c>
      <c r="R24" s="143">
        <v>100</v>
      </c>
      <c r="S24" s="175">
        <f>IF(ISERROR(S26+R24),0,S26+R24)</f>
        <v>200</v>
      </c>
      <c r="T24" s="206">
        <f>IF(AND(T26="",R25=""),P24+R24+S24,P24+R24)</f>
        <v>120.61936</v>
      </c>
      <c r="U24" s="132"/>
      <c r="V24" s="132"/>
      <c r="W24" s="133"/>
    </row>
    <row r="25" spans="1:23" ht="15.75" thickBot="1">
      <c r="A25" s="191"/>
      <c r="B25" s="176"/>
      <c r="C25" s="183"/>
      <c r="D25" s="176"/>
      <c r="E25" s="176"/>
      <c r="F25" s="176"/>
      <c r="G25" s="176"/>
      <c r="H25" s="176"/>
      <c r="I25" s="176"/>
      <c r="J25" s="176"/>
      <c r="K25" s="183"/>
      <c r="L25" s="183"/>
      <c r="M25" s="176"/>
      <c r="N25" s="176"/>
      <c r="O25" s="176"/>
      <c r="P25" s="176"/>
      <c r="Q25" s="134" t="s">
        <v>158</v>
      </c>
      <c r="R25" s="144">
        <v>15</v>
      </c>
      <c r="S25" s="176"/>
      <c r="T25" s="205"/>
      <c r="U25" s="134"/>
      <c r="V25" s="134"/>
      <c r="W25" s="135"/>
    </row>
    <row r="26" spans="1:23">
      <c r="A26" s="200">
        <v>9</v>
      </c>
      <c r="B26" s="192" t="s">
        <v>109</v>
      </c>
      <c r="C26" s="201" t="s">
        <v>127</v>
      </c>
      <c r="D26" s="202">
        <f t="shared" si="0"/>
        <v>3</v>
      </c>
      <c r="E26" s="197">
        <f>IF(OR(C26="",B26=""),"",VLOOKUP(B26,DN,D26,0))</f>
        <v>0.82</v>
      </c>
      <c r="F26" s="198">
        <f t="shared" si="1"/>
        <v>49.199999999999996</v>
      </c>
      <c r="G26" s="192">
        <v>90</v>
      </c>
      <c r="H26" s="192">
        <v>70</v>
      </c>
      <c r="I26" s="202" t="str">
        <f t="shared" si="2"/>
        <v>9070</v>
      </c>
      <c r="J26" s="192">
        <v>20</v>
      </c>
      <c r="K26" s="194">
        <f>IF(D26=3,INDEX('coef Fct'!fct,VLOOKUP(I26,tatr,2,0),VLOOKUP('deperd tuyauterie'!J26,ti,2,0)),IF(D26=4,INDEX(fcti,VLOOKUP(I26,tatr,2,0),VLOOKUP('deperd tuyauterie'!J26,tii,2,0)),IF(D26="","")))</f>
        <v>1</v>
      </c>
      <c r="L26" s="196" t="s">
        <v>149</v>
      </c>
      <c r="M26" s="197">
        <f>IF(L26="","",VLOOKUP(L26,annexe!position,2,0))</f>
        <v>0.9</v>
      </c>
      <c r="N26" s="192">
        <v>10</v>
      </c>
      <c r="O26" s="198">
        <f t="shared" ref="O26" si="17">IF(OR(M26="",K26=""),"",IF(M26="",F26*K26*N26,IF(N26&lt;&gt;"",F26*K26*M26*N26)))</f>
        <v>442.79999999999995</v>
      </c>
      <c r="P26" s="199">
        <f t="shared" ref="P26" si="18">IF(OR(O26="",C26=""),"",(O26*0.86)/(G26-H26))</f>
        <v>19.040399999999998</v>
      </c>
      <c r="Q26" s="132" t="s">
        <v>157</v>
      </c>
      <c r="R26" s="143">
        <v>100</v>
      </c>
      <c r="S26" s="175">
        <f>IF(ISERROR(S28+R26),0,S28+R26)</f>
        <v>100</v>
      </c>
      <c r="T26" s="206">
        <f>IF(AND(T28="",R27=""),P26+R26+S26,P26+R26)</f>
        <v>119.04040000000001</v>
      </c>
      <c r="U26" s="132"/>
      <c r="V26" s="132"/>
      <c r="W26" s="133"/>
    </row>
    <row r="27" spans="1:23" ht="15.75" thickBot="1">
      <c r="A27" s="191"/>
      <c r="B27" s="176"/>
      <c r="C27" s="183"/>
      <c r="D27" s="176"/>
      <c r="E27" s="176"/>
      <c r="F27" s="176"/>
      <c r="G27" s="176"/>
      <c r="H27" s="176"/>
      <c r="I27" s="176"/>
      <c r="J27" s="176"/>
      <c r="K27" s="183"/>
      <c r="L27" s="183"/>
      <c r="M27" s="176"/>
      <c r="N27" s="176"/>
      <c r="O27" s="176"/>
      <c r="P27" s="176"/>
      <c r="Q27" s="134" t="s">
        <v>158</v>
      </c>
      <c r="R27" s="145" t="s">
        <v>156</v>
      </c>
      <c r="S27" s="176"/>
      <c r="T27" s="205"/>
      <c r="U27" s="134"/>
      <c r="V27" s="134"/>
      <c r="W27" s="135"/>
    </row>
    <row r="28" spans="1:23">
      <c r="A28" s="200">
        <v>10</v>
      </c>
      <c r="B28" s="192"/>
      <c r="C28" s="201"/>
      <c r="D28" s="202" t="str">
        <f t="shared" si="0"/>
        <v/>
      </c>
      <c r="E28" s="197" t="str">
        <f>IF(OR(C28="",B28=""),"",VLOOKUP(B28,DN,D28,0))</f>
        <v/>
      </c>
      <c r="F28" s="198" t="str">
        <f t="shared" si="1"/>
        <v/>
      </c>
      <c r="G28" s="192" t="s">
        <v>25</v>
      </c>
      <c r="H28" s="192" t="s">
        <v>25</v>
      </c>
      <c r="I28" s="202" t="str">
        <f t="shared" si="2"/>
        <v xml:space="preserve">  </v>
      </c>
      <c r="J28" s="192">
        <v>5</v>
      </c>
      <c r="K28" s="194" t="str">
        <f>IF(D28=3,INDEX('coef Fct'!fct,VLOOKUP(I28,tatr,2,0),VLOOKUP('deperd tuyauterie'!J28,ti,2,0)),IF(D28=4,INDEX(fcti,VLOOKUP(I28,tatr,2,0),VLOOKUP('deperd tuyauterie'!J28,tii,2,0)),IF(D28="","")))</f>
        <v/>
      </c>
      <c r="L28" s="196"/>
      <c r="M28" s="197" t="str">
        <f>IF(L28="","",VLOOKUP(L28,annexe!position,2,0))</f>
        <v/>
      </c>
      <c r="N28" s="192">
        <v>36</v>
      </c>
      <c r="O28" s="198" t="str">
        <f t="shared" ref="O28" si="19">IF(OR(M28="",K28=""),"",IF(M28="",F28*K28*N28,IF(N28&lt;&gt;"",F28*K28*M28*N28)))</f>
        <v/>
      </c>
      <c r="P28" s="199" t="str">
        <f t="shared" ref="P28" si="20">IF(OR(O28="",C28=""),"",(O28*0.86)/(G28-H28))</f>
        <v/>
      </c>
      <c r="Q28" s="132" t="s">
        <v>157</v>
      </c>
      <c r="R28" s="146" t="s">
        <v>25</v>
      </c>
      <c r="S28" s="175">
        <f>IF(ISERROR(S30+R28),0,S30+R28)</f>
        <v>0</v>
      </c>
      <c r="T28" s="204" t="s">
        <v>25</v>
      </c>
      <c r="U28" s="132"/>
      <c r="V28" s="132"/>
      <c r="W28" s="133"/>
    </row>
    <row r="29" spans="1:23" ht="15.75" thickBot="1">
      <c r="A29" s="203"/>
      <c r="B29" s="193"/>
      <c r="C29" s="195"/>
      <c r="D29" s="193"/>
      <c r="E29" s="193"/>
      <c r="F29" s="193"/>
      <c r="G29" s="193"/>
      <c r="H29" s="193"/>
      <c r="I29" s="193"/>
      <c r="J29" s="193"/>
      <c r="K29" s="195"/>
      <c r="L29" s="195"/>
      <c r="M29" s="193"/>
      <c r="N29" s="193"/>
      <c r="O29" s="193"/>
      <c r="P29" s="193"/>
      <c r="Q29" s="136" t="s">
        <v>158</v>
      </c>
      <c r="R29" s="147" t="s">
        <v>25</v>
      </c>
      <c r="S29" s="176"/>
      <c r="T29" s="205"/>
      <c r="U29" s="136"/>
      <c r="V29" s="136"/>
      <c r="W29" s="142"/>
    </row>
    <row r="30" spans="1:23" ht="15.75" thickBot="1">
      <c r="A30" s="200">
        <v>11</v>
      </c>
      <c r="B30" s="192"/>
      <c r="C30" s="201"/>
      <c r="D30" s="202" t="str">
        <f t="shared" si="0"/>
        <v/>
      </c>
      <c r="E30" s="197" t="str">
        <f>IF(OR(C30="",B30=""),"",VLOOKUP(B30,DN,D30,0))</f>
        <v/>
      </c>
      <c r="F30" s="198" t="str">
        <f t="shared" si="1"/>
        <v/>
      </c>
      <c r="G30" s="192" t="s">
        <v>25</v>
      </c>
      <c r="H30" s="192" t="s">
        <v>25</v>
      </c>
      <c r="I30" s="202" t="str">
        <f t="shared" si="2"/>
        <v xml:space="preserve">  </v>
      </c>
      <c r="J30" s="192">
        <v>15</v>
      </c>
      <c r="K30" s="194" t="str">
        <f>IF(D30=3,INDEX('coef Fct'!fct,VLOOKUP(I30,tatr,2,0),VLOOKUP('deperd tuyauterie'!J30,ti,2,0)),IF(D30=4,INDEX(fcti,VLOOKUP(I30,tatr,2,0),VLOOKUP('deperd tuyauterie'!J30,tii,2,0)),IF(D30="","")))</f>
        <v/>
      </c>
      <c r="L30" s="196"/>
      <c r="M30" s="197" t="str">
        <f>IF(L30="","",VLOOKUP(L30,annexe!position,2,0))</f>
        <v/>
      </c>
      <c r="N30" s="192">
        <v>22</v>
      </c>
      <c r="O30" s="198" t="str">
        <f t="shared" ref="O30" si="21">IF(OR(M30="",K30=""),"",IF(M30="",F30*K30*N30,IF(N30&lt;&gt;"",F30*K30*M30*N30)))</f>
        <v/>
      </c>
      <c r="P30" s="199" t="str">
        <f t="shared" ref="P30" si="22">IF(OR(O30="",C30=""),"",(O30*0.86)/(G30-H30))</f>
        <v/>
      </c>
      <c r="Q30" s="132" t="s">
        <v>157</v>
      </c>
      <c r="R30" s="146" t="s">
        <v>25</v>
      </c>
      <c r="S30" s="148" t="s">
        <v>25</v>
      </c>
      <c r="T30" s="132"/>
      <c r="U30" s="132"/>
      <c r="V30" s="132"/>
      <c r="W30" s="133"/>
    </row>
    <row r="31" spans="1:23" ht="15.75" thickBot="1">
      <c r="A31" s="203"/>
      <c r="B31" s="193"/>
      <c r="C31" s="195"/>
      <c r="D31" s="193"/>
      <c r="E31" s="193"/>
      <c r="F31" s="193"/>
      <c r="G31" s="193"/>
      <c r="H31" s="193"/>
      <c r="I31" s="193"/>
      <c r="J31" s="193"/>
      <c r="K31" s="195"/>
      <c r="L31" s="195"/>
      <c r="M31" s="193"/>
      <c r="N31" s="193"/>
      <c r="O31" s="193"/>
      <c r="P31" s="193"/>
      <c r="Q31" s="136" t="s">
        <v>158</v>
      </c>
      <c r="R31" s="147" t="s">
        <v>25</v>
      </c>
      <c r="S31" s="148" t="s">
        <v>25</v>
      </c>
      <c r="T31" s="136"/>
      <c r="U31" s="136"/>
      <c r="V31" s="136"/>
      <c r="W31" s="142"/>
    </row>
    <row r="32" spans="1:23" ht="15.75" thickBot="1">
      <c r="A32" s="200">
        <v>12</v>
      </c>
      <c r="B32" s="192"/>
      <c r="C32" s="201"/>
      <c r="D32" s="202" t="str">
        <f t="shared" si="0"/>
        <v/>
      </c>
      <c r="E32" s="197" t="str">
        <f>IF(OR(C32="",B32=""),"",VLOOKUP(B32,DN,D32,0))</f>
        <v/>
      </c>
      <c r="F32" s="198" t="str">
        <f t="shared" si="1"/>
        <v/>
      </c>
      <c r="G32" s="192" t="s">
        <v>25</v>
      </c>
      <c r="H32" s="192" t="s">
        <v>25</v>
      </c>
      <c r="I32" s="202" t="str">
        <f t="shared" si="2"/>
        <v xml:space="preserve">  </v>
      </c>
      <c r="J32" s="192">
        <v>7</v>
      </c>
      <c r="K32" s="194" t="str">
        <f>IF(D32=3,INDEX('coef Fct'!fct,VLOOKUP(I32,tatr,2,0),VLOOKUP('deperd tuyauterie'!J32,ti,2,0)),IF(D32=4,INDEX(fcti,VLOOKUP(I32,tatr,2,0),VLOOKUP('deperd tuyauterie'!J32,tii,2,0)),IF(D32="","")))</f>
        <v/>
      </c>
      <c r="L32" s="196"/>
      <c r="M32" s="197" t="str">
        <f>IF(L32="","",VLOOKUP(L32,annexe!position,2,0))</f>
        <v/>
      </c>
      <c r="N32" s="192">
        <v>16</v>
      </c>
      <c r="O32" s="198" t="str">
        <f t="shared" ref="O32" si="23">IF(OR(M32="",K32=""),"",IF(M32="",F32*K32*N32,IF(N32&lt;&gt;"",F32*K32*M32*N32)))</f>
        <v/>
      </c>
      <c r="P32" s="199" t="str">
        <f t="shared" ref="P32" si="24">IF(OR(O32="",C32=""),"",(O32*0.86)/(G32-H32))</f>
        <v/>
      </c>
      <c r="Q32" s="132" t="s">
        <v>157</v>
      </c>
      <c r="R32" s="146" t="s">
        <v>25</v>
      </c>
      <c r="S32" s="148" t="s">
        <v>25</v>
      </c>
      <c r="T32" s="132"/>
      <c r="U32" s="132"/>
      <c r="V32" s="132"/>
      <c r="W32" s="133"/>
    </row>
    <row r="33" spans="1:23" ht="15.75" thickBot="1">
      <c r="A33" s="191"/>
      <c r="B33" s="176"/>
      <c r="C33" s="183"/>
      <c r="D33" s="176"/>
      <c r="E33" s="176"/>
      <c r="F33" s="176"/>
      <c r="G33" s="176"/>
      <c r="H33" s="176"/>
      <c r="I33" s="176"/>
      <c r="J33" s="176"/>
      <c r="K33" s="183"/>
      <c r="L33" s="183"/>
      <c r="M33" s="176"/>
      <c r="N33" s="176"/>
      <c r="O33" s="176"/>
      <c r="P33" s="176"/>
      <c r="Q33" s="134" t="s">
        <v>158</v>
      </c>
      <c r="R33" s="145" t="s">
        <v>25</v>
      </c>
      <c r="S33" s="148" t="s">
        <v>25</v>
      </c>
      <c r="T33" s="134"/>
      <c r="U33" s="134"/>
      <c r="V33" s="134"/>
      <c r="W33" s="135"/>
    </row>
    <row r="34" spans="1:23" ht="15.75" thickBot="1">
      <c r="A34" s="188">
        <v>13</v>
      </c>
      <c r="B34" s="181"/>
      <c r="C34" s="189"/>
      <c r="D34" s="190" t="str">
        <f t="shared" si="0"/>
        <v/>
      </c>
      <c r="E34" s="185" t="str">
        <f>IF(OR(C34="",B34=""),"",VLOOKUP(B34,DN,D34,0))</f>
        <v/>
      </c>
      <c r="F34" s="186" t="str">
        <f t="shared" si="1"/>
        <v/>
      </c>
      <c r="G34" s="181" t="s">
        <v>25</v>
      </c>
      <c r="H34" s="181" t="s">
        <v>25</v>
      </c>
      <c r="I34" s="190" t="str">
        <f t="shared" si="2"/>
        <v xml:space="preserve">  </v>
      </c>
      <c r="J34" s="181">
        <v>20</v>
      </c>
      <c r="K34" s="182" t="str">
        <f>IF(D34=3,INDEX('coef Fct'!fct,VLOOKUP(I34,tatr,2,0),VLOOKUP('deperd tuyauterie'!J34,ti,2,0)),IF(D34=4,INDEX(fcti,VLOOKUP(I34,tatr,2,0),VLOOKUP('deperd tuyauterie'!J34,tii,2,0)),IF(D34="","")))</f>
        <v/>
      </c>
      <c r="L34" s="184"/>
      <c r="M34" s="185" t="str">
        <f>IF(L34="","",VLOOKUP(L34,annexe!position,2,0))</f>
        <v/>
      </c>
      <c r="N34" s="181">
        <v>26</v>
      </c>
      <c r="O34" s="186" t="str">
        <f t="shared" ref="O34" si="25">IF(OR(M34="",K34=""),"",IF(M34="",F34*K34*N34,IF(N34&lt;&gt;"",F34*K34*M34*N34)))</f>
        <v/>
      </c>
      <c r="P34" s="187" t="str">
        <f t="shared" ref="P34" si="26">IF(OR(O34="",C34=""),"",(O34*0.86)/(G34-H34))</f>
        <v/>
      </c>
      <c r="Q34" s="136" t="s">
        <v>157</v>
      </c>
      <c r="R34" s="147" t="s">
        <v>25</v>
      </c>
      <c r="S34" s="148" t="s">
        <v>25</v>
      </c>
      <c r="T34" s="136"/>
      <c r="U34" s="136"/>
      <c r="V34" s="136"/>
      <c r="W34" s="142"/>
    </row>
    <row r="35" spans="1:23" ht="15.75" thickBot="1">
      <c r="A35" s="191"/>
      <c r="B35" s="176"/>
      <c r="C35" s="183"/>
      <c r="D35" s="176"/>
      <c r="E35" s="176"/>
      <c r="F35" s="176"/>
      <c r="G35" s="176"/>
      <c r="H35" s="176"/>
      <c r="I35" s="176"/>
      <c r="J35" s="176"/>
      <c r="K35" s="183"/>
      <c r="L35" s="183"/>
      <c r="M35" s="176"/>
      <c r="N35" s="176"/>
      <c r="O35" s="176"/>
      <c r="P35" s="176"/>
      <c r="Q35" s="134" t="s">
        <v>158</v>
      </c>
      <c r="R35" s="145" t="s">
        <v>25</v>
      </c>
      <c r="S35" s="148" t="str">
        <f>IF(S37="",R35,IF(R35="","",IF(AND(R35&lt;&gt;"",S37&lt;&gt;""),R35+S37)))</f>
        <v xml:space="preserve"> </v>
      </c>
      <c r="T35" s="134"/>
      <c r="U35" s="134"/>
      <c r="V35" s="134"/>
      <c r="W35" s="135"/>
    </row>
    <row r="36" spans="1:23">
      <c r="A36" s="188">
        <v>14</v>
      </c>
      <c r="B36" s="181"/>
      <c r="C36" s="189"/>
      <c r="D36" s="190" t="str">
        <f t="shared" si="0"/>
        <v/>
      </c>
      <c r="E36" s="185" t="str">
        <f>IF(OR(C36="",B36=""),"",VLOOKUP(B36,DN,D36,0))</f>
        <v/>
      </c>
      <c r="F36" s="186" t="str">
        <f t="shared" si="1"/>
        <v/>
      </c>
      <c r="G36" s="181" t="s">
        <v>25</v>
      </c>
      <c r="H36" s="181" t="s">
        <v>25</v>
      </c>
      <c r="I36" s="190" t="str">
        <f t="shared" si="2"/>
        <v xml:space="preserve">  </v>
      </c>
      <c r="J36" s="181">
        <v>20</v>
      </c>
      <c r="K36" s="182" t="str">
        <f>IF(D36=3,INDEX('coef Fct'!fct,VLOOKUP(I36,tatr,2,0),VLOOKUP('deperd tuyauterie'!J36,ti,2,0)),IF(D36=4,INDEX(fcti,VLOOKUP(I36,tatr,2,0),VLOOKUP('deperd tuyauterie'!J36,tii,2,0)),IF(D36="","")))</f>
        <v/>
      </c>
      <c r="L36" s="184"/>
      <c r="M36" s="185" t="str">
        <f>IF(L36="","",VLOOKUP(L36,annexe!position,2,0))</f>
        <v/>
      </c>
      <c r="N36" s="181">
        <v>6</v>
      </c>
      <c r="O36" s="186" t="str">
        <f t="shared" ref="O36" si="27">IF(OR(M36="",K36=""),"",IF(M36="",F36*K36*N36,IF(N36&lt;&gt;"",F36*K36*M36*N36)))</f>
        <v/>
      </c>
      <c r="P36" s="187" t="str">
        <f t="shared" ref="P36" si="28">IF(OR(O36="",C36=""),"",(O36*0.86)/(G36-H36))</f>
        <v/>
      </c>
      <c r="Q36" s="136" t="s">
        <v>157</v>
      </c>
      <c r="R36" s="147" t="s">
        <v>25</v>
      </c>
      <c r="S36" s="148" t="s">
        <v>25</v>
      </c>
      <c r="T36" s="136"/>
      <c r="U36" s="136"/>
      <c r="V36" s="136"/>
      <c r="W36" s="142"/>
    </row>
    <row r="37" spans="1:23" ht="15.75" thickBot="1">
      <c r="A37" s="191"/>
      <c r="B37" s="176"/>
      <c r="C37" s="183"/>
      <c r="D37" s="176"/>
      <c r="E37" s="176"/>
      <c r="F37" s="176"/>
      <c r="G37" s="176"/>
      <c r="H37" s="176"/>
      <c r="I37" s="176"/>
      <c r="J37" s="176"/>
      <c r="K37" s="183"/>
      <c r="L37" s="183"/>
      <c r="M37" s="176"/>
      <c r="N37" s="176"/>
      <c r="O37" s="176"/>
      <c r="P37" s="176"/>
      <c r="Q37" s="134" t="s">
        <v>158</v>
      </c>
      <c r="R37" s="145" t="s">
        <v>25</v>
      </c>
      <c r="S37" s="149"/>
      <c r="T37" s="134"/>
      <c r="U37" s="134"/>
      <c r="V37" s="134"/>
      <c r="W37" s="135"/>
    </row>
    <row r="38" spans="1:23">
      <c r="A38" s="188">
        <v>15</v>
      </c>
      <c r="B38" s="181"/>
      <c r="C38" s="189"/>
      <c r="D38" s="190" t="str">
        <f t="shared" si="0"/>
        <v/>
      </c>
      <c r="E38" s="185" t="str">
        <f>IF(OR(C38="",B38=""),"",VLOOKUP(B38,DN,D38,0))</f>
        <v/>
      </c>
      <c r="F38" s="186" t="str">
        <f t="shared" si="1"/>
        <v/>
      </c>
      <c r="G38" s="181" t="s">
        <v>25</v>
      </c>
      <c r="H38" s="181" t="s">
        <v>25</v>
      </c>
      <c r="I38" s="190" t="str">
        <f t="shared" si="2"/>
        <v xml:space="preserve">  </v>
      </c>
      <c r="J38" s="181">
        <v>20</v>
      </c>
      <c r="K38" s="182" t="str">
        <f>IF(D38=3,INDEX('coef Fct'!fct,VLOOKUP(I38,tatr,2,0),VLOOKUP('deperd tuyauterie'!J38,ti,2,0)),IF(D38=4,INDEX(fcti,VLOOKUP(I38,tatr,2,0),VLOOKUP('deperd tuyauterie'!J38,tii,2,0)),IF(D38="","")))</f>
        <v/>
      </c>
      <c r="L38" s="184"/>
      <c r="M38" s="185" t="str">
        <f>IF(L38="","",VLOOKUP(L38,annexe!position,2,0))</f>
        <v/>
      </c>
      <c r="N38" s="181">
        <v>10</v>
      </c>
      <c r="O38" s="186" t="str">
        <f t="shared" ref="O38" si="29">IF(OR(M38="",K38=""),"",IF(M38="",F38*K38*N38,IF(N38&lt;&gt;"",F38*K38*M38*N38)))</f>
        <v/>
      </c>
      <c r="P38" s="187" t="str">
        <f t="shared" ref="P38" si="30">IF(OR(O38="",C38=""),"",(O38*0.86)/(G38-H38))</f>
        <v/>
      </c>
      <c r="Q38" s="136" t="s">
        <v>157</v>
      </c>
      <c r="R38" s="147" t="s">
        <v>25</v>
      </c>
      <c r="S38" s="148" t="s">
        <v>25</v>
      </c>
      <c r="T38" s="136"/>
      <c r="U38" s="136"/>
      <c r="V38" s="136"/>
      <c r="W38" s="142"/>
    </row>
    <row r="39" spans="1:23" ht="15.75" thickBot="1">
      <c r="A39" s="191"/>
      <c r="B39" s="176"/>
      <c r="C39" s="183"/>
      <c r="D39" s="176"/>
      <c r="E39" s="176"/>
      <c r="F39" s="176"/>
      <c r="G39" s="176"/>
      <c r="H39" s="176"/>
      <c r="I39" s="176"/>
      <c r="J39" s="176"/>
      <c r="K39" s="183"/>
      <c r="L39" s="183"/>
      <c r="M39" s="176"/>
      <c r="N39" s="176"/>
      <c r="O39" s="176"/>
      <c r="P39" s="176"/>
      <c r="Q39" s="134" t="s">
        <v>158</v>
      </c>
      <c r="R39" s="145"/>
      <c r="S39" s="149"/>
      <c r="T39" s="134"/>
      <c r="U39" s="134"/>
      <c r="V39" s="134"/>
      <c r="W39" s="135"/>
    </row>
    <row r="40" spans="1:23">
      <c r="A40" s="188" t="s">
        <v>25</v>
      </c>
      <c r="B40" s="181"/>
      <c r="C40" s="189"/>
      <c r="D40" s="190" t="str">
        <f t="shared" si="0"/>
        <v/>
      </c>
      <c r="E40" s="185" t="str">
        <f>IF(OR(C40="",B40=""),"",VLOOKUP(B40,DN,D40,0))</f>
        <v/>
      </c>
      <c r="F40" s="186" t="str">
        <f t="shared" si="1"/>
        <v/>
      </c>
      <c r="G40" s="181" t="s">
        <v>25</v>
      </c>
      <c r="H40" s="181" t="s">
        <v>25</v>
      </c>
      <c r="I40" s="190" t="str">
        <f t="shared" si="2"/>
        <v xml:space="preserve">  </v>
      </c>
      <c r="J40" s="181" t="s">
        <v>25</v>
      </c>
      <c r="K40" s="182" t="str">
        <f>IF(D40=3,INDEX('coef Fct'!fct,VLOOKUP(I40,tatr,2,0),VLOOKUP('deperd tuyauterie'!J40,ti,2,0)),IF(D40=4,INDEX(fcti,VLOOKUP(I40,tatr,2,0),VLOOKUP('deperd tuyauterie'!J40,tii,2,0)),IF(D40="","")))</f>
        <v/>
      </c>
      <c r="L40" s="184"/>
      <c r="M40" s="185" t="str">
        <f>IF(L40="","",VLOOKUP(L40,annexe!position,2,0))</f>
        <v/>
      </c>
      <c r="N40" s="181" t="s">
        <v>25</v>
      </c>
      <c r="O40" s="186" t="str">
        <f t="shared" ref="O40" si="31">IF(OR(M40="",K40=""),"",IF(M40="",F40*K40*N40,IF(N40&lt;&gt;"",F40*K40*M40*N40)))</f>
        <v/>
      </c>
      <c r="P40" s="187" t="str">
        <f t="shared" ref="P40" si="32">IF(OR(O40="",C40=""),"",(O40*0.86)/(G40-H40))</f>
        <v/>
      </c>
      <c r="R40" s="136"/>
      <c r="S40" s="136"/>
      <c r="T40" s="136"/>
      <c r="U40" s="136"/>
      <c r="V40" s="136"/>
      <c r="W40" s="136"/>
    </row>
    <row r="41" spans="1:23">
      <c r="A41" s="178"/>
      <c r="B41" s="168"/>
      <c r="C41" s="170"/>
      <c r="D41" s="168"/>
      <c r="E41" s="168"/>
      <c r="F41" s="168"/>
      <c r="G41" s="168"/>
      <c r="H41" s="168"/>
      <c r="I41" s="168"/>
      <c r="J41" s="168"/>
      <c r="K41" s="170"/>
      <c r="L41" s="170"/>
      <c r="M41" s="168"/>
      <c r="N41" s="168"/>
      <c r="O41" s="168"/>
      <c r="P41" s="168"/>
    </row>
    <row r="42" spans="1:23">
      <c r="A42" s="177" t="s">
        <v>25</v>
      </c>
      <c r="B42" s="167"/>
      <c r="C42" s="179"/>
      <c r="D42" s="180" t="str">
        <f t="shared" si="0"/>
        <v/>
      </c>
      <c r="E42" s="172" t="str">
        <f>IF(OR(C42="",B42=""),"",VLOOKUP(B42,DN,D42,0))</f>
        <v/>
      </c>
      <c r="F42" s="173" t="str">
        <f t="shared" si="1"/>
        <v/>
      </c>
      <c r="G42" s="167" t="s">
        <v>25</v>
      </c>
      <c r="H42" s="167" t="s">
        <v>25</v>
      </c>
      <c r="I42" s="180" t="str">
        <f t="shared" si="2"/>
        <v xml:space="preserve">  </v>
      </c>
      <c r="J42" s="167" t="s">
        <v>25</v>
      </c>
      <c r="K42" s="169" t="str">
        <f>IF(D42=3,INDEX('coef Fct'!fct,VLOOKUP(I42,tatr,2,0),VLOOKUP('deperd tuyauterie'!J42,ti,2,0)),IF(D42=4,INDEX(fcti,VLOOKUP(I42,tatr,2,0),VLOOKUP('deperd tuyauterie'!J42,tii,2,0)),IF(D42="","")))</f>
        <v/>
      </c>
      <c r="L42" s="171"/>
      <c r="M42" s="172" t="str">
        <f>IF(L42="","",VLOOKUP(L42,annexe!position,2,0))</f>
        <v/>
      </c>
      <c r="N42" s="167" t="s">
        <v>25</v>
      </c>
      <c r="O42" s="173" t="str">
        <f t="shared" ref="O42" si="33">IF(OR(M42="",K42=""),"",IF(M42="",F42*K42*N42,IF(N42&lt;&gt;"",F42*K42*M42*N42)))</f>
        <v/>
      </c>
      <c r="P42" s="174" t="str">
        <f t="shared" ref="P42" si="34">IF(OR(O42="",C42=""),"",(O42*0.86)/(G42-H42))</f>
        <v/>
      </c>
    </row>
    <row r="43" spans="1:23">
      <c r="A43" s="178"/>
      <c r="B43" s="168"/>
      <c r="C43" s="170"/>
      <c r="D43" s="168"/>
      <c r="E43" s="168"/>
      <c r="F43" s="168"/>
      <c r="G43" s="168"/>
      <c r="H43" s="168"/>
      <c r="I43" s="168"/>
      <c r="J43" s="168"/>
      <c r="K43" s="170"/>
      <c r="L43" s="170"/>
      <c r="M43" s="168"/>
      <c r="N43" s="168"/>
      <c r="O43" s="168"/>
      <c r="P43" s="168"/>
    </row>
    <row r="44" spans="1:23">
      <c r="A44" s="177" t="s">
        <v>25</v>
      </c>
      <c r="B44" s="167"/>
      <c r="C44" s="179"/>
      <c r="D44" s="180" t="str">
        <f t="shared" si="0"/>
        <v/>
      </c>
      <c r="E44" s="172" t="str">
        <f>IF(OR(C44="",B44=""),"",VLOOKUP(B44,DN,D44,0))</f>
        <v/>
      </c>
      <c r="F44" s="173" t="str">
        <f t="shared" si="1"/>
        <v/>
      </c>
      <c r="G44" s="167" t="s">
        <v>25</v>
      </c>
      <c r="H44" s="167" t="s">
        <v>25</v>
      </c>
      <c r="I44" s="180" t="str">
        <f t="shared" si="2"/>
        <v xml:space="preserve">  </v>
      </c>
      <c r="J44" s="167" t="s">
        <v>25</v>
      </c>
      <c r="K44" s="169" t="str">
        <f>IF(D44=3,INDEX('coef Fct'!fct,VLOOKUP(I44,tatr,2,0),VLOOKUP('deperd tuyauterie'!J44,ti,2,0)),IF(D44=4,INDEX(fcti,VLOOKUP(I44,tatr,2,0),VLOOKUP('deperd tuyauterie'!J44,tii,2,0)),IF(D44="","")))</f>
        <v/>
      </c>
      <c r="L44" s="171"/>
      <c r="M44" s="172" t="str">
        <f>IF(L44="","",VLOOKUP(L44,annexe!position,2,0))</f>
        <v/>
      </c>
      <c r="N44" s="167" t="s">
        <v>25</v>
      </c>
      <c r="O44" s="173" t="str">
        <f t="shared" ref="O44" si="35">IF(OR(M44="",K44=""),"",IF(M44="",F44*K44*N44,IF(N44&lt;&gt;"",F44*K44*M44*N44)))</f>
        <v/>
      </c>
      <c r="P44" s="174" t="str">
        <f t="shared" ref="P44" si="36">IF(OR(O44="",C44=""),"",(O44*0.86)/(G44-H44))</f>
        <v/>
      </c>
    </row>
    <row r="45" spans="1:23">
      <c r="A45" s="178"/>
      <c r="B45" s="168"/>
      <c r="C45" s="170"/>
      <c r="D45" s="168"/>
      <c r="E45" s="168"/>
      <c r="F45" s="168"/>
      <c r="G45" s="168"/>
      <c r="H45" s="168"/>
      <c r="I45" s="168"/>
      <c r="J45" s="168"/>
      <c r="K45" s="170"/>
      <c r="L45" s="170"/>
      <c r="M45" s="168"/>
      <c r="N45" s="168"/>
      <c r="O45" s="168"/>
      <c r="P45" s="168"/>
    </row>
    <row r="46" spans="1:23">
      <c r="A46" s="177" t="s">
        <v>25</v>
      </c>
      <c r="B46" s="167"/>
      <c r="C46" s="179"/>
      <c r="D46" s="180" t="str">
        <f t="shared" si="0"/>
        <v/>
      </c>
      <c r="E46" s="172" t="str">
        <f>IF(OR(C46="",B46=""),"",VLOOKUP(B46,DN,D46,0))</f>
        <v/>
      </c>
      <c r="F46" s="173" t="str">
        <f t="shared" si="1"/>
        <v/>
      </c>
      <c r="G46" s="167" t="s">
        <v>25</v>
      </c>
      <c r="H46" s="167" t="s">
        <v>25</v>
      </c>
      <c r="I46" s="180" t="str">
        <f t="shared" si="2"/>
        <v xml:space="preserve">  </v>
      </c>
      <c r="J46" s="167" t="s">
        <v>25</v>
      </c>
      <c r="K46" s="169" t="str">
        <f>IF(D46=3,INDEX('coef Fct'!fct,VLOOKUP(I46,tatr,2,0),VLOOKUP('deperd tuyauterie'!J46,ti,2,0)),IF(D46=4,INDEX(fcti,VLOOKUP(I46,tatr,2,0),VLOOKUP('deperd tuyauterie'!J46,tii,2,0)),IF(D46="","")))</f>
        <v/>
      </c>
      <c r="L46" s="171"/>
      <c r="M46" s="172" t="str">
        <f>IF(L46="","",VLOOKUP(L46,annexe!position,2,0))</f>
        <v/>
      </c>
      <c r="N46" s="167" t="s">
        <v>25</v>
      </c>
      <c r="O46" s="173" t="str">
        <f t="shared" ref="O46" si="37">IF(OR(M46="",K46=""),"",IF(M46="",F46*K46*N46,IF(N46&lt;&gt;"",F46*K46*M46*N46)))</f>
        <v/>
      </c>
      <c r="P46" s="174" t="str">
        <f t="shared" ref="P46" si="38">IF(OR(O46="",C46=""),"",(O46*0.86)/(G46-H46))</f>
        <v/>
      </c>
    </row>
    <row r="47" spans="1:23">
      <c r="A47" s="178"/>
      <c r="B47" s="168"/>
      <c r="C47" s="170"/>
      <c r="D47" s="168"/>
      <c r="E47" s="168"/>
      <c r="F47" s="168"/>
      <c r="G47" s="168"/>
      <c r="H47" s="168"/>
      <c r="I47" s="168"/>
      <c r="J47" s="168"/>
      <c r="K47" s="170"/>
      <c r="L47" s="170"/>
      <c r="M47" s="168"/>
      <c r="N47" s="168"/>
      <c r="O47" s="168"/>
      <c r="P47" s="168"/>
    </row>
    <row r="48" spans="1:23">
      <c r="A48" s="177" t="s">
        <v>25</v>
      </c>
      <c r="B48" s="167"/>
      <c r="C48" s="179"/>
      <c r="D48" s="180" t="str">
        <f t="shared" si="0"/>
        <v/>
      </c>
      <c r="E48" s="172" t="str">
        <f>IF(OR(C48="",B48=""),"",VLOOKUP(B48,DN,D48,0))</f>
        <v/>
      </c>
      <c r="F48" s="173" t="str">
        <f t="shared" si="1"/>
        <v/>
      </c>
      <c r="G48" s="167" t="s">
        <v>25</v>
      </c>
      <c r="H48" s="167" t="s">
        <v>25</v>
      </c>
      <c r="I48" s="180" t="str">
        <f t="shared" si="2"/>
        <v xml:space="preserve">  </v>
      </c>
      <c r="J48" s="167" t="s">
        <v>25</v>
      </c>
      <c r="K48" s="169" t="str">
        <f>IF(D48=3,INDEX('coef Fct'!fct,VLOOKUP(I48,tatr,2,0),VLOOKUP('deperd tuyauterie'!J48,ti,2,0)),IF(D48=4,INDEX(fcti,VLOOKUP(I48,tatr,2,0),VLOOKUP('deperd tuyauterie'!J48,tii,2,0)),IF(D48="","")))</f>
        <v/>
      </c>
      <c r="L48" s="171"/>
      <c r="M48" s="172" t="str">
        <f>IF(L48="","",VLOOKUP(L48,annexe!position,2,0))</f>
        <v/>
      </c>
      <c r="N48" s="167" t="s">
        <v>25</v>
      </c>
      <c r="O48" s="173" t="str">
        <f t="shared" ref="O48" si="39">IF(OR(M48="",K48=""),"",IF(M48="",F48*K48*N48,IF(N48&lt;&gt;"",F48*K48*M48*N48)))</f>
        <v/>
      </c>
      <c r="P48" s="174" t="str">
        <f t="shared" ref="P48" si="40">IF(OR(O48="",C48=""),"",(O48*0.86)/(G48-H48))</f>
        <v/>
      </c>
    </row>
    <row r="49" spans="1:16">
      <c r="A49" s="178"/>
      <c r="B49" s="168"/>
      <c r="C49" s="170"/>
      <c r="D49" s="168"/>
      <c r="E49" s="168"/>
      <c r="F49" s="168"/>
      <c r="G49" s="168"/>
      <c r="H49" s="168"/>
      <c r="I49" s="168"/>
      <c r="J49" s="168"/>
      <c r="K49" s="170"/>
      <c r="L49" s="170"/>
      <c r="M49" s="168"/>
      <c r="N49" s="168"/>
      <c r="O49" s="168"/>
      <c r="P49" s="168"/>
    </row>
    <row r="50" spans="1:16">
      <c r="A50" s="177" t="s">
        <v>25</v>
      </c>
      <c r="B50" s="167"/>
      <c r="C50" s="179"/>
      <c r="D50" s="180" t="str">
        <f t="shared" si="0"/>
        <v/>
      </c>
      <c r="E50" s="172" t="str">
        <f>IF(OR(C50="",B50=""),"",VLOOKUP(B50,DN,D50,0))</f>
        <v/>
      </c>
      <c r="F50" s="173" t="str">
        <f t="shared" si="1"/>
        <v/>
      </c>
      <c r="G50" s="167" t="s">
        <v>25</v>
      </c>
      <c r="H50" s="167" t="s">
        <v>25</v>
      </c>
      <c r="I50" s="180" t="str">
        <f t="shared" si="2"/>
        <v xml:space="preserve">  </v>
      </c>
      <c r="J50" s="167" t="s">
        <v>25</v>
      </c>
      <c r="K50" s="169" t="str">
        <f>IF(D50=3,INDEX('coef Fct'!fct,VLOOKUP(I50,tatr,2,0),VLOOKUP('deperd tuyauterie'!J50,ti,2,0)),IF(D50=4,INDEX(fcti,VLOOKUP(I50,tatr,2,0),VLOOKUP('deperd tuyauterie'!J50,tii,2,0)),IF(D50="","")))</f>
        <v/>
      </c>
      <c r="L50" s="171"/>
      <c r="M50" s="172" t="str">
        <f>IF(L50="","",VLOOKUP(L50,annexe!position,2,0))</f>
        <v/>
      </c>
      <c r="N50" s="167" t="s">
        <v>25</v>
      </c>
      <c r="O50" s="173" t="str">
        <f t="shared" ref="O50" si="41">IF(OR(M50="",K50=""),"",IF(M50="",F50*K50*N50,IF(N50&lt;&gt;"",F50*K50*M50*N50)))</f>
        <v/>
      </c>
      <c r="P50" s="174" t="str">
        <f t="shared" ref="P50" si="42">IF(OR(O50="",C50=""),"",(O50*0.86)/(G50-H50))</f>
        <v/>
      </c>
    </row>
    <row r="51" spans="1:16">
      <c r="A51" s="178"/>
      <c r="B51" s="168"/>
      <c r="C51" s="170"/>
      <c r="D51" s="168"/>
      <c r="E51" s="168"/>
      <c r="F51" s="168"/>
      <c r="G51" s="168"/>
      <c r="H51" s="168"/>
      <c r="I51" s="168"/>
      <c r="J51" s="168"/>
      <c r="K51" s="170"/>
      <c r="L51" s="170"/>
      <c r="M51" s="168"/>
      <c r="N51" s="168"/>
      <c r="O51" s="168"/>
      <c r="P51" s="168"/>
    </row>
    <row r="52" spans="1:16">
      <c r="A52" s="177" t="s">
        <v>25</v>
      </c>
      <c r="B52" s="167"/>
      <c r="C52" s="179"/>
      <c r="D52" s="180" t="str">
        <f t="shared" si="0"/>
        <v/>
      </c>
      <c r="E52" s="172" t="str">
        <f>IF(OR(C52="",B52=""),"",VLOOKUP(B52,DN,D52,0))</f>
        <v/>
      </c>
      <c r="F52" s="173" t="str">
        <f t="shared" si="1"/>
        <v/>
      </c>
      <c r="G52" s="167" t="s">
        <v>25</v>
      </c>
      <c r="H52" s="167" t="s">
        <v>25</v>
      </c>
      <c r="I52" s="180" t="str">
        <f t="shared" si="2"/>
        <v xml:space="preserve">  </v>
      </c>
      <c r="J52" s="167" t="s">
        <v>25</v>
      </c>
      <c r="K52" s="169" t="str">
        <f>IF(D52=3,INDEX('coef Fct'!fct,VLOOKUP(I52,tatr,2,0),VLOOKUP('deperd tuyauterie'!J52,ti,2,0)),IF(D52=4,INDEX(fcti,VLOOKUP(I52,tatr,2,0),VLOOKUP('deperd tuyauterie'!J52,tii,2,0)),IF(D52="","")))</f>
        <v/>
      </c>
      <c r="L52" s="171"/>
      <c r="M52" s="172" t="str">
        <f>IF(L52="","",VLOOKUP(L52,annexe!position,2,0))</f>
        <v/>
      </c>
      <c r="N52" s="167" t="s">
        <v>25</v>
      </c>
      <c r="O52" s="173" t="str">
        <f t="shared" ref="O52" si="43">IF(OR(M52="",K52=""),"",IF(M52="",F52*K52*N52,IF(N52&lt;&gt;"",F52*K52*M52*N52)))</f>
        <v/>
      </c>
      <c r="P52" s="174" t="str">
        <f t="shared" ref="P52" si="44">IF(OR(O52="",C52=""),"",(O52*0.86)/(G52-H52))</f>
        <v/>
      </c>
    </row>
    <row r="53" spans="1:16">
      <c r="A53" s="178"/>
      <c r="B53" s="168"/>
      <c r="C53" s="170"/>
      <c r="D53" s="168"/>
      <c r="E53" s="168"/>
      <c r="F53" s="168"/>
      <c r="G53" s="168"/>
      <c r="H53" s="168"/>
      <c r="I53" s="168"/>
      <c r="J53" s="168"/>
      <c r="K53" s="170"/>
      <c r="L53" s="170"/>
      <c r="M53" s="168"/>
      <c r="N53" s="168"/>
      <c r="O53" s="168"/>
      <c r="P53" s="168"/>
    </row>
    <row r="54" spans="1:16">
      <c r="A54" s="177" t="s">
        <v>25</v>
      </c>
      <c r="B54" s="167"/>
      <c r="C54" s="179"/>
      <c r="D54" s="180" t="str">
        <f t="shared" si="0"/>
        <v/>
      </c>
      <c r="E54" s="172" t="str">
        <f>IF(OR(C54="",B54=""),"",VLOOKUP(B54,DN,D54,0))</f>
        <v/>
      </c>
      <c r="F54" s="173" t="str">
        <f t="shared" si="1"/>
        <v/>
      </c>
      <c r="G54" s="167" t="s">
        <v>25</v>
      </c>
      <c r="H54" s="167" t="s">
        <v>25</v>
      </c>
      <c r="I54" s="180" t="str">
        <f t="shared" si="2"/>
        <v xml:space="preserve">  </v>
      </c>
      <c r="J54" s="167" t="s">
        <v>25</v>
      </c>
      <c r="K54" s="169" t="str">
        <f>IF(D54=3,INDEX('coef Fct'!fct,VLOOKUP(I54,tatr,2,0),VLOOKUP('deperd tuyauterie'!J54,ti,2,0)),IF(D54=4,INDEX(fcti,VLOOKUP(I54,tatr,2,0),VLOOKUP('deperd tuyauterie'!J54,tii,2,0)),IF(D54="","")))</f>
        <v/>
      </c>
      <c r="L54" s="171"/>
      <c r="M54" s="172" t="str">
        <f>IF(L54="","",VLOOKUP(L54,annexe!position,2,0))</f>
        <v/>
      </c>
      <c r="N54" s="167" t="s">
        <v>25</v>
      </c>
      <c r="O54" s="173" t="str">
        <f t="shared" ref="O54" si="45">IF(OR(M54="",K54=""),"",IF(M54="",F54*K54*N54,IF(N54&lt;&gt;"",F54*K54*M54*N54)))</f>
        <v/>
      </c>
      <c r="P54" s="174" t="str">
        <f t="shared" ref="P54" si="46">IF(OR(O54="",C54=""),"",(O54*0.86)/(G54-H54))</f>
        <v/>
      </c>
    </row>
    <row r="55" spans="1:16">
      <c r="A55" s="178"/>
      <c r="B55" s="168"/>
      <c r="C55" s="170"/>
      <c r="D55" s="168"/>
      <c r="E55" s="168"/>
      <c r="F55" s="168"/>
      <c r="G55" s="168"/>
      <c r="H55" s="168"/>
      <c r="I55" s="168"/>
      <c r="J55" s="168"/>
      <c r="K55" s="170"/>
      <c r="L55" s="170"/>
      <c r="M55" s="168"/>
      <c r="N55" s="168"/>
      <c r="O55" s="168"/>
      <c r="P55" s="168"/>
    </row>
    <row r="56" spans="1:16">
      <c r="A56" s="177" t="s">
        <v>156</v>
      </c>
      <c r="B56" s="167"/>
      <c r="C56" s="179"/>
      <c r="D56" s="180" t="str">
        <f t="shared" si="0"/>
        <v/>
      </c>
      <c r="E56" s="172" t="str">
        <f>IF(OR(C56="",B56=""),"",VLOOKUP(B56,DN,D56,0))</f>
        <v/>
      </c>
      <c r="F56" s="173" t="str">
        <f t="shared" si="1"/>
        <v/>
      </c>
      <c r="G56" s="167" t="s">
        <v>25</v>
      </c>
      <c r="H56" s="167" t="s">
        <v>25</v>
      </c>
      <c r="I56" s="180" t="str">
        <f t="shared" si="2"/>
        <v xml:space="preserve">  </v>
      </c>
      <c r="J56" s="167" t="s">
        <v>25</v>
      </c>
      <c r="K56" s="169" t="str">
        <f>IF(D56=3,INDEX('coef Fct'!fct,VLOOKUP(I56,tatr,2,0),VLOOKUP('deperd tuyauterie'!J56,ti,2,0)),IF(D56=4,INDEX(fcti,VLOOKUP(I56,tatr,2,0),VLOOKUP('deperd tuyauterie'!J56,tii,2,0)),IF(D56="","")))</f>
        <v/>
      </c>
      <c r="L56" s="171"/>
      <c r="M56" s="172" t="str">
        <f>IF(L56="","",VLOOKUP(L56,annexe!position,2,0))</f>
        <v/>
      </c>
      <c r="N56" s="167" t="s">
        <v>25</v>
      </c>
      <c r="O56" s="173" t="str">
        <f t="shared" ref="O56" si="47">IF(OR(M56="",K56=""),"",IF(M56="",F56*K56*N56,IF(N56&lt;&gt;"",F56*K56*M56*N56)))</f>
        <v/>
      </c>
      <c r="P56" s="174" t="str">
        <f t="shared" ref="P56" si="48">IF(OR(O56="",C56=""),"",(O56*0.86)/(G56-H56))</f>
        <v/>
      </c>
    </row>
    <row r="57" spans="1:16">
      <c r="A57" s="178"/>
      <c r="B57" s="168"/>
      <c r="C57" s="170"/>
      <c r="D57" s="168"/>
      <c r="E57" s="168"/>
      <c r="F57" s="168"/>
      <c r="G57" s="168"/>
      <c r="H57" s="168"/>
      <c r="I57" s="168"/>
      <c r="J57" s="168"/>
      <c r="K57" s="170"/>
      <c r="L57" s="170"/>
      <c r="M57" s="168"/>
      <c r="N57" s="168"/>
      <c r="O57" s="168"/>
      <c r="P57" s="168"/>
    </row>
    <row r="58" spans="1:16">
      <c r="A58" s="177" t="s">
        <v>25</v>
      </c>
      <c r="B58" s="167"/>
      <c r="C58" s="179"/>
      <c r="D58" s="180" t="str">
        <f t="shared" si="0"/>
        <v/>
      </c>
      <c r="E58" s="172" t="str">
        <f>IF(OR(C58="",B58=""),"",VLOOKUP(B58,DN,D58,0))</f>
        <v/>
      </c>
      <c r="F58" s="173" t="str">
        <f t="shared" si="1"/>
        <v/>
      </c>
      <c r="G58" s="167" t="s">
        <v>25</v>
      </c>
      <c r="H58" s="167" t="s">
        <v>25</v>
      </c>
      <c r="I58" s="180" t="str">
        <f t="shared" si="2"/>
        <v xml:space="preserve">  </v>
      </c>
      <c r="J58" s="167" t="s">
        <v>25</v>
      </c>
      <c r="K58" s="169" t="str">
        <f>IF(D58=3,INDEX('coef Fct'!fct,VLOOKUP(I58,tatr,2,0),VLOOKUP('deperd tuyauterie'!J58,ti,2,0)),IF(D58=4,INDEX(fcti,VLOOKUP(I58,tatr,2,0),VLOOKUP('deperd tuyauterie'!J58,tii,2,0)),IF(D58="","")))</f>
        <v/>
      </c>
      <c r="L58" s="171"/>
      <c r="M58" s="172" t="str">
        <f>IF(L58="","",VLOOKUP(L58,annexe!position,2,0))</f>
        <v/>
      </c>
      <c r="N58" s="167" t="s">
        <v>25</v>
      </c>
      <c r="O58" s="173" t="str">
        <f t="shared" ref="O58" si="49">IF(OR(M58="",K58=""),"",IF(M58="",F58*K58*N58,IF(N58&lt;&gt;"",F58*K58*M58*N58)))</f>
        <v/>
      </c>
      <c r="P58" s="174" t="str">
        <f t="shared" ref="P58" si="50">IF(OR(O58="",C58=""),"",(O58*0.86)/(G58-H58))</f>
        <v/>
      </c>
    </row>
    <row r="59" spans="1:16">
      <c r="A59" s="178"/>
      <c r="B59" s="168"/>
      <c r="C59" s="170"/>
      <c r="D59" s="168"/>
      <c r="E59" s="168"/>
      <c r="F59" s="168"/>
      <c r="G59" s="168"/>
      <c r="H59" s="168"/>
      <c r="I59" s="168"/>
      <c r="J59" s="168"/>
      <c r="K59" s="170"/>
      <c r="L59" s="170"/>
      <c r="M59" s="168"/>
      <c r="N59" s="168"/>
      <c r="O59" s="168"/>
      <c r="P59" s="168"/>
    </row>
    <row r="60" spans="1:16">
      <c r="A60" s="177" t="s">
        <v>25</v>
      </c>
      <c r="B60" s="167"/>
      <c r="C60" s="179"/>
      <c r="D60" s="180" t="str">
        <f t="shared" si="0"/>
        <v/>
      </c>
      <c r="E60" s="172" t="str">
        <f>IF(OR(C60="",B60=""),"",VLOOKUP(B60,DN,D60,0))</f>
        <v/>
      </c>
      <c r="F60" s="173" t="str">
        <f t="shared" si="1"/>
        <v/>
      </c>
      <c r="G60" s="167" t="s">
        <v>25</v>
      </c>
      <c r="H60" s="167" t="s">
        <v>25</v>
      </c>
      <c r="I60" s="180" t="str">
        <f t="shared" si="2"/>
        <v xml:space="preserve">  </v>
      </c>
      <c r="J60" s="167" t="s">
        <v>25</v>
      </c>
      <c r="K60" s="169" t="str">
        <f>IF(D60=3,INDEX('coef Fct'!fct,VLOOKUP(I60,tatr,2,0),VLOOKUP('deperd tuyauterie'!J60,ti,2,0)),IF(D60=4,INDEX(fcti,VLOOKUP(I60,tatr,2,0),VLOOKUP('deperd tuyauterie'!J60,tii,2,0)),IF(D60="","")))</f>
        <v/>
      </c>
      <c r="L60" s="171"/>
      <c r="M60" s="172" t="str">
        <f>IF(L60="","",VLOOKUP(L60,annexe!position,2,0))</f>
        <v/>
      </c>
      <c r="N60" s="167" t="s">
        <v>25</v>
      </c>
      <c r="O60" s="173" t="str">
        <f t="shared" ref="O60" si="51">IF(OR(M60="",K60=""),"",IF(M60="",F60*K60*N60,IF(N60&lt;&gt;"",F60*K60*M60*N60)))</f>
        <v/>
      </c>
      <c r="P60" s="174" t="str">
        <f t="shared" ref="P60" si="52">IF(OR(O60="",C60=""),"",(O60*0.86)/(G60-H60))</f>
        <v/>
      </c>
    </row>
    <row r="61" spans="1:16">
      <c r="A61" s="178"/>
      <c r="B61" s="168"/>
      <c r="C61" s="170"/>
      <c r="D61" s="168"/>
      <c r="E61" s="168"/>
      <c r="F61" s="168"/>
      <c r="G61" s="168"/>
      <c r="H61" s="168"/>
      <c r="I61" s="168"/>
      <c r="J61" s="168"/>
      <c r="K61" s="170"/>
      <c r="L61" s="170"/>
      <c r="M61" s="168"/>
      <c r="N61" s="168"/>
      <c r="O61" s="168"/>
      <c r="P61" s="168"/>
    </row>
    <row r="62" spans="1:16">
      <c r="A62" s="177" t="s">
        <v>25</v>
      </c>
      <c r="B62" s="167"/>
      <c r="C62" s="179"/>
      <c r="D62" s="180" t="str">
        <f t="shared" si="0"/>
        <v/>
      </c>
      <c r="E62" s="172" t="str">
        <f>IF(OR(C62="",B62=""),"",VLOOKUP(B62,DN,D62,0))</f>
        <v/>
      </c>
      <c r="F62" s="173" t="str">
        <f t="shared" si="1"/>
        <v/>
      </c>
      <c r="G62" s="167" t="s">
        <v>25</v>
      </c>
      <c r="H62" s="167" t="s">
        <v>25</v>
      </c>
      <c r="I62" s="180" t="str">
        <f t="shared" si="2"/>
        <v xml:space="preserve">  </v>
      </c>
      <c r="J62" s="167" t="s">
        <v>25</v>
      </c>
      <c r="K62" s="169" t="str">
        <f>IF(D62=3,INDEX('coef Fct'!fct,VLOOKUP(I62,tatr,2,0),VLOOKUP('deperd tuyauterie'!J62,ti,2,0)),IF(D62=4,INDEX(fcti,VLOOKUP(I62,tatr,2,0),VLOOKUP('deperd tuyauterie'!J62,tii,2,0)),IF(D62="","")))</f>
        <v/>
      </c>
      <c r="L62" s="171"/>
      <c r="M62" s="172" t="str">
        <f>IF(L62="","",VLOOKUP(L62,annexe!position,2,0))</f>
        <v/>
      </c>
      <c r="N62" s="167" t="s">
        <v>25</v>
      </c>
      <c r="O62" s="173" t="str">
        <f t="shared" ref="O62" si="53">IF(OR(M62="",K62=""),"",IF(M62="",F62*K62*N62,IF(N62&lt;&gt;"",F62*K62*M62*N62)))</f>
        <v/>
      </c>
      <c r="P62" s="174" t="str">
        <f t="shared" ref="P62" si="54">IF(OR(O62="",C62=""),"",(O62*0.86)/(G62-H62))</f>
        <v/>
      </c>
    </row>
    <row r="63" spans="1:16">
      <c r="A63" s="178"/>
      <c r="B63" s="168"/>
      <c r="C63" s="170"/>
      <c r="D63" s="168"/>
      <c r="E63" s="168"/>
      <c r="F63" s="168"/>
      <c r="G63" s="168"/>
      <c r="H63" s="168"/>
      <c r="I63" s="168"/>
      <c r="J63" s="168"/>
      <c r="K63" s="170"/>
      <c r="L63" s="170"/>
      <c r="M63" s="168"/>
      <c r="N63" s="168"/>
      <c r="O63" s="168"/>
      <c r="P63" s="168"/>
    </row>
    <row r="64" spans="1:16">
      <c r="A64" t="s">
        <v>25</v>
      </c>
      <c r="G64" t="s">
        <v>25</v>
      </c>
      <c r="J64" t="s">
        <v>25</v>
      </c>
    </row>
    <row r="67" spans="1:23" ht="15.75" thickBot="1"/>
    <row r="68" spans="1:23" ht="60.75" thickBot="1">
      <c r="A68" s="124" t="s">
        <v>130</v>
      </c>
      <c r="B68" s="125" t="s">
        <v>131</v>
      </c>
      <c r="C68" s="126" t="s">
        <v>129</v>
      </c>
      <c r="D68" s="125" t="s">
        <v>132</v>
      </c>
      <c r="E68" s="125" t="s">
        <v>134</v>
      </c>
      <c r="F68" s="127" t="s">
        <v>142</v>
      </c>
      <c r="G68" s="126" t="s">
        <v>139</v>
      </c>
      <c r="H68" s="125" t="s">
        <v>140</v>
      </c>
      <c r="I68" s="126" t="s">
        <v>133</v>
      </c>
      <c r="J68" s="125" t="s">
        <v>92</v>
      </c>
      <c r="K68" s="125" t="s">
        <v>135</v>
      </c>
      <c r="L68" s="126" t="s">
        <v>150</v>
      </c>
      <c r="M68" s="125" t="s">
        <v>136</v>
      </c>
      <c r="N68" s="127" t="s">
        <v>141</v>
      </c>
      <c r="O68" s="127" t="s">
        <v>138</v>
      </c>
      <c r="P68" s="128" t="s">
        <v>152</v>
      </c>
      <c r="Q68" s="127" t="s">
        <v>155</v>
      </c>
      <c r="R68" s="126" t="s">
        <v>153</v>
      </c>
      <c r="S68" s="126" t="s">
        <v>154</v>
      </c>
      <c r="T68" s="129" t="s">
        <v>143</v>
      </c>
      <c r="U68" s="129" t="s">
        <v>144</v>
      </c>
      <c r="V68" s="129" t="s">
        <v>145</v>
      </c>
      <c r="W68" s="130" t="s">
        <v>146</v>
      </c>
    </row>
    <row r="69" spans="1:23" ht="15.75" thickBot="1">
      <c r="A69" s="140"/>
      <c r="B69" s="141"/>
      <c r="C69" s="141"/>
      <c r="D69" s="141"/>
      <c r="E69" s="141"/>
      <c r="F69" s="141"/>
      <c r="G69" s="141"/>
      <c r="H69" s="141"/>
      <c r="I69" s="141"/>
      <c r="J69" s="141"/>
      <c r="K69" s="141"/>
      <c r="L69" s="141"/>
      <c r="M69" s="141"/>
      <c r="N69" s="141"/>
      <c r="O69" s="141"/>
      <c r="P69" s="137"/>
      <c r="Q69" s="137"/>
      <c r="R69" s="137"/>
      <c r="S69" s="137"/>
      <c r="T69" s="138"/>
      <c r="U69" s="138"/>
      <c r="V69" s="138"/>
      <c r="W69" s="139"/>
    </row>
    <row r="70" spans="1:23">
      <c r="A70" s="200">
        <v>10</v>
      </c>
      <c r="B70" s="192" t="s">
        <v>116</v>
      </c>
      <c r="C70" s="201" t="s">
        <v>128</v>
      </c>
      <c r="D70" s="202">
        <f t="shared" ref="D70" si="55">IF(C70="nu",3,IF(C70="isole",4,IF(C70="","")))</f>
        <v>4</v>
      </c>
      <c r="E70" s="197">
        <f>IF(OR(C70="",B70=""),"",VLOOKUP(B70,DN,D70,0))</f>
        <v>0.4</v>
      </c>
      <c r="F70" s="198">
        <f t="shared" ref="F70" si="56">IF(E70="","",E70*60)</f>
        <v>24</v>
      </c>
      <c r="G70" s="192">
        <v>90</v>
      </c>
      <c r="H70" s="192">
        <v>70</v>
      </c>
      <c r="I70" s="202" t="str">
        <f t="shared" ref="I70" si="57">G70&amp;H70</f>
        <v>9070</v>
      </c>
      <c r="J70" s="192">
        <v>5</v>
      </c>
      <c r="K70" s="194">
        <f>IF(D70=3,INDEX('coef Fct'!fct,VLOOKUP(I70,tatr,2,0),VLOOKUP('deperd tuyauterie'!J70,ti,2,0)),IF(D70=4,INDEX(fcti,VLOOKUP(I70,tatr,2,0),VLOOKUP('deperd tuyauterie'!J70,tii,2,0)),IF(D70="","")))</f>
        <v>1.25</v>
      </c>
      <c r="L70" s="196" t="s">
        <v>147</v>
      </c>
      <c r="M70" s="197">
        <f>IF(L70="","",VLOOKUP(L70,annexe!position,2,0))</f>
        <v>0.75</v>
      </c>
      <c r="N70" s="192">
        <v>36</v>
      </c>
      <c r="O70" s="198">
        <f>IF(OR(M70="",K70=""),"",IF(M70="",F70*K70*N70,IF(N70&lt;&gt;"",F70*K70*M70*N70)))</f>
        <v>810</v>
      </c>
      <c r="P70" s="199">
        <f>IF(OR(O70="",C70=""),"",(O70*0.86)/(G70-H70))</f>
        <v>34.83</v>
      </c>
      <c r="Q70" s="132" t="s">
        <v>157</v>
      </c>
      <c r="R70" s="143"/>
      <c r="S70" s="175" t="s">
        <v>25</v>
      </c>
      <c r="T70" s="132"/>
      <c r="U70" s="132"/>
      <c r="V70" s="132"/>
      <c r="W70" s="133"/>
    </row>
    <row r="71" spans="1:23" ht="15.75" thickBot="1">
      <c r="A71" s="191"/>
      <c r="B71" s="176"/>
      <c r="C71" s="183"/>
      <c r="D71" s="176"/>
      <c r="E71" s="176"/>
      <c r="F71" s="176"/>
      <c r="G71" s="176"/>
      <c r="H71" s="176"/>
      <c r="I71" s="176"/>
      <c r="J71" s="176"/>
      <c r="K71" s="183"/>
      <c r="L71" s="183"/>
      <c r="M71" s="176"/>
      <c r="N71" s="176"/>
      <c r="O71" s="176"/>
      <c r="P71" s="176"/>
      <c r="Q71" s="134" t="s">
        <v>158</v>
      </c>
      <c r="R71" s="144"/>
      <c r="S71" s="176"/>
      <c r="T71" s="134"/>
      <c r="U71" s="134"/>
      <c r="V71" s="134"/>
      <c r="W71" s="135"/>
    </row>
    <row r="72" spans="1:23">
      <c r="A72" s="200">
        <v>11</v>
      </c>
      <c r="B72" s="192" t="s">
        <v>137</v>
      </c>
      <c r="C72" s="201" t="s">
        <v>127</v>
      </c>
      <c r="D72" s="202">
        <f t="shared" ref="D72" si="58">IF(C72="nu",3,IF(C72="isole",4,IF(C72="","")))</f>
        <v>3</v>
      </c>
      <c r="E72" s="197">
        <f>IF(OR(C72="",B72=""),"",VLOOKUP(B72,DN,D72,0))</f>
        <v>2.02</v>
      </c>
      <c r="F72" s="198">
        <f t="shared" ref="F72" si="59">IF(E72="","",E72*60)</f>
        <v>121.2</v>
      </c>
      <c r="G72" s="192">
        <v>90</v>
      </c>
      <c r="H72" s="192">
        <v>70</v>
      </c>
      <c r="I72" s="202" t="str">
        <f t="shared" ref="I72" si="60">G72&amp;H72</f>
        <v>9070</v>
      </c>
      <c r="J72" s="192">
        <v>15</v>
      </c>
      <c r="K72" s="194">
        <f>IF(D72=3,INDEX('coef Fct'!fct,VLOOKUP(I72,tatr,2,0),VLOOKUP('deperd tuyauterie'!J72,ti,2,0)),IF(D72=4,INDEX(fcti,VLOOKUP(I72,tatr,2,0),VLOOKUP('deperd tuyauterie'!J72,tii,2,0)),IF(D72="","")))</f>
        <v>1.0860000000000001</v>
      </c>
      <c r="L72" s="196" t="s">
        <v>147</v>
      </c>
      <c r="M72" s="197">
        <f>IF(L72="","",VLOOKUP(L72,annexe!position,2,0))</f>
        <v>0.75</v>
      </c>
      <c r="N72" s="192">
        <v>22</v>
      </c>
      <c r="O72" s="198">
        <f t="shared" ref="O72" si="61">IF(OR(M72="",K72=""),"",IF(M72="",F72*K72*N72,IF(N72&lt;&gt;"",F72*K72*M72*N72)))</f>
        <v>2171.7828000000004</v>
      </c>
      <c r="P72" s="199">
        <f t="shared" ref="P72" si="62">IF(OR(O72="",C72=""),"",(O72*0.86)/(G72-H72))</f>
        <v>93.386660400000011</v>
      </c>
      <c r="Q72" s="132" t="s">
        <v>157</v>
      </c>
      <c r="R72" s="143">
        <v>2600</v>
      </c>
      <c r="S72" s="175">
        <f>IF(ISERROR(S74+R72),0,S74+R72)</f>
        <v>0</v>
      </c>
      <c r="T72" s="132"/>
      <c r="U72" s="132"/>
      <c r="V72" s="132"/>
      <c r="W72" s="133"/>
    </row>
    <row r="73" spans="1:23" ht="15.75" thickBot="1">
      <c r="A73" s="191"/>
      <c r="B73" s="176"/>
      <c r="C73" s="183"/>
      <c r="D73" s="176"/>
      <c r="E73" s="176"/>
      <c r="F73" s="176"/>
      <c r="G73" s="176"/>
      <c r="H73" s="176"/>
      <c r="I73" s="176"/>
      <c r="J73" s="176"/>
      <c r="K73" s="183"/>
      <c r="L73" s="183"/>
      <c r="M73" s="176"/>
      <c r="N73" s="176"/>
      <c r="O73" s="176"/>
      <c r="P73" s="176"/>
      <c r="Q73" s="134" t="s">
        <v>158</v>
      </c>
      <c r="R73" s="144">
        <v>230</v>
      </c>
      <c r="S73" s="176"/>
      <c r="T73" s="134"/>
      <c r="U73" s="134"/>
      <c r="V73" s="134"/>
      <c r="W73" s="135"/>
    </row>
    <row r="74" spans="1:23">
      <c r="A74" s="200">
        <v>12</v>
      </c>
      <c r="B74" s="192" t="s">
        <v>113</v>
      </c>
      <c r="C74" s="201" t="s">
        <v>128</v>
      </c>
      <c r="D74" s="202">
        <f t="shared" ref="D74" si="63">IF(C74="nu",3,IF(C74="isole",4,IF(C74="","")))</f>
        <v>4</v>
      </c>
      <c r="E74" s="197">
        <f>IF(OR(C74="",B74=""),"",VLOOKUP(B74,DN,D74,0))</f>
        <v>0.3</v>
      </c>
      <c r="F74" s="198">
        <f t="shared" ref="F74" si="64">IF(E74="","",E74*60)</f>
        <v>18</v>
      </c>
      <c r="G74" s="192">
        <v>90</v>
      </c>
      <c r="H74" s="192">
        <v>70</v>
      </c>
      <c r="I74" s="202" t="str">
        <f t="shared" ref="I74" si="65">G74&amp;H74</f>
        <v>9070</v>
      </c>
      <c r="J74" s="192">
        <v>7</v>
      </c>
      <c r="K74" s="194">
        <f>IF(D74=3,INDEX('coef Fct'!fct,VLOOKUP(I74,tatr,2,0),VLOOKUP('deperd tuyauterie'!J74,ti,2,0)),IF(D74=4,INDEX(fcti,VLOOKUP(I74,tatr,2,0),VLOOKUP('deperd tuyauterie'!J74,tii,2,0)),IF(D74="","")))</f>
        <v>1.2170000000000001</v>
      </c>
      <c r="L74" s="196" t="s">
        <v>147</v>
      </c>
      <c r="M74" s="197">
        <f>IF(L74="","",VLOOKUP(L74,annexe!position,2,0))</f>
        <v>0.75</v>
      </c>
      <c r="N74" s="192">
        <v>16</v>
      </c>
      <c r="O74" s="198">
        <f t="shared" ref="O74" si="66">IF(OR(M74="",K74=""),"",IF(M74="",F74*K74*N74,IF(N74&lt;&gt;"",F74*K74*M74*N74)))</f>
        <v>262.87200000000001</v>
      </c>
      <c r="P74" s="199">
        <f t="shared" ref="P74" si="67">IF(OR(O74="",C74=""),"",(O74*0.86)/(G74-H74))</f>
        <v>11.303495999999999</v>
      </c>
      <c r="Q74" s="132" t="s">
        <v>157</v>
      </c>
      <c r="R74" s="143">
        <v>1250</v>
      </c>
      <c r="S74" s="175" t="s">
        <v>25</v>
      </c>
      <c r="T74" s="204"/>
      <c r="U74" s="132"/>
      <c r="V74" s="132"/>
      <c r="W74" s="133"/>
    </row>
    <row r="75" spans="1:23" ht="15.75" thickBot="1">
      <c r="A75" s="191"/>
      <c r="B75" s="176"/>
      <c r="C75" s="183"/>
      <c r="D75" s="176"/>
      <c r="E75" s="176"/>
      <c r="F75" s="176"/>
      <c r="G75" s="176"/>
      <c r="H75" s="176"/>
      <c r="I75" s="176"/>
      <c r="J75" s="176"/>
      <c r="K75" s="183"/>
      <c r="L75" s="183"/>
      <c r="M75" s="176"/>
      <c r="N75" s="176"/>
      <c r="O75" s="176"/>
      <c r="P75" s="176"/>
      <c r="Q75" s="134" t="s">
        <v>158</v>
      </c>
      <c r="R75" s="144">
        <v>180</v>
      </c>
      <c r="S75" s="176"/>
      <c r="T75" s="205"/>
      <c r="U75" s="134"/>
      <c r="V75" s="134"/>
      <c r="W75" s="135"/>
    </row>
    <row r="76" spans="1:23">
      <c r="A76" s="200">
        <v>13</v>
      </c>
      <c r="B76" s="192" t="s">
        <v>112</v>
      </c>
      <c r="C76" s="201" t="s">
        <v>127</v>
      </c>
      <c r="D76" s="202">
        <f t="shared" ref="D76" si="68">IF(C76="nu",3,IF(C76="isole",4,IF(C76="","")))</f>
        <v>3</v>
      </c>
      <c r="E76" s="197">
        <f>IF(OR(C76="",B76=""),"",VLOOKUP(B76,DN,D76,0))</f>
        <v>1.48</v>
      </c>
      <c r="F76" s="198">
        <f t="shared" ref="F76" si="69">IF(E76="","",E76*60)</f>
        <v>88.8</v>
      </c>
      <c r="G76" s="192">
        <v>90</v>
      </c>
      <c r="H76" s="192">
        <v>70</v>
      </c>
      <c r="I76" s="202" t="str">
        <f t="shared" ref="I76" si="70">G76&amp;H76</f>
        <v>9070</v>
      </c>
      <c r="J76" s="192">
        <v>20</v>
      </c>
      <c r="K76" s="194">
        <f>IF(D76=3,INDEX('coef Fct'!fct,VLOOKUP(I76,tatr,2,0),VLOOKUP('deperd tuyauterie'!J76,ti,2,0)),IF(D76=4,INDEX(fcti,VLOOKUP(I76,tatr,2,0),VLOOKUP('deperd tuyauterie'!J76,tii,2,0)),IF(D76="","")))</f>
        <v>1</v>
      </c>
      <c r="L76" s="196" t="s">
        <v>147</v>
      </c>
      <c r="M76" s="197">
        <f>IF(L76="","",VLOOKUP(L76,annexe!position,2,0))</f>
        <v>0.75</v>
      </c>
      <c r="N76" s="192">
        <v>26</v>
      </c>
      <c r="O76" s="198">
        <f t="shared" ref="O76" si="71">IF(OR(M76="",K76=""),"",IF(M76="",F76*K76*N76,IF(N76&lt;&gt;"",F76*K76*M76*N76)))</f>
        <v>1731.6</v>
      </c>
      <c r="P76" s="199">
        <f t="shared" ref="P76" si="72">IF(OR(O76="",C76=""),"",(O76*0.86)/(G76-H76))</f>
        <v>74.458799999999997</v>
      </c>
      <c r="Q76" s="132" t="s">
        <v>157</v>
      </c>
      <c r="R76" s="143">
        <v>880</v>
      </c>
      <c r="S76" s="175" t="s">
        <v>25</v>
      </c>
      <c r="T76" s="206" t="s">
        <v>25</v>
      </c>
      <c r="U76" s="132"/>
      <c r="V76" s="132"/>
      <c r="W76" s="133"/>
    </row>
    <row r="77" spans="1:23" ht="15" customHeight="1" thickBot="1">
      <c r="A77" s="191"/>
      <c r="B77" s="176"/>
      <c r="C77" s="183"/>
      <c r="D77" s="176"/>
      <c r="E77" s="176"/>
      <c r="F77" s="176"/>
      <c r="G77" s="176"/>
      <c r="H77" s="176"/>
      <c r="I77" s="176"/>
      <c r="J77" s="176"/>
      <c r="K77" s="183"/>
      <c r="L77" s="183"/>
      <c r="M77" s="176"/>
      <c r="N77" s="176"/>
      <c r="O77" s="176"/>
      <c r="P77" s="176"/>
      <c r="Q77" s="134" t="s">
        <v>158</v>
      </c>
      <c r="R77" s="144">
        <v>120</v>
      </c>
      <c r="S77" s="176"/>
      <c r="T77" s="205"/>
      <c r="U77" s="134"/>
      <c r="V77" s="134"/>
      <c r="W77" s="135"/>
    </row>
    <row r="78" spans="1:23">
      <c r="A78" s="200">
        <v>14</v>
      </c>
      <c r="B78" s="192" t="s">
        <v>111</v>
      </c>
      <c r="C78" s="201" t="s">
        <v>127</v>
      </c>
      <c r="D78" s="202">
        <f t="shared" ref="D78" si="73">IF(C78="nu",3,IF(C78="isole",4,IF(C78="","")))</f>
        <v>3</v>
      </c>
      <c r="E78" s="197">
        <f>IF(OR(C78="",B78=""),"",VLOOKUP(B78,DN,D78,0))</f>
        <v>1.22</v>
      </c>
      <c r="F78" s="198">
        <f t="shared" ref="F78" si="74">IF(E78="","",E78*60)</f>
        <v>73.2</v>
      </c>
      <c r="G78" s="192">
        <v>90</v>
      </c>
      <c r="H78" s="192">
        <v>70</v>
      </c>
      <c r="I78" s="202" t="str">
        <f t="shared" ref="I78" si="75">G78&amp;H78</f>
        <v>9070</v>
      </c>
      <c r="J78" s="192">
        <v>20</v>
      </c>
      <c r="K78" s="194">
        <f>IF(D78=3,INDEX('coef Fct'!fct,VLOOKUP(I78,tatr,2,0),VLOOKUP('deperd tuyauterie'!J78,ti,2,0)),IF(D78=4,INDEX(fcti,VLOOKUP(I78,tatr,2,0),VLOOKUP('deperd tuyauterie'!J78,tii,2,0)),IF(D78="","")))</f>
        <v>1</v>
      </c>
      <c r="L78" s="196" t="s">
        <v>149</v>
      </c>
      <c r="M78" s="197">
        <f>IF(L78="","",VLOOKUP(L78,annexe!position,2,0))</f>
        <v>0.9</v>
      </c>
      <c r="N78" s="192">
        <v>6</v>
      </c>
      <c r="O78" s="198">
        <f t="shared" ref="O78" si="76">IF(OR(M78="",K78=""),"",IF(M78="",F78*K78*N78,IF(N78&lt;&gt;"",F78*K78*M78*N78)))</f>
        <v>395.28000000000009</v>
      </c>
      <c r="P78" s="199">
        <f t="shared" ref="P78" si="77">IF(OR(O78="",C78=""),"",(O78*0.86)/(G78-H78))</f>
        <v>16.997040000000005</v>
      </c>
      <c r="Q78" s="132" t="s">
        <v>157</v>
      </c>
      <c r="R78" s="143">
        <v>250</v>
      </c>
      <c r="S78" s="175" t="s">
        <v>25</v>
      </c>
      <c r="T78" s="206" t="s">
        <v>25</v>
      </c>
      <c r="U78" s="132"/>
      <c r="V78" s="132"/>
      <c r="W78" s="133"/>
    </row>
    <row r="79" spans="1:23" ht="15.75" thickBot="1">
      <c r="A79" s="191"/>
      <c r="B79" s="176"/>
      <c r="C79" s="183"/>
      <c r="D79" s="176"/>
      <c r="E79" s="176"/>
      <c r="F79" s="176"/>
      <c r="G79" s="176"/>
      <c r="H79" s="176"/>
      <c r="I79" s="176"/>
      <c r="J79" s="176"/>
      <c r="K79" s="183"/>
      <c r="L79" s="183"/>
      <c r="M79" s="176"/>
      <c r="N79" s="176"/>
      <c r="O79" s="176"/>
      <c r="P79" s="176"/>
      <c r="Q79" s="134" t="s">
        <v>158</v>
      </c>
      <c r="R79" s="144">
        <v>30</v>
      </c>
      <c r="S79" s="176"/>
      <c r="T79" s="205"/>
      <c r="U79" s="134"/>
      <c r="V79" s="134"/>
      <c r="W79" s="135"/>
    </row>
    <row r="80" spans="1:23">
      <c r="A80" s="200">
        <v>15</v>
      </c>
      <c r="B80" s="192" t="s">
        <v>110</v>
      </c>
      <c r="C80" s="201" t="s">
        <v>127</v>
      </c>
      <c r="D80" s="202">
        <f t="shared" ref="D80" si="78">IF(C80="nu",3,IF(C80="isole",4,IF(C80="","")))</f>
        <v>3</v>
      </c>
      <c r="E80" s="197">
        <f>IF(OR(C80="",B80=""),"",VLOOKUP(B80,DN,D80,0))</f>
        <v>0.99</v>
      </c>
      <c r="F80" s="198">
        <f t="shared" ref="F80" si="79">IF(E80="","",E80*60)</f>
        <v>59.4</v>
      </c>
      <c r="G80" s="192">
        <v>90</v>
      </c>
      <c r="H80" s="192">
        <v>70</v>
      </c>
      <c r="I80" s="202" t="str">
        <f t="shared" ref="I80" si="80">G80&amp;H80</f>
        <v>9070</v>
      </c>
      <c r="J80" s="192">
        <v>20</v>
      </c>
      <c r="K80" s="194">
        <f>IF(D80=3,INDEX('coef Fct'!fct,VLOOKUP(I80,tatr,2,0),VLOOKUP('deperd tuyauterie'!J80,ti,2,0)),IF(D80=4,INDEX(fcti,VLOOKUP(I80,tatr,2,0),VLOOKUP('deperd tuyauterie'!J80,tii,2,0)),IF(D80="","")))</f>
        <v>1</v>
      </c>
      <c r="L80" s="196" t="s">
        <v>148</v>
      </c>
      <c r="M80" s="197">
        <f>IF(L80="","",VLOOKUP(L80,annexe!position,2,0))</f>
        <v>0.9</v>
      </c>
      <c r="N80" s="192">
        <v>10</v>
      </c>
      <c r="O80" s="198">
        <f t="shared" ref="O80" si="81">IF(OR(M80="",K80=""),"",IF(M80="",F80*K80*N80,IF(N80&lt;&gt;"",F80*K80*M80*N80)))</f>
        <v>534.6</v>
      </c>
      <c r="P80" s="199">
        <f t="shared" ref="P80" si="82">IF(OR(O80="",C80=""),"",(O80*0.86)/(G80-H80))</f>
        <v>22.9878</v>
      </c>
      <c r="Q80" s="132" t="s">
        <v>157</v>
      </c>
      <c r="R80" s="143">
        <v>300</v>
      </c>
      <c r="S80" s="175" t="s">
        <v>25</v>
      </c>
      <c r="T80" s="206"/>
      <c r="U80" s="132"/>
      <c r="V80" s="132"/>
      <c r="W80" s="133"/>
    </row>
    <row r="81" spans="1:23" ht="15.75" thickBot="1">
      <c r="A81" s="191"/>
      <c r="B81" s="176"/>
      <c r="C81" s="183"/>
      <c r="D81" s="176"/>
      <c r="E81" s="176"/>
      <c r="F81" s="176"/>
      <c r="G81" s="176"/>
      <c r="H81" s="176"/>
      <c r="I81" s="176"/>
      <c r="J81" s="176"/>
      <c r="K81" s="183"/>
      <c r="L81" s="183"/>
      <c r="M81" s="176"/>
      <c r="N81" s="176"/>
      <c r="O81" s="176"/>
      <c r="P81" s="176"/>
      <c r="Q81" s="134" t="s">
        <v>158</v>
      </c>
      <c r="R81" s="144">
        <v>38</v>
      </c>
      <c r="S81" s="176"/>
      <c r="T81" s="205"/>
      <c r="U81" s="134"/>
      <c r="V81" s="134"/>
      <c r="W81" s="135"/>
    </row>
    <row r="82" spans="1:23">
      <c r="A82" s="200">
        <v>7</v>
      </c>
      <c r="B82" s="192"/>
      <c r="C82" s="201"/>
      <c r="D82" s="202" t="str">
        <f t="shared" ref="D82" si="83">IF(C82="nu",3,IF(C82="isole",4,IF(C82="","")))</f>
        <v/>
      </c>
      <c r="E82" s="197" t="str">
        <f>IF(OR(C82="",B82=""),"",VLOOKUP(B82,DN,D82,0))</f>
        <v/>
      </c>
      <c r="F82" s="198" t="str">
        <f t="shared" ref="F82" si="84">IF(E82="","",E82*60)</f>
        <v/>
      </c>
      <c r="G82" s="192" t="s">
        <v>25</v>
      </c>
      <c r="H82" s="192" t="s">
        <v>25</v>
      </c>
      <c r="I82" s="202" t="str">
        <f t="shared" ref="I82" si="85">G82&amp;H82</f>
        <v xml:space="preserve">  </v>
      </c>
      <c r="J82" s="192" t="s">
        <v>25</v>
      </c>
      <c r="K82" s="194" t="str">
        <f>IF(D82=3,INDEX('coef Fct'!fct,VLOOKUP(I82,tatr,2,0),VLOOKUP('deperd tuyauterie'!J82,ti,2,0)),IF(D82=4,INDEX(fcti,VLOOKUP(I82,tatr,2,0),VLOOKUP('deperd tuyauterie'!J82,tii,2,0)),IF(D82="","")))</f>
        <v/>
      </c>
      <c r="L82" s="196"/>
      <c r="M82" s="197" t="str">
        <f>IF(L82="","",VLOOKUP(L82,annexe!position,2,0))</f>
        <v/>
      </c>
      <c r="N82" s="192" t="s">
        <v>25</v>
      </c>
      <c r="O82" s="198" t="str">
        <f t="shared" ref="O82" si="86">IF(OR(M82="",K82=""),"",IF(M82="",F82*K82*N82,IF(N82&lt;&gt;"",F82*K82*M82*N82)))</f>
        <v/>
      </c>
      <c r="P82" s="199" t="str">
        <f t="shared" ref="P82" si="87">IF(OR(O82="",C82=""),"",(O82*0.86)/(G82-H82))</f>
        <v/>
      </c>
      <c r="Q82" s="132" t="s">
        <v>157</v>
      </c>
      <c r="R82" s="152">
        <v>150</v>
      </c>
      <c r="S82" s="175" t="s">
        <v>25</v>
      </c>
      <c r="T82" s="206" t="s">
        <v>25</v>
      </c>
      <c r="U82" s="132"/>
      <c r="V82" s="132"/>
      <c r="W82" s="133"/>
    </row>
    <row r="83" spans="1:23" ht="15.75" thickBot="1">
      <c r="A83" s="191"/>
      <c r="B83" s="176"/>
      <c r="C83" s="183"/>
      <c r="D83" s="176"/>
      <c r="E83" s="176"/>
      <c r="F83" s="176"/>
      <c r="G83" s="176"/>
      <c r="H83" s="176"/>
      <c r="I83" s="176"/>
      <c r="J83" s="176"/>
      <c r="K83" s="183"/>
      <c r="L83" s="183"/>
      <c r="M83" s="176"/>
      <c r="N83" s="176"/>
      <c r="O83" s="176"/>
      <c r="P83" s="176"/>
      <c r="Q83" s="134" t="s">
        <v>158</v>
      </c>
      <c r="R83" s="144" t="s">
        <v>25</v>
      </c>
      <c r="S83" s="176"/>
      <c r="T83" s="205"/>
      <c r="U83" s="134"/>
      <c r="V83" s="134"/>
      <c r="W83" s="135"/>
    </row>
    <row r="84" spans="1:23">
      <c r="A84" s="200">
        <v>8</v>
      </c>
      <c r="B84" s="192"/>
      <c r="C84" s="201"/>
      <c r="D84" s="202" t="str">
        <f t="shared" ref="D84" si="88">IF(C84="nu",3,IF(C84="isole",4,IF(C84="","")))</f>
        <v/>
      </c>
      <c r="E84" s="197" t="str">
        <f>IF(OR(C84="",B84=""),"",VLOOKUP(B84,DN,D84,0))</f>
        <v/>
      </c>
      <c r="F84" s="198" t="str">
        <f t="shared" ref="F84" si="89">IF(E84="","",E84*60)</f>
        <v/>
      </c>
      <c r="G84" s="192" t="s">
        <v>25</v>
      </c>
      <c r="H84" s="192" t="s">
        <v>25</v>
      </c>
      <c r="I84" s="202" t="str">
        <f t="shared" ref="I84" si="90">G84&amp;H84</f>
        <v xml:space="preserve">  </v>
      </c>
      <c r="J84" s="192" t="s">
        <v>25</v>
      </c>
      <c r="K84" s="194" t="str">
        <f>IF(D84=3,INDEX('coef Fct'!fct,VLOOKUP(I84,tatr,2,0),VLOOKUP('deperd tuyauterie'!J84,ti,2,0)),IF(D84=4,INDEX(fcti,VLOOKUP(I84,tatr,2,0),VLOOKUP('deperd tuyauterie'!J84,tii,2,0)),IF(D84="","")))</f>
        <v/>
      </c>
      <c r="L84" s="196"/>
      <c r="M84" s="197" t="str">
        <f>IF(L84="","",VLOOKUP(L84,annexe!position,2,0))</f>
        <v/>
      </c>
      <c r="N84" s="192">
        <v>6</v>
      </c>
      <c r="O84" s="198" t="str">
        <f t="shared" ref="O84" si="91">IF(OR(M84="",K84=""),"",IF(M84="",F84*K84*N84,IF(N84&lt;&gt;"",F84*K84*M84*N84)))</f>
        <v/>
      </c>
      <c r="P84" s="199" t="str">
        <f t="shared" ref="P84" si="92">IF(OR(O84="",C84=""),"",(O84*0.86)/(G84-H84))</f>
        <v/>
      </c>
      <c r="Q84" s="132" t="s">
        <v>157</v>
      </c>
      <c r="R84" s="143" t="s">
        <v>25</v>
      </c>
      <c r="S84" s="175">
        <f>IF(ISERROR(S86+R84),0,S86+R84)</f>
        <v>0</v>
      </c>
      <c r="T84" s="206" t="s">
        <v>25</v>
      </c>
      <c r="U84" s="132"/>
      <c r="V84" s="132"/>
      <c r="W84" s="133"/>
    </row>
    <row r="85" spans="1:23" ht="15.75" thickBot="1">
      <c r="A85" s="191"/>
      <c r="B85" s="176"/>
      <c r="C85" s="183"/>
      <c r="D85" s="176"/>
      <c r="E85" s="176"/>
      <c r="F85" s="176"/>
      <c r="G85" s="176"/>
      <c r="H85" s="176"/>
      <c r="I85" s="176"/>
      <c r="J85" s="176"/>
      <c r="K85" s="183"/>
      <c r="L85" s="183"/>
      <c r="M85" s="176"/>
      <c r="N85" s="176"/>
      <c r="O85" s="176"/>
      <c r="P85" s="176"/>
      <c r="Q85" s="134" t="s">
        <v>158</v>
      </c>
      <c r="R85" s="144" t="s">
        <v>25</v>
      </c>
      <c r="S85" s="176"/>
      <c r="T85" s="205"/>
      <c r="U85" s="134"/>
      <c r="V85" s="134"/>
      <c r="W85" s="135"/>
    </row>
    <row r="86" spans="1:23">
      <c r="A86" s="200">
        <v>9</v>
      </c>
      <c r="B86" s="192"/>
      <c r="C86" s="201"/>
      <c r="D86" s="202" t="str">
        <f t="shared" ref="D86" si="93">IF(C86="nu",3,IF(C86="isole",4,IF(C86="","")))</f>
        <v/>
      </c>
      <c r="E86" s="197" t="str">
        <f>IF(OR(C86="",B86=""),"",VLOOKUP(B86,DN,D86,0))</f>
        <v/>
      </c>
      <c r="F86" s="198" t="str">
        <f t="shared" ref="F86" si="94">IF(E86="","",E86*60)</f>
        <v/>
      </c>
      <c r="G86" s="192" t="s">
        <v>25</v>
      </c>
      <c r="H86" s="192" t="s">
        <v>25</v>
      </c>
      <c r="I86" s="202" t="str">
        <f t="shared" ref="I86" si="95">G86&amp;H86</f>
        <v xml:space="preserve">  </v>
      </c>
      <c r="J86" s="192" t="s">
        <v>25</v>
      </c>
      <c r="K86" s="194" t="str">
        <f>IF(D86=3,INDEX('coef Fct'!fct,VLOOKUP(I86,tatr,2,0),VLOOKUP('deperd tuyauterie'!J86,ti,2,0)),IF(D86=4,INDEX(fcti,VLOOKUP(I86,tatr,2,0),VLOOKUP('deperd tuyauterie'!J86,tii,2,0)),IF(D86="","")))</f>
        <v/>
      </c>
      <c r="L86" s="196"/>
      <c r="M86" s="197" t="str">
        <f>IF(L86="","",VLOOKUP(L86,annexe!position,2,0))</f>
        <v/>
      </c>
      <c r="N86" s="192" t="s">
        <v>25</v>
      </c>
      <c r="O86" s="198" t="str">
        <f t="shared" ref="O86" si="96">IF(OR(M86="",K86=""),"",IF(M86="",F86*K86*N86,IF(N86&lt;&gt;"",F86*K86*M86*N86)))</f>
        <v/>
      </c>
      <c r="P86" s="199" t="str">
        <f t="shared" ref="P86" si="97">IF(OR(O86="",C86=""),"",(O86*0.86)/(G86-H86))</f>
        <v/>
      </c>
      <c r="Q86" s="132" t="s">
        <v>157</v>
      </c>
      <c r="R86" s="143" t="s">
        <v>25</v>
      </c>
      <c r="S86" s="175">
        <f>IF(ISERROR(S88+R86),0,S88+R86)</f>
        <v>0</v>
      </c>
      <c r="T86" s="206" t="s">
        <v>25</v>
      </c>
      <c r="U86" s="132"/>
      <c r="V86" s="132"/>
      <c r="W86" s="133"/>
    </row>
    <row r="87" spans="1:23" ht="15.75" thickBot="1">
      <c r="A87" s="191"/>
      <c r="B87" s="176"/>
      <c r="C87" s="183"/>
      <c r="D87" s="176"/>
      <c r="E87" s="176"/>
      <c r="F87" s="176"/>
      <c r="G87" s="176"/>
      <c r="H87" s="176"/>
      <c r="I87" s="176"/>
      <c r="J87" s="176"/>
      <c r="K87" s="183"/>
      <c r="L87" s="183"/>
      <c r="M87" s="176"/>
      <c r="N87" s="176"/>
      <c r="O87" s="176"/>
      <c r="P87" s="176"/>
      <c r="Q87" s="134" t="s">
        <v>158</v>
      </c>
      <c r="R87" s="150" t="s">
        <v>25</v>
      </c>
      <c r="S87" s="176"/>
      <c r="T87" s="205"/>
      <c r="U87" s="134"/>
      <c r="V87" s="134"/>
      <c r="W87" s="135"/>
    </row>
    <row r="88" spans="1:23">
      <c r="A88" s="200">
        <v>10</v>
      </c>
      <c r="B88" s="192"/>
      <c r="C88" s="201"/>
      <c r="D88" s="202" t="str">
        <f t="shared" ref="D88" si="98">IF(C88="nu",3,IF(C88="isole",4,IF(C88="","")))</f>
        <v/>
      </c>
      <c r="E88" s="197" t="str">
        <f>IF(OR(C88="",B88=""),"",VLOOKUP(B88,DN,D88,0))</f>
        <v/>
      </c>
      <c r="F88" s="198" t="str">
        <f t="shared" ref="F88" si="99">IF(E88="","",E88*60)</f>
        <v/>
      </c>
      <c r="G88" s="192" t="s">
        <v>25</v>
      </c>
      <c r="H88" s="192" t="s">
        <v>25</v>
      </c>
      <c r="I88" s="202" t="str">
        <f t="shared" ref="I88" si="100">G88&amp;H88</f>
        <v xml:space="preserve">  </v>
      </c>
      <c r="J88" s="192" t="s">
        <v>25</v>
      </c>
      <c r="K88" s="194" t="str">
        <f>IF(D88=3,INDEX('coef Fct'!fct,VLOOKUP(I88,tatr,2,0),VLOOKUP('deperd tuyauterie'!J88,ti,2,0)),IF(D88=4,INDEX(fcti,VLOOKUP(I88,tatr,2,0),VLOOKUP('deperd tuyauterie'!J88,tii,2,0)),IF(D88="","")))</f>
        <v/>
      </c>
      <c r="L88" s="196"/>
      <c r="M88" s="197" t="str">
        <f>IF(L88="","",VLOOKUP(L88,annexe!position,2,0))</f>
        <v/>
      </c>
      <c r="N88" s="192" t="s">
        <v>25</v>
      </c>
      <c r="O88" s="198" t="str">
        <f t="shared" ref="O88" si="101">IF(OR(M88="",K88=""),"",IF(M88="",F88*K88*N88,IF(N88&lt;&gt;"",F88*K88*M88*N88)))</f>
        <v/>
      </c>
      <c r="P88" s="199" t="str">
        <f t="shared" ref="P88" si="102">IF(OR(O88="",C88=""),"",(O88*0.86)/(G88-H88))</f>
        <v/>
      </c>
      <c r="Q88" s="132" t="s">
        <v>157</v>
      </c>
      <c r="R88" s="146" t="s">
        <v>25</v>
      </c>
      <c r="S88" s="175">
        <f>IF(ISERROR(S90+R88),0,S90+R88)</f>
        <v>0</v>
      </c>
      <c r="T88" s="204" t="s">
        <v>25</v>
      </c>
      <c r="U88" s="132"/>
      <c r="V88" s="132"/>
      <c r="W88" s="133"/>
    </row>
    <row r="89" spans="1:23" ht="15.75" thickBot="1">
      <c r="A89" s="203"/>
      <c r="B89" s="193"/>
      <c r="C89" s="195"/>
      <c r="D89" s="193"/>
      <c r="E89" s="193"/>
      <c r="F89" s="193"/>
      <c r="G89" s="193"/>
      <c r="H89" s="193"/>
      <c r="I89" s="193"/>
      <c r="J89" s="193"/>
      <c r="K89" s="195"/>
      <c r="L89" s="195"/>
      <c r="M89" s="193"/>
      <c r="N89" s="193"/>
      <c r="O89" s="193"/>
      <c r="P89" s="193"/>
      <c r="Q89" s="136" t="s">
        <v>158</v>
      </c>
      <c r="R89" s="151" t="s">
        <v>25</v>
      </c>
      <c r="S89" s="176"/>
      <c r="T89" s="205"/>
      <c r="U89" s="136"/>
      <c r="V89" s="136"/>
      <c r="W89" s="142"/>
    </row>
    <row r="90" spans="1:23" ht="15.75" thickBot="1">
      <c r="A90" s="200">
        <v>11</v>
      </c>
      <c r="B90" s="192"/>
      <c r="C90" s="201"/>
      <c r="D90" s="202" t="str">
        <f t="shared" ref="D90" si="103">IF(C90="nu",3,IF(C90="isole",4,IF(C90="","")))</f>
        <v/>
      </c>
      <c r="E90" s="197" t="str">
        <f>IF(OR(C90="",B90=""),"",VLOOKUP(B90,DN,D90,0))</f>
        <v/>
      </c>
      <c r="F90" s="198" t="str">
        <f t="shared" ref="F90" si="104">IF(E90="","",E90*60)</f>
        <v/>
      </c>
      <c r="G90" s="192" t="s">
        <v>25</v>
      </c>
      <c r="H90" s="192" t="s">
        <v>25</v>
      </c>
      <c r="I90" s="202" t="str">
        <f t="shared" ref="I90" si="105">G90&amp;H90</f>
        <v xml:space="preserve">  </v>
      </c>
      <c r="J90" s="192" t="s">
        <v>25</v>
      </c>
      <c r="K90" s="194" t="str">
        <f>IF(D90=3,INDEX('coef Fct'!fct,VLOOKUP(I90,tatr,2,0),VLOOKUP('deperd tuyauterie'!J90,ti,2,0)),IF(D90=4,INDEX(fcti,VLOOKUP(I90,tatr,2,0),VLOOKUP('deperd tuyauterie'!J90,tii,2,0)),IF(D90="","")))</f>
        <v/>
      </c>
      <c r="L90" s="196"/>
      <c r="M90" s="197" t="str">
        <f>IF(L90="","",VLOOKUP(L90,annexe!position,2,0))</f>
        <v/>
      </c>
      <c r="N90" s="192" t="s">
        <v>25</v>
      </c>
      <c r="O90" s="198" t="str">
        <f t="shared" ref="O90" si="106">IF(OR(M90="",K90=""),"",IF(M90="",F90*K90*N90,IF(N90&lt;&gt;"",F90*K90*M90*N90)))</f>
        <v/>
      </c>
      <c r="P90" s="199" t="str">
        <f t="shared" ref="P90" si="107">IF(OR(O90="",C90=""),"",(O90*0.86)/(G90-H90))</f>
        <v/>
      </c>
      <c r="Q90" s="132" t="s">
        <v>157</v>
      </c>
      <c r="R90" s="146" t="s">
        <v>25</v>
      </c>
      <c r="S90" s="148" t="s">
        <v>25</v>
      </c>
      <c r="T90" s="132"/>
      <c r="U90" s="132"/>
      <c r="V90" s="132"/>
      <c r="W90" s="133"/>
    </row>
    <row r="91" spans="1:23" ht="15.75" thickBot="1">
      <c r="A91" s="203"/>
      <c r="B91" s="193"/>
      <c r="C91" s="195"/>
      <c r="D91" s="193"/>
      <c r="E91" s="193"/>
      <c r="F91" s="193"/>
      <c r="G91" s="193"/>
      <c r="H91" s="193"/>
      <c r="I91" s="193"/>
      <c r="J91" s="193"/>
      <c r="K91" s="195"/>
      <c r="L91" s="195"/>
      <c r="M91" s="193"/>
      <c r="N91" s="193"/>
      <c r="O91" s="193"/>
      <c r="P91" s="193"/>
      <c r="Q91" s="136" t="s">
        <v>158</v>
      </c>
      <c r="R91" s="151" t="s">
        <v>25</v>
      </c>
      <c r="S91" s="148" t="s">
        <v>25</v>
      </c>
      <c r="T91" s="136"/>
      <c r="U91" s="136"/>
      <c r="V91" s="136"/>
      <c r="W91" s="142"/>
    </row>
    <row r="92" spans="1:23" ht="15.75" thickBot="1">
      <c r="A92" s="200">
        <v>12</v>
      </c>
      <c r="B92" s="192"/>
      <c r="C92" s="201"/>
      <c r="D92" s="202" t="str">
        <f t="shared" ref="D92" si="108">IF(C92="nu",3,IF(C92="isole",4,IF(C92="","")))</f>
        <v/>
      </c>
      <c r="E92" s="197" t="str">
        <f>IF(OR(C92="",B92=""),"",VLOOKUP(B92,DN,D92,0))</f>
        <v/>
      </c>
      <c r="F92" s="198" t="str">
        <f t="shared" ref="F92" si="109">IF(E92="","",E92*60)</f>
        <v/>
      </c>
      <c r="G92" s="192" t="s">
        <v>25</v>
      </c>
      <c r="H92" s="192" t="s">
        <v>25</v>
      </c>
      <c r="I92" s="202" t="str">
        <f t="shared" ref="I92" si="110">G92&amp;H92</f>
        <v xml:space="preserve">  </v>
      </c>
      <c r="J92" s="192" t="s">
        <v>25</v>
      </c>
      <c r="K92" s="194" t="str">
        <f>IF(D92=3,INDEX('coef Fct'!fct,VLOOKUP(I92,tatr,2,0),VLOOKUP('deperd tuyauterie'!J92,ti,2,0)),IF(D92=4,INDEX(fcti,VLOOKUP(I92,tatr,2,0),VLOOKUP('deperd tuyauterie'!J92,tii,2,0)),IF(D92="","")))</f>
        <v/>
      </c>
      <c r="L92" s="196"/>
      <c r="M92" s="197" t="str">
        <f>IF(L92="","",VLOOKUP(L92,annexe!position,2,0))</f>
        <v/>
      </c>
      <c r="N92" s="192" t="s">
        <v>25</v>
      </c>
      <c r="O92" s="198" t="str">
        <f t="shared" ref="O92" si="111">IF(OR(M92="",K92=""),"",IF(M92="",F92*K92*N92,IF(N92&lt;&gt;"",F92*K92*M92*N92)))</f>
        <v/>
      </c>
      <c r="P92" s="199" t="str">
        <f t="shared" ref="P92" si="112">IF(OR(O92="",C92=""),"",(O92*0.86)/(G92-H92))</f>
        <v/>
      </c>
      <c r="Q92" s="132" t="s">
        <v>157</v>
      </c>
      <c r="R92" s="146" t="s">
        <v>25</v>
      </c>
      <c r="S92" s="148" t="s">
        <v>25</v>
      </c>
      <c r="T92" s="132"/>
      <c r="U92" s="132"/>
      <c r="V92" s="132"/>
      <c r="W92" s="133"/>
    </row>
    <row r="93" spans="1:23" ht="15.75" thickBot="1">
      <c r="A93" s="191"/>
      <c r="B93" s="176"/>
      <c r="C93" s="183"/>
      <c r="D93" s="176"/>
      <c r="E93" s="176"/>
      <c r="F93" s="176"/>
      <c r="G93" s="176"/>
      <c r="H93" s="176"/>
      <c r="I93" s="176"/>
      <c r="J93" s="176"/>
      <c r="K93" s="183"/>
      <c r="L93" s="183"/>
      <c r="M93" s="176"/>
      <c r="N93" s="176"/>
      <c r="O93" s="176"/>
      <c r="P93" s="176"/>
      <c r="Q93" s="134" t="s">
        <v>158</v>
      </c>
      <c r="R93" s="150" t="s">
        <v>25</v>
      </c>
      <c r="S93" s="148" t="s">
        <v>25</v>
      </c>
      <c r="T93" s="134"/>
      <c r="U93" s="134"/>
      <c r="V93" s="134"/>
      <c r="W93" s="135"/>
    </row>
    <row r="94" spans="1:23" ht="15.75" thickBot="1">
      <c r="A94" s="188">
        <v>13</v>
      </c>
      <c r="B94" s="181"/>
      <c r="C94" s="189"/>
      <c r="D94" s="190" t="str">
        <f t="shared" ref="D94" si="113">IF(C94="nu",3,IF(C94="isole",4,IF(C94="","")))</f>
        <v/>
      </c>
      <c r="E94" s="185" t="str">
        <f>IF(OR(C94="",B94=""),"",VLOOKUP(B94,DN,D94,0))</f>
        <v/>
      </c>
      <c r="F94" s="186" t="str">
        <f t="shared" ref="F94" si="114">IF(E94="","",E94*60)</f>
        <v/>
      </c>
      <c r="G94" s="181" t="s">
        <v>25</v>
      </c>
      <c r="H94" s="181" t="s">
        <v>25</v>
      </c>
      <c r="I94" s="190" t="str">
        <f t="shared" ref="I94" si="115">G94&amp;H94</f>
        <v xml:space="preserve">  </v>
      </c>
      <c r="J94" s="181">
        <v>20</v>
      </c>
      <c r="K94" s="182" t="str">
        <f>IF(D94=3,INDEX('coef Fct'!fct,VLOOKUP(I94,tatr,2,0),VLOOKUP('deperd tuyauterie'!J94,ti,2,0)),IF(D94=4,INDEX(fcti,VLOOKUP(I94,tatr,2,0),VLOOKUP('deperd tuyauterie'!J94,tii,2,0)),IF(D94="","")))</f>
        <v/>
      </c>
      <c r="L94" s="184"/>
      <c r="M94" s="185" t="str">
        <f>IF(L94="","",VLOOKUP(L94,annexe!position,2,0))</f>
        <v/>
      </c>
      <c r="N94" s="181" t="s">
        <v>25</v>
      </c>
      <c r="O94" s="186" t="str">
        <f t="shared" ref="O94" si="116">IF(OR(M94="",K94=""),"",IF(M94="",F94*K94*N94,IF(N94&lt;&gt;"",F94*K94*M94*N94)))</f>
        <v/>
      </c>
      <c r="P94" s="187" t="str">
        <f t="shared" ref="P94" si="117">IF(OR(O94="",C94=""),"",(O94*0.86)/(G94-H94))</f>
        <v/>
      </c>
      <c r="Q94" s="136" t="s">
        <v>157</v>
      </c>
      <c r="R94" s="151" t="s">
        <v>25</v>
      </c>
      <c r="S94" s="148" t="s">
        <v>25</v>
      </c>
      <c r="T94" s="136"/>
      <c r="U94" s="136"/>
      <c r="V94" s="136"/>
      <c r="W94" s="142"/>
    </row>
    <row r="95" spans="1:23" ht="15.75" thickBot="1">
      <c r="A95" s="191"/>
      <c r="B95" s="176"/>
      <c r="C95" s="183"/>
      <c r="D95" s="176"/>
      <c r="E95" s="176"/>
      <c r="F95" s="176"/>
      <c r="G95" s="176"/>
      <c r="H95" s="176"/>
      <c r="I95" s="176"/>
      <c r="J95" s="176"/>
      <c r="K95" s="183"/>
      <c r="L95" s="183"/>
      <c r="M95" s="176"/>
      <c r="N95" s="176"/>
      <c r="O95" s="176"/>
      <c r="P95" s="176"/>
      <c r="Q95" s="134" t="s">
        <v>158</v>
      </c>
      <c r="R95" s="150" t="s">
        <v>25</v>
      </c>
      <c r="S95" s="148" t="str">
        <f>IF(S97="",R95,IF(R95="","",IF(AND(R95&lt;&gt;"",S97&lt;&gt;""),R95+S97)))</f>
        <v xml:space="preserve"> </v>
      </c>
      <c r="T95" s="134"/>
      <c r="U95" s="134"/>
      <c r="V95" s="134"/>
      <c r="W95" s="135"/>
    </row>
    <row r="96" spans="1:23">
      <c r="A96" s="188">
        <v>14</v>
      </c>
      <c r="B96" s="181"/>
      <c r="C96" s="189"/>
      <c r="D96" s="190" t="str">
        <f t="shared" ref="D96" si="118">IF(C96="nu",3,IF(C96="isole",4,IF(C96="","")))</f>
        <v/>
      </c>
      <c r="E96" s="185" t="str">
        <f>IF(OR(C96="",B96=""),"",VLOOKUP(B96,DN,D96,0))</f>
        <v/>
      </c>
      <c r="F96" s="186" t="str">
        <f t="shared" ref="F96" si="119">IF(E96="","",E96*60)</f>
        <v/>
      </c>
      <c r="G96" s="181" t="s">
        <v>25</v>
      </c>
      <c r="H96" s="181" t="s">
        <v>25</v>
      </c>
      <c r="I96" s="190" t="str">
        <f t="shared" ref="I96" si="120">G96&amp;H96</f>
        <v xml:space="preserve">  </v>
      </c>
      <c r="J96" s="181">
        <v>20</v>
      </c>
      <c r="K96" s="182" t="str">
        <f>IF(D96=3,INDEX('coef Fct'!fct,VLOOKUP(I96,tatr,2,0),VLOOKUP('deperd tuyauterie'!J96,ti,2,0)),IF(D96=4,INDEX(fcti,VLOOKUP(I96,tatr,2,0),VLOOKUP('deperd tuyauterie'!J96,tii,2,0)),IF(D96="","")))</f>
        <v/>
      </c>
      <c r="L96" s="184"/>
      <c r="M96" s="185" t="str">
        <f>IF(L96="","",VLOOKUP(L96,annexe!position,2,0))</f>
        <v/>
      </c>
      <c r="N96" s="181" t="s">
        <v>25</v>
      </c>
      <c r="O96" s="186" t="str">
        <f t="shared" ref="O96" si="121">IF(OR(M96="",K96=""),"",IF(M96="",F96*K96*N96,IF(N96&lt;&gt;"",F96*K96*M96*N96)))</f>
        <v/>
      </c>
      <c r="P96" s="187" t="str">
        <f t="shared" ref="P96" si="122">IF(OR(O96="",C96=""),"",(O96*0.86)/(G96-H96))</f>
        <v/>
      </c>
      <c r="Q96" s="136" t="s">
        <v>157</v>
      </c>
      <c r="R96" s="151" t="s">
        <v>25</v>
      </c>
      <c r="S96" s="148" t="s">
        <v>25</v>
      </c>
      <c r="T96" s="136"/>
      <c r="U96" s="136"/>
      <c r="V96" s="136"/>
      <c r="W96" s="142"/>
    </row>
    <row r="97" spans="1:23" ht="15.75" thickBot="1">
      <c r="A97" s="191"/>
      <c r="B97" s="176"/>
      <c r="C97" s="183"/>
      <c r="D97" s="176"/>
      <c r="E97" s="176"/>
      <c r="F97" s="176"/>
      <c r="G97" s="176"/>
      <c r="H97" s="176"/>
      <c r="I97" s="176"/>
      <c r="J97" s="176"/>
      <c r="K97" s="183"/>
      <c r="L97" s="183"/>
      <c r="M97" s="176"/>
      <c r="N97" s="176"/>
      <c r="O97" s="176"/>
      <c r="P97" s="176"/>
      <c r="Q97" s="134" t="s">
        <v>158</v>
      </c>
      <c r="R97" s="150" t="s">
        <v>25</v>
      </c>
      <c r="S97" s="149"/>
      <c r="T97" s="134"/>
      <c r="U97" s="134"/>
      <c r="V97" s="134"/>
      <c r="W97" s="135"/>
    </row>
    <row r="98" spans="1:23">
      <c r="A98" s="188">
        <v>15</v>
      </c>
      <c r="B98" s="181"/>
      <c r="C98" s="189"/>
      <c r="D98" s="190" t="str">
        <f t="shared" ref="D98" si="123">IF(C98="nu",3,IF(C98="isole",4,IF(C98="","")))</f>
        <v/>
      </c>
      <c r="E98" s="185" t="str">
        <f>IF(OR(C98="",B98=""),"",VLOOKUP(B98,DN,D98,0))</f>
        <v/>
      </c>
      <c r="F98" s="186" t="str">
        <f t="shared" ref="F98" si="124">IF(E98="","",E98*60)</f>
        <v/>
      </c>
      <c r="G98" s="181" t="s">
        <v>25</v>
      </c>
      <c r="H98" s="181" t="s">
        <v>25</v>
      </c>
      <c r="I98" s="190" t="str">
        <f t="shared" ref="I98" si="125">G98&amp;H98</f>
        <v xml:space="preserve">  </v>
      </c>
      <c r="J98" s="181">
        <v>20</v>
      </c>
      <c r="K98" s="182" t="str">
        <f>IF(D98=3,INDEX('coef Fct'!fct,VLOOKUP(I98,tatr,2,0),VLOOKUP('deperd tuyauterie'!J98,ti,2,0)),IF(D98=4,INDEX(fcti,VLOOKUP(I98,tatr,2,0),VLOOKUP('deperd tuyauterie'!J98,tii,2,0)),IF(D98="","")))</f>
        <v/>
      </c>
      <c r="L98" s="184"/>
      <c r="M98" s="185" t="str">
        <f>IF(L98="","",VLOOKUP(L98,annexe!position,2,0))</f>
        <v/>
      </c>
      <c r="N98" s="181" t="s">
        <v>25</v>
      </c>
      <c r="O98" s="186" t="str">
        <f t="shared" ref="O98" si="126">IF(OR(M98="",K98=""),"",IF(M98="",F98*K98*N98,IF(N98&lt;&gt;"",F98*K98*M98*N98)))</f>
        <v/>
      </c>
      <c r="P98" s="187" t="str">
        <f t="shared" ref="P98" si="127">IF(OR(O98="",C98=""),"",(O98*0.86)/(G98-H98))</f>
        <v/>
      </c>
      <c r="Q98" s="136" t="s">
        <v>157</v>
      </c>
      <c r="R98" s="151" t="s">
        <v>25</v>
      </c>
      <c r="S98" s="148" t="s">
        <v>25</v>
      </c>
      <c r="T98" s="136"/>
      <c r="U98" s="136"/>
      <c r="V98" s="136"/>
      <c r="W98" s="142"/>
    </row>
    <row r="99" spans="1:23" ht="15.75" thickBot="1">
      <c r="A99" s="191"/>
      <c r="B99" s="176"/>
      <c r="C99" s="183"/>
      <c r="D99" s="176"/>
      <c r="E99" s="176"/>
      <c r="F99" s="176"/>
      <c r="G99" s="176"/>
      <c r="H99" s="176"/>
      <c r="I99" s="176"/>
      <c r="J99" s="176"/>
      <c r="K99" s="183"/>
      <c r="L99" s="183"/>
      <c r="M99" s="176"/>
      <c r="N99" s="176"/>
      <c r="O99" s="176"/>
      <c r="P99" s="176"/>
      <c r="Q99" s="134" t="s">
        <v>158</v>
      </c>
      <c r="R99" s="150"/>
      <c r="S99" s="149"/>
      <c r="T99" s="134"/>
      <c r="U99" s="134"/>
      <c r="V99" s="134"/>
      <c r="W99" s="135"/>
    </row>
    <row r="100" spans="1:23">
      <c r="A100" s="188" t="s">
        <v>25</v>
      </c>
      <c r="B100" s="181"/>
      <c r="C100" s="189"/>
      <c r="D100" s="190" t="str">
        <f t="shared" ref="D100" si="128">IF(C100="nu",3,IF(C100="isole",4,IF(C100="","")))</f>
        <v/>
      </c>
      <c r="E100" s="185" t="str">
        <f>IF(OR(C100="",B100=""),"",VLOOKUP(B100,DN,D100,0))</f>
        <v/>
      </c>
      <c r="F100" s="186" t="str">
        <f t="shared" ref="F100" si="129">IF(E100="","",E100*60)</f>
        <v/>
      </c>
      <c r="G100" s="181" t="s">
        <v>25</v>
      </c>
      <c r="H100" s="181" t="s">
        <v>25</v>
      </c>
      <c r="I100" s="190" t="str">
        <f t="shared" ref="I100" si="130">G100&amp;H100</f>
        <v xml:space="preserve">  </v>
      </c>
      <c r="J100" s="181" t="s">
        <v>25</v>
      </c>
      <c r="K100" s="182" t="str">
        <f>IF(D100=3,INDEX('coef Fct'!fct,VLOOKUP(I100,tatr,2,0),VLOOKUP('deperd tuyauterie'!J100,ti,2,0)),IF(D100=4,INDEX(fcti,VLOOKUP(I100,tatr,2,0),VLOOKUP('deperd tuyauterie'!J100,tii,2,0)),IF(D100="","")))</f>
        <v/>
      </c>
      <c r="L100" s="184"/>
      <c r="M100" s="185" t="str">
        <f>IF(L100="","",VLOOKUP(L100,annexe!position,2,0))</f>
        <v/>
      </c>
      <c r="N100" s="181" t="s">
        <v>25</v>
      </c>
      <c r="O100" s="186" t="str">
        <f t="shared" ref="O100" si="131">IF(OR(M100="",K100=""),"",IF(M100="",F100*K100*N100,IF(N100&lt;&gt;"",F100*K100*M100*N100)))</f>
        <v/>
      </c>
      <c r="P100" s="187" t="str">
        <f t="shared" ref="P100" si="132">IF(OR(O100="",C100=""),"",(O100*0.86)/(G100-H100))</f>
        <v/>
      </c>
      <c r="R100" s="136"/>
      <c r="S100" s="136"/>
      <c r="T100" s="136"/>
      <c r="U100" s="136"/>
      <c r="V100" s="136"/>
      <c r="W100" s="136"/>
    </row>
    <row r="101" spans="1:23">
      <c r="A101" s="178"/>
      <c r="B101" s="168"/>
      <c r="C101" s="170"/>
      <c r="D101" s="168"/>
      <c r="E101" s="168"/>
      <c r="F101" s="168"/>
      <c r="G101" s="168"/>
      <c r="H101" s="168"/>
      <c r="I101" s="168"/>
      <c r="J101" s="168"/>
      <c r="K101" s="170"/>
      <c r="L101" s="170"/>
      <c r="M101" s="168"/>
      <c r="N101" s="168"/>
      <c r="O101" s="168"/>
      <c r="P101" s="168"/>
    </row>
    <row r="102" spans="1:23">
      <c r="A102" s="177" t="s">
        <v>25</v>
      </c>
      <c r="B102" s="167"/>
      <c r="C102" s="179"/>
      <c r="D102" s="180" t="str">
        <f t="shared" ref="D102" si="133">IF(C102="nu",3,IF(C102="isole",4,IF(C102="","")))</f>
        <v/>
      </c>
      <c r="E102" s="172" t="str">
        <f>IF(OR(C102="",B102=""),"",VLOOKUP(B102,DN,D102,0))</f>
        <v/>
      </c>
      <c r="F102" s="173" t="str">
        <f t="shared" ref="F102" si="134">IF(E102="","",E102*60)</f>
        <v/>
      </c>
      <c r="G102" s="167" t="s">
        <v>25</v>
      </c>
      <c r="H102" s="167" t="s">
        <v>25</v>
      </c>
      <c r="I102" s="180" t="str">
        <f t="shared" ref="I102" si="135">G102&amp;H102</f>
        <v xml:space="preserve">  </v>
      </c>
      <c r="J102" s="167" t="s">
        <v>25</v>
      </c>
      <c r="K102" s="169" t="str">
        <f>IF(D102=3,INDEX('coef Fct'!fct,VLOOKUP(I102,tatr,2,0),VLOOKUP('deperd tuyauterie'!J102,ti,2,0)),IF(D102=4,INDEX(fcti,VLOOKUP(I102,tatr,2,0),VLOOKUP('deperd tuyauterie'!J102,tii,2,0)),IF(D102="","")))</f>
        <v/>
      </c>
      <c r="L102" s="171"/>
      <c r="M102" s="172" t="str">
        <f>IF(L102="","",VLOOKUP(L102,annexe!position,2,0))</f>
        <v/>
      </c>
      <c r="N102" s="167" t="s">
        <v>25</v>
      </c>
      <c r="O102" s="173" t="str">
        <f t="shared" ref="O102" si="136">IF(OR(M102="",K102=""),"",IF(M102="",F102*K102*N102,IF(N102&lt;&gt;"",F102*K102*M102*N102)))</f>
        <v/>
      </c>
      <c r="P102" s="174" t="str">
        <f t="shared" ref="P102" si="137">IF(OR(O102="",C102=""),"",(O102*0.86)/(G102-H102))</f>
        <v/>
      </c>
    </row>
    <row r="103" spans="1:23">
      <c r="A103" s="178"/>
      <c r="B103" s="168"/>
      <c r="C103" s="170"/>
      <c r="D103" s="168"/>
      <c r="E103" s="168"/>
      <c r="F103" s="168"/>
      <c r="G103" s="168"/>
      <c r="H103" s="168"/>
      <c r="I103" s="168"/>
      <c r="J103" s="168"/>
      <c r="K103" s="170"/>
      <c r="L103" s="170"/>
      <c r="M103" s="168"/>
      <c r="N103" s="168"/>
      <c r="O103" s="168"/>
      <c r="P103" s="168"/>
    </row>
    <row r="104" spans="1:23">
      <c r="A104" s="177" t="s">
        <v>25</v>
      </c>
      <c r="B104" s="167"/>
      <c r="C104" s="179"/>
      <c r="D104" s="180" t="str">
        <f t="shared" ref="D104" si="138">IF(C104="nu",3,IF(C104="isole",4,IF(C104="","")))</f>
        <v/>
      </c>
      <c r="E104" s="172" t="str">
        <f>IF(OR(C104="",B104=""),"",VLOOKUP(B104,DN,D104,0))</f>
        <v/>
      </c>
      <c r="F104" s="173" t="str">
        <f t="shared" ref="F104" si="139">IF(E104="","",E104*60)</f>
        <v/>
      </c>
      <c r="G104" s="167" t="s">
        <v>25</v>
      </c>
      <c r="H104" s="167" t="s">
        <v>25</v>
      </c>
      <c r="I104" s="180" t="str">
        <f t="shared" ref="I104" si="140">G104&amp;H104</f>
        <v xml:space="preserve">  </v>
      </c>
      <c r="J104" s="167" t="s">
        <v>25</v>
      </c>
      <c r="K104" s="169" t="str">
        <f>IF(D104=3,INDEX('coef Fct'!fct,VLOOKUP(I104,tatr,2,0),VLOOKUP('deperd tuyauterie'!J104,ti,2,0)),IF(D104=4,INDEX(fcti,VLOOKUP(I104,tatr,2,0),VLOOKUP('deperd tuyauterie'!J104,tii,2,0)),IF(D104="","")))</f>
        <v/>
      </c>
      <c r="L104" s="171"/>
      <c r="M104" s="172" t="str">
        <f>IF(L104="","",VLOOKUP(L104,annexe!position,2,0))</f>
        <v/>
      </c>
      <c r="N104" s="167" t="s">
        <v>25</v>
      </c>
      <c r="O104" s="173" t="str">
        <f t="shared" ref="O104" si="141">IF(OR(M104="",K104=""),"",IF(M104="",F104*K104*N104,IF(N104&lt;&gt;"",F104*K104*M104*N104)))</f>
        <v/>
      </c>
      <c r="P104" s="174" t="str">
        <f t="shared" ref="P104" si="142">IF(OR(O104="",C104=""),"",(O104*0.86)/(G104-H104))</f>
        <v/>
      </c>
    </row>
    <row r="105" spans="1:23">
      <c r="A105" s="178"/>
      <c r="B105" s="168"/>
      <c r="C105" s="170"/>
      <c r="D105" s="168"/>
      <c r="E105" s="168"/>
      <c r="F105" s="168"/>
      <c r="G105" s="168"/>
      <c r="H105" s="168"/>
      <c r="I105" s="168"/>
      <c r="J105" s="168"/>
      <c r="K105" s="170"/>
      <c r="L105" s="170"/>
      <c r="M105" s="168"/>
      <c r="N105" s="168"/>
      <c r="O105" s="168"/>
      <c r="P105" s="168"/>
    </row>
    <row r="106" spans="1:23">
      <c r="A106" s="177" t="s">
        <v>25</v>
      </c>
      <c r="B106" s="167"/>
      <c r="C106" s="179"/>
      <c r="D106" s="180" t="str">
        <f t="shared" ref="D106" si="143">IF(C106="nu",3,IF(C106="isole",4,IF(C106="","")))</f>
        <v/>
      </c>
      <c r="E106" s="172" t="str">
        <f>IF(OR(C106="",B106=""),"",VLOOKUP(B106,DN,D106,0))</f>
        <v/>
      </c>
      <c r="F106" s="173" t="str">
        <f t="shared" ref="F106" si="144">IF(E106="","",E106*60)</f>
        <v/>
      </c>
      <c r="G106" s="167" t="s">
        <v>25</v>
      </c>
      <c r="H106" s="167" t="s">
        <v>25</v>
      </c>
      <c r="I106" s="180" t="str">
        <f t="shared" ref="I106" si="145">G106&amp;H106</f>
        <v xml:space="preserve">  </v>
      </c>
      <c r="J106" s="167" t="s">
        <v>25</v>
      </c>
      <c r="K106" s="169" t="str">
        <f>IF(D106=3,INDEX('coef Fct'!fct,VLOOKUP(I106,tatr,2,0),VLOOKUP('deperd tuyauterie'!J106,ti,2,0)),IF(D106=4,INDEX(fcti,VLOOKUP(I106,tatr,2,0),VLOOKUP('deperd tuyauterie'!J106,tii,2,0)),IF(D106="","")))</f>
        <v/>
      </c>
      <c r="L106" s="171"/>
      <c r="M106" s="172" t="str">
        <f>IF(L106="","",VLOOKUP(L106,annexe!position,2,0))</f>
        <v/>
      </c>
      <c r="N106" s="167" t="s">
        <v>25</v>
      </c>
      <c r="O106" s="173" t="str">
        <f t="shared" ref="O106" si="146">IF(OR(M106="",K106=""),"",IF(M106="",F106*K106*N106,IF(N106&lt;&gt;"",F106*K106*M106*N106)))</f>
        <v/>
      </c>
      <c r="P106" s="174" t="str">
        <f t="shared" ref="P106" si="147">IF(OR(O106="",C106=""),"",(O106*0.86)/(G106-H106))</f>
        <v/>
      </c>
    </row>
    <row r="107" spans="1:23">
      <c r="A107" s="178"/>
      <c r="B107" s="168"/>
      <c r="C107" s="170"/>
      <c r="D107" s="168"/>
      <c r="E107" s="168"/>
      <c r="F107" s="168"/>
      <c r="G107" s="168"/>
      <c r="H107" s="168"/>
      <c r="I107" s="168"/>
      <c r="J107" s="168"/>
      <c r="K107" s="170"/>
      <c r="L107" s="170"/>
      <c r="M107" s="168"/>
      <c r="N107" s="168"/>
      <c r="O107" s="168"/>
      <c r="P107" s="168"/>
    </row>
    <row r="108" spans="1:23">
      <c r="A108" s="177" t="s">
        <v>25</v>
      </c>
      <c r="B108" s="167"/>
      <c r="C108" s="179"/>
      <c r="D108" s="180" t="str">
        <f t="shared" ref="D108" si="148">IF(C108="nu",3,IF(C108="isole",4,IF(C108="","")))</f>
        <v/>
      </c>
      <c r="E108" s="172" t="str">
        <f>IF(OR(C108="",B108=""),"",VLOOKUP(B108,DN,D108,0))</f>
        <v/>
      </c>
      <c r="F108" s="173" t="str">
        <f t="shared" ref="F108" si="149">IF(E108="","",E108*60)</f>
        <v/>
      </c>
      <c r="G108" s="167" t="s">
        <v>25</v>
      </c>
      <c r="H108" s="167" t="s">
        <v>25</v>
      </c>
      <c r="I108" s="180" t="str">
        <f t="shared" ref="I108" si="150">G108&amp;H108</f>
        <v xml:space="preserve">  </v>
      </c>
      <c r="J108" s="167" t="s">
        <v>25</v>
      </c>
      <c r="K108" s="169" t="str">
        <f>IF(D108=3,INDEX('coef Fct'!fct,VLOOKUP(I108,tatr,2,0),VLOOKUP('deperd tuyauterie'!J108,ti,2,0)),IF(D108=4,INDEX(fcti,VLOOKUP(I108,tatr,2,0),VLOOKUP('deperd tuyauterie'!J108,tii,2,0)),IF(D108="","")))</f>
        <v/>
      </c>
      <c r="L108" s="171"/>
      <c r="M108" s="172" t="str">
        <f>IF(L108="","",VLOOKUP(L108,annexe!position,2,0))</f>
        <v/>
      </c>
      <c r="N108" s="167" t="s">
        <v>25</v>
      </c>
      <c r="O108" s="173" t="str">
        <f t="shared" ref="O108" si="151">IF(OR(M108="",K108=""),"",IF(M108="",F108*K108*N108,IF(N108&lt;&gt;"",F108*K108*M108*N108)))</f>
        <v/>
      </c>
      <c r="P108" s="174" t="str">
        <f t="shared" ref="P108" si="152">IF(OR(O108="",C108=""),"",(O108*0.86)/(G108-H108))</f>
        <v/>
      </c>
    </row>
    <row r="109" spans="1:23">
      <c r="A109" s="178"/>
      <c r="B109" s="168"/>
      <c r="C109" s="170"/>
      <c r="D109" s="168"/>
      <c r="E109" s="168"/>
      <c r="F109" s="168"/>
      <c r="G109" s="168"/>
      <c r="H109" s="168"/>
      <c r="I109" s="168"/>
      <c r="J109" s="168"/>
      <c r="K109" s="170"/>
      <c r="L109" s="170"/>
      <c r="M109" s="168"/>
      <c r="N109" s="168"/>
      <c r="O109" s="168"/>
      <c r="P109" s="168"/>
    </row>
    <row r="110" spans="1:23">
      <c r="A110" s="177" t="s">
        <v>25</v>
      </c>
      <c r="B110" s="167"/>
      <c r="C110" s="179"/>
      <c r="D110" s="180" t="str">
        <f t="shared" ref="D110" si="153">IF(C110="nu",3,IF(C110="isole",4,IF(C110="","")))</f>
        <v/>
      </c>
      <c r="E110" s="172" t="str">
        <f>IF(OR(C110="",B110=""),"",VLOOKUP(B110,DN,D110,0))</f>
        <v/>
      </c>
      <c r="F110" s="173" t="str">
        <f t="shared" ref="F110" si="154">IF(E110="","",E110*60)</f>
        <v/>
      </c>
      <c r="G110" s="167" t="s">
        <v>25</v>
      </c>
      <c r="H110" s="167" t="s">
        <v>25</v>
      </c>
      <c r="I110" s="180" t="str">
        <f t="shared" ref="I110" si="155">G110&amp;H110</f>
        <v xml:space="preserve">  </v>
      </c>
      <c r="J110" s="167" t="s">
        <v>25</v>
      </c>
      <c r="K110" s="169" t="str">
        <f>IF(D110=3,INDEX('coef Fct'!fct,VLOOKUP(I110,tatr,2,0),VLOOKUP('deperd tuyauterie'!J110,ti,2,0)),IF(D110=4,INDEX(fcti,VLOOKUP(I110,tatr,2,0),VLOOKUP('deperd tuyauterie'!J110,tii,2,0)),IF(D110="","")))</f>
        <v/>
      </c>
      <c r="L110" s="171"/>
      <c r="M110" s="172" t="str">
        <f>IF(L110="","",VLOOKUP(L110,annexe!position,2,0))</f>
        <v/>
      </c>
      <c r="N110" s="167" t="s">
        <v>25</v>
      </c>
      <c r="O110" s="173" t="str">
        <f t="shared" ref="O110" si="156">IF(OR(M110="",K110=""),"",IF(M110="",F110*K110*N110,IF(N110&lt;&gt;"",F110*K110*M110*N110)))</f>
        <v/>
      </c>
      <c r="P110" s="174" t="str">
        <f t="shared" ref="P110" si="157">IF(OR(O110="",C110=""),"",(O110*0.86)/(G110-H110))</f>
        <v/>
      </c>
    </row>
    <row r="111" spans="1:23">
      <c r="A111" s="178"/>
      <c r="B111" s="168"/>
      <c r="C111" s="170"/>
      <c r="D111" s="168"/>
      <c r="E111" s="168"/>
      <c r="F111" s="168"/>
      <c r="G111" s="168"/>
      <c r="H111" s="168"/>
      <c r="I111" s="168"/>
      <c r="J111" s="168"/>
      <c r="K111" s="170"/>
      <c r="L111" s="170"/>
      <c r="M111" s="168"/>
      <c r="N111" s="168"/>
      <c r="O111" s="168"/>
      <c r="P111" s="168"/>
    </row>
    <row r="112" spans="1:23">
      <c r="A112" s="177" t="s">
        <v>25</v>
      </c>
      <c r="B112" s="167"/>
      <c r="C112" s="179"/>
      <c r="D112" s="180" t="str">
        <f t="shared" ref="D112" si="158">IF(C112="nu",3,IF(C112="isole",4,IF(C112="","")))</f>
        <v/>
      </c>
      <c r="E112" s="172" t="str">
        <f>IF(OR(C112="",B112=""),"",VLOOKUP(B112,DN,D112,0))</f>
        <v/>
      </c>
      <c r="F112" s="173" t="str">
        <f t="shared" ref="F112" si="159">IF(E112="","",E112*60)</f>
        <v/>
      </c>
      <c r="G112" s="167" t="s">
        <v>25</v>
      </c>
      <c r="H112" s="167" t="s">
        <v>25</v>
      </c>
      <c r="I112" s="180" t="str">
        <f t="shared" ref="I112" si="160">G112&amp;H112</f>
        <v xml:space="preserve">  </v>
      </c>
      <c r="J112" s="167" t="s">
        <v>25</v>
      </c>
      <c r="K112" s="169" t="str">
        <f>IF(D112=3,INDEX('coef Fct'!fct,VLOOKUP(I112,tatr,2,0),VLOOKUP('deperd tuyauterie'!J112,ti,2,0)),IF(D112=4,INDEX(fcti,VLOOKUP(I112,tatr,2,0),VLOOKUP('deperd tuyauterie'!J112,tii,2,0)),IF(D112="","")))</f>
        <v/>
      </c>
      <c r="L112" s="171"/>
      <c r="M112" s="172" t="str">
        <f>IF(L112="","",VLOOKUP(L112,annexe!position,2,0))</f>
        <v/>
      </c>
      <c r="N112" s="167" t="s">
        <v>25</v>
      </c>
      <c r="O112" s="173" t="str">
        <f t="shared" ref="O112" si="161">IF(OR(M112="",K112=""),"",IF(M112="",F112*K112*N112,IF(N112&lt;&gt;"",F112*K112*M112*N112)))</f>
        <v/>
      </c>
      <c r="P112" s="174" t="str">
        <f t="shared" ref="P112" si="162">IF(OR(O112="",C112=""),"",(O112*0.86)/(G112-H112))</f>
        <v/>
      </c>
    </row>
    <row r="113" spans="1:16">
      <c r="A113" s="178"/>
      <c r="B113" s="168"/>
      <c r="C113" s="170"/>
      <c r="D113" s="168"/>
      <c r="E113" s="168"/>
      <c r="F113" s="168"/>
      <c r="G113" s="168"/>
      <c r="H113" s="168"/>
      <c r="I113" s="168"/>
      <c r="J113" s="168"/>
      <c r="K113" s="170"/>
      <c r="L113" s="170"/>
      <c r="M113" s="168"/>
      <c r="N113" s="168"/>
      <c r="O113" s="168"/>
      <c r="P113" s="168"/>
    </row>
    <row r="114" spans="1:16">
      <c r="A114" s="177" t="s">
        <v>25</v>
      </c>
      <c r="B114" s="167"/>
      <c r="C114" s="179"/>
      <c r="D114" s="180" t="str">
        <f t="shared" ref="D114" si="163">IF(C114="nu",3,IF(C114="isole",4,IF(C114="","")))</f>
        <v/>
      </c>
      <c r="E114" s="172" t="str">
        <f>IF(OR(C114="",B114=""),"",VLOOKUP(B114,DN,D114,0))</f>
        <v/>
      </c>
      <c r="F114" s="173" t="str">
        <f t="shared" ref="F114" si="164">IF(E114="","",E114*60)</f>
        <v/>
      </c>
      <c r="G114" s="167" t="s">
        <v>25</v>
      </c>
      <c r="H114" s="167" t="s">
        <v>25</v>
      </c>
      <c r="I114" s="180" t="str">
        <f t="shared" ref="I114" si="165">G114&amp;H114</f>
        <v xml:space="preserve">  </v>
      </c>
      <c r="J114" s="167" t="s">
        <v>25</v>
      </c>
      <c r="K114" s="169" t="str">
        <f>IF(D114=3,INDEX('coef Fct'!fct,VLOOKUP(I114,tatr,2,0),VLOOKUP('deperd tuyauterie'!J114,ti,2,0)),IF(D114=4,INDEX(fcti,VLOOKUP(I114,tatr,2,0),VLOOKUP('deperd tuyauterie'!J114,tii,2,0)),IF(D114="","")))</f>
        <v/>
      </c>
      <c r="L114" s="171"/>
      <c r="M114" s="172" t="str">
        <f>IF(L114="","",VLOOKUP(L114,annexe!position,2,0))</f>
        <v/>
      </c>
      <c r="N114" s="167" t="s">
        <v>25</v>
      </c>
      <c r="O114" s="173" t="str">
        <f t="shared" ref="O114" si="166">IF(OR(M114="",K114=""),"",IF(M114="",F114*K114*N114,IF(N114&lt;&gt;"",F114*K114*M114*N114)))</f>
        <v/>
      </c>
      <c r="P114" s="174" t="str">
        <f t="shared" ref="P114" si="167">IF(OR(O114="",C114=""),"",(O114*0.86)/(G114-H114))</f>
        <v/>
      </c>
    </row>
    <row r="115" spans="1:16">
      <c r="A115" s="178"/>
      <c r="B115" s="168"/>
      <c r="C115" s="170"/>
      <c r="D115" s="168"/>
      <c r="E115" s="168"/>
      <c r="F115" s="168"/>
      <c r="G115" s="168"/>
      <c r="H115" s="168"/>
      <c r="I115" s="168"/>
      <c r="J115" s="168"/>
      <c r="K115" s="170"/>
      <c r="L115" s="170"/>
      <c r="M115" s="168"/>
      <c r="N115" s="168"/>
      <c r="O115" s="168"/>
      <c r="P115" s="168"/>
    </row>
    <row r="116" spans="1:16">
      <c r="A116" s="177" t="s">
        <v>156</v>
      </c>
      <c r="B116" s="167"/>
      <c r="C116" s="179"/>
      <c r="D116" s="180" t="str">
        <f t="shared" ref="D116" si="168">IF(C116="nu",3,IF(C116="isole",4,IF(C116="","")))</f>
        <v/>
      </c>
      <c r="E116" s="172" t="str">
        <f>IF(OR(C116="",B116=""),"",VLOOKUP(B116,DN,D116,0))</f>
        <v/>
      </c>
      <c r="F116" s="173" t="str">
        <f t="shared" ref="F116" si="169">IF(E116="","",E116*60)</f>
        <v/>
      </c>
      <c r="G116" s="167" t="s">
        <v>25</v>
      </c>
      <c r="H116" s="167" t="s">
        <v>25</v>
      </c>
      <c r="I116" s="180" t="str">
        <f t="shared" ref="I116" si="170">G116&amp;H116</f>
        <v xml:space="preserve">  </v>
      </c>
      <c r="J116" s="167" t="s">
        <v>25</v>
      </c>
      <c r="K116" s="169" t="str">
        <f>IF(D116=3,INDEX('coef Fct'!fct,VLOOKUP(I116,tatr,2,0),VLOOKUP('deperd tuyauterie'!J116,ti,2,0)),IF(D116=4,INDEX(fcti,VLOOKUP(I116,tatr,2,0),VLOOKUP('deperd tuyauterie'!J116,tii,2,0)),IF(D116="","")))</f>
        <v/>
      </c>
      <c r="L116" s="171"/>
      <c r="M116" s="172" t="str">
        <f>IF(L116="","",VLOOKUP(L116,annexe!position,2,0))</f>
        <v/>
      </c>
      <c r="N116" s="167" t="s">
        <v>25</v>
      </c>
      <c r="O116" s="173" t="str">
        <f t="shared" ref="O116" si="171">IF(OR(M116="",K116=""),"",IF(M116="",F116*K116*N116,IF(N116&lt;&gt;"",F116*K116*M116*N116)))</f>
        <v/>
      </c>
      <c r="P116" s="174" t="str">
        <f t="shared" ref="P116" si="172">IF(OR(O116="",C116=""),"",(O116*0.86)/(G116-H116))</f>
        <v/>
      </c>
    </row>
    <row r="117" spans="1:16">
      <c r="A117" s="178"/>
      <c r="B117" s="168"/>
      <c r="C117" s="170"/>
      <c r="D117" s="168"/>
      <c r="E117" s="168"/>
      <c r="F117" s="168"/>
      <c r="G117" s="168"/>
      <c r="H117" s="168"/>
      <c r="I117" s="168"/>
      <c r="J117" s="168"/>
      <c r="K117" s="170"/>
      <c r="L117" s="170"/>
      <c r="M117" s="168"/>
      <c r="N117" s="168"/>
      <c r="O117" s="168"/>
      <c r="P117" s="168"/>
    </row>
    <row r="118" spans="1:16">
      <c r="A118" s="177" t="s">
        <v>25</v>
      </c>
      <c r="B118" s="167"/>
      <c r="C118" s="179"/>
      <c r="D118" s="180" t="str">
        <f t="shared" ref="D118" si="173">IF(C118="nu",3,IF(C118="isole",4,IF(C118="","")))</f>
        <v/>
      </c>
      <c r="E118" s="172" t="str">
        <f>IF(OR(C118="",B118=""),"",VLOOKUP(B118,DN,D118,0))</f>
        <v/>
      </c>
      <c r="F118" s="173" t="str">
        <f t="shared" ref="F118" si="174">IF(E118="","",E118*60)</f>
        <v/>
      </c>
      <c r="G118" s="167" t="s">
        <v>25</v>
      </c>
      <c r="H118" s="167" t="s">
        <v>25</v>
      </c>
      <c r="I118" s="180" t="str">
        <f t="shared" ref="I118" si="175">G118&amp;H118</f>
        <v xml:space="preserve">  </v>
      </c>
      <c r="J118" s="167" t="s">
        <v>25</v>
      </c>
      <c r="K118" s="169" t="str">
        <f>IF(D118=3,INDEX('coef Fct'!fct,VLOOKUP(I118,tatr,2,0),VLOOKUP('deperd tuyauterie'!J118,ti,2,0)),IF(D118=4,INDEX(fcti,VLOOKUP(I118,tatr,2,0),VLOOKUP('deperd tuyauterie'!J118,tii,2,0)),IF(D118="","")))</f>
        <v/>
      </c>
      <c r="L118" s="171"/>
      <c r="M118" s="172" t="str">
        <f>IF(L118="","",VLOOKUP(L118,annexe!position,2,0))</f>
        <v/>
      </c>
      <c r="N118" s="167" t="s">
        <v>25</v>
      </c>
      <c r="O118" s="173" t="str">
        <f t="shared" ref="O118" si="176">IF(OR(M118="",K118=""),"",IF(M118="",F118*K118*N118,IF(N118&lt;&gt;"",F118*K118*M118*N118)))</f>
        <v/>
      </c>
      <c r="P118" s="174" t="str">
        <f t="shared" ref="P118" si="177">IF(OR(O118="",C118=""),"",(O118*0.86)/(G118-H118))</f>
        <v/>
      </c>
    </row>
    <row r="119" spans="1:16">
      <c r="A119" s="178"/>
      <c r="B119" s="168"/>
      <c r="C119" s="170"/>
      <c r="D119" s="168"/>
      <c r="E119" s="168"/>
      <c r="F119" s="168"/>
      <c r="G119" s="168"/>
      <c r="H119" s="168"/>
      <c r="I119" s="168"/>
      <c r="J119" s="168"/>
      <c r="K119" s="170"/>
      <c r="L119" s="170"/>
      <c r="M119" s="168"/>
      <c r="N119" s="168"/>
      <c r="O119" s="168"/>
      <c r="P119" s="168"/>
    </row>
    <row r="120" spans="1:16">
      <c r="A120" s="177" t="s">
        <v>25</v>
      </c>
      <c r="B120" s="167"/>
      <c r="C120" s="179"/>
      <c r="D120" s="180" t="str">
        <f t="shared" ref="D120" si="178">IF(C120="nu",3,IF(C120="isole",4,IF(C120="","")))</f>
        <v/>
      </c>
      <c r="E120" s="172" t="str">
        <f>IF(OR(C120="",B120=""),"",VLOOKUP(B120,DN,D120,0))</f>
        <v/>
      </c>
      <c r="F120" s="173" t="str">
        <f t="shared" ref="F120" si="179">IF(E120="","",E120*60)</f>
        <v/>
      </c>
      <c r="G120" s="167" t="s">
        <v>25</v>
      </c>
      <c r="H120" s="167" t="s">
        <v>25</v>
      </c>
      <c r="I120" s="180" t="str">
        <f t="shared" ref="I120" si="180">G120&amp;H120</f>
        <v xml:space="preserve">  </v>
      </c>
      <c r="J120" s="167" t="s">
        <v>25</v>
      </c>
      <c r="K120" s="169" t="str">
        <f>IF(D120=3,INDEX('coef Fct'!fct,VLOOKUP(I120,tatr,2,0),VLOOKUP('deperd tuyauterie'!J120,ti,2,0)),IF(D120=4,INDEX(fcti,VLOOKUP(I120,tatr,2,0),VLOOKUP('deperd tuyauterie'!J120,tii,2,0)),IF(D120="","")))</f>
        <v/>
      </c>
      <c r="L120" s="171"/>
      <c r="M120" s="172" t="str">
        <f>IF(L120="","",VLOOKUP(L120,annexe!position,2,0))</f>
        <v/>
      </c>
      <c r="N120" s="167" t="s">
        <v>25</v>
      </c>
      <c r="O120" s="173" t="str">
        <f t="shared" ref="O120" si="181">IF(OR(M120="",K120=""),"",IF(M120="",F120*K120*N120,IF(N120&lt;&gt;"",F120*K120*M120*N120)))</f>
        <v/>
      </c>
      <c r="P120" s="174" t="str">
        <f t="shared" ref="P120" si="182">IF(OR(O120="",C120=""),"",(O120*0.86)/(G120-H120))</f>
        <v/>
      </c>
    </row>
    <row r="121" spans="1:16">
      <c r="A121" s="178"/>
      <c r="B121" s="168"/>
      <c r="C121" s="170"/>
      <c r="D121" s="168"/>
      <c r="E121" s="168"/>
      <c r="F121" s="168"/>
      <c r="G121" s="168"/>
      <c r="H121" s="168"/>
      <c r="I121" s="168"/>
      <c r="J121" s="168"/>
      <c r="K121" s="170"/>
      <c r="L121" s="170"/>
      <c r="M121" s="168"/>
      <c r="N121" s="168"/>
      <c r="O121" s="168"/>
      <c r="P121" s="168"/>
    </row>
    <row r="122" spans="1:16">
      <c r="A122" s="177" t="s">
        <v>25</v>
      </c>
      <c r="B122" s="167"/>
      <c r="C122" s="179"/>
      <c r="D122" s="180" t="str">
        <f t="shared" ref="D122" si="183">IF(C122="nu",3,IF(C122="isole",4,IF(C122="","")))</f>
        <v/>
      </c>
      <c r="E122" s="172" t="str">
        <f>IF(OR(C122="",B122=""),"",VLOOKUP(B122,DN,D122,0))</f>
        <v/>
      </c>
      <c r="F122" s="173" t="str">
        <f t="shared" ref="F122" si="184">IF(E122="","",E122*60)</f>
        <v/>
      </c>
      <c r="G122" s="167" t="s">
        <v>25</v>
      </c>
      <c r="H122" s="167" t="s">
        <v>25</v>
      </c>
      <c r="I122" s="180" t="str">
        <f t="shared" ref="I122" si="185">G122&amp;H122</f>
        <v xml:space="preserve">  </v>
      </c>
      <c r="J122" s="167" t="s">
        <v>25</v>
      </c>
      <c r="K122" s="169" t="str">
        <f>IF(D122=3,INDEX('coef Fct'!fct,VLOOKUP(I122,tatr,2,0),VLOOKUP('deperd tuyauterie'!J122,ti,2,0)),IF(D122=4,INDEX(fcti,VLOOKUP(I122,tatr,2,0),VLOOKUP('deperd tuyauterie'!J122,tii,2,0)),IF(D122="","")))</f>
        <v/>
      </c>
      <c r="L122" s="171"/>
      <c r="M122" s="172" t="str">
        <f>IF(L122="","",VLOOKUP(L122,annexe!position,2,0))</f>
        <v/>
      </c>
      <c r="N122" s="167" t="s">
        <v>25</v>
      </c>
      <c r="O122" s="173" t="str">
        <f t="shared" ref="O122" si="186">IF(OR(M122="",K122=""),"",IF(M122="",F122*K122*N122,IF(N122&lt;&gt;"",F122*K122*M122*N122)))</f>
        <v/>
      </c>
      <c r="P122" s="174" t="str">
        <f t="shared" ref="P122" si="187">IF(OR(O122="",C122=""),"",(O122*0.86)/(G122-H122))</f>
        <v/>
      </c>
    </row>
    <row r="123" spans="1:16">
      <c r="A123" s="178"/>
      <c r="B123" s="168"/>
      <c r="C123" s="170"/>
      <c r="D123" s="168"/>
      <c r="E123" s="168"/>
      <c r="F123" s="168"/>
      <c r="G123" s="168"/>
      <c r="H123" s="168"/>
      <c r="I123" s="168"/>
      <c r="J123" s="168"/>
      <c r="K123" s="170"/>
      <c r="L123" s="170"/>
      <c r="M123" s="168"/>
      <c r="N123" s="168"/>
      <c r="O123" s="168"/>
      <c r="P123" s="168"/>
    </row>
  </sheetData>
  <mergeCells count="901">
    <mergeCell ref="H6:M6"/>
    <mergeCell ref="A10:A11"/>
    <mergeCell ref="B10:B11"/>
    <mergeCell ref="C10:C11"/>
    <mergeCell ref="D10:D11"/>
    <mergeCell ref="E10:E11"/>
    <mergeCell ref="F10:F11"/>
    <mergeCell ref="G10:G11"/>
    <mergeCell ref="H10:H11"/>
    <mergeCell ref="I10:I11"/>
    <mergeCell ref="J10:J11"/>
    <mergeCell ref="K10:K11"/>
    <mergeCell ref="L10:L11"/>
    <mergeCell ref="M10:M11"/>
    <mergeCell ref="A16:A17"/>
    <mergeCell ref="A18:A19"/>
    <mergeCell ref="A20:A21"/>
    <mergeCell ref="A22:A23"/>
    <mergeCell ref="A24:A25"/>
    <mergeCell ref="N10:N11"/>
    <mergeCell ref="O10:O11"/>
    <mergeCell ref="P10:P11"/>
    <mergeCell ref="A12:A13"/>
    <mergeCell ref="A14:A15"/>
    <mergeCell ref="P12:P13"/>
    <mergeCell ref="P14:P15"/>
    <mergeCell ref="P16:P17"/>
    <mergeCell ref="P18:P19"/>
    <mergeCell ref="P20:P21"/>
    <mergeCell ref="P22:P23"/>
    <mergeCell ref="P24:P25"/>
    <mergeCell ref="A38:A39"/>
    <mergeCell ref="A40:A41"/>
    <mergeCell ref="A42:A43"/>
    <mergeCell ref="A44:A45"/>
    <mergeCell ref="A26:A27"/>
    <mergeCell ref="A28:A29"/>
    <mergeCell ref="A30:A31"/>
    <mergeCell ref="A32:A33"/>
    <mergeCell ref="A34:A35"/>
    <mergeCell ref="B42:B43"/>
    <mergeCell ref="B44:B45"/>
    <mergeCell ref="A56:A57"/>
    <mergeCell ref="A58:A59"/>
    <mergeCell ref="A60:A61"/>
    <mergeCell ref="A62:A63"/>
    <mergeCell ref="B12:B13"/>
    <mergeCell ref="B14:B15"/>
    <mergeCell ref="B16:B17"/>
    <mergeCell ref="B18:B19"/>
    <mergeCell ref="B20:B21"/>
    <mergeCell ref="B22:B23"/>
    <mergeCell ref="B24:B25"/>
    <mergeCell ref="B26:B27"/>
    <mergeCell ref="B28:B29"/>
    <mergeCell ref="B30:B31"/>
    <mergeCell ref="B32:B33"/>
    <mergeCell ref="B34:B35"/>
    <mergeCell ref="A46:A47"/>
    <mergeCell ref="A48:A49"/>
    <mergeCell ref="A50:A51"/>
    <mergeCell ref="A52:A53"/>
    <mergeCell ref="A54:A55"/>
    <mergeCell ref="A36:A37"/>
    <mergeCell ref="B56:B57"/>
    <mergeCell ref="B58:B59"/>
    <mergeCell ref="B60:B61"/>
    <mergeCell ref="B62:B63"/>
    <mergeCell ref="C12:C13"/>
    <mergeCell ref="C14:C15"/>
    <mergeCell ref="C16:C17"/>
    <mergeCell ref="C18:C19"/>
    <mergeCell ref="C20:C21"/>
    <mergeCell ref="C22:C23"/>
    <mergeCell ref="C24:C25"/>
    <mergeCell ref="C26:C27"/>
    <mergeCell ref="C28:C29"/>
    <mergeCell ref="C30:C31"/>
    <mergeCell ref="C32:C33"/>
    <mergeCell ref="C34:C35"/>
    <mergeCell ref="B46:B47"/>
    <mergeCell ref="B48:B49"/>
    <mergeCell ref="B50:B51"/>
    <mergeCell ref="B52:B53"/>
    <mergeCell ref="B54:B55"/>
    <mergeCell ref="B36:B37"/>
    <mergeCell ref="B38:B39"/>
    <mergeCell ref="B40:B41"/>
    <mergeCell ref="C62:C63"/>
    <mergeCell ref="D12:D13"/>
    <mergeCell ref="D14:D15"/>
    <mergeCell ref="D16:D17"/>
    <mergeCell ref="D18:D19"/>
    <mergeCell ref="D20:D21"/>
    <mergeCell ref="D22:D23"/>
    <mergeCell ref="D24:D25"/>
    <mergeCell ref="D26:D27"/>
    <mergeCell ref="D28:D29"/>
    <mergeCell ref="D30:D31"/>
    <mergeCell ref="D32:D33"/>
    <mergeCell ref="D34:D35"/>
    <mergeCell ref="C46:C47"/>
    <mergeCell ref="C48:C49"/>
    <mergeCell ref="C50:C51"/>
    <mergeCell ref="C52:C53"/>
    <mergeCell ref="C54:C55"/>
    <mergeCell ref="C36:C37"/>
    <mergeCell ref="C38:C39"/>
    <mergeCell ref="C40:C41"/>
    <mergeCell ref="C42:C43"/>
    <mergeCell ref="C44:C45"/>
    <mergeCell ref="D54:D55"/>
    <mergeCell ref="C56:C57"/>
    <mergeCell ref="C58:C59"/>
    <mergeCell ref="C60:C61"/>
    <mergeCell ref="E38:E39"/>
    <mergeCell ref="E40:E41"/>
    <mergeCell ref="E42:E43"/>
    <mergeCell ref="E44:E45"/>
    <mergeCell ref="D56:D57"/>
    <mergeCell ref="D58:D59"/>
    <mergeCell ref="D60:D61"/>
    <mergeCell ref="D62:D63"/>
    <mergeCell ref="E12:E13"/>
    <mergeCell ref="E14:E15"/>
    <mergeCell ref="E16:E17"/>
    <mergeCell ref="E18:E19"/>
    <mergeCell ref="E20:E21"/>
    <mergeCell ref="E22:E23"/>
    <mergeCell ref="E24:E25"/>
    <mergeCell ref="E26:E27"/>
    <mergeCell ref="E28:E29"/>
    <mergeCell ref="E30:E31"/>
    <mergeCell ref="E32:E33"/>
    <mergeCell ref="E34:E35"/>
    <mergeCell ref="D46:D47"/>
    <mergeCell ref="D48:D49"/>
    <mergeCell ref="D50:D51"/>
    <mergeCell ref="D52:D53"/>
    <mergeCell ref="D36:D37"/>
    <mergeCell ref="D38:D39"/>
    <mergeCell ref="D40:D41"/>
    <mergeCell ref="D42:D43"/>
    <mergeCell ref="D44:D45"/>
    <mergeCell ref="F42:F43"/>
    <mergeCell ref="F44:F45"/>
    <mergeCell ref="E56:E57"/>
    <mergeCell ref="E58:E59"/>
    <mergeCell ref="E60:E61"/>
    <mergeCell ref="E62:E63"/>
    <mergeCell ref="F12:F13"/>
    <mergeCell ref="F14:F15"/>
    <mergeCell ref="F16:F17"/>
    <mergeCell ref="F18:F19"/>
    <mergeCell ref="F20:F21"/>
    <mergeCell ref="F22:F23"/>
    <mergeCell ref="F24:F25"/>
    <mergeCell ref="F26:F27"/>
    <mergeCell ref="F28:F29"/>
    <mergeCell ref="F30:F31"/>
    <mergeCell ref="F32:F33"/>
    <mergeCell ref="F34:F35"/>
    <mergeCell ref="E46:E47"/>
    <mergeCell ref="E48:E49"/>
    <mergeCell ref="E50:E51"/>
    <mergeCell ref="E52:E53"/>
    <mergeCell ref="E54:E55"/>
    <mergeCell ref="E36:E37"/>
    <mergeCell ref="F56:F57"/>
    <mergeCell ref="F58:F59"/>
    <mergeCell ref="F60:F61"/>
    <mergeCell ref="F62:F63"/>
    <mergeCell ref="G12:G13"/>
    <mergeCell ref="G14:G15"/>
    <mergeCell ref="G16:G17"/>
    <mergeCell ref="G18:G19"/>
    <mergeCell ref="G20:G21"/>
    <mergeCell ref="G22:G23"/>
    <mergeCell ref="G24:G25"/>
    <mergeCell ref="G26:G27"/>
    <mergeCell ref="G28:G29"/>
    <mergeCell ref="G30:G31"/>
    <mergeCell ref="G32:G33"/>
    <mergeCell ref="G34:G35"/>
    <mergeCell ref="F46:F47"/>
    <mergeCell ref="F48:F49"/>
    <mergeCell ref="F50:F51"/>
    <mergeCell ref="F52:F53"/>
    <mergeCell ref="F54:F55"/>
    <mergeCell ref="F36:F37"/>
    <mergeCell ref="F38:F39"/>
    <mergeCell ref="F40:F41"/>
    <mergeCell ref="G62:G63"/>
    <mergeCell ref="H12:H13"/>
    <mergeCell ref="H14:H15"/>
    <mergeCell ref="H16:H17"/>
    <mergeCell ref="H18:H19"/>
    <mergeCell ref="H20:H21"/>
    <mergeCell ref="H22:H23"/>
    <mergeCell ref="H24:H25"/>
    <mergeCell ref="H26:H27"/>
    <mergeCell ref="H28:H29"/>
    <mergeCell ref="H30:H31"/>
    <mergeCell ref="H32:H33"/>
    <mergeCell ref="H34:H35"/>
    <mergeCell ref="G46:G47"/>
    <mergeCell ref="G48:G49"/>
    <mergeCell ref="G50:G51"/>
    <mergeCell ref="G52:G53"/>
    <mergeCell ref="G54:G55"/>
    <mergeCell ref="G36:G37"/>
    <mergeCell ref="G38:G39"/>
    <mergeCell ref="G40:G41"/>
    <mergeCell ref="G42:G43"/>
    <mergeCell ref="G44:G45"/>
    <mergeCell ref="H54:H55"/>
    <mergeCell ref="G56:G57"/>
    <mergeCell ref="G58:G59"/>
    <mergeCell ref="G60:G61"/>
    <mergeCell ref="I38:I39"/>
    <mergeCell ref="I40:I41"/>
    <mergeCell ref="I42:I43"/>
    <mergeCell ref="I44:I45"/>
    <mergeCell ref="H56:H57"/>
    <mergeCell ref="H58:H59"/>
    <mergeCell ref="H60:H61"/>
    <mergeCell ref="H62:H63"/>
    <mergeCell ref="I12:I13"/>
    <mergeCell ref="I14:I15"/>
    <mergeCell ref="I16:I17"/>
    <mergeCell ref="I18:I19"/>
    <mergeCell ref="I20:I21"/>
    <mergeCell ref="I22:I23"/>
    <mergeCell ref="I24:I25"/>
    <mergeCell ref="I26:I27"/>
    <mergeCell ref="I28:I29"/>
    <mergeCell ref="I30:I31"/>
    <mergeCell ref="I32:I33"/>
    <mergeCell ref="I34:I35"/>
    <mergeCell ref="H46:H47"/>
    <mergeCell ref="H48:H49"/>
    <mergeCell ref="H50:H51"/>
    <mergeCell ref="H52:H53"/>
    <mergeCell ref="H36:H37"/>
    <mergeCell ref="H38:H39"/>
    <mergeCell ref="H40:H41"/>
    <mergeCell ref="H42:H43"/>
    <mergeCell ref="H44:H45"/>
    <mergeCell ref="J42:J43"/>
    <mergeCell ref="J44:J45"/>
    <mergeCell ref="I56:I57"/>
    <mergeCell ref="I58:I59"/>
    <mergeCell ref="I60:I61"/>
    <mergeCell ref="I62:I63"/>
    <mergeCell ref="J12:J13"/>
    <mergeCell ref="J14:J15"/>
    <mergeCell ref="J16:J17"/>
    <mergeCell ref="J18:J19"/>
    <mergeCell ref="J20:J21"/>
    <mergeCell ref="J22:J23"/>
    <mergeCell ref="J24:J25"/>
    <mergeCell ref="J26:J27"/>
    <mergeCell ref="J28:J29"/>
    <mergeCell ref="J30:J31"/>
    <mergeCell ref="J32:J33"/>
    <mergeCell ref="J34:J35"/>
    <mergeCell ref="I46:I47"/>
    <mergeCell ref="I48:I49"/>
    <mergeCell ref="I50:I51"/>
    <mergeCell ref="I52:I53"/>
    <mergeCell ref="I54:I55"/>
    <mergeCell ref="I36:I37"/>
    <mergeCell ref="J56:J57"/>
    <mergeCell ref="J58:J59"/>
    <mergeCell ref="J60:J61"/>
    <mergeCell ref="J62:J63"/>
    <mergeCell ref="K12:K13"/>
    <mergeCell ref="K14:K15"/>
    <mergeCell ref="K16:K17"/>
    <mergeCell ref="K18:K19"/>
    <mergeCell ref="K20:K21"/>
    <mergeCell ref="K22:K23"/>
    <mergeCell ref="K24:K25"/>
    <mergeCell ref="K26:K27"/>
    <mergeCell ref="K28:K29"/>
    <mergeCell ref="K30:K31"/>
    <mergeCell ref="K32:K33"/>
    <mergeCell ref="K34:K35"/>
    <mergeCell ref="J46:J47"/>
    <mergeCell ref="J48:J49"/>
    <mergeCell ref="J50:J51"/>
    <mergeCell ref="J52:J53"/>
    <mergeCell ref="J54:J55"/>
    <mergeCell ref="J36:J37"/>
    <mergeCell ref="J38:J39"/>
    <mergeCell ref="J40:J41"/>
    <mergeCell ref="K62:K63"/>
    <mergeCell ref="L12:L13"/>
    <mergeCell ref="L14:L15"/>
    <mergeCell ref="L16:L17"/>
    <mergeCell ref="L18:L19"/>
    <mergeCell ref="L20:L21"/>
    <mergeCell ref="L22:L23"/>
    <mergeCell ref="L24:L25"/>
    <mergeCell ref="L26:L27"/>
    <mergeCell ref="L28:L29"/>
    <mergeCell ref="L30:L31"/>
    <mergeCell ref="L32:L33"/>
    <mergeCell ref="L34:L35"/>
    <mergeCell ref="K46:K47"/>
    <mergeCell ref="K48:K49"/>
    <mergeCell ref="K50:K51"/>
    <mergeCell ref="K52:K53"/>
    <mergeCell ref="K54:K55"/>
    <mergeCell ref="K36:K37"/>
    <mergeCell ref="K38:K39"/>
    <mergeCell ref="K40:K41"/>
    <mergeCell ref="K42:K43"/>
    <mergeCell ref="K44:K45"/>
    <mergeCell ref="L54:L55"/>
    <mergeCell ref="K56:K57"/>
    <mergeCell ref="K58:K59"/>
    <mergeCell ref="K60:K61"/>
    <mergeCell ref="M38:M39"/>
    <mergeCell ref="M40:M41"/>
    <mergeCell ref="M42:M43"/>
    <mergeCell ref="M44:M45"/>
    <mergeCell ref="L56:L57"/>
    <mergeCell ref="L58:L59"/>
    <mergeCell ref="L60:L61"/>
    <mergeCell ref="L62:L63"/>
    <mergeCell ref="M12:M13"/>
    <mergeCell ref="M14:M15"/>
    <mergeCell ref="M16:M17"/>
    <mergeCell ref="M18:M19"/>
    <mergeCell ref="M20:M21"/>
    <mergeCell ref="M22:M23"/>
    <mergeCell ref="M24:M25"/>
    <mergeCell ref="M26:M27"/>
    <mergeCell ref="M28:M29"/>
    <mergeCell ref="M30:M31"/>
    <mergeCell ref="M32:M33"/>
    <mergeCell ref="M34:M35"/>
    <mergeCell ref="L46:L47"/>
    <mergeCell ref="L48:L49"/>
    <mergeCell ref="L50:L51"/>
    <mergeCell ref="L52:L53"/>
    <mergeCell ref="L36:L37"/>
    <mergeCell ref="L38:L39"/>
    <mergeCell ref="L40:L41"/>
    <mergeCell ref="L42:L43"/>
    <mergeCell ref="L44:L45"/>
    <mergeCell ref="N42:N43"/>
    <mergeCell ref="N44:N45"/>
    <mergeCell ref="M56:M57"/>
    <mergeCell ref="M58:M59"/>
    <mergeCell ref="M60:M61"/>
    <mergeCell ref="M62:M63"/>
    <mergeCell ref="N12:N13"/>
    <mergeCell ref="N14:N15"/>
    <mergeCell ref="N16:N17"/>
    <mergeCell ref="N18:N19"/>
    <mergeCell ref="N20:N21"/>
    <mergeCell ref="N22:N23"/>
    <mergeCell ref="N24:N25"/>
    <mergeCell ref="N26:N27"/>
    <mergeCell ref="N28:N29"/>
    <mergeCell ref="N30:N31"/>
    <mergeCell ref="N32:N33"/>
    <mergeCell ref="N34:N35"/>
    <mergeCell ref="M46:M47"/>
    <mergeCell ref="M48:M49"/>
    <mergeCell ref="M50:M51"/>
    <mergeCell ref="M52:M53"/>
    <mergeCell ref="M54:M55"/>
    <mergeCell ref="M36:M37"/>
    <mergeCell ref="N56:N57"/>
    <mergeCell ref="N58:N59"/>
    <mergeCell ref="N60:N61"/>
    <mergeCell ref="N62:N63"/>
    <mergeCell ref="O12:O13"/>
    <mergeCell ref="O14:O15"/>
    <mergeCell ref="O16:O17"/>
    <mergeCell ref="O18:O19"/>
    <mergeCell ref="O20:O21"/>
    <mergeCell ref="O22:O23"/>
    <mergeCell ref="O24:O25"/>
    <mergeCell ref="O26:O27"/>
    <mergeCell ref="O28:O29"/>
    <mergeCell ref="O30:O31"/>
    <mergeCell ref="O32:O33"/>
    <mergeCell ref="O34:O35"/>
    <mergeCell ref="N46:N47"/>
    <mergeCell ref="N48:N49"/>
    <mergeCell ref="N50:N51"/>
    <mergeCell ref="N52:N53"/>
    <mergeCell ref="N54:N55"/>
    <mergeCell ref="N36:N37"/>
    <mergeCell ref="N38:N39"/>
    <mergeCell ref="N40:N41"/>
    <mergeCell ref="O62:O63"/>
    <mergeCell ref="P56:P57"/>
    <mergeCell ref="P58:P59"/>
    <mergeCell ref="P60:P61"/>
    <mergeCell ref="P62:P63"/>
    <mergeCell ref="P46:P47"/>
    <mergeCell ref="P48:P49"/>
    <mergeCell ref="P50:P51"/>
    <mergeCell ref="P52:P53"/>
    <mergeCell ref="P54:P55"/>
    <mergeCell ref="O56:O57"/>
    <mergeCell ref="O58:O59"/>
    <mergeCell ref="O46:O47"/>
    <mergeCell ref="O48:O49"/>
    <mergeCell ref="O50:O51"/>
    <mergeCell ref="O52:O53"/>
    <mergeCell ref="O54:O55"/>
    <mergeCell ref="S10:S11"/>
    <mergeCell ref="S12:S13"/>
    <mergeCell ref="S14:S15"/>
    <mergeCell ref="S16:S17"/>
    <mergeCell ref="S18:S19"/>
    <mergeCell ref="S20:S21"/>
    <mergeCell ref="S22:S23"/>
    <mergeCell ref="S24:S25"/>
    <mergeCell ref="O60:O61"/>
    <mergeCell ref="P26:P27"/>
    <mergeCell ref="P28:P29"/>
    <mergeCell ref="P36:P37"/>
    <mergeCell ref="P38:P39"/>
    <mergeCell ref="P40:P41"/>
    <mergeCell ref="P42:P43"/>
    <mergeCell ref="P44:P45"/>
    <mergeCell ref="P30:P31"/>
    <mergeCell ref="P32:P33"/>
    <mergeCell ref="P34:P35"/>
    <mergeCell ref="O36:O37"/>
    <mergeCell ref="O38:O39"/>
    <mergeCell ref="O40:O41"/>
    <mergeCell ref="O42:O43"/>
    <mergeCell ref="O44:O45"/>
    <mergeCell ref="S28:S29"/>
    <mergeCell ref="T26:T27"/>
    <mergeCell ref="T14:T15"/>
    <mergeCell ref="T16:T17"/>
    <mergeCell ref="T18:T19"/>
    <mergeCell ref="T20:T21"/>
    <mergeCell ref="T22:T23"/>
    <mergeCell ref="T24:T25"/>
    <mergeCell ref="T28:T29"/>
    <mergeCell ref="S26:S27"/>
    <mergeCell ref="A70:A71"/>
    <mergeCell ref="B70:B71"/>
    <mergeCell ref="C70:C71"/>
    <mergeCell ref="D70:D71"/>
    <mergeCell ref="E70:E71"/>
    <mergeCell ref="F70:F71"/>
    <mergeCell ref="G70:G71"/>
    <mergeCell ref="H70:H71"/>
    <mergeCell ref="I70:I71"/>
    <mergeCell ref="J70:J71"/>
    <mergeCell ref="K70:K71"/>
    <mergeCell ref="L70:L71"/>
    <mergeCell ref="M70:M71"/>
    <mergeCell ref="N70:N71"/>
    <mergeCell ref="O70:O71"/>
    <mergeCell ref="P70:P71"/>
    <mergeCell ref="S70:S71"/>
    <mergeCell ref="A72:A73"/>
    <mergeCell ref="B72:B73"/>
    <mergeCell ref="C72:C73"/>
    <mergeCell ref="D72:D73"/>
    <mergeCell ref="E72:E73"/>
    <mergeCell ref="F72:F73"/>
    <mergeCell ref="G72:G73"/>
    <mergeCell ref="H72:H73"/>
    <mergeCell ref="I72:I73"/>
    <mergeCell ref="J72:J73"/>
    <mergeCell ref="K72:K73"/>
    <mergeCell ref="L72:L73"/>
    <mergeCell ref="M72:M73"/>
    <mergeCell ref="N72:N73"/>
    <mergeCell ref="O72:O73"/>
    <mergeCell ref="P72:P73"/>
    <mergeCell ref="S72:S73"/>
    <mergeCell ref="A74:A75"/>
    <mergeCell ref="B74:B75"/>
    <mergeCell ref="C74:C75"/>
    <mergeCell ref="D74:D75"/>
    <mergeCell ref="E74:E75"/>
    <mergeCell ref="F74:F75"/>
    <mergeCell ref="G74:G75"/>
    <mergeCell ref="H74:H75"/>
    <mergeCell ref="I74:I75"/>
    <mergeCell ref="J74:J75"/>
    <mergeCell ref="K74:K75"/>
    <mergeCell ref="L74:L75"/>
    <mergeCell ref="M74:M75"/>
    <mergeCell ref="N74:N75"/>
    <mergeCell ref="O74:O75"/>
    <mergeCell ref="P74:P75"/>
    <mergeCell ref="S74:S75"/>
    <mergeCell ref="T74:T75"/>
    <mergeCell ref="A76:A77"/>
    <mergeCell ref="B76:B77"/>
    <mergeCell ref="C76:C77"/>
    <mergeCell ref="D76:D77"/>
    <mergeCell ref="E76:E77"/>
    <mergeCell ref="F76:F77"/>
    <mergeCell ref="G76:G77"/>
    <mergeCell ref="H76:H77"/>
    <mergeCell ref="I76:I77"/>
    <mergeCell ref="J76:J77"/>
    <mergeCell ref="K76:K77"/>
    <mergeCell ref="L76:L77"/>
    <mergeCell ref="M76:M77"/>
    <mergeCell ref="N76:N77"/>
    <mergeCell ref="O76:O77"/>
    <mergeCell ref="P76:P77"/>
    <mergeCell ref="S76:S77"/>
    <mergeCell ref="T76:T77"/>
    <mergeCell ref="A78:A79"/>
    <mergeCell ref="B78:B79"/>
    <mergeCell ref="C78:C79"/>
    <mergeCell ref="D78:D79"/>
    <mergeCell ref="E78:E79"/>
    <mergeCell ref="F78:F79"/>
    <mergeCell ref="G78:G79"/>
    <mergeCell ref="H78:H79"/>
    <mergeCell ref="I78:I79"/>
    <mergeCell ref="J78:J79"/>
    <mergeCell ref="K78:K79"/>
    <mergeCell ref="L78:L79"/>
    <mergeCell ref="M78:M79"/>
    <mergeCell ref="N78:N79"/>
    <mergeCell ref="O78:O79"/>
    <mergeCell ref="P78:P79"/>
    <mergeCell ref="S78:S79"/>
    <mergeCell ref="T78:T79"/>
    <mergeCell ref="A80:A81"/>
    <mergeCell ref="B80:B81"/>
    <mergeCell ref="C80:C81"/>
    <mergeCell ref="D80:D81"/>
    <mergeCell ref="E80:E81"/>
    <mergeCell ref="F80:F81"/>
    <mergeCell ref="G80:G81"/>
    <mergeCell ref="H80:H81"/>
    <mergeCell ref="I80:I81"/>
    <mergeCell ref="J80:J81"/>
    <mergeCell ref="K80:K81"/>
    <mergeCell ref="L80:L81"/>
    <mergeCell ref="M80:M81"/>
    <mergeCell ref="N80:N81"/>
    <mergeCell ref="O80:O81"/>
    <mergeCell ref="P80:P81"/>
    <mergeCell ref="S80:S81"/>
    <mergeCell ref="T80:T81"/>
    <mergeCell ref="A82:A83"/>
    <mergeCell ref="B82:B83"/>
    <mergeCell ref="C82:C83"/>
    <mergeCell ref="D82:D83"/>
    <mergeCell ref="E82:E83"/>
    <mergeCell ref="F82:F83"/>
    <mergeCell ref="G82:G83"/>
    <mergeCell ref="H82:H83"/>
    <mergeCell ref="I82:I83"/>
    <mergeCell ref="J82:J83"/>
    <mergeCell ref="K82:K83"/>
    <mergeCell ref="L82:L83"/>
    <mergeCell ref="M82:M83"/>
    <mergeCell ref="N82:N83"/>
    <mergeCell ref="O82:O83"/>
    <mergeCell ref="P82:P83"/>
    <mergeCell ref="S82:S83"/>
    <mergeCell ref="T82:T83"/>
    <mergeCell ref="A84:A85"/>
    <mergeCell ref="B84:B85"/>
    <mergeCell ref="C84:C85"/>
    <mergeCell ref="D84:D85"/>
    <mergeCell ref="E84:E85"/>
    <mergeCell ref="F84:F85"/>
    <mergeCell ref="G84:G85"/>
    <mergeCell ref="H84:H85"/>
    <mergeCell ref="I84:I85"/>
    <mergeCell ref="J84:J85"/>
    <mergeCell ref="K84:K85"/>
    <mergeCell ref="L84:L85"/>
    <mergeCell ref="M84:M85"/>
    <mergeCell ref="N84:N85"/>
    <mergeCell ref="O84:O85"/>
    <mergeCell ref="P84:P85"/>
    <mergeCell ref="S84:S85"/>
    <mergeCell ref="T84:T85"/>
    <mergeCell ref="A86:A87"/>
    <mergeCell ref="B86:B87"/>
    <mergeCell ref="C86:C87"/>
    <mergeCell ref="D86:D87"/>
    <mergeCell ref="E86:E87"/>
    <mergeCell ref="F86:F87"/>
    <mergeCell ref="G86:G87"/>
    <mergeCell ref="H86:H87"/>
    <mergeCell ref="I86:I87"/>
    <mergeCell ref="J86:J87"/>
    <mergeCell ref="K86:K87"/>
    <mergeCell ref="L86:L87"/>
    <mergeCell ref="M86:M87"/>
    <mergeCell ref="N86:N87"/>
    <mergeCell ref="O86:O87"/>
    <mergeCell ref="P86:P87"/>
    <mergeCell ref="S86:S87"/>
    <mergeCell ref="T86:T87"/>
    <mergeCell ref="K88:K89"/>
    <mergeCell ref="L88:L89"/>
    <mergeCell ref="M88:M89"/>
    <mergeCell ref="N88:N89"/>
    <mergeCell ref="O88:O89"/>
    <mergeCell ref="P88:P89"/>
    <mergeCell ref="S88:S89"/>
    <mergeCell ref="T88:T89"/>
    <mergeCell ref="A88:A89"/>
    <mergeCell ref="B88:B89"/>
    <mergeCell ref="C88:C89"/>
    <mergeCell ref="D88:D89"/>
    <mergeCell ref="E88:E89"/>
    <mergeCell ref="F88:F89"/>
    <mergeCell ref="G88:G89"/>
    <mergeCell ref="H88:H89"/>
    <mergeCell ref="I88:I89"/>
    <mergeCell ref="B90:B91"/>
    <mergeCell ref="C90:C91"/>
    <mergeCell ref="D90:D91"/>
    <mergeCell ref="E90:E91"/>
    <mergeCell ref="F90:F91"/>
    <mergeCell ref="G90:G91"/>
    <mergeCell ref="H90:H91"/>
    <mergeCell ref="I90:I91"/>
    <mergeCell ref="J88:J89"/>
    <mergeCell ref="J90:J91"/>
    <mergeCell ref="K90:K91"/>
    <mergeCell ref="L90:L91"/>
    <mergeCell ref="M90:M91"/>
    <mergeCell ref="N90:N91"/>
    <mergeCell ref="O90:O91"/>
    <mergeCell ref="P90:P91"/>
    <mergeCell ref="A92:A93"/>
    <mergeCell ref="B92:B93"/>
    <mergeCell ref="C92:C93"/>
    <mergeCell ref="D92:D93"/>
    <mergeCell ref="E92:E93"/>
    <mergeCell ref="F92:F93"/>
    <mergeCell ref="G92:G93"/>
    <mergeCell ref="H92:H93"/>
    <mergeCell ref="I92:I93"/>
    <mergeCell ref="J92:J93"/>
    <mergeCell ref="K92:K93"/>
    <mergeCell ref="L92:L93"/>
    <mergeCell ref="M92:M93"/>
    <mergeCell ref="N92:N93"/>
    <mergeCell ref="O92:O93"/>
    <mergeCell ref="P92:P93"/>
    <mergeCell ref="A90:A91"/>
    <mergeCell ref="K94:K95"/>
    <mergeCell ref="L94:L95"/>
    <mergeCell ref="M94:M95"/>
    <mergeCell ref="N94:N95"/>
    <mergeCell ref="O94:O95"/>
    <mergeCell ref="P94:P95"/>
    <mergeCell ref="A96:A97"/>
    <mergeCell ref="B96:B97"/>
    <mergeCell ref="C96:C97"/>
    <mergeCell ref="D96:D97"/>
    <mergeCell ref="E96:E97"/>
    <mergeCell ref="F96:F97"/>
    <mergeCell ref="G96:G97"/>
    <mergeCell ref="H96:H97"/>
    <mergeCell ref="I96:I97"/>
    <mergeCell ref="J96:J97"/>
    <mergeCell ref="K96:K97"/>
    <mergeCell ref="L96:L97"/>
    <mergeCell ref="M96:M97"/>
    <mergeCell ref="N96:N97"/>
    <mergeCell ref="O96:O97"/>
    <mergeCell ref="P96:P97"/>
    <mergeCell ref="A94:A95"/>
    <mergeCell ref="B94:B95"/>
    <mergeCell ref="B98:B99"/>
    <mergeCell ref="C98:C99"/>
    <mergeCell ref="D98:D99"/>
    <mergeCell ref="E98:E99"/>
    <mergeCell ref="F98:F99"/>
    <mergeCell ref="G98:G99"/>
    <mergeCell ref="H98:H99"/>
    <mergeCell ref="I98:I99"/>
    <mergeCell ref="J94:J95"/>
    <mergeCell ref="C94:C95"/>
    <mergeCell ref="D94:D95"/>
    <mergeCell ref="E94:E95"/>
    <mergeCell ref="F94:F95"/>
    <mergeCell ref="G94:G95"/>
    <mergeCell ref="H94:H95"/>
    <mergeCell ref="I94:I95"/>
    <mergeCell ref="J98:J99"/>
    <mergeCell ref="K98:K99"/>
    <mergeCell ref="L98:L99"/>
    <mergeCell ref="M98:M99"/>
    <mergeCell ref="N98:N99"/>
    <mergeCell ref="O98:O99"/>
    <mergeCell ref="P98:P99"/>
    <mergeCell ref="A100:A101"/>
    <mergeCell ref="B100:B101"/>
    <mergeCell ref="C100:C101"/>
    <mergeCell ref="D100:D101"/>
    <mergeCell ref="E100:E101"/>
    <mergeCell ref="F100:F101"/>
    <mergeCell ref="G100:G101"/>
    <mergeCell ref="H100:H101"/>
    <mergeCell ref="I100:I101"/>
    <mergeCell ref="J100:J101"/>
    <mergeCell ref="K100:K101"/>
    <mergeCell ref="L100:L101"/>
    <mergeCell ref="M100:M101"/>
    <mergeCell ref="N100:N101"/>
    <mergeCell ref="O100:O101"/>
    <mergeCell ref="P100:P101"/>
    <mergeCell ref="A98:A99"/>
    <mergeCell ref="K102:K103"/>
    <mergeCell ref="L102:L103"/>
    <mergeCell ref="M102:M103"/>
    <mergeCell ref="N102:N103"/>
    <mergeCell ref="O102:O103"/>
    <mergeCell ref="P102:P103"/>
    <mergeCell ref="A104:A105"/>
    <mergeCell ref="B104:B105"/>
    <mergeCell ref="C104:C105"/>
    <mergeCell ref="D104:D105"/>
    <mergeCell ref="E104:E105"/>
    <mergeCell ref="F104:F105"/>
    <mergeCell ref="G104:G105"/>
    <mergeCell ref="H104:H105"/>
    <mergeCell ref="I104:I105"/>
    <mergeCell ref="J104:J105"/>
    <mergeCell ref="K104:K105"/>
    <mergeCell ref="L104:L105"/>
    <mergeCell ref="M104:M105"/>
    <mergeCell ref="N104:N105"/>
    <mergeCell ref="O104:O105"/>
    <mergeCell ref="P104:P105"/>
    <mergeCell ref="A102:A103"/>
    <mergeCell ref="B102:B103"/>
    <mergeCell ref="B106:B107"/>
    <mergeCell ref="C106:C107"/>
    <mergeCell ref="D106:D107"/>
    <mergeCell ref="E106:E107"/>
    <mergeCell ref="F106:F107"/>
    <mergeCell ref="G106:G107"/>
    <mergeCell ref="H106:H107"/>
    <mergeCell ref="I106:I107"/>
    <mergeCell ref="J102:J103"/>
    <mergeCell ref="C102:C103"/>
    <mergeCell ref="D102:D103"/>
    <mergeCell ref="E102:E103"/>
    <mergeCell ref="F102:F103"/>
    <mergeCell ref="G102:G103"/>
    <mergeCell ref="H102:H103"/>
    <mergeCell ref="I102:I103"/>
    <mergeCell ref="J106:J107"/>
    <mergeCell ref="K106:K107"/>
    <mergeCell ref="L106:L107"/>
    <mergeCell ref="M106:M107"/>
    <mergeCell ref="N106:N107"/>
    <mergeCell ref="O106:O107"/>
    <mergeCell ref="P106:P107"/>
    <mergeCell ref="A108:A109"/>
    <mergeCell ref="B108:B109"/>
    <mergeCell ref="C108:C109"/>
    <mergeCell ref="D108:D109"/>
    <mergeCell ref="E108:E109"/>
    <mergeCell ref="F108:F109"/>
    <mergeCell ref="G108:G109"/>
    <mergeCell ref="H108:H109"/>
    <mergeCell ref="I108:I109"/>
    <mergeCell ref="J108:J109"/>
    <mergeCell ref="K108:K109"/>
    <mergeCell ref="L108:L109"/>
    <mergeCell ref="M108:M109"/>
    <mergeCell ref="N108:N109"/>
    <mergeCell ref="O108:O109"/>
    <mergeCell ref="P108:P109"/>
    <mergeCell ref="A106:A107"/>
    <mergeCell ref="K110:K111"/>
    <mergeCell ref="L110:L111"/>
    <mergeCell ref="M110:M111"/>
    <mergeCell ref="N110:N111"/>
    <mergeCell ref="O110:O111"/>
    <mergeCell ref="P110:P111"/>
    <mergeCell ref="A112:A113"/>
    <mergeCell ref="B112:B113"/>
    <mergeCell ref="C112:C113"/>
    <mergeCell ref="D112:D113"/>
    <mergeCell ref="E112:E113"/>
    <mergeCell ref="F112:F113"/>
    <mergeCell ref="G112:G113"/>
    <mergeCell ref="H112:H113"/>
    <mergeCell ref="I112:I113"/>
    <mergeCell ref="J112:J113"/>
    <mergeCell ref="K112:K113"/>
    <mergeCell ref="L112:L113"/>
    <mergeCell ref="M112:M113"/>
    <mergeCell ref="N112:N113"/>
    <mergeCell ref="O112:O113"/>
    <mergeCell ref="P112:P113"/>
    <mergeCell ref="A110:A111"/>
    <mergeCell ref="B110:B111"/>
    <mergeCell ref="B114:B115"/>
    <mergeCell ref="C114:C115"/>
    <mergeCell ref="D114:D115"/>
    <mergeCell ref="E114:E115"/>
    <mergeCell ref="F114:F115"/>
    <mergeCell ref="G114:G115"/>
    <mergeCell ref="H114:H115"/>
    <mergeCell ref="I114:I115"/>
    <mergeCell ref="J110:J111"/>
    <mergeCell ref="C110:C111"/>
    <mergeCell ref="D110:D111"/>
    <mergeCell ref="E110:E111"/>
    <mergeCell ref="F110:F111"/>
    <mergeCell ref="G110:G111"/>
    <mergeCell ref="H110:H111"/>
    <mergeCell ref="I110:I111"/>
    <mergeCell ref="J114:J115"/>
    <mergeCell ref="K114:K115"/>
    <mergeCell ref="L114:L115"/>
    <mergeCell ref="M114:M115"/>
    <mergeCell ref="N114:N115"/>
    <mergeCell ref="O114:O115"/>
    <mergeCell ref="P114:P115"/>
    <mergeCell ref="A116:A117"/>
    <mergeCell ref="B116:B117"/>
    <mergeCell ref="C116:C117"/>
    <mergeCell ref="D116:D117"/>
    <mergeCell ref="E116:E117"/>
    <mergeCell ref="F116:F117"/>
    <mergeCell ref="G116:G117"/>
    <mergeCell ref="H116:H117"/>
    <mergeCell ref="I116:I117"/>
    <mergeCell ref="J116:J117"/>
    <mergeCell ref="K116:K117"/>
    <mergeCell ref="L116:L117"/>
    <mergeCell ref="M116:M117"/>
    <mergeCell ref="N116:N117"/>
    <mergeCell ref="O116:O117"/>
    <mergeCell ref="P116:P117"/>
    <mergeCell ref="A114:A115"/>
    <mergeCell ref="M120:M121"/>
    <mergeCell ref="N120:N121"/>
    <mergeCell ref="O120:O121"/>
    <mergeCell ref="P120:P121"/>
    <mergeCell ref="A118:A119"/>
    <mergeCell ref="B118:B119"/>
    <mergeCell ref="C118:C119"/>
    <mergeCell ref="D118:D119"/>
    <mergeCell ref="E118:E119"/>
    <mergeCell ref="F118:F119"/>
    <mergeCell ref="G118:G119"/>
    <mergeCell ref="H118:H119"/>
    <mergeCell ref="I118:I119"/>
    <mergeCell ref="A120:A121"/>
    <mergeCell ref="B120:B121"/>
    <mergeCell ref="C120:C121"/>
    <mergeCell ref="D120:D121"/>
    <mergeCell ref="E120:E121"/>
    <mergeCell ref="F120:F121"/>
    <mergeCell ref="G120:G121"/>
    <mergeCell ref="H120:H121"/>
    <mergeCell ref="I120:I121"/>
    <mergeCell ref="A122:A123"/>
    <mergeCell ref="B122:B123"/>
    <mergeCell ref="C122:C123"/>
    <mergeCell ref="D122:D123"/>
    <mergeCell ref="E122:E123"/>
    <mergeCell ref="F122:F123"/>
    <mergeCell ref="G122:G123"/>
    <mergeCell ref="H122:H123"/>
    <mergeCell ref="I122:I123"/>
    <mergeCell ref="J122:J123"/>
    <mergeCell ref="K122:K123"/>
    <mergeCell ref="L122:L123"/>
    <mergeCell ref="M122:M123"/>
    <mergeCell ref="N122:N123"/>
    <mergeCell ref="O122:O123"/>
    <mergeCell ref="P122:P123"/>
    <mergeCell ref="J118:J119"/>
    <mergeCell ref="K118:K119"/>
    <mergeCell ref="L118:L119"/>
    <mergeCell ref="M118:M119"/>
    <mergeCell ref="N118:N119"/>
    <mergeCell ref="O118:O119"/>
    <mergeCell ref="P118:P119"/>
    <mergeCell ref="J120:J121"/>
    <mergeCell ref="K120:K121"/>
    <mergeCell ref="L120:L121"/>
  </mergeCells>
  <conditionalFormatting sqref="S28:S39 R10:S26 R70:S86">
    <cfRule type="cellIs" dxfId="1" priority="2" operator="equal">
      <formula>0</formula>
    </cfRule>
  </conditionalFormatting>
  <conditionalFormatting sqref="S88:S99">
    <cfRule type="cellIs" dxfId="0" priority="1" operator="equal">
      <formula>0</formula>
    </cfRule>
  </conditionalFormatting>
  <dataValidations count="3">
    <dataValidation type="list" allowBlank="1" showInputMessage="1" showErrorMessage="1" sqref="C10 C122 C120 C118 C116 C114 C112 C110 C108 C106 C104 C102 C100 C98 C96 C94 C92 C90 C88 C86 C84 C82 C80 C78 C76 C74 C72 C70 C62 C60 C58 C56 C54 C52 C50 C48 C46 C44 C42 C40 C38 C36 C34 C32 C30 C28 C26 C24 C22 C20 C18 C16 C14 C12">
      <formula1>annexe!B1:B3</formula1>
    </dataValidation>
    <dataValidation type="list" allowBlank="1" showInputMessage="1" showErrorMessage="1" sqref="B10 B122 B120 B118 B116 B114 B112 B110 B108 B106 B104 B102 B100 B98 B96 B94 B92 B90 B88 B86 B84 B82 B80 B78 B76 B74 B72 B70 B62 B60 B58 B56 B54 B52 B50 B48 B46 B44 B42 B40 B38 B36 B34 B32 B30 B28 B26 B24 B22 B20 B18 B16 B14 B12">
      <formula1>annexe!C1:C14</formula1>
    </dataValidation>
    <dataValidation type="list" allowBlank="1" showInputMessage="1" showErrorMessage="1" sqref="L10 L122 L120 L118 L116 L114 L112 L110 L108 L106 L104 L102 L100 L98 L96 L94 L92 L90 L88 L86 L84 L82 L80 L78 L76 L74 L72 L70 L62 L60 L58 L56 L54 L52 L50 L48 L46 L44 L42 L40 L38 L36 L34 L32 L30 L28 L26 L24 L22 L20 L18 L16 L14 L12">
      <formula1>annexe!E1:E4</formula1>
    </dataValidation>
  </dataValidation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dimension ref="B4:E18"/>
  <sheetViews>
    <sheetView workbookViewId="0">
      <selection activeCell="B6" sqref="B6:B18"/>
    </sheetView>
  </sheetViews>
  <sheetFormatPr baseColWidth="10" defaultRowHeight="15"/>
  <sheetData>
    <row r="4" spans="2:5" ht="15.75" thickBot="1"/>
    <row r="5" spans="2:5" ht="15.75" thickBot="1">
      <c r="B5" s="87" t="s">
        <v>105</v>
      </c>
      <c r="C5" s="88" t="s">
        <v>106</v>
      </c>
      <c r="D5" s="89" t="s">
        <v>107</v>
      </c>
      <c r="E5" s="90" t="s">
        <v>108</v>
      </c>
    </row>
    <row r="6" spans="2:5">
      <c r="B6" s="116" t="s">
        <v>109</v>
      </c>
      <c r="C6" s="117">
        <v>20</v>
      </c>
      <c r="D6" s="118">
        <v>0.82</v>
      </c>
      <c r="E6" s="119">
        <v>0.22</v>
      </c>
    </row>
    <row r="7" spans="2:5">
      <c r="B7" s="91" t="s">
        <v>110</v>
      </c>
      <c r="C7" s="120">
        <v>20</v>
      </c>
      <c r="D7" s="121">
        <v>0.99</v>
      </c>
      <c r="E7" s="122">
        <v>0.25</v>
      </c>
    </row>
    <row r="8" spans="2:5">
      <c r="B8" s="91" t="s">
        <v>111</v>
      </c>
      <c r="C8" s="120">
        <v>20</v>
      </c>
      <c r="D8" s="121">
        <v>1.22</v>
      </c>
      <c r="E8" s="122">
        <v>0.28999999999999998</v>
      </c>
    </row>
    <row r="9" spans="2:5">
      <c r="B9" s="91" t="s">
        <v>112</v>
      </c>
      <c r="C9" s="120">
        <v>20</v>
      </c>
      <c r="D9" s="121">
        <v>1.48</v>
      </c>
      <c r="E9" s="122">
        <v>0.33</v>
      </c>
    </row>
    <row r="10" spans="2:5">
      <c r="B10" s="91" t="s">
        <v>113</v>
      </c>
      <c r="C10" s="120">
        <v>30</v>
      </c>
      <c r="D10" s="121">
        <v>1.8</v>
      </c>
      <c r="E10" s="122">
        <v>0.3</v>
      </c>
    </row>
    <row r="11" spans="2:5">
      <c r="B11" s="91" t="s">
        <v>137</v>
      </c>
      <c r="C11" s="120">
        <v>30</v>
      </c>
      <c r="D11" s="121">
        <v>2.02</v>
      </c>
      <c r="E11" s="122">
        <v>0.33</v>
      </c>
    </row>
    <row r="12" spans="2:5">
      <c r="B12" s="91" t="s">
        <v>114</v>
      </c>
      <c r="C12" s="120">
        <v>30</v>
      </c>
      <c r="D12" s="121">
        <v>2.33</v>
      </c>
      <c r="E12" s="122">
        <v>0.37</v>
      </c>
    </row>
    <row r="13" spans="2:5">
      <c r="B13" s="91" t="s">
        <v>115</v>
      </c>
      <c r="C13" s="120">
        <v>30</v>
      </c>
      <c r="D13" s="121">
        <v>2.4500000000000002</v>
      </c>
      <c r="E13" s="122">
        <v>0.39</v>
      </c>
    </row>
    <row r="14" spans="2:5">
      <c r="B14" s="91" t="s">
        <v>116</v>
      </c>
      <c r="C14" s="120">
        <v>30</v>
      </c>
      <c r="D14" s="121">
        <v>2.56</v>
      </c>
      <c r="E14" s="122">
        <v>0.4</v>
      </c>
    </row>
    <row r="15" spans="2:5">
      <c r="B15" s="91" t="s">
        <v>117</v>
      </c>
      <c r="C15" s="120">
        <v>30</v>
      </c>
      <c r="D15" s="121">
        <v>2.79</v>
      </c>
      <c r="E15" s="122">
        <v>0.43</v>
      </c>
    </row>
    <row r="16" spans="2:5">
      <c r="B16" s="91" t="s">
        <v>118</v>
      </c>
      <c r="C16" s="120">
        <v>40</v>
      </c>
      <c r="D16" s="121">
        <v>3</v>
      </c>
      <c r="E16" s="122">
        <v>0.38</v>
      </c>
    </row>
    <row r="17" spans="2:5">
      <c r="B17" s="91" t="s">
        <v>119</v>
      </c>
      <c r="C17" s="120">
        <v>40</v>
      </c>
      <c r="D17" s="121">
        <v>3.43</v>
      </c>
      <c r="E17" s="122">
        <v>0.42</v>
      </c>
    </row>
    <row r="18" spans="2:5">
      <c r="B18" s="91" t="s">
        <v>120</v>
      </c>
      <c r="C18" s="120">
        <v>40</v>
      </c>
      <c r="D18" s="121">
        <v>4.28</v>
      </c>
      <c r="E18" s="122">
        <v>0.51</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dimension ref="B2:L15"/>
  <sheetViews>
    <sheetView workbookViewId="0">
      <selection activeCell="D6" sqref="D6:L15"/>
    </sheetView>
  </sheetViews>
  <sheetFormatPr baseColWidth="10" defaultRowHeight="15"/>
  <sheetData>
    <row r="2" spans="2:12">
      <c r="B2" s="208" t="s">
        <v>121</v>
      </c>
      <c r="C2" s="208"/>
      <c r="D2" s="208"/>
      <c r="E2" s="208"/>
      <c r="F2" s="208"/>
      <c r="G2" s="208"/>
      <c r="H2" s="208"/>
      <c r="I2" s="208"/>
      <c r="J2" s="208"/>
      <c r="K2" s="208"/>
      <c r="L2" s="208"/>
    </row>
    <row r="3" spans="2:12" ht="15.75" thickBot="1"/>
    <row r="4" spans="2:12" ht="15.75" thickBot="1">
      <c r="D4" s="209" t="s">
        <v>122</v>
      </c>
      <c r="E4" s="210"/>
      <c r="F4" s="210"/>
      <c r="G4" s="210"/>
      <c r="H4" s="210"/>
      <c r="I4" s="210"/>
      <c r="J4" s="210"/>
      <c r="K4" s="210"/>
      <c r="L4" s="211"/>
    </row>
    <row r="5" spans="2:12" ht="15.75" thickBot="1">
      <c r="B5" s="92" t="s">
        <v>123</v>
      </c>
      <c r="C5" s="90" t="s">
        <v>124</v>
      </c>
      <c r="D5" s="89">
        <v>45</v>
      </c>
      <c r="E5" s="93">
        <v>22</v>
      </c>
      <c r="F5" s="93">
        <v>20</v>
      </c>
      <c r="G5" s="93">
        <v>18</v>
      </c>
      <c r="H5" s="93">
        <v>15</v>
      </c>
      <c r="I5" s="93">
        <v>10</v>
      </c>
      <c r="J5" s="93">
        <v>7</v>
      </c>
      <c r="K5" s="93">
        <v>5</v>
      </c>
      <c r="L5" s="90">
        <v>0</v>
      </c>
    </row>
    <row r="6" spans="2:12">
      <c r="B6" s="94">
        <v>90</v>
      </c>
      <c r="C6" s="95">
        <v>70</v>
      </c>
      <c r="D6" s="96">
        <v>0.56799999999999995</v>
      </c>
      <c r="E6" s="97">
        <v>0.96499999999999997</v>
      </c>
      <c r="F6" s="97">
        <v>1</v>
      </c>
      <c r="G6" s="97">
        <v>1.034</v>
      </c>
      <c r="H6" s="97">
        <v>1.0860000000000001</v>
      </c>
      <c r="I6" s="97">
        <v>1.1739999999999999</v>
      </c>
      <c r="J6" s="97">
        <v>1.226</v>
      </c>
      <c r="K6" s="97">
        <v>1.2609999999999999</v>
      </c>
      <c r="L6" s="98">
        <v>1.349</v>
      </c>
    </row>
    <row r="7" spans="2:12">
      <c r="B7" s="99">
        <v>80</v>
      </c>
      <c r="C7" s="100">
        <v>60</v>
      </c>
      <c r="D7" s="101">
        <v>0.38100000000000001</v>
      </c>
      <c r="E7" s="30">
        <v>0.76100000000000001</v>
      </c>
      <c r="F7" s="30">
        <v>0.79400000000000004</v>
      </c>
      <c r="G7" s="30">
        <v>0.82799999999999996</v>
      </c>
      <c r="H7" s="30">
        <v>0.878</v>
      </c>
      <c r="I7" s="30">
        <v>0.96299999999999997</v>
      </c>
      <c r="J7" s="30">
        <v>1.014</v>
      </c>
      <c r="K7" s="30">
        <v>1.048</v>
      </c>
      <c r="L7" s="31">
        <v>1.133</v>
      </c>
    </row>
    <row r="8" spans="2:12">
      <c r="B8" s="99">
        <v>75</v>
      </c>
      <c r="C8" s="100">
        <v>65</v>
      </c>
      <c r="D8" s="101">
        <v>0.38100000000000001</v>
      </c>
      <c r="E8" s="30">
        <v>0.76100000000000001</v>
      </c>
      <c r="F8" s="30">
        <v>0.79400000000000004</v>
      </c>
      <c r="G8" s="30">
        <v>0.82799999999999996</v>
      </c>
      <c r="H8" s="30">
        <v>0.878</v>
      </c>
      <c r="I8" s="30">
        <v>0.96299999999999997</v>
      </c>
      <c r="J8" s="30">
        <v>1.014</v>
      </c>
      <c r="K8" s="30">
        <v>1.048</v>
      </c>
      <c r="L8" s="31">
        <v>1.133</v>
      </c>
    </row>
    <row r="9" spans="2:12">
      <c r="B9" s="99">
        <v>75</v>
      </c>
      <c r="C9" s="100">
        <v>60</v>
      </c>
      <c r="D9" s="101">
        <v>0.33600000000000002</v>
      </c>
      <c r="E9" s="30">
        <v>0.71199999999999997</v>
      </c>
      <c r="F9" s="30">
        <v>0.745</v>
      </c>
      <c r="G9" s="30">
        <v>0.77800000000000002</v>
      </c>
      <c r="H9" s="30">
        <v>0.82799999999999996</v>
      </c>
      <c r="I9" s="30">
        <v>0.91200000000000003</v>
      </c>
      <c r="J9" s="30">
        <v>0.96299999999999997</v>
      </c>
      <c r="K9" s="30">
        <v>0.996</v>
      </c>
      <c r="L9" s="31">
        <v>1.081</v>
      </c>
    </row>
    <row r="10" spans="2:12">
      <c r="B10" s="99">
        <v>65</v>
      </c>
      <c r="C10" s="100">
        <v>50</v>
      </c>
      <c r="D10" s="101">
        <v>0.17100000000000001</v>
      </c>
      <c r="E10" s="30">
        <v>0.52500000000000002</v>
      </c>
      <c r="F10" s="30">
        <v>0.55700000000000005</v>
      </c>
      <c r="G10" s="30">
        <v>0.58899999999999997</v>
      </c>
      <c r="H10" s="30">
        <v>0.63700000000000001</v>
      </c>
      <c r="I10" s="30">
        <v>0.71699999999999997</v>
      </c>
      <c r="J10" s="30">
        <v>0.76600000000000001</v>
      </c>
      <c r="K10" s="30">
        <v>0.79800000000000004</v>
      </c>
      <c r="L10" s="31">
        <v>0.88</v>
      </c>
    </row>
    <row r="11" spans="2:12">
      <c r="B11" s="99">
        <v>60</v>
      </c>
      <c r="C11" s="100">
        <v>50</v>
      </c>
      <c r="D11" s="101">
        <v>0.13200000000000001</v>
      </c>
      <c r="E11" s="30">
        <v>0.48099999999999998</v>
      </c>
      <c r="F11" s="30">
        <v>0.51200000000000001</v>
      </c>
      <c r="G11" s="30">
        <v>0.54400000000000004</v>
      </c>
      <c r="H11" s="30">
        <v>0.59099999999999997</v>
      </c>
      <c r="I11" s="30">
        <v>0.67100000000000004</v>
      </c>
      <c r="J11" s="30">
        <v>0.71899999999999997</v>
      </c>
      <c r="K11" s="30">
        <v>0.751</v>
      </c>
      <c r="L11" s="31">
        <v>0.83199999999999996</v>
      </c>
    </row>
    <row r="12" spans="2:12">
      <c r="B12" s="99">
        <v>60</v>
      </c>
      <c r="C12" s="100">
        <v>45</v>
      </c>
      <c r="D12" s="101">
        <v>9.6000000000000002E-2</v>
      </c>
      <c r="E12" s="30">
        <v>0.437</v>
      </c>
      <c r="F12" s="30">
        <v>0.46800000000000003</v>
      </c>
      <c r="G12" s="30">
        <v>0.5</v>
      </c>
      <c r="H12" s="30">
        <v>0.54600000000000004</v>
      </c>
      <c r="I12" s="30">
        <v>0.625</v>
      </c>
      <c r="J12" s="30">
        <v>0.67200000000000004</v>
      </c>
      <c r="K12" s="30">
        <v>0.70399999999999996</v>
      </c>
      <c r="L12" s="31">
        <v>0.78400000000000003</v>
      </c>
    </row>
    <row r="13" spans="2:12">
      <c r="B13" s="99">
        <v>55</v>
      </c>
      <c r="C13" s="100">
        <v>45</v>
      </c>
      <c r="D13" s="101">
        <v>6.0999999999999999E-2</v>
      </c>
      <c r="E13" s="30">
        <v>0.39400000000000002</v>
      </c>
      <c r="F13" s="30">
        <v>0.42499999999999999</v>
      </c>
      <c r="G13" s="30">
        <v>0.45600000000000002</v>
      </c>
      <c r="H13" s="30">
        <v>0.502</v>
      </c>
      <c r="I13" s="30">
        <v>0.57999999999999996</v>
      </c>
      <c r="J13" s="30">
        <v>0.627</v>
      </c>
      <c r="K13" s="30">
        <v>0.65800000000000003</v>
      </c>
      <c r="L13" s="31">
        <v>0.73799999999999999</v>
      </c>
    </row>
    <row r="14" spans="2:12">
      <c r="B14" s="99">
        <v>55</v>
      </c>
      <c r="C14" s="100">
        <v>40</v>
      </c>
      <c r="D14" s="101">
        <v>2.8000000000000001E-2</v>
      </c>
      <c r="E14" s="30">
        <v>0.35299999999999998</v>
      </c>
      <c r="F14" s="30">
        <v>0.38300000000000001</v>
      </c>
      <c r="G14" s="30">
        <v>0.41299999999999998</v>
      </c>
      <c r="H14" s="30">
        <v>0.45900000000000002</v>
      </c>
      <c r="I14" s="30">
        <v>0.53600000000000003</v>
      </c>
      <c r="J14" s="30">
        <v>0.58199999999999996</v>
      </c>
      <c r="K14" s="30">
        <v>0.61299999999999999</v>
      </c>
      <c r="L14" s="31">
        <v>0.69199999999999995</v>
      </c>
    </row>
    <row r="15" spans="2:12" ht="15.75" thickBot="1">
      <c r="B15" s="102">
        <v>50</v>
      </c>
      <c r="C15" s="103">
        <v>40</v>
      </c>
      <c r="D15" s="104" t="s">
        <v>125</v>
      </c>
      <c r="E15" s="33">
        <v>0.312</v>
      </c>
      <c r="F15" s="33">
        <v>0.34200000000000003</v>
      </c>
      <c r="G15" s="33">
        <v>0.371</v>
      </c>
      <c r="H15" s="33">
        <v>0.41599999999999998</v>
      </c>
      <c r="I15" s="33">
        <v>0.49199999999999999</v>
      </c>
      <c r="J15" s="33">
        <v>0.53800000000000003</v>
      </c>
      <c r="K15" s="33">
        <v>0.56899999999999995</v>
      </c>
      <c r="L15" s="34">
        <v>0.64700000000000002</v>
      </c>
    </row>
  </sheetData>
  <mergeCells count="2">
    <mergeCell ref="B2:L2"/>
    <mergeCell ref="D4:L4"/>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B2:L15"/>
  <sheetViews>
    <sheetView workbookViewId="0">
      <selection activeCell="K19" sqref="K19"/>
    </sheetView>
  </sheetViews>
  <sheetFormatPr baseColWidth="10" defaultRowHeight="15"/>
  <sheetData>
    <row r="2" spans="2:12">
      <c r="B2" s="208" t="s">
        <v>126</v>
      </c>
      <c r="C2" s="208"/>
      <c r="D2" s="208"/>
      <c r="E2" s="208"/>
      <c r="F2" s="208"/>
      <c r="G2" s="208"/>
      <c r="H2" s="208"/>
      <c r="I2" s="208"/>
      <c r="J2" s="208"/>
      <c r="K2" s="208"/>
      <c r="L2" s="208"/>
    </row>
    <row r="3" spans="2:12" ht="15.75" thickBot="1"/>
    <row r="4" spans="2:12" ht="15.75" thickBot="1">
      <c r="D4" s="209" t="s">
        <v>122</v>
      </c>
      <c r="E4" s="210"/>
      <c r="F4" s="210"/>
      <c r="G4" s="210"/>
      <c r="H4" s="210"/>
      <c r="I4" s="210"/>
      <c r="J4" s="210"/>
      <c r="K4" s="210"/>
      <c r="L4" s="211"/>
    </row>
    <row r="5" spans="2:12" ht="15.75" thickBot="1">
      <c r="B5" s="92" t="s">
        <v>123</v>
      </c>
      <c r="C5" s="90" t="s">
        <v>124</v>
      </c>
      <c r="D5" s="89">
        <v>35</v>
      </c>
      <c r="E5" s="93">
        <v>22</v>
      </c>
      <c r="F5" s="93">
        <v>20</v>
      </c>
      <c r="G5" s="93">
        <v>18</v>
      </c>
      <c r="H5" s="93">
        <v>15</v>
      </c>
      <c r="I5" s="93">
        <v>10</v>
      </c>
      <c r="J5" s="93">
        <v>7</v>
      </c>
      <c r="K5" s="93">
        <v>5</v>
      </c>
      <c r="L5" s="90">
        <v>0</v>
      </c>
    </row>
    <row r="6" spans="2:12">
      <c r="B6" s="94">
        <v>90</v>
      </c>
      <c r="C6" s="95">
        <v>70</v>
      </c>
      <c r="D6" s="96">
        <v>0.75</v>
      </c>
      <c r="E6" s="97">
        <v>0.96699999999999997</v>
      </c>
      <c r="F6" s="97">
        <v>1</v>
      </c>
      <c r="G6" s="97">
        <v>1.0329999999999999</v>
      </c>
      <c r="H6" s="97">
        <v>1.083</v>
      </c>
      <c r="I6" s="97">
        <v>1.167</v>
      </c>
      <c r="J6" s="97">
        <v>1.2170000000000001</v>
      </c>
      <c r="K6" s="97">
        <v>1.25</v>
      </c>
      <c r="L6" s="98">
        <v>1.333</v>
      </c>
    </row>
    <row r="7" spans="2:12">
      <c r="B7" s="99">
        <v>80</v>
      </c>
      <c r="C7" s="100">
        <v>60</v>
      </c>
      <c r="D7" s="101">
        <v>0.58099999999999996</v>
      </c>
      <c r="E7" s="30">
        <v>0.79700000000000004</v>
      </c>
      <c r="F7" s="30">
        <v>0.83</v>
      </c>
      <c r="G7" s="30">
        <v>0.86299999999999999</v>
      </c>
      <c r="H7" s="30">
        <v>0.91300000000000003</v>
      </c>
      <c r="I7" s="30">
        <v>0.996</v>
      </c>
      <c r="J7" s="30">
        <v>1.046</v>
      </c>
      <c r="K7" s="30">
        <v>1.08</v>
      </c>
      <c r="L7" s="31">
        <v>1.1619999999999999</v>
      </c>
    </row>
    <row r="8" spans="2:12">
      <c r="B8" s="99">
        <v>75</v>
      </c>
      <c r="C8" s="100">
        <v>65</v>
      </c>
      <c r="D8" s="101">
        <v>0.58099999999999996</v>
      </c>
      <c r="E8" s="30">
        <v>0.79700000000000004</v>
      </c>
      <c r="F8" s="30">
        <v>0.83</v>
      </c>
      <c r="G8" s="30">
        <v>0.86299999999999999</v>
      </c>
      <c r="H8" s="30">
        <v>0.91300000000000003</v>
      </c>
      <c r="I8" s="30">
        <v>0.996</v>
      </c>
      <c r="J8" s="30">
        <v>1.046</v>
      </c>
      <c r="K8" s="30">
        <v>1.08</v>
      </c>
      <c r="L8" s="31">
        <v>1.1619999999999999</v>
      </c>
    </row>
    <row r="9" spans="2:12">
      <c r="B9" s="99">
        <v>75</v>
      </c>
      <c r="C9" s="100">
        <v>60</v>
      </c>
      <c r="D9" s="101">
        <v>0.53900000000000003</v>
      </c>
      <c r="E9" s="30">
        <v>0.755</v>
      </c>
      <c r="F9" s="30">
        <v>0.78800000000000003</v>
      </c>
      <c r="G9" s="30">
        <v>0.82099999999999995</v>
      </c>
      <c r="H9" s="30">
        <v>0.871</v>
      </c>
      <c r="I9" s="30">
        <v>0.95399999999999996</v>
      </c>
      <c r="J9" s="30">
        <v>1.004</v>
      </c>
      <c r="K9" s="30">
        <v>1.0369999999999999</v>
      </c>
      <c r="L9" s="31">
        <v>1.1200000000000001</v>
      </c>
    </row>
    <row r="10" spans="2:12">
      <c r="B10" s="99">
        <v>65</v>
      </c>
      <c r="C10" s="100">
        <v>50</v>
      </c>
      <c r="D10" s="101">
        <v>0.371</v>
      </c>
      <c r="E10" s="30">
        <v>0.58599999999999997</v>
      </c>
      <c r="F10" s="30">
        <v>0.61899999999999999</v>
      </c>
      <c r="G10" s="30">
        <v>0.65200000000000002</v>
      </c>
      <c r="H10" s="30">
        <v>0.70199999999999996</v>
      </c>
      <c r="I10" s="30">
        <v>0.78500000000000003</v>
      </c>
      <c r="J10" s="30">
        <v>0.83399999999999996</v>
      </c>
      <c r="K10" s="30">
        <v>0.86699999999999999</v>
      </c>
      <c r="L10" s="31">
        <v>0.95</v>
      </c>
    </row>
    <row r="11" spans="2:12">
      <c r="B11" s="99">
        <v>60</v>
      </c>
      <c r="C11" s="100">
        <v>50</v>
      </c>
      <c r="D11" s="101">
        <v>0.32900000000000001</v>
      </c>
      <c r="E11" s="30">
        <v>0.54400000000000004</v>
      </c>
      <c r="F11" s="30">
        <v>0.57699999999999996</v>
      </c>
      <c r="G11" s="30">
        <v>0.61</v>
      </c>
      <c r="H11" s="30">
        <v>0.66</v>
      </c>
      <c r="I11" s="30">
        <v>0.74199999999999999</v>
      </c>
      <c r="J11" s="30">
        <v>0.79200000000000004</v>
      </c>
      <c r="K11" s="30">
        <v>0.82499999999999996</v>
      </c>
      <c r="L11" s="31">
        <v>0.90800000000000003</v>
      </c>
    </row>
    <row r="12" spans="2:12">
      <c r="B12" s="99">
        <v>60</v>
      </c>
      <c r="C12" s="100">
        <v>45</v>
      </c>
      <c r="D12" s="101">
        <v>0.28699999999999998</v>
      </c>
      <c r="E12" s="30">
        <v>0.502</v>
      </c>
      <c r="F12" s="30">
        <v>0.53500000000000003</v>
      </c>
      <c r="G12" s="30">
        <v>0.56799999999999995</v>
      </c>
      <c r="H12" s="30">
        <v>0.61799999999999999</v>
      </c>
      <c r="I12" s="30">
        <v>0.7</v>
      </c>
      <c r="J12" s="30">
        <v>0.75</v>
      </c>
      <c r="K12" s="30">
        <v>0.78300000000000003</v>
      </c>
      <c r="L12" s="31">
        <v>0.86599999999999999</v>
      </c>
    </row>
    <row r="13" spans="2:12">
      <c r="B13" s="99">
        <v>55</v>
      </c>
      <c r="C13" s="100">
        <v>45</v>
      </c>
      <c r="D13" s="101">
        <v>0.246</v>
      </c>
      <c r="E13" s="30">
        <v>0.46</v>
      </c>
      <c r="F13" s="30">
        <v>0.49299999999999999</v>
      </c>
      <c r="G13" s="30">
        <v>0.52600000000000002</v>
      </c>
      <c r="H13" s="30">
        <v>0.57599999999999996</v>
      </c>
      <c r="I13" s="30">
        <v>0.65800000000000003</v>
      </c>
      <c r="J13" s="30">
        <v>0.70799999999999996</v>
      </c>
      <c r="K13" s="30">
        <v>0.74099999999999999</v>
      </c>
      <c r="L13" s="31">
        <v>0.82299999999999995</v>
      </c>
    </row>
    <row r="14" spans="2:12">
      <c r="B14" s="99">
        <v>55</v>
      </c>
      <c r="C14" s="100">
        <v>40</v>
      </c>
      <c r="D14" s="101">
        <v>0.20399999999999999</v>
      </c>
      <c r="E14" s="30">
        <v>0.41799999999999998</v>
      </c>
      <c r="F14" s="30">
        <v>0.45100000000000001</v>
      </c>
      <c r="G14" s="30">
        <v>0.48399999999999999</v>
      </c>
      <c r="H14" s="30">
        <v>0.53400000000000003</v>
      </c>
      <c r="I14" s="30">
        <v>0.61599999999999999</v>
      </c>
      <c r="J14" s="30">
        <v>0.66600000000000004</v>
      </c>
      <c r="K14" s="30">
        <v>0.69899999999999995</v>
      </c>
      <c r="L14" s="31">
        <v>0.78100000000000003</v>
      </c>
    </row>
    <row r="15" spans="2:12" ht="15.75" thickBot="1">
      <c r="B15" s="102">
        <v>50</v>
      </c>
      <c r="C15" s="103">
        <v>40</v>
      </c>
      <c r="D15" s="104">
        <v>0.16300000000000001</v>
      </c>
      <c r="E15" s="33">
        <v>0.377</v>
      </c>
      <c r="F15" s="33">
        <v>0.41</v>
      </c>
      <c r="G15" s="33">
        <v>0.443</v>
      </c>
      <c r="H15" s="33">
        <v>0.49199999999999999</v>
      </c>
      <c r="I15" s="33">
        <v>0.57399999999999995</v>
      </c>
      <c r="J15" s="33">
        <v>0.624</v>
      </c>
      <c r="K15" s="33">
        <v>0.65700000000000003</v>
      </c>
      <c r="L15" s="34">
        <v>0.73899999999999999</v>
      </c>
    </row>
  </sheetData>
  <mergeCells count="2">
    <mergeCell ref="B2:L2"/>
    <mergeCell ref="D4:L4"/>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B1:P14"/>
  <sheetViews>
    <sheetView workbookViewId="0">
      <selection activeCell="K13" sqref="K13"/>
    </sheetView>
  </sheetViews>
  <sheetFormatPr baseColWidth="10" defaultRowHeight="15"/>
  <cols>
    <col min="7" max="7" width="5.5703125" customWidth="1"/>
    <col min="8" max="8" width="4" customWidth="1"/>
    <col min="10" max="10" width="8.140625" customWidth="1"/>
    <col min="11" max="11" width="5.42578125" customWidth="1"/>
    <col min="13" max="13" width="7.5703125" customWidth="1"/>
    <col min="14" max="14" width="6" customWidth="1"/>
  </cols>
  <sheetData>
    <row r="1" spans="2:16">
      <c r="B1" s="105"/>
      <c r="C1" s="106"/>
      <c r="E1" s="107"/>
      <c r="G1" s="108"/>
      <c r="H1" s="108"/>
      <c r="J1" s="1"/>
      <c r="K1" s="1"/>
      <c r="M1" s="109"/>
      <c r="N1" s="109"/>
    </row>
    <row r="2" spans="2:16">
      <c r="B2" s="110" t="s">
        <v>127</v>
      </c>
      <c r="C2" s="123" t="s">
        <v>109</v>
      </c>
      <c r="E2" s="111" t="s">
        <v>147</v>
      </c>
      <c r="F2">
        <v>0.75</v>
      </c>
      <c r="G2" s="108" t="str">
        <f>'coef Fct'!B6&amp;'coef Fct'!C6</f>
        <v>9070</v>
      </c>
      <c r="H2" s="108">
        <v>1</v>
      </c>
      <c r="J2" s="112">
        <v>45</v>
      </c>
      <c r="K2" s="1">
        <v>1</v>
      </c>
      <c r="M2" s="113">
        <v>35</v>
      </c>
      <c r="N2" s="109">
        <v>1</v>
      </c>
    </row>
    <row r="3" spans="2:16">
      <c r="B3" s="114" t="s">
        <v>128</v>
      </c>
      <c r="C3" s="123" t="s">
        <v>110</v>
      </c>
      <c r="E3" s="111" t="s">
        <v>148</v>
      </c>
      <c r="F3">
        <v>0.9</v>
      </c>
      <c r="G3" s="108" t="str">
        <f>'coef Fct'!B7&amp;'coef Fct'!C7</f>
        <v>8060</v>
      </c>
      <c r="H3" s="108">
        <v>2</v>
      </c>
      <c r="J3" s="112">
        <v>22</v>
      </c>
      <c r="K3" s="1">
        <v>2</v>
      </c>
      <c r="M3" s="113">
        <v>22</v>
      </c>
      <c r="N3" s="109">
        <v>2</v>
      </c>
      <c r="P3">
        <v>0.75</v>
      </c>
    </row>
    <row r="4" spans="2:16">
      <c r="C4" s="123" t="s">
        <v>111</v>
      </c>
      <c r="E4" s="115" t="s">
        <v>149</v>
      </c>
      <c r="F4">
        <v>0.9</v>
      </c>
      <c r="G4" s="108" t="str">
        <f>'coef Fct'!B8&amp;'coef Fct'!C8</f>
        <v>7565</v>
      </c>
      <c r="H4" s="108">
        <v>3</v>
      </c>
      <c r="J4" s="112">
        <v>20</v>
      </c>
      <c r="K4" s="1">
        <v>3</v>
      </c>
      <c r="M4" s="113">
        <v>20</v>
      </c>
      <c r="N4" s="109">
        <v>3</v>
      </c>
      <c r="P4">
        <v>0.9</v>
      </c>
    </row>
    <row r="5" spans="2:16">
      <c r="C5" s="123" t="s">
        <v>112</v>
      </c>
      <c r="G5" s="108" t="str">
        <f>'coef Fct'!B9&amp;'coef Fct'!C9</f>
        <v>7560</v>
      </c>
      <c r="H5" s="108">
        <v>4</v>
      </c>
      <c r="J5" s="112">
        <v>18</v>
      </c>
      <c r="K5" s="1">
        <v>4</v>
      </c>
      <c r="M5" s="113">
        <v>18</v>
      </c>
      <c r="N5" s="109">
        <v>4</v>
      </c>
      <c r="P5">
        <v>0.9</v>
      </c>
    </row>
    <row r="6" spans="2:16">
      <c r="C6" s="123" t="s">
        <v>113</v>
      </c>
      <c r="G6" s="108" t="str">
        <f>'coef Fct'!B10&amp;'coef Fct'!C10</f>
        <v>6550</v>
      </c>
      <c r="H6" s="108">
        <v>5</v>
      </c>
      <c r="J6" s="112">
        <v>15</v>
      </c>
      <c r="K6" s="1">
        <v>5</v>
      </c>
      <c r="M6" s="113">
        <v>15</v>
      </c>
      <c r="N6" s="109">
        <v>5</v>
      </c>
    </row>
    <row r="7" spans="2:16">
      <c r="C7" s="123" t="s">
        <v>137</v>
      </c>
      <c r="G7" s="108" t="str">
        <f>'coef Fct'!B11&amp;'coef Fct'!C11</f>
        <v>6050</v>
      </c>
      <c r="H7" s="108">
        <v>6</v>
      </c>
      <c r="J7" s="112">
        <v>10</v>
      </c>
      <c r="K7" s="1">
        <v>6</v>
      </c>
      <c r="M7" s="113">
        <v>10</v>
      </c>
      <c r="N7" s="109">
        <v>6</v>
      </c>
    </row>
    <row r="8" spans="2:16">
      <c r="C8" s="123" t="s">
        <v>114</v>
      </c>
      <c r="G8" s="108" t="str">
        <f>'coef Fct'!B12&amp;'coef Fct'!C12</f>
        <v>6045</v>
      </c>
      <c r="H8" s="108">
        <v>7</v>
      </c>
      <c r="J8" s="112">
        <v>7</v>
      </c>
      <c r="K8" s="1">
        <v>7</v>
      </c>
      <c r="M8" s="113">
        <v>7</v>
      </c>
      <c r="N8" s="109">
        <v>7</v>
      </c>
    </row>
    <row r="9" spans="2:16">
      <c r="C9" s="123" t="s">
        <v>115</v>
      </c>
      <c r="G9" s="108" t="str">
        <f>'coef Fct'!B13&amp;'coef Fct'!C13</f>
        <v>5545</v>
      </c>
      <c r="H9" s="108">
        <v>8</v>
      </c>
      <c r="J9" s="112">
        <v>5</v>
      </c>
      <c r="K9" s="1">
        <v>8</v>
      </c>
      <c r="M9" s="113">
        <v>5</v>
      </c>
      <c r="N9" s="109">
        <v>8</v>
      </c>
    </row>
    <row r="10" spans="2:16">
      <c r="C10" s="123" t="s">
        <v>116</v>
      </c>
      <c r="G10" s="108" t="str">
        <f>'coef Fct'!B14&amp;'coef Fct'!C14</f>
        <v>5540</v>
      </c>
      <c r="H10" s="108">
        <v>9</v>
      </c>
      <c r="J10" s="112">
        <v>0</v>
      </c>
      <c r="K10" s="1">
        <v>9</v>
      </c>
      <c r="M10" s="113">
        <v>0</v>
      </c>
      <c r="N10" s="109">
        <v>9</v>
      </c>
    </row>
    <row r="11" spans="2:16">
      <c r="C11" s="123" t="s">
        <v>117</v>
      </c>
      <c r="G11" s="108" t="str">
        <f>'coef Fct'!B15&amp;'coef Fct'!C15</f>
        <v>5040</v>
      </c>
      <c r="H11" s="108">
        <v>10</v>
      </c>
    </row>
    <row r="12" spans="2:16">
      <c r="C12" s="123" t="s">
        <v>118</v>
      </c>
    </row>
    <row r="13" spans="2:16">
      <c r="C13" s="123" t="s">
        <v>119</v>
      </c>
    </row>
    <row r="14" spans="2:16">
      <c r="C14" s="123" t="s">
        <v>120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8</vt:i4>
      </vt:variant>
    </vt:vector>
  </HeadingPairs>
  <TitlesOfParts>
    <vt:vector size="15" baseType="lpstr">
      <vt:lpstr>Radiateur</vt:lpstr>
      <vt:lpstr>rad monotube</vt:lpstr>
      <vt:lpstr>deperd tuyauterie</vt:lpstr>
      <vt:lpstr>coef kt-kti</vt:lpstr>
      <vt:lpstr>coef Fct</vt:lpstr>
      <vt:lpstr>coef Fcti</vt:lpstr>
      <vt:lpstr>annexe</vt:lpstr>
      <vt:lpstr>DN</vt:lpstr>
      <vt:lpstr>annexe!etat</vt:lpstr>
      <vt:lpstr>'coef Fct'!fct</vt:lpstr>
      <vt:lpstr>fcti</vt:lpstr>
      <vt:lpstr>annexe!position</vt:lpstr>
      <vt:lpstr>tatr</vt:lpstr>
      <vt:lpstr>ti</vt:lpstr>
      <vt:lpstr>tii</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dc:creator>
  <cp:lastModifiedBy>anthony</cp:lastModifiedBy>
  <cp:lastPrinted>2011-12-05T11:26:46Z</cp:lastPrinted>
  <dcterms:created xsi:type="dcterms:W3CDTF">2011-10-19T06:36:28Z</dcterms:created>
  <dcterms:modified xsi:type="dcterms:W3CDTF">2010-09-03T18:34:47Z</dcterms:modified>
</cp:coreProperties>
</file>