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4115" windowHeight="4425" activeTab="7"/>
  </bookViews>
  <sheets>
    <sheet name="Radiateur" sheetId="1" r:id="rId1"/>
    <sheet name="rad monotube" sheetId="2" r:id="rId2"/>
    <sheet name="deperd tuyauterie" sheetId="3" r:id="rId3"/>
    <sheet name="coef kt-kti" sheetId="4" r:id="rId4"/>
    <sheet name="coef Fct" sheetId="5" r:id="rId5"/>
    <sheet name="coef Fcti" sheetId="6" r:id="rId6"/>
    <sheet name="annexe" sheetId="7" r:id="rId7"/>
    <sheet name="Feuil1" sheetId="8" r:id="rId8"/>
  </sheets>
  <definedNames>
    <definedName name="DN">'coef kt-kti'!$B$5:$E$18</definedName>
    <definedName name="etat" localSheetId="6">annexe!$B$1:$B$3</definedName>
    <definedName name="fct" localSheetId="4">'coef Fct'!$D$6:$L$15</definedName>
    <definedName name="fcti">'coef Fcti'!$D$6:$L$15</definedName>
    <definedName name="position" localSheetId="6">annexe!$E$1:$F$4</definedName>
    <definedName name="tatr">annexe!$G$1:$H$11</definedName>
    <definedName name="ti">annexe!$J$1:$K$10</definedName>
    <definedName name="tii">annexe!$M$1:$N$10</definedName>
  </definedNames>
  <calcPr calcId="125725"/>
</workbook>
</file>

<file path=xl/calcChain.xml><?xml version="1.0" encoding="utf-8"?>
<calcChain xmlns="http://schemas.openxmlformats.org/spreadsheetml/2006/main">
  <c r="T54" i="8"/>
  <c r="S54"/>
  <c r="S52" s="1"/>
  <c r="S50" s="1"/>
  <c r="S48" s="1"/>
  <c r="S46" s="1"/>
  <c r="S44" s="1"/>
  <c r="S42" s="1"/>
  <c r="S40" s="1"/>
  <c r="M54"/>
  <c r="I54"/>
  <c r="E54"/>
  <c r="F54" s="1"/>
  <c r="D54"/>
  <c r="K54" s="1"/>
  <c r="T52"/>
  <c r="T50" s="1"/>
  <c r="T48" s="1"/>
  <c r="T46" s="1"/>
  <c r="T44" s="1"/>
  <c r="T42" s="1"/>
  <c r="T40" s="1"/>
  <c r="T38" s="1"/>
  <c r="T36" s="1"/>
  <c r="T34" s="1"/>
  <c r="T32" s="1"/>
  <c r="T30" s="1"/>
  <c r="T28" s="1"/>
  <c r="T26" s="1"/>
  <c r="T24" s="1"/>
  <c r="T22" s="1"/>
  <c r="T20" s="1"/>
  <c r="T18" s="1"/>
  <c r="T16" s="1"/>
  <c r="T14" s="1"/>
  <c r="T12" s="1"/>
  <c r="T10" s="1"/>
  <c r="M52"/>
  <c r="I52"/>
  <c r="E52"/>
  <c r="F52" s="1"/>
  <c r="D52"/>
  <c r="K52" s="1"/>
  <c r="M50"/>
  <c r="I50"/>
  <c r="F50"/>
  <c r="E50"/>
  <c r="D50"/>
  <c r="K50" s="1"/>
  <c r="O50" s="1"/>
  <c r="M48"/>
  <c r="I48"/>
  <c r="E48"/>
  <c r="F48" s="1"/>
  <c r="D48"/>
  <c r="K48" s="1"/>
  <c r="O48" s="1"/>
  <c r="M46"/>
  <c r="I46"/>
  <c r="E46"/>
  <c r="F46" s="1"/>
  <c r="D46"/>
  <c r="K46" s="1"/>
  <c r="M44"/>
  <c r="I44"/>
  <c r="E44"/>
  <c r="F44" s="1"/>
  <c r="D44"/>
  <c r="K44" s="1"/>
  <c r="M42"/>
  <c r="I42"/>
  <c r="E42"/>
  <c r="F42" s="1"/>
  <c r="D42"/>
  <c r="K42" s="1"/>
  <c r="O42" s="1"/>
  <c r="M40"/>
  <c r="I40"/>
  <c r="E40"/>
  <c r="F40" s="1"/>
  <c r="D40"/>
  <c r="K40" s="1"/>
  <c r="O40" s="1"/>
  <c r="M38"/>
  <c r="I38"/>
  <c r="D38"/>
  <c r="M36"/>
  <c r="I36"/>
  <c r="D36"/>
  <c r="M34"/>
  <c r="I34"/>
  <c r="E34"/>
  <c r="F34" s="1"/>
  <c r="D34"/>
  <c r="M32"/>
  <c r="I32"/>
  <c r="D32"/>
  <c r="M30"/>
  <c r="I30"/>
  <c r="E30"/>
  <c r="F30" s="1"/>
  <c r="D30"/>
  <c r="M28"/>
  <c r="I28"/>
  <c r="E28"/>
  <c r="F28" s="1"/>
  <c r="D28"/>
  <c r="M26"/>
  <c r="I26"/>
  <c r="E26"/>
  <c r="F26" s="1"/>
  <c r="D26"/>
  <c r="M24"/>
  <c r="I24"/>
  <c r="E24"/>
  <c r="F24" s="1"/>
  <c r="D24"/>
  <c r="M22"/>
  <c r="I22"/>
  <c r="E22"/>
  <c r="F22" s="1"/>
  <c r="D22"/>
  <c r="M20"/>
  <c r="I20"/>
  <c r="E20"/>
  <c r="F20" s="1"/>
  <c r="D20"/>
  <c r="M18"/>
  <c r="I18"/>
  <c r="E18"/>
  <c r="F18" s="1"/>
  <c r="D18"/>
  <c r="M16"/>
  <c r="I16"/>
  <c r="D16"/>
  <c r="M14"/>
  <c r="I14"/>
  <c r="E14"/>
  <c r="F14" s="1"/>
  <c r="D14"/>
  <c r="M12"/>
  <c r="I12"/>
  <c r="D12"/>
  <c r="AA10"/>
  <c r="M10"/>
  <c r="I10"/>
  <c r="E10"/>
  <c r="F10" s="1"/>
  <c r="D10"/>
  <c r="U52" i="3"/>
  <c r="U50" s="1"/>
  <c r="U48" s="1"/>
  <c r="U46" s="1"/>
  <c r="U44" s="1"/>
  <c r="U42" s="1"/>
  <c r="U40" s="1"/>
  <c r="U38" s="1"/>
  <c r="U36" s="1"/>
  <c r="U34" s="1"/>
  <c r="U32" s="1"/>
  <c r="U30" s="1"/>
  <c r="U28" s="1"/>
  <c r="U26" s="1"/>
  <c r="U24" s="1"/>
  <c r="U22" s="1"/>
  <c r="U20" s="1"/>
  <c r="U18" s="1"/>
  <c r="U16" s="1"/>
  <c r="U14" s="1"/>
  <c r="U12" s="1"/>
  <c r="U10" s="1"/>
  <c r="U54"/>
  <c r="T54"/>
  <c r="T52" s="1"/>
  <c r="T50" s="1"/>
  <c r="T48" s="1"/>
  <c r="T46" s="1"/>
  <c r="T44" s="1"/>
  <c r="T42" s="1"/>
  <c r="T40" s="1"/>
  <c r="T38" s="1"/>
  <c r="T36" s="1"/>
  <c r="T34" s="1"/>
  <c r="T32" s="1"/>
  <c r="T30" s="1"/>
  <c r="T28" s="1"/>
  <c r="T26" s="1"/>
  <c r="T24" s="1"/>
  <c r="T22" s="1"/>
  <c r="T20" s="1"/>
  <c r="T18" s="1"/>
  <c r="T16" s="1"/>
  <c r="T14" s="1"/>
  <c r="T12" s="1"/>
  <c r="T10" s="1"/>
  <c r="AB10"/>
  <c r="E10"/>
  <c r="F10"/>
  <c r="G10" s="1"/>
  <c r="J10"/>
  <c r="L10"/>
  <c r="N10"/>
  <c r="O44" i="8" l="1"/>
  <c r="Y44" s="1"/>
  <c r="Z44" s="1"/>
  <c r="O46"/>
  <c r="E32"/>
  <c r="F32" s="1"/>
  <c r="E36"/>
  <c r="F36" s="1"/>
  <c r="E38"/>
  <c r="F38" s="1"/>
  <c r="E16"/>
  <c r="F16" s="1"/>
  <c r="E12"/>
  <c r="F12" s="1"/>
  <c r="Y40"/>
  <c r="Z40" s="1"/>
  <c r="P40"/>
  <c r="Y48"/>
  <c r="Z48" s="1"/>
  <c r="P48"/>
  <c r="O54"/>
  <c r="P42"/>
  <c r="Y42"/>
  <c r="Z42" s="1"/>
  <c r="P44"/>
  <c r="P46"/>
  <c r="Y46"/>
  <c r="Z46" s="1"/>
  <c r="P50"/>
  <c r="Y50"/>
  <c r="Z50" s="1"/>
  <c r="O52"/>
  <c r="P10" i="3"/>
  <c r="Q10" s="1"/>
  <c r="Z10"/>
  <c r="AA10" s="1"/>
  <c r="AB12" s="1"/>
  <c r="N12"/>
  <c r="N14"/>
  <c r="N16"/>
  <c r="N18"/>
  <c r="N20"/>
  <c r="N22"/>
  <c r="N24"/>
  <c r="N26"/>
  <c r="N28"/>
  <c r="N30"/>
  <c r="N32"/>
  <c r="N34"/>
  <c r="N36"/>
  <c r="N38"/>
  <c r="N40"/>
  <c r="N42"/>
  <c r="N44"/>
  <c r="N46"/>
  <c r="N48"/>
  <c r="N50"/>
  <c r="N52"/>
  <c r="N54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4"/>
  <c r="F12"/>
  <c r="G12" s="1"/>
  <c r="F14"/>
  <c r="G14" s="1"/>
  <c r="F16"/>
  <c r="G16" s="1"/>
  <c r="F18"/>
  <c r="G18" s="1"/>
  <c r="F20"/>
  <c r="G20" s="1"/>
  <c r="F22"/>
  <c r="G22" s="1"/>
  <c r="F24"/>
  <c r="G24" s="1"/>
  <c r="F26"/>
  <c r="G26" s="1"/>
  <c r="F28"/>
  <c r="G28" s="1"/>
  <c r="F30"/>
  <c r="G30" s="1"/>
  <c r="F32"/>
  <c r="G32" s="1"/>
  <c r="F34"/>
  <c r="G34" s="1"/>
  <c r="F36"/>
  <c r="G36" s="1"/>
  <c r="F38"/>
  <c r="G38" s="1"/>
  <c r="F40"/>
  <c r="G40" s="1"/>
  <c r="F42"/>
  <c r="G42" s="1"/>
  <c r="F44"/>
  <c r="G44" s="1"/>
  <c r="F46"/>
  <c r="G46" s="1"/>
  <c r="F48"/>
  <c r="G48" s="1"/>
  <c r="F50"/>
  <c r="G50" s="1"/>
  <c r="F52"/>
  <c r="G52" s="1"/>
  <c r="F54"/>
  <c r="G54" s="1"/>
  <c r="E12"/>
  <c r="L12" s="1"/>
  <c r="E14"/>
  <c r="L14" s="1"/>
  <c r="E16"/>
  <c r="L16" s="1"/>
  <c r="E18"/>
  <c r="L18" s="1"/>
  <c r="E20"/>
  <c r="L20" s="1"/>
  <c r="E22"/>
  <c r="L22" s="1"/>
  <c r="E24"/>
  <c r="L24" s="1"/>
  <c r="E26"/>
  <c r="L26" s="1"/>
  <c r="E28"/>
  <c r="L28" s="1"/>
  <c r="E30"/>
  <c r="L30" s="1"/>
  <c r="E32"/>
  <c r="L32" s="1"/>
  <c r="E34"/>
  <c r="L34" s="1"/>
  <c r="E36"/>
  <c r="L36" s="1"/>
  <c r="E38"/>
  <c r="L38" s="1"/>
  <c r="E40"/>
  <c r="L40" s="1"/>
  <c r="E42"/>
  <c r="L42" s="1"/>
  <c r="E44"/>
  <c r="L44" s="1"/>
  <c r="E46"/>
  <c r="L46" s="1"/>
  <c r="E48"/>
  <c r="L48" s="1"/>
  <c r="E50"/>
  <c r="L50" s="1"/>
  <c r="E52"/>
  <c r="L52" s="1"/>
  <c r="E54"/>
  <c r="L54" s="1"/>
  <c r="Y54" i="8" l="1"/>
  <c r="Z54" s="1"/>
  <c r="P54"/>
  <c r="Y52"/>
  <c r="Z52" s="1"/>
  <c r="P52"/>
  <c r="P50" i="3"/>
  <c r="Q50" s="1"/>
  <c r="P42"/>
  <c r="P34"/>
  <c r="Q34" s="1"/>
  <c r="P26"/>
  <c r="Q26" s="1"/>
  <c r="P18"/>
  <c r="Q18" s="1"/>
  <c r="P54"/>
  <c r="P46"/>
  <c r="Q46" s="1"/>
  <c r="P38"/>
  <c r="Z38" s="1"/>
  <c r="AA38" s="1"/>
  <c r="P30"/>
  <c r="Z30" s="1"/>
  <c r="AA30" s="1"/>
  <c r="P22"/>
  <c r="P14"/>
  <c r="Q14" s="1"/>
  <c r="P48"/>
  <c r="Z48" s="1"/>
  <c r="AA48" s="1"/>
  <c r="P40"/>
  <c r="Z40" s="1"/>
  <c r="AA40" s="1"/>
  <c r="P32"/>
  <c r="P24"/>
  <c r="Q24" s="1"/>
  <c r="P16"/>
  <c r="Z16" s="1"/>
  <c r="AA16" s="1"/>
  <c r="P52"/>
  <c r="Z52" s="1"/>
  <c r="AA52" s="1"/>
  <c r="P44"/>
  <c r="Z44" s="1"/>
  <c r="AA44" s="1"/>
  <c r="P36"/>
  <c r="Q36" s="1"/>
  <c r="P28"/>
  <c r="Z28" s="1"/>
  <c r="AA28" s="1"/>
  <c r="P20"/>
  <c r="Z20" s="1"/>
  <c r="AA20" s="1"/>
  <c r="P12"/>
  <c r="Z12" s="1"/>
  <c r="AA12" s="1"/>
  <c r="AB14" s="1"/>
  <c r="AB16" s="1"/>
  <c r="Q42"/>
  <c r="Z42"/>
  <c r="AA42" s="1"/>
  <c r="Z18"/>
  <c r="AA18" s="1"/>
  <c r="Q40"/>
  <c r="Q52"/>
  <c r="Z36"/>
  <c r="AA36" s="1"/>
  <c r="Q54"/>
  <c r="Z54"/>
  <c r="AA54" s="1"/>
  <c r="Z46"/>
  <c r="AA46" s="1"/>
  <c r="Q22"/>
  <c r="Z22"/>
  <c r="AA22" s="1"/>
  <c r="Z14"/>
  <c r="AA14" s="1"/>
  <c r="Q48"/>
  <c r="Q32"/>
  <c r="Z32"/>
  <c r="AA32" s="1"/>
  <c r="G3" i="7"/>
  <c r="G4"/>
  <c r="G5"/>
  <c r="G6"/>
  <c r="G7"/>
  <c r="G8"/>
  <c r="G9"/>
  <c r="G10"/>
  <c r="G11"/>
  <c r="G2"/>
  <c r="M29" i="2"/>
  <c r="M30"/>
  <c r="M31"/>
  <c r="M32"/>
  <c r="M33"/>
  <c r="M34"/>
  <c r="M35"/>
  <c r="M36"/>
  <c r="M37"/>
  <c r="M38"/>
  <c r="M55"/>
  <c r="M56"/>
  <c r="M57"/>
  <c r="M58"/>
  <c r="M59"/>
  <c r="M60"/>
  <c r="M61"/>
  <c r="M62"/>
  <c r="M63"/>
  <c r="M64"/>
  <c r="F65"/>
  <c r="Z34" i="3" l="1"/>
  <c r="AA34" s="1"/>
  <c r="K38" i="8"/>
  <c r="O38" s="1"/>
  <c r="K30"/>
  <c r="O30" s="1"/>
  <c r="K22"/>
  <c r="O22" s="1"/>
  <c r="K36"/>
  <c r="O36" s="1"/>
  <c r="K28"/>
  <c r="O28" s="1"/>
  <c r="K20"/>
  <c r="O20" s="1"/>
  <c r="K34"/>
  <c r="O34" s="1"/>
  <c r="K16"/>
  <c r="O16" s="1"/>
  <c r="K18"/>
  <c r="O18" s="1"/>
  <c r="K26"/>
  <c r="O26" s="1"/>
  <c r="K10"/>
  <c r="O10" s="1"/>
  <c r="K14"/>
  <c r="O14" s="1"/>
  <c r="K32"/>
  <c r="O32" s="1"/>
  <c r="K24"/>
  <c r="O24" s="1"/>
  <c r="K12"/>
  <c r="O12" s="1"/>
  <c r="Z24" i="3"/>
  <c r="AA24" s="1"/>
  <c r="Q28"/>
  <c r="Q16"/>
  <c r="Q38"/>
  <c r="Z50"/>
  <c r="AA50" s="1"/>
  <c r="Q30"/>
  <c r="Q20"/>
  <c r="Z26"/>
  <c r="AA26" s="1"/>
  <c r="AB18"/>
  <c r="AB20" s="1"/>
  <c r="AB22" s="1"/>
  <c r="AB24" s="1"/>
  <c r="Q12"/>
  <c r="Q44"/>
  <c r="B48" i="2"/>
  <c r="D56" s="1"/>
  <c r="E54"/>
  <c r="B65"/>
  <c r="B39"/>
  <c r="F39"/>
  <c r="H39" s="1"/>
  <c r="B22"/>
  <c r="E28"/>
  <c r="F28" s="1"/>
  <c r="C29"/>
  <c r="C30"/>
  <c r="C31"/>
  <c r="C32"/>
  <c r="C33"/>
  <c r="C34"/>
  <c r="C35"/>
  <c r="C36"/>
  <c r="C37"/>
  <c r="C38"/>
  <c r="C28"/>
  <c r="F38" i="1"/>
  <c r="G18"/>
  <c r="G22" s="1"/>
  <c r="D18"/>
  <c r="D8"/>
  <c r="D6"/>
  <c r="P36" i="8" l="1"/>
  <c r="Y36"/>
  <c r="Z36" s="1"/>
  <c r="P32"/>
  <c r="Y32"/>
  <c r="Z32" s="1"/>
  <c r="Y18"/>
  <c r="Z18" s="1"/>
  <c r="P18"/>
  <c r="P28"/>
  <c r="Y28"/>
  <c r="Z28" s="1"/>
  <c r="Y38"/>
  <c r="Z38" s="1"/>
  <c r="P38"/>
  <c r="S38" s="1"/>
  <c r="S36" s="1"/>
  <c r="AB26" i="3"/>
  <c r="AB28" s="1"/>
  <c r="AB30" s="1"/>
  <c r="AB32" s="1"/>
  <c r="AB34" s="1"/>
  <c r="AB36" s="1"/>
  <c r="AB38" s="1"/>
  <c r="AB40" s="1"/>
  <c r="AB42" s="1"/>
  <c r="AB44" s="1"/>
  <c r="AB46" s="1"/>
  <c r="AB48" s="1"/>
  <c r="AB50" s="1"/>
  <c r="AB52" s="1"/>
  <c r="AB54" s="1"/>
  <c r="Y16" i="8"/>
  <c r="Z16" s="1"/>
  <c r="P16"/>
  <c r="P24"/>
  <c r="Y24"/>
  <c r="Z24" s="1"/>
  <c r="P26"/>
  <c r="Y26"/>
  <c r="Z26" s="1"/>
  <c r="P20"/>
  <c r="Y20"/>
  <c r="Z20" s="1"/>
  <c r="P30"/>
  <c r="Y30"/>
  <c r="Z30" s="1"/>
  <c r="Y14"/>
  <c r="Z14" s="1"/>
  <c r="P14"/>
  <c r="P12"/>
  <c r="Y12"/>
  <c r="Z12" s="1"/>
  <c r="Y10"/>
  <c r="Z10" s="1"/>
  <c r="AA12" s="1"/>
  <c r="P10"/>
  <c r="P34"/>
  <c r="Y34"/>
  <c r="Z34" s="1"/>
  <c r="P22"/>
  <c r="Y22"/>
  <c r="Z22" s="1"/>
  <c r="D54" i="2"/>
  <c r="D57"/>
  <c r="D64"/>
  <c r="B49"/>
  <c r="B50" s="1"/>
  <c r="C60" s="1"/>
  <c r="D60"/>
  <c r="D61"/>
  <c r="H28"/>
  <c r="I28" s="1"/>
  <c r="J28" s="1"/>
  <c r="D63"/>
  <c r="D59"/>
  <c r="D55"/>
  <c r="D62"/>
  <c r="D58"/>
  <c r="C58"/>
  <c r="C63"/>
  <c r="C61"/>
  <c r="E55"/>
  <c r="E56" s="1"/>
  <c r="D28"/>
  <c r="E29" s="1"/>
  <c r="M28"/>
  <c r="D35"/>
  <c r="D29"/>
  <c r="D31"/>
  <c r="D38"/>
  <c r="D34"/>
  <c r="D30"/>
  <c r="D36"/>
  <c r="D32"/>
  <c r="D37"/>
  <c r="D33"/>
  <c r="G26" i="1"/>
  <c r="E34"/>
  <c r="F39" s="1"/>
  <c r="I6"/>
  <c r="I4"/>
  <c r="AA14" i="8" l="1"/>
  <c r="AA16" s="1"/>
  <c r="AA18" s="1"/>
  <c r="AA20" s="1"/>
  <c r="AA22" s="1"/>
  <c r="AA24" s="1"/>
  <c r="AA26" s="1"/>
  <c r="AA28" s="1"/>
  <c r="AA30" s="1"/>
  <c r="AA32" s="1"/>
  <c r="AA34" s="1"/>
  <c r="AA36" s="1"/>
  <c r="AA38" s="1"/>
  <c r="AA40" s="1"/>
  <c r="AA42" s="1"/>
  <c r="AA44" s="1"/>
  <c r="AA46" s="1"/>
  <c r="AA48" s="1"/>
  <c r="AA50" s="1"/>
  <c r="AA52" s="1"/>
  <c r="AA54" s="1"/>
  <c r="S34"/>
  <c r="S32" s="1"/>
  <c r="S30" s="1"/>
  <c r="S28" s="1"/>
  <c r="S26" s="1"/>
  <c r="S24" s="1"/>
  <c r="S22" s="1"/>
  <c r="S20" s="1"/>
  <c r="S18" s="1"/>
  <c r="S16" s="1"/>
  <c r="S14" s="1"/>
  <c r="S12" s="1"/>
  <c r="S10" s="1"/>
  <c r="C54" i="2"/>
  <c r="F54" s="1"/>
  <c r="H54" s="1"/>
  <c r="I54" s="1"/>
  <c r="M54" s="1"/>
  <c r="C59"/>
  <c r="C57"/>
  <c r="C64"/>
  <c r="C62"/>
  <c r="C56"/>
  <c r="F56" s="1"/>
  <c r="H56" s="1"/>
  <c r="I56" s="1"/>
  <c r="C55"/>
  <c r="F55" s="1"/>
  <c r="H55" s="1"/>
  <c r="I55" s="1"/>
  <c r="F29"/>
  <c r="H29" s="1"/>
  <c r="I29" s="1"/>
  <c r="E57"/>
  <c r="F57" s="1"/>
  <c r="E30"/>
  <c r="F40" i="1"/>
  <c r="I8"/>
  <c r="J54" i="2" l="1"/>
  <c r="J29"/>
  <c r="E31"/>
  <c r="F31" s="1"/>
  <c r="H31" s="1"/>
  <c r="I31" s="1"/>
  <c r="F30"/>
  <c r="H30" s="1"/>
  <c r="I30" s="1"/>
  <c r="J55"/>
  <c r="J56"/>
  <c r="H57"/>
  <c r="I57" s="1"/>
  <c r="E58"/>
  <c r="F58" s="1"/>
  <c r="E32" l="1"/>
  <c r="F32" s="1"/>
  <c r="H32" s="1"/>
  <c r="I32" s="1"/>
  <c r="J57"/>
  <c r="H58"/>
  <c r="I58" s="1"/>
  <c r="E59"/>
  <c r="F59" s="1"/>
  <c r="J30"/>
  <c r="J31"/>
  <c r="E33"/>
  <c r="F33" s="1"/>
  <c r="J58" l="1"/>
  <c r="H59"/>
  <c r="I59" s="1"/>
  <c r="E60"/>
  <c r="F60" s="1"/>
  <c r="J32"/>
  <c r="E34"/>
  <c r="F34" s="1"/>
  <c r="H33"/>
  <c r="I33" s="1"/>
  <c r="J59" l="1"/>
  <c r="E61"/>
  <c r="H60"/>
  <c r="I60" s="1"/>
  <c r="J33"/>
  <c r="E35"/>
  <c r="F35" s="1"/>
  <c r="H34"/>
  <c r="I34" s="1"/>
  <c r="F61" l="1"/>
  <c r="H61" s="1"/>
  <c r="I61" s="1"/>
  <c r="J60"/>
  <c r="J34"/>
  <c r="E36"/>
  <c r="F36" s="1"/>
  <c r="H35"/>
  <c r="I35" s="1"/>
  <c r="J61" l="1"/>
  <c r="E62"/>
  <c r="F62" s="1"/>
  <c r="J35"/>
  <c r="E37"/>
  <c r="F37" s="1"/>
  <c r="H36"/>
  <c r="I36" s="1"/>
  <c r="H62" l="1"/>
  <c r="I62" s="1"/>
  <c r="E63"/>
  <c r="F63" s="1"/>
  <c r="J36"/>
  <c r="E38"/>
  <c r="H37"/>
  <c r="I37" s="1"/>
  <c r="F38" l="1"/>
  <c r="H38" s="1"/>
  <c r="I38" s="1"/>
  <c r="J62"/>
  <c r="H63"/>
  <c r="I63" s="1"/>
  <c r="E64"/>
  <c r="J37"/>
  <c r="J38" l="1"/>
  <c r="M39"/>
  <c r="F64"/>
  <c r="H64" s="1"/>
  <c r="I64" s="1"/>
  <c r="J63"/>
  <c r="M65" l="1"/>
  <c r="J64"/>
</calcChain>
</file>

<file path=xl/comments1.xml><?xml version="1.0" encoding="utf-8"?>
<comments xmlns="http://schemas.openxmlformats.org/spreadsheetml/2006/main">
  <authors>
    <author>anthony</author>
  </authors>
  <commentList>
    <comment ref="B9" authorId="0">
      <text>
        <r>
          <rPr>
            <sz val="9"/>
            <color indexed="81"/>
            <rFont val="Tahoma"/>
            <family val="2"/>
          </rPr>
          <t xml:space="preserve">facteur de forme suivant tableau p.14
</t>
        </r>
      </text>
    </comment>
    <comment ref="B22" authorId="0">
      <text>
        <r>
          <rPr>
            <sz val="8"/>
            <color indexed="81"/>
            <rFont val="Calibri"/>
            <family val="2"/>
          </rPr>
          <t>Φ</t>
        </r>
        <r>
          <rPr>
            <sz val="8"/>
            <color indexed="81"/>
            <rFont val="Tahoma"/>
            <family val="2"/>
          </rPr>
          <t xml:space="preserve">: Puissance du radiateur
</t>
        </r>
        <r>
          <rPr>
            <sz val="8"/>
            <color indexed="81"/>
            <rFont val="Calibri"/>
            <family val="2"/>
          </rPr>
          <t>Φ</t>
        </r>
        <r>
          <rPr>
            <sz val="8"/>
            <color indexed="81"/>
            <rFont val="Tahoma"/>
            <family val="2"/>
          </rPr>
          <t xml:space="preserve">n : Déperdition de la pièce
</t>
        </r>
        <r>
          <rPr>
            <sz val="8"/>
            <color indexed="81"/>
            <rFont val="Calibri"/>
            <family val="2"/>
          </rPr>
          <t>Δ</t>
        </r>
        <r>
          <rPr>
            <sz val="8"/>
            <color indexed="81"/>
            <rFont val="Tahoma"/>
            <family val="2"/>
          </rPr>
          <t>t : du nouveaux régime de Température
50 : Δt du regime de la norme (75/65/20)
n : Facteur de forme du radiateur</t>
        </r>
      </text>
    </comment>
    <comment ref="B26" authorId="0">
      <text>
        <r>
          <rPr>
            <sz val="8"/>
            <color indexed="81"/>
            <rFont val="Calibri"/>
            <family val="2"/>
          </rPr>
          <t>Φ</t>
        </r>
        <r>
          <rPr>
            <sz val="8"/>
            <color indexed="81"/>
            <rFont val="Tahoma"/>
            <family val="2"/>
          </rPr>
          <t xml:space="preserve">: Puissance du radiateur
</t>
        </r>
        <r>
          <rPr>
            <sz val="8"/>
            <color indexed="81"/>
            <rFont val="Calibri"/>
            <family val="2"/>
          </rPr>
          <t>Φ</t>
        </r>
        <r>
          <rPr>
            <sz val="8"/>
            <color indexed="81"/>
            <rFont val="Tahoma"/>
            <family val="2"/>
          </rPr>
          <t xml:space="preserve">n : Déperdition de la pièce
</t>
        </r>
        <r>
          <rPr>
            <sz val="8"/>
            <color indexed="81"/>
            <rFont val="Calibri"/>
            <family val="2"/>
          </rPr>
          <t>Δ</t>
        </r>
        <r>
          <rPr>
            <sz val="8"/>
            <color indexed="81"/>
            <rFont val="Tahoma"/>
            <family val="2"/>
          </rPr>
          <t>t : du nouveaux régime de Température
50 : Δt du regime de la norme (75/65/20)
n : Facteur de forme du radiateur</t>
        </r>
      </text>
    </comment>
    <comment ref="B32" authorId="0">
      <text>
        <r>
          <rPr>
            <sz val="9"/>
            <color indexed="81"/>
            <rFont val="Tahoma"/>
            <family val="2"/>
          </rPr>
          <t xml:space="preserve">Puissance indiqué sur la tabelle du constructeur.
</t>
        </r>
      </text>
    </comment>
  </commentList>
</comments>
</file>

<file path=xl/comments2.xml><?xml version="1.0" encoding="utf-8"?>
<comments xmlns="http://schemas.openxmlformats.org/spreadsheetml/2006/main">
  <authors>
    <author>anthony</author>
  </authors>
  <commentList>
    <comment ref="C27" authorId="0">
      <text>
        <r>
          <rPr>
            <sz val="9"/>
            <color indexed="81"/>
            <rFont val="Tahoma"/>
            <family val="2"/>
          </rPr>
          <t>Grad = débit
(Qr*3600)/(c*</t>
        </r>
        <r>
          <rPr>
            <sz val="9"/>
            <color indexed="81"/>
            <rFont val="Calibri"/>
            <family val="2"/>
          </rPr>
          <t>Δtr)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sz val="9"/>
            <color indexed="81"/>
            <rFont val="Tahoma"/>
            <family val="2"/>
          </rPr>
          <t>(Qr*</t>
        </r>
        <r>
          <rPr>
            <sz val="9"/>
            <color indexed="81"/>
            <rFont val="Calibri"/>
            <family val="2"/>
          </rPr>
          <t>Δ</t>
        </r>
        <r>
          <rPr>
            <sz val="9"/>
            <color indexed="81"/>
            <rFont val="Tahoma"/>
            <family val="2"/>
          </rPr>
          <t xml:space="preserve">tcol)/Qcol
</t>
        </r>
      </text>
    </comment>
    <comment ref="F27" authorId="0">
      <text>
        <r>
          <rPr>
            <sz val="9"/>
            <color indexed="81"/>
            <rFont val="Tahoma"/>
            <family val="2"/>
          </rPr>
          <t>ter-(</t>
        </r>
        <r>
          <rPr>
            <sz val="9"/>
            <color indexed="81"/>
            <rFont val="Calibri"/>
            <family val="2"/>
          </rPr>
          <t>Δ</t>
        </r>
        <r>
          <rPr>
            <sz val="9"/>
            <color indexed="81"/>
            <rFont val="Tahoma"/>
            <family val="2"/>
          </rPr>
          <t xml:space="preserve">tr/2)
</t>
        </r>
      </text>
    </comment>
    <comment ref="I27" authorId="0">
      <text>
        <r>
          <rPr>
            <sz val="9"/>
            <color indexed="81"/>
            <rFont val="Tahoma"/>
            <family val="2"/>
          </rPr>
          <t xml:space="preserve">D'après tabelle 5 EN442
</t>
        </r>
      </text>
    </comment>
    <comment ref="F39" authorId="0">
      <text>
        <r>
          <rPr>
            <sz val="9"/>
            <color indexed="81"/>
            <rFont val="Tahoma"/>
            <family val="2"/>
          </rPr>
          <t xml:space="preserve">température moyenne de la série
</t>
        </r>
      </text>
    </comment>
    <comment ref="D53" authorId="0">
      <text>
        <r>
          <rPr>
            <sz val="9"/>
            <color indexed="81"/>
            <rFont val="Tahoma"/>
            <family val="2"/>
          </rPr>
          <t>(Qr*</t>
        </r>
        <r>
          <rPr>
            <sz val="9"/>
            <color indexed="81"/>
            <rFont val="Calibri"/>
            <family val="2"/>
          </rPr>
          <t>Δ</t>
        </r>
        <r>
          <rPr>
            <sz val="9"/>
            <color indexed="81"/>
            <rFont val="Tahoma"/>
            <family val="2"/>
          </rPr>
          <t xml:space="preserve">tcol)/Qcol
</t>
        </r>
      </text>
    </comment>
    <comment ref="F53" authorId="0">
      <text>
        <r>
          <rPr>
            <sz val="9"/>
            <color indexed="81"/>
            <rFont val="Tahoma"/>
            <family val="2"/>
          </rPr>
          <t>ter-(</t>
        </r>
        <r>
          <rPr>
            <sz val="9"/>
            <color indexed="81"/>
            <rFont val="Calibri"/>
            <family val="2"/>
          </rPr>
          <t>Δ</t>
        </r>
        <r>
          <rPr>
            <sz val="9"/>
            <color indexed="81"/>
            <rFont val="Tahoma"/>
            <family val="2"/>
          </rPr>
          <t xml:space="preserve">tr/2)
</t>
        </r>
      </text>
    </comment>
    <comment ref="I53" authorId="0">
      <text>
        <r>
          <rPr>
            <sz val="9"/>
            <color indexed="81"/>
            <rFont val="Tahoma"/>
            <family val="2"/>
          </rPr>
          <t xml:space="preserve">D'après tabelle 5 EN442
</t>
        </r>
      </text>
    </comment>
    <comment ref="F65" authorId="0">
      <text>
        <r>
          <rPr>
            <sz val="9"/>
            <color indexed="81"/>
            <rFont val="Tahoma"/>
            <family val="2"/>
          </rPr>
          <t xml:space="preserve">température moyenne de la série
</t>
        </r>
      </text>
    </comment>
  </commentList>
</comments>
</file>

<file path=xl/comments3.xml><?xml version="1.0" encoding="utf-8"?>
<comments xmlns="http://schemas.openxmlformats.org/spreadsheetml/2006/main">
  <authors>
    <author>anthony</author>
  </authors>
  <commentList>
    <comment ref="R8" authorId="0">
      <text>
        <r>
          <rPr>
            <sz val="9"/>
            <color indexed="81"/>
            <rFont val="Tahoma"/>
            <family val="2"/>
          </rPr>
          <t>Ce sont les débit déjà calculé dans les troncons</t>
        </r>
      </text>
    </comment>
    <comment ref="V8" authorId="0">
      <text>
        <r>
          <rPr>
            <sz val="9"/>
            <color indexed="81"/>
            <rFont val="Tahoma"/>
            <family val="2"/>
          </rPr>
          <t xml:space="preserve">Débit des radiateurs + debit antérieur + débit tuyauterie des troncons
</t>
        </r>
      </text>
    </comment>
    <comment ref="W8" authorId="0">
      <text>
        <r>
          <rPr>
            <sz val="9"/>
            <color indexed="81"/>
            <rFont val="Tahoma"/>
            <family val="2"/>
          </rPr>
          <t>Séparations des débit a chaque intersections :
(debits des pertes de tuyauteries * débit net du troncons suivant) / (debits net du troncon actuel)</t>
        </r>
      </text>
    </comment>
    <comment ref="X8" authorId="0">
      <text>
        <r>
          <rPr>
            <sz val="9"/>
            <color indexed="81"/>
            <rFont val="Tahoma"/>
            <family val="2"/>
          </rPr>
          <t>Débit pertes + compens perte</t>
        </r>
      </text>
    </comment>
  </commentList>
</comments>
</file>

<file path=xl/comments4.xml><?xml version="1.0" encoding="utf-8"?>
<comments xmlns="http://schemas.openxmlformats.org/spreadsheetml/2006/main">
  <authors>
    <author>anthony</author>
  </authors>
  <commentList>
    <comment ref="Q8" authorId="0">
      <text>
        <r>
          <rPr>
            <sz val="9"/>
            <color indexed="81"/>
            <rFont val="Tahoma"/>
            <family val="2"/>
          </rPr>
          <t>Ce sont les débit déjà calculé dans les troncons</t>
        </r>
      </text>
    </comment>
    <comment ref="U8" authorId="0">
      <text>
        <r>
          <rPr>
            <sz val="9"/>
            <color indexed="81"/>
            <rFont val="Tahoma"/>
            <family val="2"/>
          </rPr>
          <t xml:space="preserve">Débit des radiateurs + debit antérieur + débit tuyauterie des troncons
</t>
        </r>
      </text>
    </comment>
    <comment ref="V8" authorId="0">
      <text>
        <r>
          <rPr>
            <sz val="9"/>
            <color indexed="81"/>
            <rFont val="Tahoma"/>
            <family val="2"/>
          </rPr>
          <t>Séparations des débit a chaque intersections :
(debits des pertes de tuyauteries * débit net du troncons suivant) / (debits net du troncon actuel)</t>
        </r>
      </text>
    </comment>
    <comment ref="W8" authorId="0">
      <text>
        <r>
          <rPr>
            <sz val="9"/>
            <color indexed="81"/>
            <rFont val="Tahoma"/>
            <family val="2"/>
          </rPr>
          <t>Débit pertes + compens perte</t>
        </r>
      </text>
    </comment>
  </commentList>
</comments>
</file>

<file path=xl/sharedStrings.xml><?xml version="1.0" encoding="utf-8"?>
<sst xmlns="http://schemas.openxmlformats.org/spreadsheetml/2006/main" count="485" uniqueCount="163">
  <si>
    <t>CALCUL DE RADIATEURS</t>
  </si>
  <si>
    <t>Température aller</t>
  </si>
  <si>
    <t>Température Retour</t>
  </si>
  <si>
    <t>°C</t>
  </si>
  <si>
    <t>Température moyenne</t>
  </si>
  <si>
    <t>Delta T</t>
  </si>
  <si>
    <t>K</t>
  </si>
  <si>
    <t>Facteur n ou m</t>
  </si>
  <si>
    <t>Déperdition</t>
  </si>
  <si>
    <t>W</t>
  </si>
  <si>
    <t>Tr-Ti/Ta-Ti</t>
  </si>
  <si>
    <t xml:space="preserve">&gt; ou = 0.7 </t>
  </si>
  <si>
    <t xml:space="preserve">alors </t>
  </si>
  <si>
    <t>Δt=((Ta-Tr)/2)-Ti</t>
  </si>
  <si>
    <t>&lt;0.7</t>
  </si>
  <si>
    <t>Δt=(Ta-Tr)/ln((Ta-Ti)/(Tr-Ti))</t>
  </si>
  <si>
    <t>Donc =&gt;</t>
  </si>
  <si>
    <t>Tr-Ti/Ta-Ti =</t>
  </si>
  <si>
    <t xml:space="preserve">      =&gt;</t>
  </si>
  <si>
    <t>Δt =</t>
  </si>
  <si>
    <t>2/ Coefficient de correction</t>
  </si>
  <si>
    <t>Φ=Φn/(Δt/50)^n</t>
  </si>
  <si>
    <t>d’où</t>
  </si>
  <si>
    <t>d’où (Δt/50)^n</t>
  </si>
  <si>
    <t>3/Puissance utile du radiaeur</t>
  </si>
  <si>
    <t xml:space="preserve"> </t>
  </si>
  <si>
    <t xml:space="preserve">     =&gt;</t>
  </si>
  <si>
    <t>4/Puissance reelle du radiateur</t>
  </si>
  <si>
    <t>Choix du radiateur :</t>
  </si>
  <si>
    <r>
      <t xml:space="preserve">Puissance du radiateur à </t>
    </r>
    <r>
      <rPr>
        <sz val="11"/>
        <color theme="1"/>
        <rFont val="Calibri"/>
        <family val="2"/>
      </rPr>
      <t>Δt=50 K</t>
    </r>
  </si>
  <si>
    <t>Puissance reelle du radiateur    =&gt;</t>
  </si>
  <si>
    <t>5/Débit du radiateur</t>
  </si>
  <si>
    <r>
      <t>Q = m*C*</t>
    </r>
    <r>
      <rPr>
        <sz val="11"/>
        <color theme="1"/>
        <rFont val="Calibri"/>
        <family val="2"/>
      </rPr>
      <t>Δt</t>
    </r>
  </si>
  <si>
    <r>
      <t>m=Q/(C*</t>
    </r>
    <r>
      <rPr>
        <sz val="11"/>
        <color theme="1"/>
        <rFont val="Calibri"/>
        <family val="2"/>
      </rPr>
      <t>Δt)</t>
    </r>
  </si>
  <si>
    <t>Kg/s</t>
  </si>
  <si>
    <t xml:space="preserve"> m=</t>
  </si>
  <si>
    <t>Kg/h</t>
  </si>
  <si>
    <t>d’où    m=</t>
  </si>
  <si>
    <t>m=</t>
  </si>
  <si>
    <t>m3/h</t>
  </si>
  <si>
    <r>
      <t xml:space="preserve">Puissance du radiateur </t>
    </r>
    <r>
      <rPr>
        <sz val="11"/>
        <color theme="0"/>
        <rFont val="Calibri"/>
        <family val="2"/>
      </rPr>
      <t>Φ =</t>
    </r>
  </si>
  <si>
    <t>Puissance réelle du radiateur =</t>
  </si>
  <si>
    <t>Débit dans le radiateur =</t>
  </si>
  <si>
    <r>
      <t xml:space="preserve">1/ Calcul du </t>
    </r>
    <r>
      <rPr>
        <b/>
        <u/>
        <sz val="11"/>
        <rFont val="Calibri"/>
        <family val="2"/>
      </rPr>
      <t>Δt</t>
    </r>
  </si>
  <si>
    <t>Radiateur tubulaire</t>
  </si>
  <si>
    <t>Panneaux chauffant simple :</t>
  </si>
  <si>
    <t>h : 14 à 49 cm</t>
  </si>
  <si>
    <t>h : 56 à 91 cm</t>
  </si>
  <si>
    <t>n= 1.25 à 1.28</t>
  </si>
  <si>
    <t>h : plus de 91 cm</t>
  </si>
  <si>
    <t>n= 1.29 à 1.30</t>
  </si>
  <si>
    <t>n= 1.22 à 1.24</t>
  </si>
  <si>
    <t>n= 1.30</t>
  </si>
  <si>
    <t>Panneaux chauffant double :</t>
  </si>
  <si>
    <t>h : 21 à 42 cm</t>
  </si>
  <si>
    <t>n = 1.22 à 1.26</t>
  </si>
  <si>
    <t>h : plus de 42 cm</t>
  </si>
  <si>
    <t>n = 1.27 à 1.30</t>
  </si>
  <si>
    <t>Panneaux lamellés</t>
  </si>
  <si>
    <t>n = 1.20 à 1.37</t>
  </si>
  <si>
    <t>Collecteurs</t>
  </si>
  <si>
    <t>n = 1.19 à 1.40</t>
  </si>
  <si>
    <t>Température ambiante</t>
  </si>
  <si>
    <t>Facteur de forme n ou m</t>
  </si>
  <si>
    <t>CALCUL DE RADIATEUR MONOTUBE</t>
  </si>
  <si>
    <r>
      <t xml:space="preserve">1/ INSTALLATION AVEC UN </t>
    </r>
    <r>
      <rPr>
        <b/>
        <u/>
        <sz val="11"/>
        <color theme="1"/>
        <rFont val="Calibri"/>
        <family val="2"/>
      </rPr>
      <t>Δt CONSTANT ET DEBIT VARIABLE</t>
    </r>
  </si>
  <si>
    <t>N°</t>
  </si>
  <si>
    <t>Δt rm - ti</t>
  </si>
  <si>
    <t>Facteur de correction</t>
  </si>
  <si>
    <r>
      <t>Q</t>
    </r>
    <r>
      <rPr>
        <vertAlign val="subscript"/>
        <sz val="11"/>
        <color theme="1"/>
        <rFont val="Calibri"/>
        <family val="2"/>
        <scheme val="minor"/>
      </rPr>
      <t xml:space="preserve">n </t>
    </r>
    <r>
      <rPr>
        <sz val="11"/>
        <color theme="1"/>
        <rFont val="Calibri"/>
        <family val="2"/>
        <scheme val="minor"/>
      </rPr>
      <t xml:space="preserve">à 50 K </t>
    </r>
    <r>
      <rPr>
        <sz val="11"/>
        <color theme="1"/>
        <rFont val="Calibri"/>
        <family val="2"/>
      </rPr>
      <t>[W]</t>
    </r>
  </si>
  <si>
    <t>Type de radiateur</t>
  </si>
  <si>
    <r>
      <t>Q</t>
    </r>
    <r>
      <rPr>
        <vertAlign val="subscript"/>
        <sz val="11"/>
        <color theme="1"/>
        <rFont val="Calibri"/>
        <family val="2"/>
        <scheme val="minor"/>
      </rPr>
      <t>eff</t>
    </r>
  </si>
  <si>
    <t>Z</t>
  </si>
  <si>
    <t>Δt col</t>
  </si>
  <si>
    <t>Δtr const</t>
  </si>
  <si>
    <t>Température Départ</t>
  </si>
  <si>
    <r>
      <t>t</t>
    </r>
    <r>
      <rPr>
        <vertAlign val="subscript"/>
        <sz val="11"/>
        <color theme="1"/>
        <rFont val="Calibri"/>
        <family val="2"/>
        <scheme val="minor"/>
      </rPr>
      <t>D</t>
    </r>
  </si>
  <si>
    <t>Température retour</t>
  </si>
  <si>
    <r>
      <t>t</t>
    </r>
    <r>
      <rPr>
        <vertAlign val="subscript"/>
        <sz val="11"/>
        <color theme="1"/>
        <rFont val="Calibri"/>
        <family val="2"/>
        <scheme val="minor"/>
      </rPr>
      <t>R</t>
    </r>
  </si>
  <si>
    <t>Température moyenne entre 2 radiateurs</t>
  </si>
  <si>
    <r>
      <t>t</t>
    </r>
    <r>
      <rPr>
        <vertAlign val="subscript"/>
        <sz val="11"/>
        <color theme="1"/>
        <rFont val="Calibri"/>
        <family val="2"/>
        <scheme val="minor"/>
      </rPr>
      <t>em</t>
    </r>
  </si>
  <si>
    <t>Température entré radiateur</t>
  </si>
  <si>
    <r>
      <t>t</t>
    </r>
    <r>
      <rPr>
        <vertAlign val="subscript"/>
        <sz val="11"/>
        <color theme="1"/>
        <rFont val="Calibri"/>
        <family val="2"/>
        <scheme val="minor"/>
      </rPr>
      <t>er</t>
    </r>
  </si>
  <si>
    <t>Température sortie radiateur</t>
  </si>
  <si>
    <r>
      <t>t</t>
    </r>
    <r>
      <rPr>
        <vertAlign val="subscript"/>
        <sz val="11"/>
        <color theme="1"/>
        <rFont val="Calibri"/>
        <family val="2"/>
        <scheme val="minor"/>
      </rPr>
      <t>sr</t>
    </r>
  </si>
  <si>
    <t>Température moyenne du radiateur</t>
  </si>
  <si>
    <r>
      <t>t</t>
    </r>
    <r>
      <rPr>
        <vertAlign val="subscript"/>
        <sz val="11"/>
        <color theme="1"/>
        <rFont val="Calibri"/>
        <family val="2"/>
        <scheme val="minor"/>
      </rPr>
      <t>rm</t>
    </r>
  </si>
  <si>
    <r>
      <t xml:space="preserve">Grad </t>
    </r>
    <r>
      <rPr>
        <sz val="11"/>
        <color theme="1"/>
        <rFont val="Calibri"/>
        <family val="2"/>
      </rPr>
      <t>[</t>
    </r>
    <r>
      <rPr>
        <sz val="11"/>
        <color theme="1"/>
        <rFont val="Calibri"/>
        <family val="2"/>
        <scheme val="minor"/>
      </rPr>
      <t>Kg/h</t>
    </r>
    <r>
      <rPr>
        <sz val="11"/>
        <color theme="1"/>
        <rFont val="Calibri"/>
        <family val="2"/>
      </rPr>
      <t>]</t>
    </r>
  </si>
  <si>
    <r>
      <t xml:space="preserve">Qh </t>
    </r>
    <r>
      <rPr>
        <sz val="11"/>
        <color theme="1"/>
        <rFont val="Calibri"/>
        <family val="2"/>
      </rPr>
      <t>[W]</t>
    </r>
  </si>
  <si>
    <t>Δt'col [°C]</t>
  </si>
  <si>
    <t>tme [°C]</t>
  </si>
  <si>
    <t>trm [°C]</t>
  </si>
  <si>
    <t>ti [°C]</t>
  </si>
  <si>
    <r>
      <t>14</t>
    </r>
    <r>
      <rPr>
        <sz val="11"/>
        <color theme="1"/>
        <rFont val="Calibri"/>
        <family val="2"/>
      </rPr>
      <t>Δ</t>
    </r>
  </si>
  <si>
    <t>Δtr</t>
  </si>
  <si>
    <t>td</t>
  </si>
  <si>
    <t>tr</t>
  </si>
  <si>
    <t xml:space="preserve">Fact correct n </t>
  </si>
  <si>
    <t>Puissance rad à 50K</t>
  </si>
  <si>
    <t>Z nbre rad</t>
  </si>
  <si>
    <t>2/ INSTALLATION AVEC UN DEBIT CONSTANT</t>
  </si>
  <si>
    <t>Débit col</t>
  </si>
  <si>
    <t>Z nbr rad</t>
  </si>
  <si>
    <t>Debit serie</t>
  </si>
  <si>
    <t>Fact correct n</t>
  </si>
  <si>
    <t>DN</t>
  </si>
  <si>
    <t>ep. Isol</t>
  </si>
  <si>
    <t>KT</t>
  </si>
  <si>
    <t>Kti</t>
  </si>
  <si>
    <t>3/8"</t>
  </si>
  <si>
    <t>1/2"</t>
  </si>
  <si>
    <t>3/4"</t>
  </si>
  <si>
    <t>1 "</t>
  </si>
  <si>
    <t>1 1/4"</t>
  </si>
  <si>
    <t>51/57</t>
  </si>
  <si>
    <t>54/60</t>
  </si>
  <si>
    <t>57/63</t>
  </si>
  <si>
    <t>64/70</t>
  </si>
  <si>
    <t>70/76</t>
  </si>
  <si>
    <t>82/89</t>
  </si>
  <si>
    <t>107/114</t>
  </si>
  <si>
    <t>FACTEUR DE CORRECTION MOYEN POUR TUYAU NU fCT</t>
  </si>
  <si>
    <t>Ti</t>
  </si>
  <si>
    <t>Ta</t>
  </si>
  <si>
    <t>Tr</t>
  </si>
  <si>
    <t>****</t>
  </si>
  <si>
    <t>FACTEUR DE CORRECTION MOYEN POUR TUYAU NU fCTi</t>
  </si>
  <si>
    <t>nu</t>
  </si>
  <si>
    <t>isole</t>
  </si>
  <si>
    <t>Tuyau</t>
  </si>
  <si>
    <t>Tronçon</t>
  </si>
  <si>
    <t>diam</t>
  </si>
  <si>
    <t>index</t>
  </si>
  <si>
    <t>tatr</t>
  </si>
  <si>
    <t>Kt/kti</t>
  </si>
  <si>
    <t>fct/fcti</t>
  </si>
  <si>
    <t>fp</t>
  </si>
  <si>
    <t>43/48</t>
  </si>
  <si>
    <t>Φtot [w]</t>
  </si>
  <si>
    <r>
      <t xml:space="preserve">ta </t>
    </r>
    <r>
      <rPr>
        <sz val="11"/>
        <color theme="1"/>
        <rFont val="Calibri"/>
        <family val="2"/>
      </rPr>
      <t>[°C]</t>
    </r>
  </si>
  <si>
    <t>tr [°C]</t>
  </si>
  <si>
    <t>Long tube [m]</t>
  </si>
  <si>
    <t>Φn [w/m]</t>
  </si>
  <si>
    <t>Compens pertes</t>
  </si>
  <si>
    <t>Débit total</t>
  </si>
  <si>
    <t>Majoration [%]</t>
  </si>
  <si>
    <t xml:space="preserve">Tuyau hori sous plafond </t>
  </si>
  <si>
    <t xml:space="preserve">Tuyau hori sur sol </t>
  </si>
  <si>
    <t xml:space="preserve">Tuyau vert  </t>
  </si>
  <si>
    <t>Position tuyauterie</t>
  </si>
  <si>
    <t>DEPERDITION TAYAUTERIE NU ET ISOLE</t>
  </si>
  <si>
    <t>Débit des pertes tuyauterie [kg/h]</t>
  </si>
  <si>
    <t>Débit tuayauterie</t>
  </si>
  <si>
    <t>Débit antérieur déjà calculé [kg/h]</t>
  </si>
  <si>
    <t>Cumul des débits nets [kg/h]</t>
  </si>
  <si>
    <t>Débit + pertes [kg/h]</t>
  </si>
  <si>
    <t>Débit net</t>
  </si>
  <si>
    <t xml:space="preserve">  </t>
  </si>
  <si>
    <t>Φ linéique aller</t>
  </si>
  <si>
    <t>Δ t</t>
  </si>
  <si>
    <t>Température de départ</t>
  </si>
  <si>
    <t>intersection</t>
  </si>
  <si>
    <t>Débit de base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</si>
</sst>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"/>
  </numFmts>
  <fonts count="20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8"/>
      <color indexed="81"/>
      <name val="Calibri"/>
      <family val="2"/>
    </font>
    <font>
      <sz val="8"/>
      <color indexed="81"/>
      <name val="Tahoma"/>
      <family val="2"/>
    </font>
    <font>
      <sz val="11"/>
      <name val="Calibri"/>
      <family val="2"/>
      <scheme val="minor"/>
    </font>
    <font>
      <sz val="11"/>
      <color theme="0"/>
      <name val="Calibri"/>
      <family val="2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</font>
    <font>
      <b/>
      <u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Calibri"/>
      <family val="2"/>
    </font>
    <font>
      <sz val="10"/>
      <color theme="1"/>
      <name val="Calibri"/>
      <family val="2"/>
    </font>
    <font>
      <sz val="11"/>
      <color theme="1"/>
      <name val="Agency FB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lightDown"/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3">
    <xf numFmtId="0" fontId="0" fillId="0" borderId="0" xfId="0"/>
    <xf numFmtId="0" fontId="0" fillId="2" borderId="0" xfId="0" applyFill="1"/>
    <xf numFmtId="0" fontId="3" fillId="0" borderId="0" xfId="0" applyFont="1"/>
    <xf numFmtId="0" fontId="0" fillId="3" borderId="0" xfId="0" applyFill="1"/>
    <xf numFmtId="0" fontId="3" fillId="3" borderId="0" xfId="0" applyFont="1" applyFill="1"/>
    <xf numFmtId="164" fontId="0" fillId="3" borderId="0" xfId="0" applyNumberFormat="1" applyFill="1"/>
    <xf numFmtId="2" fontId="0" fillId="3" borderId="0" xfId="0" applyNumberFormat="1" applyFill="1"/>
    <xf numFmtId="0" fontId="0" fillId="0" borderId="0" xfId="0" applyAlignment="1">
      <alignment horizontal="center"/>
    </xf>
    <xf numFmtId="1" fontId="0" fillId="3" borderId="0" xfId="0" applyNumberFormat="1" applyFill="1"/>
    <xf numFmtId="165" fontId="0" fillId="3" borderId="0" xfId="0" applyNumberFormat="1" applyFill="1"/>
    <xf numFmtId="1" fontId="4" fillId="4" borderId="0" xfId="0" applyNumberFormat="1" applyFont="1" applyFill="1"/>
    <xf numFmtId="0" fontId="4" fillId="4" borderId="0" xfId="0" applyFont="1" applyFill="1"/>
    <xf numFmtId="164" fontId="0" fillId="3" borderId="0" xfId="0" applyNumberFormat="1" applyFill="1" applyAlignment="1">
      <alignment horizontal="right"/>
    </xf>
    <xf numFmtId="164" fontId="7" fillId="3" borderId="0" xfId="0" applyNumberFormat="1" applyFont="1" applyFill="1"/>
    <xf numFmtId="164" fontId="4" fillId="4" borderId="0" xfId="0" applyNumberFormat="1" applyFont="1" applyFill="1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9" xfId="0" applyBorder="1"/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18" fillId="0" borderId="0" xfId="0" applyFont="1"/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/>
    <xf numFmtId="2" fontId="0" fillId="0" borderId="14" xfId="0" applyNumberFormat="1" applyBorder="1"/>
    <xf numFmtId="2" fontId="0" fillId="0" borderId="17" xfId="0" applyNumberFormat="1" applyBorder="1"/>
    <xf numFmtId="2" fontId="0" fillId="0" borderId="21" xfId="0" applyNumberFormat="1" applyBorder="1"/>
    <xf numFmtId="2" fontId="0" fillId="0" borderId="13" xfId="0" applyNumberFormat="1" applyBorder="1"/>
    <xf numFmtId="2" fontId="0" fillId="0" borderId="15" xfId="0" applyNumberFormat="1" applyBorder="1"/>
    <xf numFmtId="2" fontId="0" fillId="0" borderId="2" xfId="0" applyNumberFormat="1" applyBorder="1"/>
    <xf numFmtId="2" fontId="0" fillId="0" borderId="18" xfId="0" applyNumberFormat="1" applyBorder="1"/>
    <xf numFmtId="2" fontId="0" fillId="0" borderId="10" xfId="0" applyNumberFormat="1" applyBorder="1"/>
    <xf numFmtId="2" fontId="0" fillId="0" borderId="0" xfId="0" applyNumberFormat="1"/>
    <xf numFmtId="2" fontId="0" fillId="0" borderId="1" xfId="0" applyNumberFormat="1" applyBorder="1"/>
    <xf numFmtId="2" fontId="0" fillId="0" borderId="16" xfId="0" applyNumberFormat="1" applyBorder="1"/>
    <xf numFmtId="2" fontId="0" fillId="0" borderId="9" xfId="0" applyNumberFormat="1" applyBorder="1"/>
    <xf numFmtId="2" fontId="7" fillId="3" borderId="10" xfId="0" applyNumberFormat="1" applyFont="1" applyFill="1" applyBorder="1"/>
    <xf numFmtId="2" fontId="0" fillId="3" borderId="10" xfId="0" applyNumberFormat="1" applyFill="1" applyBorder="1"/>
    <xf numFmtId="0" fontId="0" fillId="2" borderId="1" xfId="0" applyFill="1" applyBorder="1"/>
    <xf numFmtId="0" fontId="0" fillId="2" borderId="14" xfId="0" applyFill="1" applyBorder="1"/>
    <xf numFmtId="0" fontId="0" fillId="2" borderId="3" xfId="0" applyFill="1" applyBorder="1"/>
    <xf numFmtId="0" fontId="0" fillId="2" borderId="13" xfId="0" applyFill="1" applyBorder="1"/>
    <xf numFmtId="0" fontId="0" fillId="2" borderId="5" xfId="0" applyFill="1" applyBorder="1"/>
    <xf numFmtId="0" fontId="0" fillId="2" borderId="15" xfId="0" applyFill="1" applyBorder="1"/>
    <xf numFmtId="0" fontId="0" fillId="2" borderId="27" xfId="0" applyFill="1" applyBorder="1"/>
    <xf numFmtId="0" fontId="0" fillId="2" borderId="22" xfId="0" applyFill="1" applyBorder="1"/>
    <xf numFmtId="0" fontId="0" fillId="2" borderId="19" xfId="0" applyFill="1" applyBorder="1"/>
    <xf numFmtId="0" fontId="0" fillId="3" borderId="21" xfId="0" applyFill="1" applyBorder="1"/>
    <xf numFmtId="0" fontId="16" fillId="0" borderId="20" xfId="0" applyFont="1" applyBorder="1" applyAlignment="1">
      <alignment horizontal="center" vertical="justify"/>
    </xf>
    <xf numFmtId="0" fontId="16" fillId="0" borderId="24" xfId="0" applyFont="1" applyBorder="1" applyAlignment="1">
      <alignment horizontal="center" vertical="justify"/>
    </xf>
    <xf numFmtId="0" fontId="0" fillId="2" borderId="16" xfId="0" applyFill="1" applyBorder="1"/>
    <xf numFmtId="0" fontId="0" fillId="2" borderId="17" xfId="0" applyFill="1" applyBorder="1"/>
    <xf numFmtId="0" fontId="0" fillId="0" borderId="28" xfId="0" applyBorder="1"/>
    <xf numFmtId="0" fontId="0" fillId="2" borderId="28" xfId="0" applyFill="1" applyBorder="1"/>
    <xf numFmtId="0" fontId="0" fillId="0" borderId="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justify"/>
    </xf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justify"/>
    </xf>
    <xf numFmtId="0" fontId="0" fillId="0" borderId="8" xfId="0" applyBorder="1" applyAlignment="1">
      <alignment horizontal="center" vertical="center"/>
    </xf>
    <xf numFmtId="2" fontId="0" fillId="0" borderId="4" xfId="0" applyNumberFormat="1" applyBorder="1"/>
    <xf numFmtId="0" fontId="9" fillId="0" borderId="0" xfId="0" applyFont="1" applyAlignment="1"/>
    <xf numFmtId="0" fontId="0" fillId="2" borderId="3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49" fontId="0" fillId="0" borderId="35" xfId="0" applyNumberFormat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5" borderId="39" xfId="0" applyFill="1" applyBorder="1"/>
    <xf numFmtId="0" fontId="0" fillId="6" borderId="40" xfId="0" applyFill="1" applyBorder="1"/>
    <xf numFmtId="0" fontId="0" fillId="7" borderId="40" xfId="0" applyFill="1" applyBorder="1"/>
    <xf numFmtId="0" fontId="0" fillId="8" borderId="0" xfId="0" applyFill="1"/>
    <xf numFmtId="0" fontId="0" fillId="9" borderId="0" xfId="0" applyFill="1"/>
    <xf numFmtId="0" fontId="0" fillId="5" borderId="41" xfId="0" applyFill="1" applyBorder="1"/>
    <xf numFmtId="0" fontId="19" fillId="7" borderId="42" xfId="0" applyFont="1" applyFill="1" applyBorder="1"/>
    <xf numFmtId="0" fontId="0" fillId="2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5" borderId="28" xfId="0" applyFill="1" applyBorder="1"/>
    <xf numFmtId="0" fontId="19" fillId="7" borderId="17" xfId="0" applyFont="1" applyFill="1" applyBorder="1"/>
    <xf numFmtId="49" fontId="0" fillId="0" borderId="33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top"/>
    </xf>
    <xf numFmtId="49" fontId="0" fillId="0" borderId="34" xfId="0" applyNumberFormat="1" applyBorder="1" applyAlignment="1">
      <alignment horizontal="center"/>
    </xf>
    <xf numFmtId="49" fontId="0" fillId="0" borderId="18" xfId="0" applyNumberFormat="1" applyBorder="1" applyAlignment="1">
      <alignment horizontal="center"/>
    </xf>
    <xf numFmtId="49" fontId="0" fillId="0" borderId="3" xfId="0" applyNumberFormat="1" applyBorder="1" applyAlignment="1">
      <alignment horizontal="center" vertical="top"/>
    </xf>
    <xf numFmtId="49" fontId="0" fillId="0" borderId="36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6" borderId="0" xfId="0" applyNumberFormat="1" applyFill="1" applyBorder="1" applyAlignment="1">
      <alignment horizontal="center" vertical="center"/>
    </xf>
    <xf numFmtId="0" fontId="9" fillId="0" borderId="0" xfId="0" applyFont="1" applyAlignment="1"/>
    <xf numFmtId="0" fontId="0" fillId="0" borderId="43" xfId="0" applyBorder="1"/>
    <xf numFmtId="0" fontId="0" fillId="0" borderId="44" xfId="0" applyBorder="1"/>
    <xf numFmtId="0" fontId="0" fillId="0" borderId="42" xfId="0" applyBorder="1"/>
    <xf numFmtId="0" fontId="0" fillId="0" borderId="0" xfId="0" applyBorder="1"/>
    <xf numFmtId="0" fontId="0" fillId="0" borderId="14" xfId="0" applyFill="1" applyBorder="1"/>
    <xf numFmtId="0" fontId="0" fillId="0" borderId="15" xfId="0" applyFill="1" applyBorder="1"/>
    <xf numFmtId="0" fontId="0" fillId="2" borderId="43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0" borderId="20" xfId="0" applyBorder="1"/>
    <xf numFmtId="0" fontId="0" fillId="0" borderId="48" xfId="0" applyBorder="1" applyAlignment="1">
      <alignment horizontal="center" vertical="justify"/>
    </xf>
    <xf numFmtId="0" fontId="0" fillId="0" borderId="20" xfId="0" applyBorder="1" applyAlignment="1">
      <alignment horizontal="center" vertical="justify"/>
    </xf>
    <xf numFmtId="0" fontId="0" fillId="0" borderId="43" xfId="0" applyBorder="1" applyAlignment="1">
      <alignment horizontal="center" vertical="justify"/>
    </xf>
    <xf numFmtId="0" fontId="3" fillId="0" borderId="20" xfId="0" applyFont="1" applyBorder="1" applyAlignment="1">
      <alignment horizontal="center" vertical="justify"/>
    </xf>
    <xf numFmtId="0" fontId="3" fillId="0" borderId="43" xfId="0" applyFont="1" applyBorder="1" applyAlignment="1">
      <alignment horizontal="center" vertical="justify"/>
    </xf>
    <xf numFmtId="0" fontId="3" fillId="0" borderId="20" xfId="0" applyFont="1" applyFill="1" applyBorder="1" applyAlignment="1">
      <alignment horizontal="center" vertical="justify"/>
    </xf>
    <xf numFmtId="0" fontId="3" fillId="0" borderId="24" xfId="0" applyFont="1" applyFill="1" applyBorder="1" applyAlignment="1">
      <alignment horizontal="center" vertical="justify"/>
    </xf>
    <xf numFmtId="0" fontId="0" fillId="0" borderId="17" xfId="0" applyFill="1" applyBorder="1"/>
    <xf numFmtId="0" fontId="0" fillId="12" borderId="7" xfId="0" applyFill="1" applyBorder="1" applyAlignment="1">
      <alignment horizontal="center"/>
    </xf>
    <xf numFmtId="0" fontId="0" fillId="12" borderId="29" xfId="0" applyFill="1" applyBorder="1" applyAlignment="1">
      <alignment horizontal="center"/>
    </xf>
    <xf numFmtId="0" fontId="0" fillId="12" borderId="30" xfId="0" applyFill="1" applyBorder="1" applyAlignment="1">
      <alignment horizontal="center"/>
    </xf>
    <xf numFmtId="0" fontId="0" fillId="12" borderId="29" xfId="0" applyFill="1" applyBorder="1"/>
    <xf numFmtId="0" fontId="0" fillId="12" borderId="30" xfId="0" applyFill="1" applyBorder="1"/>
    <xf numFmtId="0" fontId="0" fillId="0" borderId="40" xfId="0" applyFill="1" applyBorder="1"/>
    <xf numFmtId="0" fontId="3" fillId="0" borderId="25" xfId="0" applyFont="1" applyFill="1" applyBorder="1" applyAlignment="1">
      <alignment horizontal="center" vertical="justify"/>
    </xf>
    <xf numFmtId="0" fontId="0" fillId="12" borderId="8" xfId="0" applyFill="1" applyBorder="1"/>
    <xf numFmtId="0" fontId="0" fillId="0" borderId="0" xfId="0" applyAlignment="1"/>
    <xf numFmtId="0" fontId="9" fillId="0" borderId="0" xfId="0" applyFont="1" applyAlignment="1"/>
    <xf numFmtId="0" fontId="0" fillId="2" borderId="20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42" xfId="0" applyFill="1" applyBorder="1" applyAlignment="1">
      <alignment vertical="center"/>
    </xf>
    <xf numFmtId="0" fontId="0" fillId="0" borderId="0" xfId="0" applyBorder="1" applyAlignment="1"/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/>
    <xf numFmtId="0" fontId="9" fillId="0" borderId="0" xfId="0" applyFont="1" applyAlignment="1"/>
    <xf numFmtId="0" fontId="4" fillId="4" borderId="0" xfId="0" applyFont="1" applyFill="1" applyAlignment="1">
      <alignment horizontal="right"/>
    </xf>
    <xf numFmtId="0" fontId="0" fillId="2" borderId="0" xfId="0" applyFill="1" applyAlignment="1"/>
    <xf numFmtId="0" fontId="3" fillId="0" borderId="0" xfId="0" applyFont="1" applyAlignment="1"/>
    <xf numFmtId="0" fontId="11" fillId="0" borderId="0" xfId="0" applyFont="1" applyAlignment="1"/>
    <xf numFmtId="0" fontId="10" fillId="0" borderId="0" xfId="0" applyFont="1" applyBorder="1" applyAlignment="1"/>
    <xf numFmtId="0" fontId="11" fillId="0" borderId="0" xfId="0" applyFont="1" applyBorder="1" applyAlignment="1"/>
    <xf numFmtId="0" fontId="13" fillId="0" borderId="0" xfId="0" applyFont="1" applyAlignment="1"/>
    <xf numFmtId="0" fontId="0" fillId="0" borderId="43" xfId="0" applyBorder="1" applyAlignment="1"/>
    <xf numFmtId="165" fontId="0" fillId="0" borderId="20" xfId="0" applyNumberFormat="1" applyBorder="1" applyAlignment="1"/>
    <xf numFmtId="165" fontId="0" fillId="0" borderId="21" xfId="0" applyNumberFormat="1" applyBorder="1" applyAlignment="1"/>
    <xf numFmtId="165" fontId="0" fillId="0" borderId="25" xfId="0" applyNumberFormat="1" applyBorder="1" applyAlignment="1"/>
    <xf numFmtId="165" fontId="0" fillId="0" borderId="10" xfId="0" applyNumberFormat="1" applyBorder="1" applyAlignment="1"/>
    <xf numFmtId="0" fontId="0" fillId="0" borderId="42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0" fillId="0" borderId="20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2" xfId="0" applyFill="1" applyBorder="1" applyAlignment="1">
      <alignment horizontal="center"/>
    </xf>
    <xf numFmtId="1" fontId="0" fillId="0" borderId="42" xfId="0" applyNumberFormat="1" applyFill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" fontId="0" fillId="0" borderId="20" xfId="0" applyNumberFormat="1" applyFill="1" applyBorder="1" applyAlignment="1">
      <alignment horizontal="center" vertical="center"/>
    </xf>
    <xf numFmtId="165" fontId="0" fillId="0" borderId="24" xfId="0" applyNumberFormat="1" applyBorder="1" applyAlignment="1"/>
    <xf numFmtId="165" fontId="0" fillId="0" borderId="26" xfId="0" applyNumberFormat="1" applyBorder="1" applyAlignment="1"/>
    <xf numFmtId="0" fontId="0" fillId="0" borderId="24" xfId="0" applyBorder="1" applyAlignment="1"/>
    <xf numFmtId="0" fontId="0" fillId="0" borderId="26" xfId="0" applyBorder="1" applyAlignment="1"/>
    <xf numFmtId="0" fontId="0" fillId="0" borderId="41" xfId="0" applyBorder="1" applyAlignment="1"/>
    <xf numFmtId="0" fontId="0" fillId="0" borderId="42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" fillId="0" borderId="24" xfId="0" applyFont="1" applyBorder="1" applyAlignment="1">
      <alignment horizontal="center" vertical="justify"/>
    </xf>
    <xf numFmtId="0" fontId="0" fillId="0" borderId="49" xfId="0" applyBorder="1" applyAlignment="1">
      <alignment horizontal="center" vertical="justify"/>
    </xf>
    <xf numFmtId="2" fontId="0" fillId="0" borderId="20" xfId="0" applyNumberFormat="1" applyBorder="1" applyAlignment="1">
      <alignment horizontal="center" vertical="center"/>
    </xf>
    <xf numFmtId="2" fontId="0" fillId="0" borderId="42" xfId="0" applyNumberFormat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1" borderId="42" xfId="0" applyFill="1" applyBorder="1" applyAlignment="1">
      <alignment horizontal="center" vertical="center"/>
    </xf>
    <xf numFmtId="14" fontId="0" fillId="2" borderId="42" xfId="0" applyNumberFormat="1" applyFill="1" applyBorder="1" applyAlignment="1">
      <alignment vertical="center"/>
    </xf>
    <xf numFmtId="14" fontId="0" fillId="2" borderId="21" xfId="0" applyNumberFormat="1" applyFill="1" applyBorder="1" applyAlignment="1">
      <alignment vertical="center"/>
    </xf>
    <xf numFmtId="14" fontId="0" fillId="2" borderId="20" xfId="0" applyNumberFormat="1" applyFill="1" applyBorder="1" applyAlignment="1">
      <alignment vertical="center"/>
    </xf>
    <xf numFmtId="0" fontId="0" fillId="11" borderId="42" xfId="0" applyFill="1" applyBorder="1" applyAlignment="1">
      <alignment vertical="center"/>
    </xf>
    <xf numFmtId="0" fontId="0" fillId="0" borderId="42" xfId="0" applyBorder="1" applyAlignment="1">
      <alignment vertical="center"/>
    </xf>
    <xf numFmtId="0" fontId="0" fillId="11" borderId="20" xfId="0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10" borderId="20" xfId="0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0" fillId="2" borderId="42" xfId="0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3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13" fillId="0" borderId="0" xfId="0" applyFont="1" applyAlignment="1">
      <alignment horizontal="center"/>
    </xf>
    <xf numFmtId="0" fontId="0" fillId="11" borderId="2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0" fontId="0" fillId="11" borderId="21" xfId="0" applyFill="1" applyBorder="1" applyAlignment="1">
      <alignment vertical="center"/>
    </xf>
    <xf numFmtId="0" fontId="0" fillId="0" borderId="21" xfId="0" applyFill="1" applyBorder="1" applyAlignment="1">
      <alignment horizontal="center"/>
    </xf>
    <xf numFmtId="0" fontId="12" fillId="0" borderId="0" xfId="0" applyFont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1" fontId="0" fillId="0" borderId="20" xfId="0" applyNumberFormat="1" applyBorder="1" applyAlignment="1">
      <alignment horizontal="center" vertical="center"/>
    </xf>
    <xf numFmtId="1" fontId="0" fillId="0" borderId="42" xfId="0" applyNumberFormat="1" applyBorder="1" applyAlignment="1">
      <alignment horizontal="center" vertical="center"/>
    </xf>
    <xf numFmtId="14" fontId="16" fillId="2" borderId="20" xfId="0" applyNumberFormat="1" applyFont="1" applyFill="1" applyBorder="1" applyAlignment="1">
      <alignment vertical="center"/>
    </xf>
    <xf numFmtId="14" fontId="16" fillId="2" borderId="21" xfId="0" applyNumberFormat="1" applyFont="1" applyFill="1" applyBorder="1" applyAlignment="1">
      <alignment vertical="center"/>
    </xf>
    <xf numFmtId="14" fontId="16" fillId="2" borderId="42" xfId="0" applyNumberFormat="1" applyFont="1" applyFill="1" applyBorder="1" applyAlignment="1">
      <alignment vertical="center"/>
    </xf>
  </cellXfs>
  <cellStyles count="1">
    <cellStyle name="Normal" xfId="0" builtinId="0"/>
  </cellStyles>
  <dxfs count="7">
    <dxf>
      <font>
        <color theme="0" tint="-0.24994659260841701"/>
      </font>
    </dxf>
    <dxf>
      <font>
        <color theme="0" tint="-0.14996795556505021"/>
      </font>
    </dxf>
    <dxf>
      <font>
        <color theme="0" tint="-0.24994659260841701"/>
      </font>
    </dxf>
    <dxf>
      <font>
        <color theme="0" tint="-0.14996795556505021"/>
      </font>
    </dxf>
    <dxf>
      <fill>
        <patternFill patternType="lightUp"/>
      </fill>
    </dxf>
    <dxf>
      <fill>
        <patternFill patternType="lightUp"/>
      </fill>
    </dxf>
    <dxf>
      <fill>
        <patternFill patternType="lightDown"/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0"/>
  <sheetViews>
    <sheetView workbookViewId="0">
      <selection activeCell="F39" sqref="F39"/>
    </sheetView>
  </sheetViews>
  <sheetFormatPr baseColWidth="10" defaultRowHeight="15"/>
  <cols>
    <col min="5" max="5" width="14.140625" customWidth="1"/>
    <col min="12" max="12" width="26.85546875" customWidth="1"/>
    <col min="13" max="13" width="14.140625" customWidth="1"/>
  </cols>
  <sheetData>
    <row r="1" spans="1:14" ht="15.75" thickBot="1">
      <c r="A1" s="160" t="s">
        <v>0</v>
      </c>
      <c r="B1" s="161"/>
      <c r="C1" s="161"/>
      <c r="D1" s="161"/>
      <c r="E1" s="161"/>
    </row>
    <row r="2" spans="1:14" ht="15.75" thickBot="1">
      <c r="A2" s="161"/>
      <c r="B2" s="161"/>
      <c r="C2" s="161"/>
      <c r="D2" s="161"/>
      <c r="E2" s="161"/>
      <c r="L2" s="157" t="s">
        <v>63</v>
      </c>
      <c r="M2" s="158"/>
    </row>
    <row r="3" spans="1:14" ht="15.75" thickBot="1">
      <c r="L3" s="21" t="s">
        <v>44</v>
      </c>
      <c r="M3" s="22" t="s">
        <v>52</v>
      </c>
    </row>
    <row r="4" spans="1:14">
      <c r="B4" s="159" t="s">
        <v>1</v>
      </c>
      <c r="C4" s="159"/>
      <c r="D4" s="1"/>
      <c r="E4" t="s">
        <v>3</v>
      </c>
      <c r="F4" s="164" t="s">
        <v>40</v>
      </c>
      <c r="G4" s="164"/>
      <c r="H4" s="164"/>
      <c r="I4" s="10" t="str">
        <f>IF(ISERROR($D$10/$G$22),"",$D$10/$G$22)</f>
        <v/>
      </c>
      <c r="J4" s="11" t="s">
        <v>9</v>
      </c>
      <c r="L4" s="15" t="s">
        <v>45</v>
      </c>
      <c r="M4" s="16" t="s">
        <v>25</v>
      </c>
    </row>
    <row r="5" spans="1:14">
      <c r="B5" s="159" t="s">
        <v>2</v>
      </c>
      <c r="C5" s="159"/>
      <c r="D5" s="1"/>
      <c r="E5" t="s">
        <v>3</v>
      </c>
      <c r="L5" s="17" t="s">
        <v>46</v>
      </c>
      <c r="M5" s="18" t="s">
        <v>51</v>
      </c>
      <c r="N5" t="s">
        <v>25</v>
      </c>
    </row>
    <row r="6" spans="1:14">
      <c r="B6" s="159" t="s">
        <v>4</v>
      </c>
      <c r="C6" s="159"/>
      <c r="D6">
        <f>IF(ISERROR((D4+D5)/2),"",(D4+D5)/2)</f>
        <v>0</v>
      </c>
      <c r="E6" t="s">
        <v>3</v>
      </c>
      <c r="F6" s="164" t="s">
        <v>41</v>
      </c>
      <c r="G6" s="164"/>
      <c r="H6" s="164"/>
      <c r="I6" s="10" t="str">
        <f>IF(ISERROR($E$32*$G$22),"",$E$32*$G$22)</f>
        <v/>
      </c>
      <c r="J6" s="11" t="s">
        <v>9</v>
      </c>
      <c r="L6" s="17" t="s">
        <v>47</v>
      </c>
      <c r="M6" s="18" t="s">
        <v>48</v>
      </c>
    </row>
    <row r="7" spans="1:14" ht="15.75" thickBot="1">
      <c r="B7" s="159" t="s">
        <v>62</v>
      </c>
      <c r="C7" s="159"/>
      <c r="D7" s="1"/>
      <c r="E7" t="s">
        <v>3</v>
      </c>
      <c r="L7" s="19" t="s">
        <v>49</v>
      </c>
      <c r="M7" s="20" t="s">
        <v>50</v>
      </c>
    </row>
    <row r="8" spans="1:14">
      <c r="B8" s="159" t="s">
        <v>5</v>
      </c>
      <c r="C8" s="159"/>
      <c r="D8">
        <f>IF(ISERROR(D6-D7),"",D6-D7)</f>
        <v>0</v>
      </c>
      <c r="E8" t="s">
        <v>6</v>
      </c>
      <c r="F8" s="164" t="s">
        <v>42</v>
      </c>
      <c r="G8" s="164"/>
      <c r="H8" s="164"/>
      <c r="I8" s="14" t="str">
        <f>IF(ISERROR($F$39*0.001),"",$F$39*0.001)</f>
        <v/>
      </c>
      <c r="J8" s="11" t="s">
        <v>39</v>
      </c>
      <c r="L8" s="15" t="s">
        <v>53</v>
      </c>
      <c r="M8" s="16"/>
    </row>
    <row r="9" spans="1:14">
      <c r="B9" s="159" t="s">
        <v>7</v>
      </c>
      <c r="C9" s="159"/>
      <c r="D9" s="1"/>
      <c r="L9" s="17" t="s">
        <v>54</v>
      </c>
      <c r="M9" s="18" t="s">
        <v>55</v>
      </c>
    </row>
    <row r="10" spans="1:14" ht="15.75" thickBot="1">
      <c r="B10" t="s">
        <v>8</v>
      </c>
      <c r="D10" s="1"/>
      <c r="E10" t="s">
        <v>9</v>
      </c>
      <c r="L10" s="19" t="s">
        <v>56</v>
      </c>
      <c r="M10" s="20" t="s">
        <v>57</v>
      </c>
    </row>
    <row r="11" spans="1:14" ht="15.75" thickBot="1">
      <c r="L11" s="21" t="s">
        <v>58</v>
      </c>
      <c r="M11" s="22" t="s">
        <v>59</v>
      </c>
    </row>
    <row r="12" spans="1:14" ht="15.75" thickBot="1">
      <c r="L12" s="23" t="s">
        <v>60</v>
      </c>
      <c r="M12" s="24" t="s">
        <v>61</v>
      </c>
    </row>
    <row r="13" spans="1:14">
      <c r="B13" s="167" t="s">
        <v>43</v>
      </c>
      <c r="C13" s="167"/>
    </row>
    <row r="15" spans="1:14">
      <c r="B15" t="s">
        <v>10</v>
      </c>
      <c r="C15" t="s">
        <v>11</v>
      </c>
      <c r="D15" t="s">
        <v>12</v>
      </c>
      <c r="E15" s="166" t="s">
        <v>13</v>
      </c>
      <c r="F15" s="159"/>
    </row>
    <row r="16" spans="1:14">
      <c r="B16" t="s">
        <v>10</v>
      </c>
      <c r="C16" t="s">
        <v>14</v>
      </c>
      <c r="D16" t="s">
        <v>12</v>
      </c>
      <c r="E16" s="166" t="s">
        <v>15</v>
      </c>
      <c r="F16" s="159"/>
      <c r="G16" s="159"/>
    </row>
    <row r="18" spans="2:8">
      <c r="B18" t="s">
        <v>16</v>
      </c>
      <c r="C18" t="s">
        <v>17</v>
      </c>
      <c r="D18" s="5" t="str">
        <f>IF(ISERROR(($D$5-$D$7)/($D$4-$D$7)),"",($D$5-$D$7)/($D$4-$D$7))</f>
        <v/>
      </c>
      <c r="E18" t="s">
        <v>18</v>
      </c>
      <c r="F18" s="2" t="s">
        <v>19</v>
      </c>
      <c r="G18" s="6">
        <f>IF(D18&lt;0.7,(D4-D5)/LN((D4-D7)/(D5-D7)),((D4+D5)/2)-D7)</f>
        <v>0</v>
      </c>
      <c r="H18" s="4" t="s">
        <v>6</v>
      </c>
    </row>
    <row r="20" spans="2:8">
      <c r="B20" s="163" t="s">
        <v>20</v>
      </c>
      <c r="C20" s="163"/>
      <c r="D20" s="163"/>
    </row>
    <row r="22" spans="2:8">
      <c r="B22" s="166" t="s">
        <v>21</v>
      </c>
      <c r="C22" s="159"/>
      <c r="E22" t="s">
        <v>23</v>
      </c>
      <c r="F22" t="s">
        <v>18</v>
      </c>
      <c r="G22" s="13" t="str">
        <f>IF(ISERROR((G18/50)^D9),"",(G18/50)^D9)</f>
        <v/>
      </c>
    </row>
    <row r="24" spans="2:8">
      <c r="B24" s="168" t="s">
        <v>24</v>
      </c>
      <c r="C24" s="169"/>
      <c r="D24" s="169"/>
    </row>
    <row r="26" spans="2:8">
      <c r="B26" s="166" t="s">
        <v>21</v>
      </c>
      <c r="C26" s="159"/>
      <c r="D26" t="s">
        <v>25</v>
      </c>
      <c r="E26" t="s">
        <v>22</v>
      </c>
      <c r="F26" t="s">
        <v>26</v>
      </c>
      <c r="G26" s="8" t="str">
        <f>IF(ISERROR($D$10/$G$22),"",$D$10/$G$22)</f>
        <v/>
      </c>
      <c r="H26" s="3" t="s">
        <v>9</v>
      </c>
    </row>
    <row r="29" spans="2:8">
      <c r="B29" s="163" t="s">
        <v>27</v>
      </c>
      <c r="C29" s="163"/>
      <c r="D29" s="163"/>
    </row>
    <row r="31" spans="2:8">
      <c r="B31" t="s">
        <v>28</v>
      </c>
      <c r="E31" s="165"/>
      <c r="F31" s="165"/>
      <c r="G31" s="165"/>
    </row>
    <row r="32" spans="2:8">
      <c r="B32" s="159" t="s">
        <v>29</v>
      </c>
      <c r="C32" s="159"/>
      <c r="D32" s="159"/>
      <c r="E32" s="165"/>
      <c r="F32" s="165"/>
      <c r="G32" s="1" t="s">
        <v>9</v>
      </c>
    </row>
    <row r="34" spans="2:7">
      <c r="B34" s="159" t="s">
        <v>30</v>
      </c>
      <c r="C34" s="162"/>
      <c r="D34" s="162"/>
      <c r="E34" s="8" t="str">
        <f>IF(ISERROR($E$32*$G$22),"",$E$32*$G$22)</f>
        <v/>
      </c>
      <c r="F34" s="3" t="s">
        <v>9</v>
      </c>
    </row>
    <row r="36" spans="2:7">
      <c r="B36" s="163" t="s">
        <v>31</v>
      </c>
      <c r="C36" s="163"/>
    </row>
    <row r="38" spans="2:7">
      <c r="B38" t="s">
        <v>32</v>
      </c>
      <c r="C38" s="7" t="s">
        <v>22</v>
      </c>
      <c r="D38" t="s">
        <v>33</v>
      </c>
      <c r="E38" t="s">
        <v>37</v>
      </c>
      <c r="F38" s="9" t="str">
        <f>IF(ISERROR(E34/(4187*(D4-D5))),"",E34/(4187*(D4-D5)))</f>
        <v/>
      </c>
      <c r="G38" s="3" t="s">
        <v>34</v>
      </c>
    </row>
    <row r="39" spans="2:7">
      <c r="B39" t="s">
        <v>25</v>
      </c>
      <c r="E39" s="7" t="s">
        <v>35</v>
      </c>
      <c r="F39" s="9" t="str">
        <f>IF(ISERROR(F38*3600),"",F38*3600)</f>
        <v/>
      </c>
      <c r="G39" s="3" t="s">
        <v>36</v>
      </c>
    </row>
    <row r="40" spans="2:7">
      <c r="E40" s="7" t="s">
        <v>38</v>
      </c>
      <c r="F40" s="12" t="str">
        <f>IF(ISERROR($F$39*0.001),"",$F$39*0.001)</f>
        <v/>
      </c>
      <c r="G40" s="3" t="s">
        <v>39</v>
      </c>
    </row>
  </sheetData>
  <mergeCells count="24">
    <mergeCell ref="B34:D34"/>
    <mergeCell ref="B36:C36"/>
    <mergeCell ref="F4:H4"/>
    <mergeCell ref="F6:H6"/>
    <mergeCell ref="F8:H8"/>
    <mergeCell ref="B29:D29"/>
    <mergeCell ref="E31:G31"/>
    <mergeCell ref="E32:F32"/>
    <mergeCell ref="B32:D32"/>
    <mergeCell ref="B22:C22"/>
    <mergeCell ref="B13:C13"/>
    <mergeCell ref="B20:D20"/>
    <mergeCell ref="B24:D24"/>
    <mergeCell ref="B26:C26"/>
    <mergeCell ref="E15:F15"/>
    <mergeCell ref="E16:G16"/>
    <mergeCell ref="L2:M2"/>
    <mergeCell ref="B9:C9"/>
    <mergeCell ref="A1:E2"/>
    <mergeCell ref="B4:C4"/>
    <mergeCell ref="B5:C5"/>
    <mergeCell ref="B6:C6"/>
    <mergeCell ref="B7:C7"/>
    <mergeCell ref="B8:C8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5"/>
  <sheetViews>
    <sheetView topLeftCell="B42" workbookViewId="0">
      <selection activeCell="H22" sqref="H22"/>
    </sheetView>
  </sheetViews>
  <sheetFormatPr baseColWidth="10" defaultRowHeight="15"/>
  <cols>
    <col min="1" max="1" width="11.85546875" customWidth="1"/>
    <col min="4" max="4" width="12.140625" customWidth="1"/>
    <col min="5" max="5" width="7.7109375" customWidth="1"/>
    <col min="7" max="7" width="7" customWidth="1"/>
    <col min="8" max="8" width="8.42578125" customWidth="1"/>
    <col min="9" max="9" width="9.28515625" customWidth="1"/>
    <col min="10" max="10" width="11.28515625" customWidth="1"/>
    <col min="11" max="11" width="14" customWidth="1"/>
    <col min="12" max="12" width="8.140625" customWidth="1"/>
    <col min="13" max="13" width="13.140625" customWidth="1"/>
  </cols>
  <sheetData>
    <row r="1" spans="1:8" ht="21">
      <c r="C1" s="170" t="s">
        <v>64</v>
      </c>
      <c r="D1" s="170"/>
      <c r="E1" s="170"/>
      <c r="F1" s="170"/>
      <c r="G1" s="159"/>
    </row>
    <row r="2" spans="1:8" ht="5.25" customHeight="1"/>
    <row r="3" spans="1:8" ht="3.75" customHeight="1"/>
    <row r="4" spans="1:8" ht="3" customHeight="1"/>
    <row r="5" spans="1:8" ht="18">
      <c r="A5" s="159" t="s">
        <v>75</v>
      </c>
      <c r="B5" s="159"/>
      <c r="C5" t="s">
        <v>76</v>
      </c>
    </row>
    <row r="6" spans="1:8" ht="18">
      <c r="A6" s="159" t="s">
        <v>77</v>
      </c>
      <c r="B6" s="159"/>
      <c r="C6" t="s">
        <v>78</v>
      </c>
    </row>
    <row r="7" spans="1:8" ht="18">
      <c r="A7" s="162" t="s">
        <v>79</v>
      </c>
      <c r="B7" s="162"/>
      <c r="C7" s="162"/>
      <c r="D7" s="162"/>
      <c r="E7" t="s">
        <v>80</v>
      </c>
    </row>
    <row r="8" spans="1:8" ht="18">
      <c r="A8" s="159" t="s">
        <v>81</v>
      </c>
      <c r="B8" s="159"/>
      <c r="C8" s="159"/>
      <c r="E8" t="s">
        <v>82</v>
      </c>
    </row>
    <row r="9" spans="1:8" ht="18">
      <c r="A9" s="159" t="s">
        <v>83</v>
      </c>
      <c r="B9" s="159"/>
      <c r="C9" s="159"/>
      <c r="D9" s="159"/>
      <c r="E9" t="s">
        <v>84</v>
      </c>
    </row>
    <row r="10" spans="1:8" ht="18">
      <c r="A10" s="159" t="s">
        <v>85</v>
      </c>
      <c r="B10" s="159"/>
      <c r="C10" s="159"/>
      <c r="D10" s="159"/>
      <c r="E10" t="s">
        <v>86</v>
      </c>
    </row>
    <row r="11" spans="1:8" ht="2.25" customHeight="1"/>
    <row r="12" spans="1:8" ht="15.75" thickBot="1"/>
    <row r="13" spans="1:8" ht="15.75" customHeight="1">
      <c r="A13" s="26" t="s">
        <v>72</v>
      </c>
      <c r="B13" s="27">
        <v>2</v>
      </c>
      <c r="C13" s="27">
        <v>4</v>
      </c>
      <c r="D13" s="27">
        <v>6</v>
      </c>
      <c r="E13" s="27">
        <v>8</v>
      </c>
      <c r="F13" s="27">
        <v>11</v>
      </c>
      <c r="G13" s="27" t="s">
        <v>93</v>
      </c>
      <c r="H13" s="28">
        <v>20</v>
      </c>
    </row>
    <row r="14" spans="1:8">
      <c r="A14" s="29" t="s">
        <v>73</v>
      </c>
      <c r="B14" s="30">
        <v>20</v>
      </c>
      <c r="C14" s="30">
        <v>16.5</v>
      </c>
      <c r="D14" s="30">
        <v>15</v>
      </c>
      <c r="E14" s="30">
        <v>14.5</v>
      </c>
      <c r="F14" s="30">
        <v>14</v>
      </c>
      <c r="G14" s="30">
        <v>14</v>
      </c>
      <c r="H14" s="31">
        <v>14</v>
      </c>
    </row>
    <row r="15" spans="1:8" ht="15.75" thickBot="1">
      <c r="A15" s="32" t="s">
        <v>74</v>
      </c>
      <c r="B15" s="33">
        <v>10</v>
      </c>
      <c r="C15" s="33">
        <v>8.25</v>
      </c>
      <c r="D15" s="33">
        <v>7.5</v>
      </c>
      <c r="E15" s="33">
        <v>7.25</v>
      </c>
      <c r="F15" s="33">
        <v>7</v>
      </c>
      <c r="G15" s="33">
        <v>7</v>
      </c>
      <c r="H15" s="34">
        <v>7</v>
      </c>
    </row>
    <row r="17" spans="1:13" ht="2.25" customHeight="1"/>
    <row r="18" spans="1:13">
      <c r="A18" s="163" t="s">
        <v>65</v>
      </c>
      <c r="B18" s="163"/>
      <c r="C18" s="163"/>
      <c r="D18" s="163"/>
      <c r="E18" s="163"/>
    </row>
    <row r="20" spans="1:13">
      <c r="A20" t="s">
        <v>95</v>
      </c>
      <c r="B20" s="1"/>
      <c r="C20" t="s">
        <v>3</v>
      </c>
    </row>
    <row r="21" spans="1:13">
      <c r="A21" t="s">
        <v>96</v>
      </c>
      <c r="B21" s="1"/>
      <c r="C21" t="s">
        <v>3</v>
      </c>
    </row>
    <row r="22" spans="1:13">
      <c r="A22" s="2" t="s">
        <v>73</v>
      </c>
      <c r="B22" t="str">
        <f>IF(OR(B20="",B21=""),"",B20-B21)</f>
        <v/>
      </c>
      <c r="C22" t="s">
        <v>3</v>
      </c>
    </row>
    <row r="23" spans="1:13">
      <c r="A23" s="38" t="s">
        <v>97</v>
      </c>
    </row>
    <row r="24" spans="1:13">
      <c r="A24" s="2" t="s">
        <v>94</v>
      </c>
      <c r="B24" s="1"/>
      <c r="C24" t="s">
        <v>6</v>
      </c>
    </row>
    <row r="25" spans="1:13">
      <c r="A25" s="2" t="s">
        <v>99</v>
      </c>
      <c r="B25" s="1"/>
    </row>
    <row r="26" spans="1:13" ht="15.75" thickBot="1"/>
    <row r="27" spans="1:13" ht="39.75" customHeight="1" thickBot="1">
      <c r="A27" s="39" t="s">
        <v>66</v>
      </c>
      <c r="B27" s="40" t="s">
        <v>88</v>
      </c>
      <c r="C27" s="40" t="s">
        <v>87</v>
      </c>
      <c r="D27" s="35" t="s">
        <v>89</v>
      </c>
      <c r="E27" s="40" t="s">
        <v>90</v>
      </c>
      <c r="F27" s="40" t="s">
        <v>91</v>
      </c>
      <c r="G27" s="41" t="s">
        <v>92</v>
      </c>
      <c r="H27" s="42" t="s">
        <v>67</v>
      </c>
      <c r="I27" s="70" t="s">
        <v>68</v>
      </c>
      <c r="J27" s="40" t="s">
        <v>69</v>
      </c>
      <c r="K27" s="43" t="s">
        <v>70</v>
      </c>
      <c r="L27" s="71" t="s">
        <v>98</v>
      </c>
      <c r="M27" s="44" t="s">
        <v>71</v>
      </c>
    </row>
    <row r="28" spans="1:13">
      <c r="A28" s="60"/>
      <c r="B28" s="61"/>
      <c r="C28" s="46" t="str">
        <f>IF($B$24="","",(B28*3600)/(4187*$B$24))</f>
        <v/>
      </c>
      <c r="D28" s="46" t="str">
        <f>IF(OR(B28="",$B$22="",$B$39=""),"",(B28*$B$22)/$B$39)</f>
        <v/>
      </c>
      <c r="E28" s="46" t="str">
        <f>IF(B20="","",B20)</f>
        <v/>
      </c>
      <c r="F28" s="46" t="str">
        <f>IF(OR($B$24="",E28="",A28=""),"",E28-($B$24/2))</f>
        <v/>
      </c>
      <c r="G28" s="66"/>
      <c r="H28" s="55" t="str">
        <f>IF(OR(G28="",F28=""),"",F28-G28)</f>
        <v/>
      </c>
      <c r="I28" s="46" t="str">
        <f>IF(OR($B$23="",H28=""),"",(H28/50)^$B$23)</f>
        <v/>
      </c>
      <c r="J28" s="46" t="str">
        <f>IF(OR(B28="",I28=""),"",B28/I28)</f>
        <v/>
      </c>
      <c r="K28" s="61"/>
      <c r="L28" s="66"/>
      <c r="M28" s="51" t="str">
        <f>IF(OR(I28="",L28=""),"",L28*I28)</f>
        <v/>
      </c>
    </row>
    <row r="29" spans="1:13">
      <c r="A29" s="62"/>
      <c r="B29" s="63"/>
      <c r="C29" s="47" t="str">
        <f t="shared" ref="C29:C38" si="0">IF($B$24="","",(B29*3600)/(4187*$B$24))</f>
        <v/>
      </c>
      <c r="D29" s="49" t="str">
        <f t="shared" ref="D29:D38" si="1">IF(OR(B29="",$B$22="",$B$39=""),"",(B29*$B$22)/$B$39)</f>
        <v/>
      </c>
      <c r="E29" s="49" t="str">
        <f>IF(OR(E28="",D28=""),"",E28-D28)</f>
        <v/>
      </c>
      <c r="F29" s="49" t="str">
        <f t="shared" ref="F29:F38" si="2">IF(OR($B$24="",E29="",A29=""),"",E29-($B$24/2))</f>
        <v/>
      </c>
      <c r="G29" s="67"/>
      <c r="H29" s="56" t="str">
        <f t="shared" ref="H29:H39" si="3">IF(OR(G29="",F29=""),"",F29-G29)</f>
        <v/>
      </c>
      <c r="I29" s="47" t="str">
        <f t="shared" ref="I29:I38" si="4">IF(OR($B$23="",H29=""),"",(H29/50)^$B$23)</f>
        <v/>
      </c>
      <c r="J29" s="47" t="str">
        <f t="shared" ref="J29:J38" si="5">IF(OR(B29="",I29=""),"",B29/I29)</f>
        <v/>
      </c>
      <c r="K29" s="63"/>
      <c r="L29" s="67"/>
      <c r="M29" s="85" t="str">
        <f t="shared" ref="M29:M38" si="6">IF(OR(I29="",L29=""),"",L29*I29)</f>
        <v/>
      </c>
    </row>
    <row r="30" spans="1:13">
      <c r="A30" s="62"/>
      <c r="B30" s="63"/>
      <c r="C30" s="47" t="str">
        <f t="shared" si="0"/>
        <v/>
      </c>
      <c r="D30" s="49" t="str">
        <f t="shared" si="1"/>
        <v/>
      </c>
      <c r="E30" s="49" t="str">
        <f t="shared" ref="E30:E38" si="7">IF(OR(E29="",D29=""),"",E29-D29)</f>
        <v/>
      </c>
      <c r="F30" s="49" t="str">
        <f t="shared" si="2"/>
        <v/>
      </c>
      <c r="G30" s="67"/>
      <c r="H30" s="56" t="str">
        <f t="shared" si="3"/>
        <v/>
      </c>
      <c r="I30" s="47" t="str">
        <f t="shared" si="4"/>
        <v/>
      </c>
      <c r="J30" s="47" t="str">
        <f t="shared" si="5"/>
        <v/>
      </c>
      <c r="K30" s="63"/>
      <c r="L30" s="67"/>
      <c r="M30" s="85" t="str">
        <f t="shared" si="6"/>
        <v/>
      </c>
    </row>
    <row r="31" spans="1:13">
      <c r="A31" s="62"/>
      <c r="B31" s="63"/>
      <c r="C31" s="47" t="str">
        <f t="shared" si="0"/>
        <v/>
      </c>
      <c r="D31" s="49" t="str">
        <f t="shared" si="1"/>
        <v/>
      </c>
      <c r="E31" s="49" t="str">
        <f t="shared" si="7"/>
        <v/>
      </c>
      <c r="F31" s="49" t="str">
        <f t="shared" si="2"/>
        <v/>
      </c>
      <c r="G31" s="67"/>
      <c r="H31" s="56" t="str">
        <f t="shared" si="3"/>
        <v/>
      </c>
      <c r="I31" s="47" t="str">
        <f t="shared" si="4"/>
        <v/>
      </c>
      <c r="J31" s="47" t="str">
        <f t="shared" si="5"/>
        <v/>
      </c>
      <c r="K31" s="63"/>
      <c r="L31" s="67"/>
      <c r="M31" s="85" t="str">
        <f t="shared" si="6"/>
        <v/>
      </c>
    </row>
    <row r="32" spans="1:13">
      <c r="A32" s="62"/>
      <c r="B32" s="63"/>
      <c r="C32" s="47" t="str">
        <f t="shared" si="0"/>
        <v/>
      </c>
      <c r="D32" s="49" t="str">
        <f t="shared" si="1"/>
        <v/>
      </c>
      <c r="E32" s="49" t="str">
        <f t="shared" si="7"/>
        <v/>
      </c>
      <c r="F32" s="49" t="str">
        <f t="shared" si="2"/>
        <v/>
      </c>
      <c r="G32" s="67"/>
      <c r="H32" s="56" t="str">
        <f t="shared" si="3"/>
        <v/>
      </c>
      <c r="I32" s="47" t="str">
        <f t="shared" si="4"/>
        <v/>
      </c>
      <c r="J32" s="47" t="str">
        <f t="shared" si="5"/>
        <v/>
      </c>
      <c r="K32" s="63"/>
      <c r="L32" s="67"/>
      <c r="M32" s="85" t="str">
        <f t="shared" si="6"/>
        <v/>
      </c>
    </row>
    <row r="33" spans="1:13">
      <c r="A33" s="62"/>
      <c r="B33" s="63"/>
      <c r="C33" s="47" t="str">
        <f t="shared" si="0"/>
        <v/>
      </c>
      <c r="D33" s="49" t="str">
        <f t="shared" si="1"/>
        <v/>
      </c>
      <c r="E33" s="49" t="str">
        <f t="shared" si="7"/>
        <v/>
      </c>
      <c r="F33" s="49" t="str">
        <f t="shared" si="2"/>
        <v/>
      </c>
      <c r="G33" s="67"/>
      <c r="H33" s="56" t="str">
        <f t="shared" si="3"/>
        <v/>
      </c>
      <c r="I33" s="47" t="str">
        <f t="shared" si="4"/>
        <v/>
      </c>
      <c r="J33" s="47" t="str">
        <f t="shared" si="5"/>
        <v/>
      </c>
      <c r="K33" s="63"/>
      <c r="L33" s="67"/>
      <c r="M33" s="85" t="str">
        <f t="shared" si="6"/>
        <v/>
      </c>
    </row>
    <row r="34" spans="1:13">
      <c r="A34" s="62"/>
      <c r="B34" s="63"/>
      <c r="C34" s="47" t="str">
        <f t="shared" si="0"/>
        <v/>
      </c>
      <c r="D34" s="49" t="str">
        <f t="shared" si="1"/>
        <v/>
      </c>
      <c r="E34" s="49" t="str">
        <f t="shared" si="7"/>
        <v/>
      </c>
      <c r="F34" s="49" t="str">
        <f t="shared" si="2"/>
        <v/>
      </c>
      <c r="G34" s="67"/>
      <c r="H34" s="56" t="str">
        <f t="shared" si="3"/>
        <v/>
      </c>
      <c r="I34" s="47" t="str">
        <f t="shared" si="4"/>
        <v/>
      </c>
      <c r="J34" s="47" t="str">
        <f t="shared" si="5"/>
        <v/>
      </c>
      <c r="K34" s="63"/>
      <c r="L34" s="67"/>
      <c r="M34" s="85" t="str">
        <f t="shared" si="6"/>
        <v/>
      </c>
    </row>
    <row r="35" spans="1:13">
      <c r="A35" s="62"/>
      <c r="B35" s="63"/>
      <c r="C35" s="47" t="str">
        <f t="shared" si="0"/>
        <v/>
      </c>
      <c r="D35" s="49" t="str">
        <f t="shared" si="1"/>
        <v/>
      </c>
      <c r="E35" s="49" t="str">
        <f t="shared" si="7"/>
        <v/>
      </c>
      <c r="F35" s="49" t="str">
        <f t="shared" si="2"/>
        <v/>
      </c>
      <c r="G35" s="67"/>
      <c r="H35" s="56" t="str">
        <f t="shared" si="3"/>
        <v/>
      </c>
      <c r="I35" s="47" t="str">
        <f t="shared" si="4"/>
        <v/>
      </c>
      <c r="J35" s="47" t="str">
        <f t="shared" si="5"/>
        <v/>
      </c>
      <c r="K35" s="63"/>
      <c r="L35" s="67"/>
      <c r="M35" s="85" t="str">
        <f t="shared" si="6"/>
        <v/>
      </c>
    </row>
    <row r="36" spans="1:13">
      <c r="A36" s="62"/>
      <c r="B36" s="63"/>
      <c r="C36" s="47" t="str">
        <f t="shared" si="0"/>
        <v/>
      </c>
      <c r="D36" s="49" t="str">
        <f t="shared" si="1"/>
        <v/>
      </c>
      <c r="E36" s="49" t="str">
        <f t="shared" si="7"/>
        <v/>
      </c>
      <c r="F36" s="49" t="str">
        <f t="shared" si="2"/>
        <v/>
      </c>
      <c r="G36" s="67"/>
      <c r="H36" s="56" t="str">
        <f t="shared" si="3"/>
        <v/>
      </c>
      <c r="I36" s="47" t="str">
        <f t="shared" si="4"/>
        <v/>
      </c>
      <c r="J36" s="47" t="str">
        <f t="shared" si="5"/>
        <v/>
      </c>
      <c r="K36" s="63"/>
      <c r="L36" s="67"/>
      <c r="M36" s="85" t="str">
        <f t="shared" si="6"/>
        <v/>
      </c>
    </row>
    <row r="37" spans="1:13">
      <c r="A37" s="62"/>
      <c r="B37" s="63"/>
      <c r="C37" s="47" t="str">
        <f t="shared" si="0"/>
        <v/>
      </c>
      <c r="D37" s="49" t="str">
        <f t="shared" si="1"/>
        <v/>
      </c>
      <c r="E37" s="49" t="str">
        <f t="shared" si="7"/>
        <v/>
      </c>
      <c r="F37" s="49" t="str">
        <f t="shared" si="2"/>
        <v/>
      </c>
      <c r="G37" s="67"/>
      <c r="H37" s="56" t="str">
        <f t="shared" si="3"/>
        <v/>
      </c>
      <c r="I37" s="47" t="str">
        <f t="shared" si="4"/>
        <v/>
      </c>
      <c r="J37" s="47" t="str">
        <f t="shared" si="5"/>
        <v/>
      </c>
      <c r="K37" s="63"/>
      <c r="L37" s="67"/>
      <c r="M37" s="85" t="str">
        <f t="shared" si="6"/>
        <v/>
      </c>
    </row>
    <row r="38" spans="1:13" ht="15.75" thickBot="1">
      <c r="A38" s="64"/>
      <c r="B38" s="65"/>
      <c r="C38" s="48" t="str">
        <f t="shared" si="0"/>
        <v/>
      </c>
      <c r="D38" s="50" t="str">
        <f t="shared" si="1"/>
        <v/>
      </c>
      <c r="E38" s="50" t="str">
        <f t="shared" si="7"/>
        <v/>
      </c>
      <c r="F38" s="50" t="str">
        <f t="shared" si="2"/>
        <v/>
      </c>
      <c r="G38" s="68"/>
      <c r="H38" s="57" t="str">
        <f t="shared" si="3"/>
        <v/>
      </c>
      <c r="I38" s="48" t="str">
        <f t="shared" si="4"/>
        <v/>
      </c>
      <c r="J38" s="48" t="str">
        <f t="shared" si="5"/>
        <v/>
      </c>
      <c r="K38" s="65"/>
      <c r="L38" s="68"/>
      <c r="M38" s="53" t="str">
        <f t="shared" si="6"/>
        <v/>
      </c>
    </row>
    <row r="39" spans="1:13" ht="15.75" thickBot="1">
      <c r="A39" s="23"/>
      <c r="B39" s="69">
        <f>SUM(B28:B38)</f>
        <v>0</v>
      </c>
      <c r="C39" s="36"/>
      <c r="D39" s="36"/>
      <c r="E39" s="48"/>
      <c r="F39" s="48" t="str">
        <f>IF(B25="","",SUM(F28:F38)/B25)</f>
        <v/>
      </c>
      <c r="G39" s="45"/>
      <c r="H39" s="23" t="str">
        <f t="shared" si="3"/>
        <v/>
      </c>
      <c r="I39" s="36"/>
      <c r="J39" s="36"/>
      <c r="K39" s="36"/>
      <c r="L39" s="45"/>
      <c r="M39" s="59">
        <f>SUM(M28:M38)</f>
        <v>0</v>
      </c>
    </row>
    <row r="44" spans="1:13">
      <c r="A44" s="163" t="s">
        <v>100</v>
      </c>
      <c r="B44" s="163"/>
      <c r="C44" s="163"/>
      <c r="D44" s="163"/>
    </row>
    <row r="45" spans="1:13">
      <c r="D45" t="s">
        <v>104</v>
      </c>
      <c r="E45" s="1"/>
    </row>
    <row r="46" spans="1:13">
      <c r="A46" t="s">
        <v>95</v>
      </c>
      <c r="B46" s="1"/>
      <c r="C46" t="s">
        <v>3</v>
      </c>
      <c r="D46" s="2" t="s">
        <v>102</v>
      </c>
      <c r="E46" s="1"/>
    </row>
    <row r="47" spans="1:13">
      <c r="A47" t="s">
        <v>96</v>
      </c>
      <c r="B47" s="1"/>
      <c r="C47" t="s">
        <v>3</v>
      </c>
    </row>
    <row r="48" spans="1:13">
      <c r="A48" s="2" t="s">
        <v>73</v>
      </c>
      <c r="B48" t="str">
        <f>IF(OR(B46="",B47=""),"",B46-B47)</f>
        <v/>
      </c>
      <c r="C48" t="s">
        <v>3</v>
      </c>
    </row>
    <row r="49" spans="1:13">
      <c r="A49" s="2" t="s">
        <v>101</v>
      </c>
      <c r="B49" s="54" t="str">
        <f>IF(OR(B48="",B65=""),"",(B65*3600)/(B48*4187))</f>
        <v/>
      </c>
      <c r="C49" t="s">
        <v>36</v>
      </c>
    </row>
    <row r="50" spans="1:13">
      <c r="A50" s="2" t="s">
        <v>103</v>
      </c>
      <c r="B50" s="54" t="str">
        <f>IF(OR(B49="",E46=""),"",(2*B49)/E46)</f>
        <v/>
      </c>
      <c r="C50" t="s">
        <v>36</v>
      </c>
    </row>
    <row r="51" spans="1:13">
      <c r="A51" s="2" t="s">
        <v>25</v>
      </c>
      <c r="B51" t="s">
        <v>25</v>
      </c>
    </row>
    <row r="52" spans="1:13" ht="15.75" thickBot="1"/>
    <row r="53" spans="1:13" ht="39.75" customHeight="1" thickBot="1">
      <c r="A53" s="76" t="s">
        <v>66</v>
      </c>
      <c r="B53" s="77" t="s">
        <v>88</v>
      </c>
      <c r="C53" s="78" t="s">
        <v>94</v>
      </c>
      <c r="D53" s="78" t="s">
        <v>89</v>
      </c>
      <c r="E53" s="77" t="s">
        <v>90</v>
      </c>
      <c r="F53" s="77" t="s">
        <v>91</v>
      </c>
      <c r="G53" s="79" t="s">
        <v>92</v>
      </c>
      <c r="H53" s="80" t="s">
        <v>67</v>
      </c>
      <c r="I53" s="81" t="s">
        <v>68</v>
      </c>
      <c r="J53" s="77" t="s">
        <v>69</v>
      </c>
      <c r="K53" s="82" t="s">
        <v>70</v>
      </c>
      <c r="L53" s="83" t="s">
        <v>98</v>
      </c>
      <c r="M53" s="84" t="s">
        <v>71</v>
      </c>
    </row>
    <row r="54" spans="1:13">
      <c r="A54" s="72"/>
      <c r="B54" s="73"/>
      <c r="C54" s="47" t="str">
        <f>IF(OR($B$50="",B54=""),"",(B54*3600)/($B$50*4187))</f>
        <v/>
      </c>
      <c r="D54" s="47" t="str">
        <f>IF(OR($B$48="",B54="",$B$65=""),"",B54*$B$48/$B$65)</f>
        <v/>
      </c>
      <c r="E54" s="47" t="str">
        <f>IF(B46="","",B46)</f>
        <v/>
      </c>
      <c r="F54" s="47" t="str">
        <f>IF(OR(C54="",E54="",A54=""),"",E54-(C54/2))</f>
        <v/>
      </c>
      <c r="G54" s="74"/>
      <c r="H54" s="56" t="str">
        <f>IF(OR(G54="",F54=""),"",F54-G54)</f>
        <v/>
      </c>
      <c r="I54" s="47" t="str">
        <f>IF(OR($E$45="",H54=""),"",(H54/50)^$E$45)</f>
        <v/>
      </c>
      <c r="J54" s="47" t="str">
        <f>IF(OR(B54="",I54=""),"",B54/I54)</f>
        <v/>
      </c>
      <c r="K54" s="73"/>
      <c r="L54" s="75"/>
      <c r="M54" s="52" t="str">
        <f>IF(OR(I54="",L54=""),"",L54*I54)</f>
        <v/>
      </c>
    </row>
    <row r="55" spans="1:13">
      <c r="A55" s="62"/>
      <c r="B55" s="63"/>
      <c r="C55" s="49" t="str">
        <f t="shared" ref="C55:C64" si="8">IF(OR($B$50="",B55=""),"",(B55*3600)/($B$50*4187))</f>
        <v/>
      </c>
      <c r="D55" s="49" t="str">
        <f t="shared" ref="D55:D64" si="9">IF(OR($B$48="",B55="",$B$65=""),"",B55*$B$48/$B$65)</f>
        <v/>
      </c>
      <c r="E55" s="49" t="str">
        <f>IF(OR(E54="",D54=""),"",E54-D54)</f>
        <v/>
      </c>
      <c r="F55" s="49" t="str">
        <f t="shared" ref="F55:F64" si="10">IF(OR(C55="",E55="",A55=""),"",E55-(C55/2))</f>
        <v/>
      </c>
      <c r="G55" s="37"/>
      <c r="H55" s="56" t="str">
        <f t="shared" ref="H55:H64" si="11">IF(OR(G55="",F55=""),"",F55-G55)</f>
        <v/>
      </c>
      <c r="I55" s="49" t="str">
        <f t="shared" ref="I55:I64" si="12">IF(OR($E$45="",H55=""),"",(H55/50)^$E$45)</f>
        <v/>
      </c>
      <c r="J55" s="47" t="str">
        <f t="shared" ref="J55:J64" si="13">IF(OR(B55="",I55=""),"",B55/I55)</f>
        <v/>
      </c>
      <c r="K55" s="63"/>
      <c r="L55" s="67"/>
      <c r="M55" s="52" t="str">
        <f t="shared" ref="M55:M64" si="14">IF(OR(I55="",L55=""),"",L55*I55)</f>
        <v/>
      </c>
    </row>
    <row r="56" spans="1:13">
      <c r="A56" s="62"/>
      <c r="B56" s="63"/>
      <c r="C56" s="49" t="str">
        <f t="shared" si="8"/>
        <v/>
      </c>
      <c r="D56" s="49" t="str">
        <f t="shared" si="9"/>
        <v/>
      </c>
      <c r="E56" s="49" t="str">
        <f t="shared" ref="E56:E64" si="15">IF(OR(E55="",D55=""),"",E55-D55)</f>
        <v/>
      </c>
      <c r="F56" s="49" t="str">
        <f t="shared" si="10"/>
        <v/>
      </c>
      <c r="G56" s="37"/>
      <c r="H56" s="56" t="str">
        <f t="shared" si="11"/>
        <v/>
      </c>
      <c r="I56" s="49" t="str">
        <f t="shared" si="12"/>
        <v/>
      </c>
      <c r="J56" s="47" t="str">
        <f t="shared" si="13"/>
        <v/>
      </c>
      <c r="K56" s="63"/>
      <c r="L56" s="67"/>
      <c r="M56" s="52" t="str">
        <f t="shared" si="14"/>
        <v/>
      </c>
    </row>
    <row r="57" spans="1:13">
      <c r="A57" s="62"/>
      <c r="B57" s="63"/>
      <c r="C57" s="49" t="str">
        <f t="shared" si="8"/>
        <v/>
      </c>
      <c r="D57" s="49" t="str">
        <f t="shared" si="9"/>
        <v/>
      </c>
      <c r="E57" s="49" t="str">
        <f t="shared" si="15"/>
        <v/>
      </c>
      <c r="F57" s="49" t="str">
        <f t="shared" si="10"/>
        <v/>
      </c>
      <c r="G57" s="37"/>
      <c r="H57" s="56" t="str">
        <f t="shared" si="11"/>
        <v/>
      </c>
      <c r="I57" s="49" t="str">
        <f t="shared" si="12"/>
        <v/>
      </c>
      <c r="J57" s="47" t="str">
        <f t="shared" si="13"/>
        <v/>
      </c>
      <c r="K57" s="63"/>
      <c r="L57" s="67"/>
      <c r="M57" s="52" t="str">
        <f t="shared" si="14"/>
        <v/>
      </c>
    </row>
    <row r="58" spans="1:13">
      <c r="A58" s="62"/>
      <c r="B58" s="63"/>
      <c r="C58" s="49" t="str">
        <f t="shared" si="8"/>
        <v/>
      </c>
      <c r="D58" s="49" t="str">
        <f t="shared" si="9"/>
        <v/>
      </c>
      <c r="E58" s="49" t="str">
        <f t="shared" si="15"/>
        <v/>
      </c>
      <c r="F58" s="49" t="str">
        <f t="shared" si="10"/>
        <v/>
      </c>
      <c r="G58" s="37"/>
      <c r="H58" s="56" t="str">
        <f t="shared" si="11"/>
        <v/>
      </c>
      <c r="I58" s="49" t="str">
        <f t="shared" si="12"/>
        <v/>
      </c>
      <c r="J58" s="47" t="str">
        <f t="shared" si="13"/>
        <v/>
      </c>
      <c r="K58" s="63"/>
      <c r="L58" s="67"/>
      <c r="M58" s="52" t="str">
        <f t="shared" si="14"/>
        <v/>
      </c>
    </row>
    <row r="59" spans="1:13">
      <c r="A59" s="62"/>
      <c r="B59" s="63"/>
      <c r="C59" s="49" t="str">
        <f t="shared" si="8"/>
        <v/>
      </c>
      <c r="D59" s="49" t="str">
        <f t="shared" si="9"/>
        <v/>
      </c>
      <c r="E59" s="49" t="str">
        <f t="shared" si="15"/>
        <v/>
      </c>
      <c r="F59" s="49" t="str">
        <f t="shared" si="10"/>
        <v/>
      </c>
      <c r="G59" s="37"/>
      <c r="H59" s="56" t="str">
        <f t="shared" si="11"/>
        <v/>
      </c>
      <c r="I59" s="49" t="str">
        <f t="shared" si="12"/>
        <v/>
      </c>
      <c r="J59" s="47" t="str">
        <f t="shared" si="13"/>
        <v/>
      </c>
      <c r="K59" s="63"/>
      <c r="L59" s="67"/>
      <c r="M59" s="52" t="str">
        <f t="shared" si="14"/>
        <v/>
      </c>
    </row>
    <row r="60" spans="1:13">
      <c r="A60" s="62"/>
      <c r="B60" s="63"/>
      <c r="C60" s="49" t="str">
        <f t="shared" si="8"/>
        <v/>
      </c>
      <c r="D60" s="49" t="str">
        <f t="shared" si="9"/>
        <v/>
      </c>
      <c r="E60" s="49" t="str">
        <f t="shared" si="15"/>
        <v/>
      </c>
      <c r="F60" s="49" t="str">
        <f t="shared" si="10"/>
        <v/>
      </c>
      <c r="G60" s="37"/>
      <c r="H60" s="56" t="str">
        <f t="shared" si="11"/>
        <v/>
      </c>
      <c r="I60" s="49" t="str">
        <f t="shared" si="12"/>
        <v/>
      </c>
      <c r="J60" s="47" t="str">
        <f t="shared" si="13"/>
        <v/>
      </c>
      <c r="K60" s="63"/>
      <c r="L60" s="67"/>
      <c r="M60" s="52" t="str">
        <f t="shared" si="14"/>
        <v/>
      </c>
    </row>
    <row r="61" spans="1:13">
      <c r="A61" s="62"/>
      <c r="B61" s="63"/>
      <c r="C61" s="49" t="str">
        <f t="shared" si="8"/>
        <v/>
      </c>
      <c r="D61" s="49" t="str">
        <f t="shared" si="9"/>
        <v/>
      </c>
      <c r="E61" s="49" t="str">
        <f t="shared" si="15"/>
        <v/>
      </c>
      <c r="F61" s="49" t="str">
        <f t="shared" si="10"/>
        <v/>
      </c>
      <c r="G61" s="37"/>
      <c r="H61" s="56" t="str">
        <f t="shared" si="11"/>
        <v/>
      </c>
      <c r="I61" s="49" t="str">
        <f t="shared" si="12"/>
        <v/>
      </c>
      <c r="J61" s="47" t="str">
        <f t="shared" si="13"/>
        <v/>
      </c>
      <c r="K61" s="63"/>
      <c r="L61" s="67"/>
      <c r="M61" s="52" t="str">
        <f t="shared" si="14"/>
        <v/>
      </c>
    </row>
    <row r="62" spans="1:13">
      <c r="A62" s="62"/>
      <c r="B62" s="63"/>
      <c r="C62" s="49" t="str">
        <f t="shared" si="8"/>
        <v/>
      </c>
      <c r="D62" s="49" t="str">
        <f t="shared" si="9"/>
        <v/>
      </c>
      <c r="E62" s="49" t="str">
        <f t="shared" si="15"/>
        <v/>
      </c>
      <c r="F62" s="49" t="str">
        <f t="shared" si="10"/>
        <v/>
      </c>
      <c r="G62" s="37"/>
      <c r="H62" s="56" t="str">
        <f t="shared" si="11"/>
        <v/>
      </c>
      <c r="I62" s="49" t="str">
        <f t="shared" si="12"/>
        <v/>
      </c>
      <c r="J62" s="47" t="str">
        <f t="shared" si="13"/>
        <v/>
      </c>
      <c r="K62" s="63"/>
      <c r="L62" s="67"/>
      <c r="M62" s="52" t="str">
        <f t="shared" si="14"/>
        <v/>
      </c>
    </row>
    <row r="63" spans="1:13">
      <c r="A63" s="62"/>
      <c r="B63" s="63"/>
      <c r="C63" s="49" t="str">
        <f t="shared" si="8"/>
        <v/>
      </c>
      <c r="D63" s="49" t="str">
        <f t="shared" si="9"/>
        <v/>
      </c>
      <c r="E63" s="49" t="str">
        <f t="shared" si="15"/>
        <v/>
      </c>
      <c r="F63" s="49" t="str">
        <f t="shared" si="10"/>
        <v/>
      </c>
      <c r="G63" s="37"/>
      <c r="H63" s="56" t="str">
        <f t="shared" si="11"/>
        <v/>
      </c>
      <c r="I63" s="49" t="str">
        <f t="shared" si="12"/>
        <v/>
      </c>
      <c r="J63" s="47" t="str">
        <f t="shared" si="13"/>
        <v/>
      </c>
      <c r="K63" s="63"/>
      <c r="L63" s="67"/>
      <c r="M63" s="52" t="str">
        <f t="shared" si="14"/>
        <v/>
      </c>
    </row>
    <row r="64" spans="1:13" ht="15.75" thickBot="1">
      <c r="A64" s="64"/>
      <c r="B64" s="65"/>
      <c r="C64" s="49" t="str">
        <f t="shared" si="8"/>
        <v/>
      </c>
      <c r="D64" s="49" t="str">
        <f t="shared" si="9"/>
        <v/>
      </c>
      <c r="E64" s="50" t="str">
        <f t="shared" si="15"/>
        <v/>
      </c>
      <c r="F64" s="50" t="str">
        <f t="shared" si="10"/>
        <v/>
      </c>
      <c r="G64" s="25"/>
      <c r="H64" s="57" t="str">
        <f t="shared" si="11"/>
        <v/>
      </c>
      <c r="I64" s="50" t="str">
        <f t="shared" si="12"/>
        <v/>
      </c>
      <c r="J64" s="48" t="str">
        <f t="shared" si="13"/>
        <v/>
      </c>
      <c r="K64" s="65"/>
      <c r="L64" s="68"/>
      <c r="M64" s="52" t="str">
        <f t="shared" si="14"/>
        <v/>
      </c>
    </row>
    <row r="65" spans="1:13" ht="15.75" thickBot="1">
      <c r="A65" s="23"/>
      <c r="B65" s="69">
        <f>SUM(B54:B64)</f>
        <v>0</v>
      </c>
      <c r="C65" s="36"/>
      <c r="D65" s="36"/>
      <c r="E65" s="48"/>
      <c r="F65" s="48" t="str">
        <f>IF(E46="","",SUM(F54:F64)/E46)</f>
        <v/>
      </c>
      <c r="G65" s="45"/>
      <c r="H65" s="23" t="s">
        <v>25</v>
      </c>
      <c r="I65" s="36"/>
      <c r="J65" s="36"/>
      <c r="K65" s="36"/>
      <c r="L65" s="45"/>
      <c r="M65" s="58">
        <f>SUM(M54:M64)</f>
        <v>0</v>
      </c>
    </row>
  </sheetData>
  <mergeCells count="9">
    <mergeCell ref="C1:G1"/>
    <mergeCell ref="A44:D44"/>
    <mergeCell ref="A18:E18"/>
    <mergeCell ref="A5:B5"/>
    <mergeCell ref="A7:D7"/>
    <mergeCell ref="A6:B6"/>
    <mergeCell ref="A8:C8"/>
    <mergeCell ref="A9:D9"/>
    <mergeCell ref="A10:D10"/>
  </mergeCells>
  <conditionalFormatting sqref="M54:M64">
    <cfRule type="expression" dxfId="6" priority="3">
      <formula>si+$M$54&lt;$B$54-10</formula>
    </cfRule>
    <cfRule type="expression" dxfId="5" priority="2">
      <formula>M54&lt;(B54-10)</formula>
    </cfRule>
  </conditionalFormatting>
  <conditionalFormatting sqref="M28:M38">
    <cfRule type="expression" dxfId="4" priority="1">
      <formula>M28&lt;(B28-10)</formula>
    </cfRule>
  </conditionalFormatting>
  <pageMargins left="0.19685039370078741" right="0.19685039370078741" top="0.19685039370078741" bottom="0.19685039370078741" header="0.31496062992125984" footer="0.31496062992125984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5:AB57"/>
  <sheetViews>
    <sheetView workbookViewId="0">
      <selection activeCell="A6" sqref="A6:XFD56"/>
    </sheetView>
  </sheetViews>
  <sheetFormatPr baseColWidth="10" defaultRowHeight="15"/>
  <cols>
    <col min="1" max="1" width="8" customWidth="1"/>
    <col min="2" max="2" width="8.5703125" customWidth="1"/>
    <col min="5" max="5" width="7.85546875" customWidth="1"/>
    <col min="6" max="6" width="10.85546875" customWidth="1"/>
    <col min="7" max="7" width="8.140625" customWidth="1"/>
    <col min="8" max="8" width="7.42578125" customWidth="1"/>
    <col min="9" max="9" width="8.7109375" customWidth="1"/>
    <col min="10" max="10" width="7.5703125" customWidth="1"/>
    <col min="11" max="11" width="9.140625" customWidth="1"/>
    <col min="12" max="12" width="10.28515625" customWidth="1"/>
    <col min="13" max="13" width="15.85546875" customWidth="1"/>
    <col min="14" max="14" width="7.7109375" customWidth="1"/>
    <col min="15" max="15" width="9.42578125" customWidth="1"/>
    <col min="16" max="16" width="10.140625" customWidth="1"/>
    <col min="18" max="18" width="17.140625" customWidth="1"/>
    <col min="28" max="28" width="12.28515625" customWidth="1"/>
  </cols>
  <sheetData>
    <row r="5" spans="1:28">
      <c r="A5" s="124" t="s">
        <v>25</v>
      </c>
      <c r="B5" s="86"/>
      <c r="C5" s="86"/>
      <c r="D5" s="152"/>
      <c r="E5" s="86"/>
      <c r="F5" s="86"/>
    </row>
    <row r="6" spans="1:28" ht="21">
      <c r="I6" s="218" t="s">
        <v>150</v>
      </c>
      <c r="J6" s="218"/>
      <c r="K6" s="218"/>
      <c r="L6" s="218"/>
      <c r="M6" s="218"/>
      <c r="N6" s="218"/>
    </row>
    <row r="7" spans="1:28" ht="15.75" thickBot="1"/>
    <row r="8" spans="1:28" ht="60.75" thickBot="1">
      <c r="A8" s="135" t="s">
        <v>130</v>
      </c>
      <c r="B8" s="136" t="s">
        <v>131</v>
      </c>
      <c r="C8" s="137" t="s">
        <v>129</v>
      </c>
      <c r="D8" s="137" t="s">
        <v>161</v>
      </c>
      <c r="E8" s="136" t="s">
        <v>132</v>
      </c>
      <c r="F8" s="136" t="s">
        <v>134</v>
      </c>
      <c r="G8" s="138" t="s">
        <v>142</v>
      </c>
      <c r="H8" s="137" t="s">
        <v>139</v>
      </c>
      <c r="I8" s="136" t="s">
        <v>140</v>
      </c>
      <c r="J8" s="137" t="s">
        <v>133</v>
      </c>
      <c r="K8" s="136" t="s">
        <v>92</v>
      </c>
      <c r="L8" s="136" t="s">
        <v>135</v>
      </c>
      <c r="M8" s="137" t="s">
        <v>149</v>
      </c>
      <c r="N8" s="136" t="s">
        <v>136</v>
      </c>
      <c r="O8" s="138" t="s">
        <v>141</v>
      </c>
      <c r="P8" s="138" t="s">
        <v>138</v>
      </c>
      <c r="Q8" s="139" t="s">
        <v>151</v>
      </c>
      <c r="R8" s="194" t="s">
        <v>153</v>
      </c>
      <c r="S8" s="195"/>
      <c r="T8" s="136" t="s">
        <v>154</v>
      </c>
      <c r="U8" s="136" t="s">
        <v>162</v>
      </c>
      <c r="V8" s="140" t="s">
        <v>155</v>
      </c>
      <c r="W8" s="140" t="s">
        <v>143</v>
      </c>
      <c r="X8" s="140" t="s">
        <v>144</v>
      </c>
      <c r="Y8" s="141" t="s">
        <v>145</v>
      </c>
      <c r="Z8" s="140" t="s">
        <v>158</v>
      </c>
      <c r="AA8" s="141" t="s">
        <v>159</v>
      </c>
      <c r="AB8" s="149" t="s">
        <v>160</v>
      </c>
    </row>
    <row r="9" spans="1:28" ht="15.75" thickBot="1">
      <c r="A9" s="143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5"/>
      <c r="R9" s="145"/>
      <c r="S9" s="145"/>
      <c r="T9" s="145"/>
      <c r="U9" s="145"/>
      <c r="V9" s="145" t="s">
        <v>25</v>
      </c>
      <c r="W9" s="146"/>
      <c r="X9" s="146"/>
      <c r="Y9" s="147"/>
      <c r="Z9" s="147"/>
      <c r="AA9" s="147"/>
      <c r="AB9" s="150"/>
    </row>
    <row r="10" spans="1:28">
      <c r="A10" s="215"/>
      <c r="B10" s="199"/>
      <c r="C10" s="213"/>
      <c r="D10" s="153"/>
      <c r="E10" s="210" t="str">
        <f t="shared" ref="E10:E54" si="0">IF(C10="nu",3,IF(C10="isole",4,IF(C10="","")))</f>
        <v/>
      </c>
      <c r="F10" s="201" t="str">
        <f>IF(OR(C10="",B10=""),"",VLOOKUP(B10,DN,E10,0))</f>
        <v/>
      </c>
      <c r="G10" s="196" t="str">
        <f t="shared" ref="G10:G54" si="1">IF(F10="","",F10*60)</f>
        <v/>
      </c>
      <c r="H10" s="199"/>
      <c r="I10" s="199"/>
      <c r="J10" s="210" t="str">
        <f>H10&amp;I10</f>
        <v/>
      </c>
      <c r="K10" s="199"/>
      <c r="L10" s="208" t="str">
        <f>IF(E10=3,INDEX('coef Fct'!fct,VLOOKUP(J10,tatr,2,0),VLOOKUP('deperd tuyauterie'!K10,ti,2,0)),IF(E10=4,INDEX(fcti,VLOOKUP(J10,tatr,2,0),VLOOKUP('deperd tuyauterie'!K10,tii,2,0)),IF(E10="","")))</f>
        <v/>
      </c>
      <c r="M10" s="205"/>
      <c r="N10" s="201" t="str">
        <f>IF(M10="","",VLOOKUP(M10,annexe!position,2,0))</f>
        <v/>
      </c>
      <c r="O10" s="199"/>
      <c r="P10" s="196" t="str">
        <f>IF(OR(N10="",L10=""),"",IF(N10="",G10*L10*O10,IF(O10&lt;&gt;"",G10*L10*N10*O10)))</f>
        <v/>
      </c>
      <c r="Q10" s="191" t="str">
        <f>IF(OR(P10="",C10=""),"",(P10*0.86)/(H10-I10))</f>
        <v/>
      </c>
      <c r="R10" s="142" t="s">
        <v>156</v>
      </c>
      <c r="S10" s="112" t="s">
        <v>25</v>
      </c>
      <c r="T10" s="182" t="str">
        <f t="shared" ref="T10" si="2">IF(AND(T12="",S13="",S12=""),"",IF(AND(T12="",S13="",S12&lt;&gt;""),S12+Q10,IF(AND(T12&lt;&gt;"",S13&lt;&gt;"",S12&lt;&gt;""),T12+S13+S12+Q10,"")))</f>
        <v/>
      </c>
      <c r="U10" s="184" t="str">
        <f t="shared" ref="U10" si="3">IF(AND(U12="",S12=""),"",IF(AND(U12="",S12&lt;&gt;""),S12,IF(AND(U12&lt;&gt;"",S12&lt;&gt;""),U12+S12,"")))</f>
        <v xml:space="preserve"> </v>
      </c>
      <c r="V10" s="179" t="s">
        <v>25</v>
      </c>
      <c r="W10" s="177"/>
      <c r="X10" s="177"/>
      <c r="Y10" s="177"/>
      <c r="Z10" s="177" t="str">
        <f t="shared" ref="Z10:Z12" si="4">IF(P10="","",P10/2)</f>
        <v/>
      </c>
      <c r="AA10" s="172" t="str">
        <f>IF(AND(Z10="",X10=""),"",Z10/((X10/3600)*4187))</f>
        <v/>
      </c>
      <c r="AB10" s="174" t="str">
        <f>IF(AND(AA9="",AB9="",H10=""),"",IF(AND(AB9="",H10&lt;&gt;""),H10,IF(AND(H10&lt;&gt;"",AA9&lt;&gt;""),AB9-AA9)))</f>
        <v/>
      </c>
    </row>
    <row r="11" spans="1:28" ht="15.75" thickBot="1">
      <c r="A11" s="216"/>
      <c r="B11" s="200"/>
      <c r="C11" s="214"/>
      <c r="D11" s="154"/>
      <c r="E11" s="220"/>
      <c r="F11" s="219"/>
      <c r="G11" s="221"/>
      <c r="H11" s="200"/>
      <c r="I11" s="200"/>
      <c r="J11" s="220"/>
      <c r="K11" s="200"/>
      <c r="L11" s="222"/>
      <c r="M11" s="204"/>
      <c r="N11" s="219"/>
      <c r="O11" s="200"/>
      <c r="P11" s="221"/>
      <c r="Q11" s="192"/>
      <c r="R11" s="148" t="s">
        <v>152</v>
      </c>
      <c r="S11" s="133" t="s">
        <v>25</v>
      </c>
      <c r="T11" s="183"/>
      <c r="U11" s="183"/>
      <c r="V11" s="223"/>
      <c r="W11" s="178"/>
      <c r="X11" s="178"/>
      <c r="Y11" s="178"/>
      <c r="Z11" s="178"/>
      <c r="AA11" s="173"/>
      <c r="AB11" s="175"/>
    </row>
    <row r="12" spans="1:28">
      <c r="A12" s="215"/>
      <c r="B12" s="199"/>
      <c r="C12" s="213"/>
      <c r="D12" s="153"/>
      <c r="E12" s="210" t="str">
        <f t="shared" si="0"/>
        <v/>
      </c>
      <c r="F12" s="201" t="str">
        <f>IF(OR(C12="",B12=""),"",VLOOKUP(B12,DN,E12,0))</f>
        <v/>
      </c>
      <c r="G12" s="196" t="str">
        <f t="shared" si="1"/>
        <v/>
      </c>
      <c r="H12" s="199"/>
      <c r="I12" s="199"/>
      <c r="J12" s="210" t="str">
        <f t="shared" ref="J12" si="5">H12&amp;I12</f>
        <v/>
      </c>
      <c r="K12" s="199"/>
      <c r="L12" s="208" t="str">
        <f>IF(E12=3,INDEX('coef Fct'!fct,VLOOKUP(J12,tatr,2,0),VLOOKUP('deperd tuyauterie'!K12,ti,2,0)),IF(E12=4,INDEX(fcti,VLOOKUP(J12,tatr,2,0),VLOOKUP('deperd tuyauterie'!K12,tii,2,0)),IF(E12="","")))</f>
        <v/>
      </c>
      <c r="M12" s="205"/>
      <c r="N12" s="201" t="str">
        <f>IF(M12="","",VLOOKUP(M12,annexe!position,2,0))</f>
        <v/>
      </c>
      <c r="O12" s="199"/>
      <c r="P12" s="196" t="str">
        <f t="shared" ref="P12" si="6">IF(OR(N12="",L12=""),"",IF(N12="",G12*L12*O12,IF(O12&lt;&gt;"",G12*L12*N12*O12)))</f>
        <v/>
      </c>
      <c r="Q12" s="191" t="str">
        <f t="shared" ref="Q12" si="7">IF(OR(P12="",C12=""),"",(P12*0.86)/(H12-I12))</f>
        <v/>
      </c>
      <c r="R12" s="129" t="s">
        <v>156</v>
      </c>
      <c r="S12" s="131" t="s">
        <v>25</v>
      </c>
      <c r="T12" s="182" t="str">
        <f t="shared" ref="T12" si="8">IF(AND(T14="",S15="",S14=""),"",IF(AND(T14="",S15="",S14&lt;&gt;""),S14+Q12,IF(AND(T14&lt;&gt;"",S15&lt;&gt;"",S14&lt;&gt;""),T14+S15+S14+Q12,"")))</f>
        <v/>
      </c>
      <c r="U12" s="184" t="str">
        <f t="shared" ref="U12" si="9">IF(AND(U14="",S14=""),"",IF(AND(U14="",S14&lt;&gt;""),S14,IF(AND(U14&lt;&gt;"",S14&lt;&gt;""),U14+S14,"")))</f>
        <v/>
      </c>
      <c r="V12" s="179" t="s">
        <v>25</v>
      </c>
      <c r="W12" s="177"/>
      <c r="X12" s="177"/>
      <c r="Y12" s="187"/>
      <c r="Z12" s="177" t="str">
        <f t="shared" si="4"/>
        <v/>
      </c>
      <c r="AA12" s="185" t="str">
        <f>IF(AND(Z12="",X12=""),"",Z12/((X12/3600)*4187))</f>
        <v/>
      </c>
      <c r="AB12" s="174" t="str">
        <f>IF(AND(AB10="",AA10="",H12=""),"",IF(AND(H12&lt;&gt;"",AA10=""),H12,IF(AND(AA10&lt;&gt;"",AB10&lt;&gt;""),AB10-AA10)))</f>
        <v/>
      </c>
    </row>
    <row r="13" spans="1:28" ht="15.75" thickBot="1">
      <c r="A13" s="216"/>
      <c r="B13" s="200"/>
      <c r="C13" s="214"/>
      <c r="D13" s="154"/>
      <c r="E13" s="192"/>
      <c r="F13" s="192"/>
      <c r="G13" s="192"/>
      <c r="H13" s="200"/>
      <c r="I13" s="200"/>
      <c r="J13" s="192"/>
      <c r="K13" s="200"/>
      <c r="L13" s="209"/>
      <c r="M13" s="204"/>
      <c r="N13" s="192"/>
      <c r="O13" s="200"/>
      <c r="P13" s="192"/>
      <c r="Q13" s="192"/>
      <c r="R13" s="130" t="s">
        <v>152</v>
      </c>
      <c r="S13" s="132" t="s">
        <v>25</v>
      </c>
      <c r="T13" s="183"/>
      <c r="U13" s="183"/>
      <c r="V13" s="180"/>
      <c r="W13" s="178"/>
      <c r="X13" s="178"/>
      <c r="Y13" s="188"/>
      <c r="Z13" s="178"/>
      <c r="AA13" s="186"/>
      <c r="AB13" s="175"/>
    </row>
    <row r="14" spans="1:28">
      <c r="A14" s="217"/>
      <c r="B14" s="198"/>
      <c r="C14" s="212"/>
      <c r="D14" s="155"/>
      <c r="E14" s="211" t="str">
        <f t="shared" si="0"/>
        <v/>
      </c>
      <c r="F14" s="202" t="str">
        <f>IF(OR(C14="",B14=""),"",VLOOKUP(B14,DN,E14,0))</f>
        <v/>
      </c>
      <c r="G14" s="197" t="str">
        <f t="shared" si="1"/>
        <v/>
      </c>
      <c r="H14" s="198"/>
      <c r="I14" s="198"/>
      <c r="J14" s="211" t="str">
        <f t="shared" ref="J14" si="10">H14&amp;I14</f>
        <v/>
      </c>
      <c r="K14" s="198"/>
      <c r="L14" s="206" t="str">
        <f>IF(E14=3,INDEX('coef Fct'!fct,VLOOKUP(J14,tatr,2,0),VLOOKUP('deperd tuyauterie'!K14,ti,2,0)),IF(E14=4,INDEX(fcti,VLOOKUP(J14,tatr,2,0),VLOOKUP('deperd tuyauterie'!K14,tii,2,0)),IF(E14="","")))</f>
        <v/>
      </c>
      <c r="M14" s="203"/>
      <c r="N14" s="202" t="str">
        <f>IF(M14="","",VLOOKUP(M14,annexe!position,2,0))</f>
        <v/>
      </c>
      <c r="O14" s="198"/>
      <c r="P14" s="197" t="str">
        <f t="shared" ref="P14" si="11">IF(OR(N14="",L14=""),"",IF(N14="",G14*L14*O14,IF(O14&lt;&gt;"",G14*L14*N14*O14)))</f>
        <v/>
      </c>
      <c r="Q14" s="193" t="str">
        <f t="shared" ref="Q14" si="12">IF(OR(P14="",C14=""),"",(P14*0.86)/(H14-I14))</f>
        <v/>
      </c>
      <c r="R14" s="142" t="s">
        <v>156</v>
      </c>
      <c r="S14" s="112"/>
      <c r="T14" s="182" t="str">
        <f t="shared" ref="T14" si="13">IF(AND(T16="",S17="",S16=""),"",IF(AND(T16="",S17="",S16&lt;&gt;""),S16+Q14,IF(AND(T16&lt;&gt;"",S17&lt;&gt;"",S16&lt;&gt;""),T16+S17+S16+Q14,"")))</f>
        <v/>
      </c>
      <c r="U14" s="184" t="str">
        <f t="shared" ref="U14" si="14">IF(AND(U16="",S16=""),"",IF(AND(U16="",S16&lt;&gt;""),S16,IF(AND(U16&lt;&gt;"",S16&lt;&gt;""),U16+S16,"")))</f>
        <v xml:space="preserve"> </v>
      </c>
      <c r="V14" s="181" t="s">
        <v>25</v>
      </c>
      <c r="W14" s="176"/>
      <c r="X14" s="176"/>
      <c r="Y14" s="189"/>
      <c r="Z14" s="176" t="str">
        <f t="shared" ref="Z14" si="15">IF(P14="","",P14/2)</f>
        <v/>
      </c>
      <c r="AA14" s="172" t="str">
        <f t="shared" ref="AA14" si="16">IF(AND(Z14="",X14=""),"",Z14/((X14/3600)*4187))</f>
        <v/>
      </c>
      <c r="AB14" s="174" t="str">
        <f t="shared" ref="AB14" si="17">IF(AND(AB12="",AA12="",H14=""),"",IF(AND(H14&lt;&gt;"",AA12=""),H14,IF(AND(AA12&lt;&gt;"",AB12&lt;&gt;""),AB12-AA12)))</f>
        <v/>
      </c>
    </row>
    <row r="15" spans="1:28" ht="15.75" thickBot="1">
      <c r="A15" s="217"/>
      <c r="B15" s="198"/>
      <c r="C15" s="212"/>
      <c r="D15" s="155"/>
      <c r="E15" s="193"/>
      <c r="F15" s="193"/>
      <c r="G15" s="193"/>
      <c r="H15" s="198"/>
      <c r="I15" s="198"/>
      <c r="J15" s="193"/>
      <c r="K15" s="198"/>
      <c r="L15" s="207"/>
      <c r="M15" s="203"/>
      <c r="N15" s="193"/>
      <c r="O15" s="198"/>
      <c r="P15" s="193"/>
      <c r="Q15" s="193"/>
      <c r="R15" s="148" t="s">
        <v>152</v>
      </c>
      <c r="S15" s="133" t="s">
        <v>25</v>
      </c>
      <c r="T15" s="183"/>
      <c r="U15" s="183"/>
      <c r="V15" s="190"/>
      <c r="W15" s="176"/>
      <c r="X15" s="176"/>
      <c r="Y15" s="189"/>
      <c r="Z15" s="176"/>
      <c r="AA15" s="173"/>
      <c r="AB15" s="175"/>
    </row>
    <row r="16" spans="1:28">
      <c r="A16" s="215"/>
      <c r="B16" s="199"/>
      <c r="C16" s="213"/>
      <c r="D16" s="153"/>
      <c r="E16" s="210" t="str">
        <f t="shared" si="0"/>
        <v/>
      </c>
      <c r="F16" s="201" t="str">
        <f>IF(OR(C16="",B16=""),"",VLOOKUP(B16,DN,E16,0))</f>
        <v/>
      </c>
      <c r="G16" s="196" t="str">
        <f t="shared" si="1"/>
        <v/>
      </c>
      <c r="H16" s="199"/>
      <c r="I16" s="199"/>
      <c r="J16" s="210" t="str">
        <f t="shared" ref="J16" si="18">H16&amp;I16</f>
        <v/>
      </c>
      <c r="K16" s="199"/>
      <c r="L16" s="208" t="str">
        <f>IF(E16=3,INDEX('coef Fct'!fct,VLOOKUP(J16,tatr,2,0),VLOOKUP('deperd tuyauterie'!K16,ti,2,0)),IF(E16=4,INDEX(fcti,VLOOKUP(J16,tatr,2,0),VLOOKUP('deperd tuyauterie'!K16,tii,2,0)),IF(E16="","")))</f>
        <v/>
      </c>
      <c r="M16" s="205"/>
      <c r="N16" s="201" t="str">
        <f>IF(M16="","",VLOOKUP(M16,annexe!position,2,0))</f>
        <v/>
      </c>
      <c r="O16" s="199"/>
      <c r="P16" s="196" t="str">
        <f t="shared" ref="P16" si="19">IF(OR(N16="",L16=""),"",IF(N16="",G16*L16*O16,IF(O16&lt;&gt;"",G16*L16*N16*O16)))</f>
        <v/>
      </c>
      <c r="Q16" s="191" t="str">
        <f t="shared" ref="Q16" si="20">IF(OR(P16="",C16=""),"",(P16*0.86)/(H16-I16))</f>
        <v/>
      </c>
      <c r="R16" s="129" t="s">
        <v>156</v>
      </c>
      <c r="S16" s="131" t="s">
        <v>25</v>
      </c>
      <c r="T16" s="182" t="str">
        <f t="shared" ref="T16" si="21">IF(AND(T18="",S19="",S18=""),"",IF(AND(T18="",S19="",S18&lt;&gt;""),S18+Q16,IF(AND(T18&lt;&gt;"",S19&lt;&gt;"",S18&lt;&gt;""),T18+S19+S18+Q16,"")))</f>
        <v/>
      </c>
      <c r="U16" s="184" t="str">
        <f t="shared" ref="U16" si="22">IF(AND(U18="",S18=""),"",IF(AND(U18="",S18&lt;&gt;""),S18,IF(AND(U18&lt;&gt;"",S18&lt;&gt;""),U18+S18,"")))</f>
        <v/>
      </c>
      <c r="V16" s="179" t="s">
        <v>25</v>
      </c>
      <c r="W16" s="177"/>
      <c r="X16" s="177"/>
      <c r="Y16" s="187"/>
      <c r="Z16" s="177" t="str">
        <f t="shared" ref="Z16" si="23">IF(P16="","",P16/2)</f>
        <v/>
      </c>
      <c r="AA16" s="172" t="str">
        <f t="shared" ref="AA16" si="24">IF(AND(Z16="",X16=""),"",Z16/((X16/3600)*4187))</f>
        <v/>
      </c>
      <c r="AB16" s="174" t="str">
        <f t="shared" ref="AB16" si="25">IF(AND(AB14="",AA14="",H16=""),"",IF(AND(H16&lt;&gt;"",AA14=""),H16,IF(AND(AA14&lt;&gt;"",AB14&lt;&gt;""),AB14-AA14)))</f>
        <v/>
      </c>
    </row>
    <row r="17" spans="1:28" ht="15" customHeight="1" thickBot="1">
      <c r="A17" s="216"/>
      <c r="B17" s="200"/>
      <c r="C17" s="214"/>
      <c r="D17" s="154"/>
      <c r="E17" s="192"/>
      <c r="F17" s="192"/>
      <c r="G17" s="192"/>
      <c r="H17" s="200"/>
      <c r="I17" s="200"/>
      <c r="J17" s="192"/>
      <c r="K17" s="200"/>
      <c r="L17" s="209"/>
      <c r="M17" s="204"/>
      <c r="N17" s="192"/>
      <c r="O17" s="200"/>
      <c r="P17" s="192"/>
      <c r="Q17" s="192"/>
      <c r="R17" s="130" t="s">
        <v>152</v>
      </c>
      <c r="S17" s="132" t="s">
        <v>25</v>
      </c>
      <c r="T17" s="183"/>
      <c r="U17" s="183"/>
      <c r="V17" s="180"/>
      <c r="W17" s="178"/>
      <c r="X17" s="178"/>
      <c r="Y17" s="188"/>
      <c r="Z17" s="178"/>
      <c r="AA17" s="173"/>
      <c r="AB17" s="175"/>
    </row>
    <row r="18" spans="1:28">
      <c r="A18" s="217"/>
      <c r="B18" s="198"/>
      <c r="C18" s="212"/>
      <c r="D18" s="155"/>
      <c r="E18" s="211" t="str">
        <f t="shared" si="0"/>
        <v/>
      </c>
      <c r="F18" s="202" t="str">
        <f>IF(OR(C18="",B18=""),"",VLOOKUP(B18,DN,E18,0))</f>
        <v/>
      </c>
      <c r="G18" s="197" t="str">
        <f t="shared" si="1"/>
        <v/>
      </c>
      <c r="H18" s="198"/>
      <c r="I18" s="198"/>
      <c r="J18" s="211" t="str">
        <f t="shared" ref="J18" si="26">H18&amp;I18</f>
        <v/>
      </c>
      <c r="K18" s="198"/>
      <c r="L18" s="206" t="str">
        <f>IF(E18=3,INDEX('coef Fct'!fct,VLOOKUP(J18,tatr,2,0),VLOOKUP('deperd tuyauterie'!K18,ti,2,0)),IF(E18=4,INDEX(fcti,VLOOKUP(J18,tatr,2,0),VLOOKUP('deperd tuyauterie'!K18,tii,2,0)),IF(E18="","")))</f>
        <v/>
      </c>
      <c r="M18" s="203"/>
      <c r="N18" s="202" t="str">
        <f>IF(M18="","",VLOOKUP(M18,annexe!position,2,0))</f>
        <v/>
      </c>
      <c r="O18" s="198"/>
      <c r="P18" s="197" t="str">
        <f t="shared" ref="P18" si="27">IF(OR(N18="",L18=""),"",IF(N18="",G18*L18*O18,IF(O18&lt;&gt;"",G18*L18*N18*O18)))</f>
        <v/>
      </c>
      <c r="Q18" s="193" t="str">
        <f t="shared" ref="Q18" si="28">IF(OR(P18="",C18=""),"",(P18*0.86)/(H18-I18))</f>
        <v/>
      </c>
      <c r="R18" s="142" t="s">
        <v>156</v>
      </c>
      <c r="S18" s="112"/>
      <c r="T18" s="182" t="str">
        <f t="shared" ref="T18" si="29">IF(AND(T20="",S21="",S20=""),"",IF(AND(T20="",S21="",S20&lt;&gt;""),S20+Q18,IF(AND(T20&lt;&gt;"",S21&lt;&gt;"",S20&lt;&gt;""),T20+S21+S20+Q18,"")))</f>
        <v/>
      </c>
      <c r="U18" s="184" t="str">
        <f t="shared" ref="U18" si="30">IF(AND(U20="",S20=""),"",IF(AND(U20="",S20&lt;&gt;""),S20,IF(AND(U20&lt;&gt;"",S20&lt;&gt;""),U20+S20,"")))</f>
        <v xml:space="preserve"> </v>
      </c>
      <c r="V18" s="181" t="s">
        <v>25</v>
      </c>
      <c r="W18" s="176"/>
      <c r="X18" s="176"/>
      <c r="Y18" s="189"/>
      <c r="Z18" s="176" t="str">
        <f t="shared" ref="Z18" si="31">IF(P18="","",P18/2)</f>
        <v/>
      </c>
      <c r="AA18" s="172" t="str">
        <f t="shared" ref="AA18" si="32">IF(AND(Z18="",X18=""),"",Z18/((X18/3600)*4187))</f>
        <v/>
      </c>
      <c r="AB18" s="174" t="str">
        <f t="shared" ref="AB18" si="33">IF(AND(AB16="",AA16="",H18=""),"",IF(AND(H18&lt;&gt;"",AA16=""),H18,IF(AND(AA16&lt;&gt;"",AB16&lt;&gt;""),AB16-AA16)))</f>
        <v/>
      </c>
    </row>
    <row r="19" spans="1:28" ht="15.75" thickBot="1">
      <c r="A19" s="217"/>
      <c r="B19" s="198"/>
      <c r="C19" s="212"/>
      <c r="D19" s="155"/>
      <c r="E19" s="193"/>
      <c r="F19" s="193"/>
      <c r="G19" s="193"/>
      <c r="H19" s="198"/>
      <c r="I19" s="198"/>
      <c r="J19" s="193"/>
      <c r="K19" s="198"/>
      <c r="L19" s="207"/>
      <c r="M19" s="203"/>
      <c r="N19" s="193"/>
      <c r="O19" s="198"/>
      <c r="P19" s="193"/>
      <c r="Q19" s="193"/>
      <c r="R19" s="148" t="s">
        <v>152</v>
      </c>
      <c r="S19" s="133" t="s">
        <v>25</v>
      </c>
      <c r="T19" s="183"/>
      <c r="U19" s="183"/>
      <c r="V19" s="190"/>
      <c r="W19" s="176"/>
      <c r="X19" s="176"/>
      <c r="Y19" s="189"/>
      <c r="Z19" s="176"/>
      <c r="AA19" s="173"/>
      <c r="AB19" s="175"/>
    </row>
    <row r="20" spans="1:28">
      <c r="A20" s="215"/>
      <c r="B20" s="199"/>
      <c r="C20" s="213"/>
      <c r="D20" s="153"/>
      <c r="E20" s="210" t="str">
        <f t="shared" si="0"/>
        <v/>
      </c>
      <c r="F20" s="201" t="str">
        <f>IF(OR(C20="",B20=""),"",VLOOKUP(B20,DN,E20,0))</f>
        <v/>
      </c>
      <c r="G20" s="196" t="str">
        <f t="shared" si="1"/>
        <v/>
      </c>
      <c r="H20" s="199"/>
      <c r="I20" s="199"/>
      <c r="J20" s="210" t="str">
        <f t="shared" ref="J20" si="34">H20&amp;I20</f>
        <v/>
      </c>
      <c r="K20" s="199"/>
      <c r="L20" s="208" t="str">
        <f>IF(E20=3,INDEX('coef Fct'!fct,VLOOKUP(J20,tatr,2,0),VLOOKUP('deperd tuyauterie'!K20,ti,2,0)),IF(E20=4,INDEX(fcti,VLOOKUP(J20,tatr,2,0),VLOOKUP('deperd tuyauterie'!K20,tii,2,0)),IF(E20="","")))</f>
        <v/>
      </c>
      <c r="M20" s="205"/>
      <c r="N20" s="201" t="str">
        <f>IF(M20="","",VLOOKUP(M20,annexe!position,2,0))</f>
        <v/>
      </c>
      <c r="O20" s="199"/>
      <c r="P20" s="196" t="str">
        <f t="shared" ref="P20" si="35">IF(OR(N20="",L20=""),"",IF(N20="",G20*L20*O20,IF(O20&lt;&gt;"",G20*L20*N20*O20)))</f>
        <v/>
      </c>
      <c r="Q20" s="191" t="str">
        <f t="shared" ref="Q20" si="36">IF(OR(P20="",C20=""),"",(P20*0.86)/(H20-I20))</f>
        <v/>
      </c>
      <c r="R20" s="129" t="s">
        <v>156</v>
      </c>
      <c r="S20" s="131" t="s">
        <v>25</v>
      </c>
      <c r="T20" s="182" t="str">
        <f t="shared" ref="T20" si="37">IF(AND(T22="",S23="",S22=""),"",IF(AND(T22="",S23="",S22&lt;&gt;""),S22+Q20,IF(AND(T22&lt;&gt;"",S23&lt;&gt;"",S22&lt;&gt;""),T22+S23+S22+Q20,"")))</f>
        <v/>
      </c>
      <c r="U20" s="184" t="str">
        <f t="shared" ref="U20" si="38">IF(AND(U22="",S22=""),"",IF(AND(U22="",S22&lt;&gt;""),S22,IF(AND(U22&lt;&gt;"",S22&lt;&gt;""),U22+S22,"")))</f>
        <v/>
      </c>
      <c r="V20" s="179" t="s">
        <v>25</v>
      </c>
      <c r="W20" s="177"/>
      <c r="X20" s="177"/>
      <c r="Y20" s="187"/>
      <c r="Z20" s="177" t="str">
        <f t="shared" ref="Z20" si="39">IF(P20="","",P20/2)</f>
        <v/>
      </c>
      <c r="AA20" s="172" t="str">
        <f t="shared" ref="AA20" si="40">IF(AND(Z20="",X20=""),"",Z20/((X20/3600)*4187))</f>
        <v/>
      </c>
      <c r="AB20" s="174" t="str">
        <f t="shared" ref="AB20" si="41">IF(AND(AB18="",AA18="",H20=""),"",IF(AND(H20&lt;&gt;"",AA18=""),H20,IF(AND(AA18&lt;&gt;"",AB18&lt;&gt;""),AB18-AA18)))</f>
        <v/>
      </c>
    </row>
    <row r="21" spans="1:28" ht="15.75" thickBot="1">
      <c r="A21" s="216"/>
      <c r="B21" s="200"/>
      <c r="C21" s="214"/>
      <c r="D21" s="154"/>
      <c r="E21" s="192"/>
      <c r="F21" s="192"/>
      <c r="G21" s="192"/>
      <c r="H21" s="200"/>
      <c r="I21" s="200"/>
      <c r="J21" s="192"/>
      <c r="K21" s="200"/>
      <c r="L21" s="209"/>
      <c r="M21" s="204"/>
      <c r="N21" s="192"/>
      <c r="O21" s="200"/>
      <c r="P21" s="192"/>
      <c r="Q21" s="192"/>
      <c r="R21" s="130" t="s">
        <v>152</v>
      </c>
      <c r="S21" s="132" t="s">
        <v>25</v>
      </c>
      <c r="T21" s="183"/>
      <c r="U21" s="183"/>
      <c r="V21" s="180"/>
      <c r="W21" s="178"/>
      <c r="X21" s="178"/>
      <c r="Y21" s="188"/>
      <c r="Z21" s="178"/>
      <c r="AA21" s="173"/>
      <c r="AB21" s="175"/>
    </row>
    <row r="22" spans="1:28">
      <c r="A22" s="217"/>
      <c r="B22" s="198"/>
      <c r="C22" s="212"/>
      <c r="D22" s="155"/>
      <c r="E22" s="211" t="str">
        <f t="shared" si="0"/>
        <v/>
      </c>
      <c r="F22" s="202" t="str">
        <f>IF(OR(C22="",B22=""),"",VLOOKUP(B22,DN,E22,0))</f>
        <v/>
      </c>
      <c r="G22" s="197" t="str">
        <f t="shared" si="1"/>
        <v/>
      </c>
      <c r="H22" s="198"/>
      <c r="I22" s="198"/>
      <c r="J22" s="211" t="str">
        <f t="shared" ref="J22" si="42">H22&amp;I22</f>
        <v/>
      </c>
      <c r="K22" s="198"/>
      <c r="L22" s="206" t="str">
        <f>IF(E22=3,INDEX('coef Fct'!fct,VLOOKUP(J22,tatr,2,0),VLOOKUP('deperd tuyauterie'!K22,ti,2,0)),IF(E22=4,INDEX(fcti,VLOOKUP(J22,tatr,2,0),VLOOKUP('deperd tuyauterie'!K22,tii,2,0)),IF(E22="","")))</f>
        <v/>
      </c>
      <c r="M22" s="203"/>
      <c r="N22" s="202" t="str">
        <f>IF(M22="","",VLOOKUP(M22,annexe!position,2,0))</f>
        <v/>
      </c>
      <c r="O22" s="198"/>
      <c r="P22" s="197" t="str">
        <f t="shared" ref="P22" si="43">IF(OR(N22="",L22=""),"",IF(N22="",G22*L22*O22,IF(O22&lt;&gt;"",G22*L22*N22*O22)))</f>
        <v/>
      </c>
      <c r="Q22" s="193" t="str">
        <f t="shared" ref="Q22" si="44">IF(OR(P22="",C22=""),"",(P22*0.86)/(H22-I22))</f>
        <v/>
      </c>
      <c r="R22" s="142" t="s">
        <v>156</v>
      </c>
      <c r="S22" s="112"/>
      <c r="T22" s="182" t="str">
        <f t="shared" ref="T22" si="45">IF(AND(T24="",S25="",S24=""),"",IF(AND(T24="",S25="",S24&lt;&gt;""),S24+Q22,IF(AND(T24&lt;&gt;"",S25&lt;&gt;"",S24&lt;&gt;""),T24+S25+S24+Q22,"")))</f>
        <v/>
      </c>
      <c r="U22" s="184" t="str">
        <f t="shared" ref="U22" si="46">IF(AND(U24="",S24=""),"",IF(AND(U24="",S24&lt;&gt;""),S24,IF(AND(U24&lt;&gt;"",S24&lt;&gt;""),U24+S24,"")))</f>
        <v xml:space="preserve"> </v>
      </c>
      <c r="V22" s="181" t="s">
        <v>25</v>
      </c>
      <c r="W22" s="176"/>
      <c r="X22" s="176"/>
      <c r="Y22" s="189"/>
      <c r="Z22" s="176" t="str">
        <f t="shared" ref="Z22" si="47">IF(P22="","",P22/2)</f>
        <v/>
      </c>
      <c r="AA22" s="172" t="str">
        <f t="shared" ref="AA22" si="48">IF(AND(Z22="",X22=""),"",Z22/((X22/3600)*4187))</f>
        <v/>
      </c>
      <c r="AB22" s="174" t="str">
        <f t="shared" ref="AB22" si="49">IF(AND(AB20="",AA20="",H22=""),"",IF(AND(H22&lt;&gt;"",AA20=""),H22,IF(AND(AA20&lt;&gt;"",AB20&lt;&gt;""),AB20-AA20)))</f>
        <v/>
      </c>
    </row>
    <row r="23" spans="1:28" ht="15.75" thickBot="1">
      <c r="A23" s="217"/>
      <c r="B23" s="198"/>
      <c r="C23" s="212"/>
      <c r="D23" s="155"/>
      <c r="E23" s="193"/>
      <c r="F23" s="193"/>
      <c r="G23" s="193"/>
      <c r="H23" s="198"/>
      <c r="I23" s="198"/>
      <c r="J23" s="193"/>
      <c r="K23" s="198"/>
      <c r="L23" s="207"/>
      <c r="M23" s="203"/>
      <c r="N23" s="193"/>
      <c r="O23" s="198"/>
      <c r="P23" s="193"/>
      <c r="Q23" s="193"/>
      <c r="R23" s="148" t="s">
        <v>152</v>
      </c>
      <c r="S23" s="133" t="s">
        <v>25</v>
      </c>
      <c r="T23" s="183"/>
      <c r="U23" s="183"/>
      <c r="V23" s="190"/>
      <c r="W23" s="176"/>
      <c r="X23" s="176"/>
      <c r="Y23" s="189"/>
      <c r="Z23" s="176"/>
      <c r="AA23" s="173"/>
      <c r="AB23" s="175"/>
    </row>
    <row r="24" spans="1:28">
      <c r="A24" s="215"/>
      <c r="B24" s="199"/>
      <c r="C24" s="213"/>
      <c r="D24" s="153"/>
      <c r="E24" s="210" t="str">
        <f t="shared" si="0"/>
        <v/>
      </c>
      <c r="F24" s="201" t="str">
        <f>IF(OR(C24="",B24=""),"",VLOOKUP(B24,DN,E24,0))</f>
        <v/>
      </c>
      <c r="G24" s="196" t="str">
        <f t="shared" si="1"/>
        <v/>
      </c>
      <c r="H24" s="199"/>
      <c r="I24" s="199"/>
      <c r="J24" s="210" t="str">
        <f t="shared" ref="J24" si="50">H24&amp;I24</f>
        <v/>
      </c>
      <c r="K24" s="199"/>
      <c r="L24" s="208" t="str">
        <f>IF(E24=3,INDEX('coef Fct'!fct,VLOOKUP(J24,tatr,2,0),VLOOKUP('deperd tuyauterie'!K24,ti,2,0)),IF(E24=4,INDEX(fcti,VLOOKUP(J24,tatr,2,0),VLOOKUP('deperd tuyauterie'!K24,tii,2,0)),IF(E24="","")))</f>
        <v/>
      </c>
      <c r="M24" s="205"/>
      <c r="N24" s="201" t="str">
        <f>IF(M24="","",VLOOKUP(M24,annexe!position,2,0))</f>
        <v/>
      </c>
      <c r="O24" s="199"/>
      <c r="P24" s="196" t="str">
        <f t="shared" ref="P24" si="51">IF(OR(N24="",L24=""),"",IF(N24="",G24*L24*O24,IF(O24&lt;&gt;"",G24*L24*N24*O24)))</f>
        <v/>
      </c>
      <c r="Q24" s="191" t="str">
        <f t="shared" ref="Q24" si="52">IF(OR(P24="",C24=""),"",(P24*0.86)/(H24-I24))</f>
        <v/>
      </c>
      <c r="R24" s="129" t="s">
        <v>156</v>
      </c>
      <c r="S24" s="131" t="s">
        <v>25</v>
      </c>
      <c r="T24" s="182" t="str">
        <f t="shared" ref="T24" si="53">IF(AND(T26="",S27="",S26=""),"",IF(AND(T26="",S27="",S26&lt;&gt;""),S26+Q24,IF(AND(T26&lt;&gt;"",S27&lt;&gt;"",S26&lt;&gt;""),T26+S27+S26+Q24,"")))</f>
        <v/>
      </c>
      <c r="U24" s="184" t="str">
        <f t="shared" ref="U24" si="54">IF(AND(U26="",S26=""),"",IF(AND(U26="",S26&lt;&gt;""),S26,IF(AND(U26&lt;&gt;"",S26&lt;&gt;""),U26+S26,"")))</f>
        <v/>
      </c>
      <c r="V24" s="179" t="s">
        <v>25</v>
      </c>
      <c r="W24" s="125"/>
      <c r="X24" s="134"/>
      <c r="Y24" s="125"/>
      <c r="Z24" s="177" t="str">
        <f t="shared" ref="Z24" si="55">IF(P24="","",P24/2)</f>
        <v/>
      </c>
      <c r="AA24" s="172" t="str">
        <f t="shared" ref="AA24" si="56">IF(AND(Z24="",X24=""),"",Z24/((X24/3600)*4187))</f>
        <v/>
      </c>
      <c r="AB24" s="174" t="str">
        <f t="shared" ref="AB24" si="57">IF(AND(AB22="",AA22="",H24=""),"",IF(AND(H24&lt;&gt;"",AA22=""),H24,IF(AND(AA22&lt;&gt;"",AB22&lt;&gt;""),AB22-AA22)))</f>
        <v/>
      </c>
    </row>
    <row r="25" spans="1:28" ht="15.75" thickBot="1">
      <c r="A25" s="216"/>
      <c r="B25" s="200"/>
      <c r="C25" s="214"/>
      <c r="D25" s="154"/>
      <c r="E25" s="192"/>
      <c r="F25" s="192"/>
      <c r="G25" s="192"/>
      <c r="H25" s="200"/>
      <c r="I25" s="200"/>
      <c r="J25" s="192"/>
      <c r="K25" s="200"/>
      <c r="L25" s="209"/>
      <c r="M25" s="204"/>
      <c r="N25" s="192"/>
      <c r="O25" s="200"/>
      <c r="P25" s="192"/>
      <c r="Q25" s="192"/>
      <c r="R25" s="130" t="s">
        <v>152</v>
      </c>
      <c r="S25" s="132" t="s">
        <v>25</v>
      </c>
      <c r="T25" s="183"/>
      <c r="U25" s="183"/>
      <c r="V25" s="180"/>
      <c r="W25" s="126"/>
      <c r="X25" s="36"/>
      <c r="Y25" s="126"/>
      <c r="Z25" s="178"/>
      <c r="AA25" s="173"/>
      <c r="AB25" s="175"/>
    </row>
    <row r="26" spans="1:28">
      <c r="A26" s="217"/>
      <c r="B26" s="198"/>
      <c r="C26" s="212"/>
      <c r="D26" s="155"/>
      <c r="E26" s="211" t="str">
        <f t="shared" si="0"/>
        <v/>
      </c>
      <c r="F26" s="202" t="str">
        <f>IF(OR(C26="",B26=""),"",VLOOKUP(B26,DN,E26,0))</f>
        <v/>
      </c>
      <c r="G26" s="197" t="str">
        <f t="shared" si="1"/>
        <v/>
      </c>
      <c r="H26" s="198"/>
      <c r="I26" s="198"/>
      <c r="J26" s="211" t="str">
        <f t="shared" ref="J26" si="58">H26&amp;I26</f>
        <v/>
      </c>
      <c r="K26" s="198"/>
      <c r="L26" s="206" t="str">
        <f>IF(E26=3,INDEX('coef Fct'!fct,VLOOKUP(J26,tatr,2,0),VLOOKUP('deperd tuyauterie'!K26,ti,2,0)),IF(E26=4,INDEX(fcti,VLOOKUP(J26,tatr,2,0),VLOOKUP('deperd tuyauterie'!K26,tii,2,0)),IF(E26="","")))</f>
        <v/>
      </c>
      <c r="M26" s="203"/>
      <c r="N26" s="202" t="str">
        <f>IF(M26="","",VLOOKUP(M26,annexe!position,2,0))</f>
        <v/>
      </c>
      <c r="O26" s="198"/>
      <c r="P26" s="197" t="str">
        <f t="shared" ref="P26" si="59">IF(OR(N26="",L26=""),"",IF(N26="",G26*L26*O26,IF(O26&lt;&gt;"",G26*L26*N26*O26)))</f>
        <v/>
      </c>
      <c r="Q26" s="193" t="str">
        <f t="shared" ref="Q26" si="60">IF(OR(P26="",C26=""),"",(P26*0.86)/(H26-I26))</f>
        <v/>
      </c>
      <c r="R26" s="142" t="s">
        <v>156</v>
      </c>
      <c r="S26" s="112"/>
      <c r="T26" s="182" t="str">
        <f t="shared" ref="T26" si="61">IF(AND(T28="",S29="",S28=""),"",IF(AND(T28="",S29="",S28&lt;&gt;""),S28+Q26,IF(AND(T28&lt;&gt;"",S29&lt;&gt;"",S28&lt;&gt;""),T28+S29+S28+Q26,"")))</f>
        <v/>
      </c>
      <c r="U26" s="184" t="str">
        <f t="shared" ref="U26" si="62">IF(AND(U28="",S28=""),"",IF(AND(U28="",S28&lt;&gt;""),S28,IF(AND(U28&lt;&gt;"",S28&lt;&gt;""),U28+S28,"")))</f>
        <v xml:space="preserve"> </v>
      </c>
      <c r="V26" s="181" t="s">
        <v>25</v>
      </c>
      <c r="W26" s="128"/>
      <c r="X26" s="127"/>
      <c r="Y26" s="128"/>
      <c r="Z26" s="176" t="str">
        <f t="shared" ref="Z26" si="63">IF(P26="","",P26/2)</f>
        <v/>
      </c>
      <c r="AA26" s="172" t="str">
        <f t="shared" ref="AA26" si="64">IF(AND(Z26="",X26=""),"",Z26/((X26/3600)*4187))</f>
        <v/>
      </c>
      <c r="AB26" s="174" t="str">
        <f t="shared" ref="AB26" si="65">IF(AND(AB24="",AA24="",H26=""),"",IF(AND(H26&lt;&gt;"",AA24=""),H26,IF(AND(AA24&lt;&gt;"",AB24&lt;&gt;""),AB24-AA24)))</f>
        <v/>
      </c>
    </row>
    <row r="27" spans="1:28" ht="15.75" thickBot="1">
      <c r="A27" s="217"/>
      <c r="B27" s="198"/>
      <c r="C27" s="212"/>
      <c r="D27" s="155"/>
      <c r="E27" s="193"/>
      <c r="F27" s="193"/>
      <c r="G27" s="193"/>
      <c r="H27" s="198"/>
      <c r="I27" s="198"/>
      <c r="J27" s="193"/>
      <c r="K27" s="198"/>
      <c r="L27" s="207"/>
      <c r="M27" s="203"/>
      <c r="N27" s="193"/>
      <c r="O27" s="198"/>
      <c r="P27" s="193"/>
      <c r="Q27" s="193"/>
      <c r="R27" s="148" t="s">
        <v>152</v>
      </c>
      <c r="S27" s="133" t="s">
        <v>25</v>
      </c>
      <c r="T27" s="183"/>
      <c r="U27" s="183"/>
      <c r="V27" s="190"/>
      <c r="W27" s="128"/>
      <c r="X27" s="127"/>
      <c r="Y27" s="128"/>
      <c r="Z27" s="176"/>
      <c r="AA27" s="173"/>
      <c r="AB27" s="175"/>
    </row>
    <row r="28" spans="1:28">
      <c r="A28" s="215"/>
      <c r="B28" s="199"/>
      <c r="C28" s="213"/>
      <c r="D28" s="153"/>
      <c r="E28" s="210" t="str">
        <f t="shared" si="0"/>
        <v/>
      </c>
      <c r="F28" s="201" t="str">
        <f>IF(OR(C28="",B28=""),"",VLOOKUP(B28,DN,E28,0))</f>
        <v/>
      </c>
      <c r="G28" s="196" t="str">
        <f t="shared" si="1"/>
        <v/>
      </c>
      <c r="H28" s="199"/>
      <c r="I28" s="199"/>
      <c r="J28" s="210" t="str">
        <f t="shared" ref="J28" si="66">H28&amp;I28</f>
        <v/>
      </c>
      <c r="K28" s="199"/>
      <c r="L28" s="208" t="str">
        <f>IF(E28=3,INDEX('coef Fct'!fct,VLOOKUP(J28,tatr,2,0),VLOOKUP('deperd tuyauterie'!K28,ti,2,0)),IF(E28=4,INDEX(fcti,VLOOKUP(J28,tatr,2,0),VLOOKUP('deperd tuyauterie'!K28,tii,2,0)),IF(E28="","")))</f>
        <v/>
      </c>
      <c r="M28" s="205"/>
      <c r="N28" s="201" t="str">
        <f>IF(M28="","",VLOOKUP(M28,annexe!position,2,0))</f>
        <v/>
      </c>
      <c r="O28" s="199"/>
      <c r="P28" s="196" t="str">
        <f t="shared" ref="P28" si="67">IF(OR(N28="",L28=""),"",IF(N28="",G28*L28*O28,IF(O28&lt;&gt;"",G28*L28*N28*O28)))</f>
        <v/>
      </c>
      <c r="Q28" s="191" t="str">
        <f t="shared" ref="Q28" si="68">IF(OR(P28="",C28=""),"",(P28*0.86)/(H28-I28))</f>
        <v/>
      </c>
      <c r="R28" s="129" t="s">
        <v>156</v>
      </c>
      <c r="S28" s="131" t="s">
        <v>25</v>
      </c>
      <c r="T28" s="182" t="str">
        <f t="shared" ref="T28" si="69">IF(AND(T30="",S31="",S30=""),"",IF(AND(T30="",S31="",S30&lt;&gt;""),S30+Q28,IF(AND(T30&lt;&gt;"",S31&lt;&gt;"",S30&lt;&gt;""),T30+S31+S30+Q28,"")))</f>
        <v/>
      </c>
      <c r="U28" s="184" t="str">
        <f t="shared" ref="U28" si="70">IF(AND(U30="",S30=""),"",IF(AND(U30="",S30&lt;&gt;""),S30,IF(AND(U30&lt;&gt;"",S30&lt;&gt;""),U30+S30,"")))</f>
        <v/>
      </c>
      <c r="V28" s="179" t="s">
        <v>25</v>
      </c>
      <c r="W28" s="125"/>
      <c r="X28" s="134"/>
      <c r="Y28" s="125"/>
      <c r="Z28" s="177" t="str">
        <f t="shared" ref="Z28" si="71">IF(P28="","",P28/2)</f>
        <v/>
      </c>
      <c r="AA28" s="172" t="str">
        <f t="shared" ref="AA28" si="72">IF(AND(Z28="",X28=""),"",Z28/((X28/3600)*4187))</f>
        <v/>
      </c>
      <c r="AB28" s="174" t="str">
        <f t="shared" ref="AB28" si="73">IF(AND(AB26="",AA26="",H28=""),"",IF(AND(H28&lt;&gt;"",AA26=""),H28,IF(AND(AA26&lt;&gt;"",AB26&lt;&gt;""),AB26-AA26)))</f>
        <v/>
      </c>
    </row>
    <row r="29" spans="1:28" ht="15.75" thickBot="1">
      <c r="A29" s="216"/>
      <c r="B29" s="200"/>
      <c r="C29" s="214"/>
      <c r="D29" s="154"/>
      <c r="E29" s="192"/>
      <c r="F29" s="192"/>
      <c r="G29" s="192"/>
      <c r="H29" s="200"/>
      <c r="I29" s="200"/>
      <c r="J29" s="192"/>
      <c r="K29" s="200"/>
      <c r="L29" s="209"/>
      <c r="M29" s="204"/>
      <c r="N29" s="192"/>
      <c r="O29" s="200"/>
      <c r="P29" s="192"/>
      <c r="Q29" s="192"/>
      <c r="R29" s="130" t="s">
        <v>152</v>
      </c>
      <c r="S29" s="132" t="s">
        <v>25</v>
      </c>
      <c r="T29" s="183"/>
      <c r="U29" s="183"/>
      <c r="V29" s="180"/>
      <c r="W29" s="126"/>
      <c r="X29" s="36"/>
      <c r="Y29" s="126"/>
      <c r="Z29" s="178"/>
      <c r="AA29" s="173"/>
      <c r="AB29" s="175"/>
    </row>
    <row r="30" spans="1:28">
      <c r="A30" s="217"/>
      <c r="B30" s="198"/>
      <c r="C30" s="212"/>
      <c r="D30" s="155"/>
      <c r="E30" s="211" t="str">
        <f t="shared" si="0"/>
        <v/>
      </c>
      <c r="F30" s="202" t="str">
        <f>IF(OR(C30="",B30=""),"",VLOOKUP(B30,DN,E30,0))</f>
        <v/>
      </c>
      <c r="G30" s="197" t="str">
        <f t="shared" si="1"/>
        <v/>
      </c>
      <c r="H30" s="198"/>
      <c r="I30" s="198"/>
      <c r="J30" s="211" t="str">
        <f t="shared" ref="J30" si="74">H30&amp;I30</f>
        <v/>
      </c>
      <c r="K30" s="198"/>
      <c r="L30" s="206" t="str">
        <f>IF(E30=3,INDEX('coef Fct'!fct,VLOOKUP(J30,tatr,2,0),VLOOKUP('deperd tuyauterie'!K30,ti,2,0)),IF(E30=4,INDEX(fcti,VLOOKUP(J30,tatr,2,0),VLOOKUP('deperd tuyauterie'!K30,tii,2,0)),IF(E30="","")))</f>
        <v/>
      </c>
      <c r="M30" s="203"/>
      <c r="N30" s="202" t="str">
        <f>IF(M30="","",VLOOKUP(M30,annexe!position,2,0))</f>
        <v/>
      </c>
      <c r="O30" s="198"/>
      <c r="P30" s="197" t="str">
        <f t="shared" ref="P30" si="75">IF(OR(N30="",L30=""),"",IF(N30="",G30*L30*O30,IF(O30&lt;&gt;"",G30*L30*N30*O30)))</f>
        <v/>
      </c>
      <c r="Q30" s="193" t="str">
        <f t="shared" ref="Q30" si="76">IF(OR(P30="",C30=""),"",(P30*0.86)/(H30-I30))</f>
        <v/>
      </c>
      <c r="R30" s="142" t="s">
        <v>156</v>
      </c>
      <c r="S30" s="112"/>
      <c r="T30" s="182" t="str">
        <f t="shared" ref="T30" si="77">IF(AND(T32="",S33="",S32=""),"",IF(AND(T32="",S33="",S32&lt;&gt;""),S32+Q30,IF(AND(T32&lt;&gt;"",S33&lt;&gt;"",S32&lt;&gt;""),T32+S33+S32+Q30,"")))</f>
        <v/>
      </c>
      <c r="U30" s="184" t="str">
        <f t="shared" ref="U30" si="78">IF(AND(U32="",S32=""),"",IF(AND(U32="",S32&lt;&gt;""),S32,IF(AND(U32&lt;&gt;"",S32&lt;&gt;""),U32+S32,"")))</f>
        <v xml:space="preserve"> </v>
      </c>
      <c r="V30" s="181" t="s">
        <v>25</v>
      </c>
      <c r="W30" s="128"/>
      <c r="X30" s="127"/>
      <c r="Y30" s="128"/>
      <c r="Z30" s="176" t="str">
        <f t="shared" ref="Z30" si="79">IF(P30="","",P30/2)</f>
        <v/>
      </c>
      <c r="AA30" s="172" t="str">
        <f t="shared" ref="AA30" si="80">IF(AND(Z30="",X30=""),"",Z30/((X30/3600)*4187))</f>
        <v/>
      </c>
      <c r="AB30" s="174" t="str">
        <f t="shared" ref="AB30" si="81">IF(AND(AB28="",AA28="",H30=""),"",IF(AND(H30&lt;&gt;"",AA28=""),H30,IF(AND(AA28&lt;&gt;"",AB28&lt;&gt;""),AB28-AA28)))</f>
        <v/>
      </c>
    </row>
    <row r="31" spans="1:28" ht="15.75" thickBot="1">
      <c r="A31" s="217"/>
      <c r="B31" s="198"/>
      <c r="C31" s="212"/>
      <c r="D31" s="155"/>
      <c r="E31" s="193"/>
      <c r="F31" s="193"/>
      <c r="G31" s="193"/>
      <c r="H31" s="198"/>
      <c r="I31" s="198"/>
      <c r="J31" s="193"/>
      <c r="K31" s="198"/>
      <c r="L31" s="207"/>
      <c r="M31" s="203"/>
      <c r="N31" s="193"/>
      <c r="O31" s="198"/>
      <c r="P31" s="193"/>
      <c r="Q31" s="193"/>
      <c r="R31" s="148" t="s">
        <v>152</v>
      </c>
      <c r="S31" s="133" t="s">
        <v>25</v>
      </c>
      <c r="T31" s="183"/>
      <c r="U31" s="183"/>
      <c r="V31" s="190"/>
      <c r="W31" s="128"/>
      <c r="X31" s="127"/>
      <c r="Y31" s="128"/>
      <c r="Z31" s="176"/>
      <c r="AA31" s="173"/>
      <c r="AB31" s="175"/>
    </row>
    <row r="32" spans="1:28">
      <c r="A32" s="215"/>
      <c r="B32" s="199"/>
      <c r="C32" s="213"/>
      <c r="D32" s="153"/>
      <c r="E32" s="210" t="str">
        <f t="shared" si="0"/>
        <v/>
      </c>
      <c r="F32" s="201" t="str">
        <f>IF(OR(C32="",B32=""),"",VLOOKUP(B32,DN,E32,0))</f>
        <v/>
      </c>
      <c r="G32" s="196" t="str">
        <f t="shared" si="1"/>
        <v/>
      </c>
      <c r="H32" s="199"/>
      <c r="I32" s="199"/>
      <c r="J32" s="210" t="str">
        <f t="shared" ref="J32" si="82">H32&amp;I32</f>
        <v/>
      </c>
      <c r="K32" s="199"/>
      <c r="L32" s="208" t="str">
        <f>IF(E32=3,INDEX('coef Fct'!fct,VLOOKUP(J32,tatr,2,0),VLOOKUP('deperd tuyauterie'!K32,ti,2,0)),IF(E32=4,INDEX(fcti,VLOOKUP(J32,tatr,2,0),VLOOKUP('deperd tuyauterie'!K32,tii,2,0)),IF(E32="","")))</f>
        <v/>
      </c>
      <c r="M32" s="205"/>
      <c r="N32" s="201" t="str">
        <f>IF(M32="","",VLOOKUP(M32,annexe!position,2,0))</f>
        <v/>
      </c>
      <c r="O32" s="199"/>
      <c r="P32" s="196" t="str">
        <f t="shared" ref="P32" si="83">IF(OR(N32="",L32=""),"",IF(N32="",G32*L32*O32,IF(O32&lt;&gt;"",G32*L32*N32*O32)))</f>
        <v/>
      </c>
      <c r="Q32" s="191" t="str">
        <f t="shared" ref="Q32" si="84">IF(OR(P32="",C32=""),"",(P32*0.86)/(H32-I32))</f>
        <v/>
      </c>
      <c r="R32" s="129" t="s">
        <v>156</v>
      </c>
      <c r="S32" s="131" t="s">
        <v>25</v>
      </c>
      <c r="T32" s="182" t="str">
        <f t="shared" ref="T32" si="85">IF(AND(T34="",S35="",S34=""),"",IF(AND(T34="",S35="",S34&lt;&gt;""),S34+Q32,IF(AND(T34&lt;&gt;"",S35&lt;&gt;"",S34&lt;&gt;""),T34+S35+S34+Q32,"")))</f>
        <v/>
      </c>
      <c r="U32" s="184" t="str">
        <f t="shared" ref="U32" si="86">IF(AND(U34="",S34=""),"",IF(AND(U34="",S34&lt;&gt;""),S34,IF(AND(U34&lt;&gt;"",S34&lt;&gt;""),U34+S34,"")))</f>
        <v/>
      </c>
      <c r="V32" s="179" t="s">
        <v>25</v>
      </c>
      <c r="W32" s="125"/>
      <c r="X32" s="134"/>
      <c r="Y32" s="125"/>
      <c r="Z32" s="177" t="str">
        <f t="shared" ref="Z32" si="87">IF(P32="","",P32/2)</f>
        <v/>
      </c>
      <c r="AA32" s="172" t="str">
        <f t="shared" ref="AA32" si="88">IF(AND(Z32="",X32=""),"",Z32/((X32/3600)*4187))</f>
        <v/>
      </c>
      <c r="AB32" s="174" t="str">
        <f t="shared" ref="AB32" si="89">IF(AND(AB30="",AA30="",H32=""),"",IF(AND(H32&lt;&gt;"",AA30=""),H32,IF(AND(AA30&lt;&gt;"",AB30&lt;&gt;""),AB30-AA30)))</f>
        <v/>
      </c>
    </row>
    <row r="33" spans="1:28" ht="15.75" thickBot="1">
      <c r="A33" s="216"/>
      <c r="B33" s="200"/>
      <c r="C33" s="214"/>
      <c r="D33" s="154"/>
      <c r="E33" s="192"/>
      <c r="F33" s="192"/>
      <c r="G33" s="192"/>
      <c r="H33" s="200"/>
      <c r="I33" s="200"/>
      <c r="J33" s="192"/>
      <c r="K33" s="200"/>
      <c r="L33" s="209"/>
      <c r="M33" s="204"/>
      <c r="N33" s="192"/>
      <c r="O33" s="200"/>
      <c r="P33" s="192"/>
      <c r="Q33" s="192"/>
      <c r="R33" s="130" t="s">
        <v>152</v>
      </c>
      <c r="S33" s="132" t="s">
        <v>25</v>
      </c>
      <c r="T33" s="183"/>
      <c r="U33" s="183"/>
      <c r="V33" s="180"/>
      <c r="W33" s="126"/>
      <c r="X33" s="36"/>
      <c r="Y33" s="126"/>
      <c r="Z33" s="178"/>
      <c r="AA33" s="173"/>
      <c r="AB33" s="175"/>
    </row>
    <row r="34" spans="1:28">
      <c r="A34" s="217"/>
      <c r="B34" s="198"/>
      <c r="C34" s="212"/>
      <c r="D34" s="155"/>
      <c r="E34" s="211" t="str">
        <f t="shared" si="0"/>
        <v/>
      </c>
      <c r="F34" s="202" t="str">
        <f>IF(OR(C34="",B34=""),"",VLOOKUP(B34,DN,E34,0))</f>
        <v/>
      </c>
      <c r="G34" s="197" t="str">
        <f t="shared" si="1"/>
        <v/>
      </c>
      <c r="H34" s="198"/>
      <c r="I34" s="198"/>
      <c r="J34" s="211" t="str">
        <f t="shared" ref="J34" si="90">H34&amp;I34</f>
        <v/>
      </c>
      <c r="K34" s="198"/>
      <c r="L34" s="206" t="str">
        <f>IF(E34=3,INDEX('coef Fct'!fct,VLOOKUP(J34,tatr,2,0),VLOOKUP('deperd tuyauterie'!K34,ti,2,0)),IF(E34=4,INDEX(fcti,VLOOKUP(J34,tatr,2,0),VLOOKUP('deperd tuyauterie'!K34,tii,2,0)),IF(E34="","")))</f>
        <v/>
      </c>
      <c r="M34" s="203"/>
      <c r="N34" s="202" t="str">
        <f>IF(M34="","",VLOOKUP(M34,annexe!position,2,0))</f>
        <v/>
      </c>
      <c r="O34" s="198"/>
      <c r="P34" s="197" t="str">
        <f t="shared" ref="P34" si="91">IF(OR(N34="",L34=""),"",IF(N34="",G34*L34*O34,IF(O34&lt;&gt;"",G34*L34*N34*O34)))</f>
        <v/>
      </c>
      <c r="Q34" s="193" t="str">
        <f t="shared" ref="Q34" si="92">IF(OR(P34="",C34=""),"",(P34*0.86)/(H34-I34))</f>
        <v/>
      </c>
      <c r="R34" s="142" t="s">
        <v>156</v>
      </c>
      <c r="S34" s="112"/>
      <c r="T34" s="182" t="str">
        <f t="shared" ref="T34" si="93">IF(AND(T36="",S37="",S36=""),"",IF(AND(T36="",S37="",S36&lt;&gt;""),S36+Q34,IF(AND(T36&lt;&gt;"",S37&lt;&gt;"",S36&lt;&gt;""),T36+S37+S36+Q34,"")))</f>
        <v/>
      </c>
      <c r="U34" s="184" t="str">
        <f t="shared" ref="U34" si="94">IF(AND(U36="",S36=""),"",IF(AND(U36="",S36&lt;&gt;""),S36,IF(AND(U36&lt;&gt;"",S36&lt;&gt;""),U36+S36,"")))</f>
        <v xml:space="preserve"> </v>
      </c>
      <c r="V34" s="181" t="s">
        <v>25</v>
      </c>
      <c r="W34" s="128"/>
      <c r="X34" s="127"/>
      <c r="Y34" s="128"/>
      <c r="Z34" s="176" t="str">
        <f t="shared" ref="Z34" si="95">IF(P34="","",P34/2)</f>
        <v/>
      </c>
      <c r="AA34" s="172" t="str">
        <f t="shared" ref="AA34" si="96">IF(AND(Z34="",X34=""),"",Z34/((X34/3600)*4187))</f>
        <v/>
      </c>
      <c r="AB34" s="174" t="str">
        <f t="shared" ref="AB34" si="97">IF(AND(AB32="",AA32="",H34=""),"",IF(AND(H34&lt;&gt;"",AA32=""),H34,IF(AND(AA32&lt;&gt;"",AB32&lt;&gt;""),AB32-AA32)))</f>
        <v/>
      </c>
    </row>
    <row r="35" spans="1:28" ht="15.75" thickBot="1">
      <c r="A35" s="217"/>
      <c r="B35" s="198"/>
      <c r="C35" s="212"/>
      <c r="D35" s="155"/>
      <c r="E35" s="193"/>
      <c r="F35" s="193"/>
      <c r="G35" s="193"/>
      <c r="H35" s="198"/>
      <c r="I35" s="198"/>
      <c r="J35" s="193"/>
      <c r="K35" s="198"/>
      <c r="L35" s="207"/>
      <c r="M35" s="203"/>
      <c r="N35" s="193"/>
      <c r="O35" s="198"/>
      <c r="P35" s="193"/>
      <c r="Q35" s="193"/>
      <c r="R35" s="148" t="s">
        <v>152</v>
      </c>
      <c r="S35" s="133" t="s">
        <v>25</v>
      </c>
      <c r="T35" s="183"/>
      <c r="U35" s="183"/>
      <c r="V35" s="190"/>
      <c r="W35" s="128"/>
      <c r="X35" s="127"/>
      <c r="Y35" s="128"/>
      <c r="Z35" s="176"/>
      <c r="AA35" s="173"/>
      <c r="AB35" s="175"/>
    </row>
    <row r="36" spans="1:28">
      <c r="A36" s="215"/>
      <c r="B36" s="199"/>
      <c r="C36" s="213"/>
      <c r="D36" s="153"/>
      <c r="E36" s="210" t="str">
        <f t="shared" si="0"/>
        <v/>
      </c>
      <c r="F36" s="201" t="str">
        <f>IF(OR(C36="",B36=""),"",VLOOKUP(B36,DN,E36,0))</f>
        <v/>
      </c>
      <c r="G36" s="196" t="str">
        <f t="shared" si="1"/>
        <v/>
      </c>
      <c r="H36" s="199"/>
      <c r="I36" s="199"/>
      <c r="J36" s="210" t="str">
        <f t="shared" ref="J36" si="98">H36&amp;I36</f>
        <v/>
      </c>
      <c r="K36" s="199"/>
      <c r="L36" s="208" t="str">
        <f>IF(E36=3,INDEX('coef Fct'!fct,VLOOKUP(J36,tatr,2,0),VLOOKUP('deperd tuyauterie'!K36,ti,2,0)),IF(E36=4,INDEX(fcti,VLOOKUP(J36,tatr,2,0),VLOOKUP('deperd tuyauterie'!K36,tii,2,0)),IF(E36="","")))</f>
        <v/>
      </c>
      <c r="M36" s="205"/>
      <c r="N36" s="201" t="str">
        <f>IF(M36="","",VLOOKUP(M36,annexe!position,2,0))</f>
        <v/>
      </c>
      <c r="O36" s="199"/>
      <c r="P36" s="196" t="str">
        <f t="shared" ref="P36" si="99">IF(OR(N36="",L36=""),"",IF(N36="",G36*L36*O36,IF(O36&lt;&gt;"",G36*L36*N36*O36)))</f>
        <v/>
      </c>
      <c r="Q36" s="191" t="str">
        <f t="shared" ref="Q36" si="100">IF(OR(P36="",C36=""),"",(P36*0.86)/(H36-I36))</f>
        <v/>
      </c>
      <c r="R36" s="129" t="s">
        <v>156</v>
      </c>
      <c r="S36" s="131" t="s">
        <v>25</v>
      </c>
      <c r="T36" s="182" t="str">
        <f t="shared" ref="T36" si="101">IF(AND(T38="",S39="",S38=""),"",IF(AND(T38="",S39="",S38&lt;&gt;""),S38+Q36,IF(AND(T38&lt;&gt;"",S39&lt;&gt;"",S38&lt;&gt;""),T38+S39+S38+Q36,"")))</f>
        <v/>
      </c>
      <c r="U36" s="184" t="str">
        <f t="shared" ref="U36" si="102">IF(AND(U38="",S38=""),"",IF(AND(U38="",S38&lt;&gt;""),S38,IF(AND(U38&lt;&gt;"",S38&lt;&gt;""),U38+S38,"")))</f>
        <v/>
      </c>
      <c r="V36" s="179" t="s">
        <v>25</v>
      </c>
      <c r="W36" s="125"/>
      <c r="X36" s="134"/>
      <c r="Y36" s="125"/>
      <c r="Z36" s="177" t="str">
        <f t="shared" ref="Z36" si="103">IF(P36="","",P36/2)</f>
        <v/>
      </c>
      <c r="AA36" s="172" t="str">
        <f t="shared" ref="AA36" si="104">IF(AND(Z36="",X36=""),"",Z36/((X36/3600)*4187))</f>
        <v/>
      </c>
      <c r="AB36" s="174" t="str">
        <f t="shared" ref="AB36" si="105">IF(AND(AB34="",AA34="",H36=""),"",IF(AND(H36&lt;&gt;"",AA34=""),H36,IF(AND(AA34&lt;&gt;"",AB34&lt;&gt;""),AB34-AA34)))</f>
        <v/>
      </c>
    </row>
    <row r="37" spans="1:28" ht="15.75" thickBot="1">
      <c r="A37" s="216"/>
      <c r="B37" s="200"/>
      <c r="C37" s="214"/>
      <c r="D37" s="154"/>
      <c r="E37" s="192"/>
      <c r="F37" s="192"/>
      <c r="G37" s="192"/>
      <c r="H37" s="200"/>
      <c r="I37" s="200"/>
      <c r="J37" s="192"/>
      <c r="K37" s="200"/>
      <c r="L37" s="209"/>
      <c r="M37" s="204"/>
      <c r="N37" s="192"/>
      <c r="O37" s="200"/>
      <c r="P37" s="192"/>
      <c r="Q37" s="192"/>
      <c r="R37" s="130" t="s">
        <v>152</v>
      </c>
      <c r="S37" s="132" t="s">
        <v>25</v>
      </c>
      <c r="T37" s="183"/>
      <c r="U37" s="183"/>
      <c r="V37" s="180"/>
      <c r="W37" s="126"/>
      <c r="X37" s="36"/>
      <c r="Y37" s="126"/>
      <c r="Z37" s="178"/>
      <c r="AA37" s="173"/>
      <c r="AB37" s="175"/>
    </row>
    <row r="38" spans="1:28">
      <c r="A38" s="217"/>
      <c r="B38" s="198"/>
      <c r="C38" s="212"/>
      <c r="D38" s="155"/>
      <c r="E38" s="211" t="str">
        <f t="shared" si="0"/>
        <v/>
      </c>
      <c r="F38" s="202" t="str">
        <f>IF(OR(C38="",B38=""),"",VLOOKUP(B38,DN,E38,0))</f>
        <v/>
      </c>
      <c r="G38" s="197" t="str">
        <f t="shared" si="1"/>
        <v/>
      </c>
      <c r="H38" s="198"/>
      <c r="I38" s="198"/>
      <c r="J38" s="211" t="str">
        <f t="shared" ref="J38" si="106">H38&amp;I38</f>
        <v/>
      </c>
      <c r="K38" s="198"/>
      <c r="L38" s="206" t="str">
        <f>IF(E38=3,INDEX('coef Fct'!fct,VLOOKUP(J38,tatr,2,0),VLOOKUP('deperd tuyauterie'!K38,ti,2,0)),IF(E38=4,INDEX(fcti,VLOOKUP(J38,tatr,2,0),VLOOKUP('deperd tuyauterie'!K38,tii,2,0)),IF(E38="","")))</f>
        <v/>
      </c>
      <c r="M38" s="203"/>
      <c r="N38" s="202" t="str">
        <f>IF(M38="","",VLOOKUP(M38,annexe!position,2,0))</f>
        <v/>
      </c>
      <c r="O38" s="198"/>
      <c r="P38" s="197" t="str">
        <f t="shared" ref="P38" si="107">IF(OR(N38="",L38=""),"",IF(N38="",G38*L38*O38,IF(O38&lt;&gt;"",G38*L38*N38*O38)))</f>
        <v/>
      </c>
      <c r="Q38" s="193" t="str">
        <f t="shared" ref="Q38" si="108">IF(OR(P38="",C38=""),"",(P38*0.86)/(H38-I38))</f>
        <v/>
      </c>
      <c r="R38" s="142" t="s">
        <v>156</v>
      </c>
      <c r="S38" s="112"/>
      <c r="T38" s="182" t="str">
        <f t="shared" ref="T38" si="109">IF(AND(T40="",S41="",S40=""),"",IF(AND(T40="",S41="",S40&lt;&gt;""),S40+Q38,IF(AND(T40&lt;&gt;"",S41&lt;&gt;"",S40&lt;&gt;""),T40+S41+S40+Q38,"")))</f>
        <v/>
      </c>
      <c r="U38" s="184" t="str">
        <f t="shared" ref="U38" si="110">IF(AND(U40="",S40=""),"",IF(AND(U40="",S40&lt;&gt;""),S40,IF(AND(U40&lt;&gt;"",S40&lt;&gt;""),U40+S40,"")))</f>
        <v xml:space="preserve"> </v>
      </c>
      <c r="V38" s="181" t="s">
        <v>157</v>
      </c>
      <c r="W38" s="128"/>
      <c r="X38" s="127"/>
      <c r="Y38" s="128"/>
      <c r="Z38" s="176" t="str">
        <f t="shared" ref="Z38" si="111">IF(P38="","",P38/2)</f>
        <v/>
      </c>
      <c r="AA38" s="172" t="str">
        <f t="shared" ref="AA38" si="112">IF(AND(Z38="",X38=""),"",Z38/((X38/3600)*4187))</f>
        <v/>
      </c>
      <c r="AB38" s="174" t="str">
        <f t="shared" ref="AB38" si="113">IF(AND(AB36="",AA36="",H38=""),"",IF(AND(H38&lt;&gt;"",AA36=""),H38,IF(AND(AA36&lt;&gt;"",AB36&lt;&gt;""),AB36-AA36)))</f>
        <v/>
      </c>
    </row>
    <row r="39" spans="1:28" ht="15.75" thickBot="1">
      <c r="A39" s="217"/>
      <c r="B39" s="198"/>
      <c r="C39" s="212"/>
      <c r="D39" s="155"/>
      <c r="E39" s="193"/>
      <c r="F39" s="193"/>
      <c r="G39" s="193"/>
      <c r="H39" s="198"/>
      <c r="I39" s="198"/>
      <c r="J39" s="193"/>
      <c r="K39" s="198"/>
      <c r="L39" s="207"/>
      <c r="M39" s="203"/>
      <c r="N39" s="193"/>
      <c r="O39" s="198"/>
      <c r="P39" s="193"/>
      <c r="Q39" s="193"/>
      <c r="R39" s="148" t="s">
        <v>152</v>
      </c>
      <c r="S39" s="133" t="s">
        <v>25</v>
      </c>
      <c r="T39" s="183"/>
      <c r="U39" s="183"/>
      <c r="V39" s="190"/>
      <c r="W39" s="128"/>
      <c r="X39" s="127"/>
      <c r="Y39" s="128"/>
      <c r="Z39" s="176"/>
      <c r="AA39" s="173"/>
      <c r="AB39" s="175"/>
    </row>
    <row r="40" spans="1:28">
      <c r="A40" s="215"/>
      <c r="B40" s="199"/>
      <c r="C40" s="213"/>
      <c r="D40" s="153"/>
      <c r="E40" s="210" t="str">
        <f t="shared" si="0"/>
        <v/>
      </c>
      <c r="F40" s="201" t="str">
        <f>IF(OR(C40="",B40=""),"",VLOOKUP(B40,DN,E40,0))</f>
        <v/>
      </c>
      <c r="G40" s="196" t="str">
        <f t="shared" si="1"/>
        <v/>
      </c>
      <c r="H40" s="199"/>
      <c r="I40" s="199"/>
      <c r="J40" s="210" t="str">
        <f t="shared" ref="J40" si="114">H40&amp;I40</f>
        <v/>
      </c>
      <c r="K40" s="199"/>
      <c r="L40" s="208" t="str">
        <f>IF(E40=3,INDEX('coef Fct'!fct,VLOOKUP(J40,tatr,2,0),VLOOKUP('deperd tuyauterie'!K40,ti,2,0)),IF(E40=4,INDEX(fcti,VLOOKUP(J40,tatr,2,0),VLOOKUP('deperd tuyauterie'!K40,tii,2,0)),IF(E40="","")))</f>
        <v/>
      </c>
      <c r="M40" s="205"/>
      <c r="N40" s="201" t="str">
        <f>IF(M40="","",VLOOKUP(M40,annexe!position,2,0))</f>
        <v/>
      </c>
      <c r="O40" s="199"/>
      <c r="P40" s="196" t="str">
        <f t="shared" ref="P40" si="115">IF(OR(N40="",L40=""),"",IF(N40="",G40*L40*O40,IF(O40&lt;&gt;"",G40*L40*N40*O40)))</f>
        <v/>
      </c>
      <c r="Q40" s="191" t="str">
        <f t="shared" ref="Q40" si="116">IF(OR(P40="",C40=""),"",(P40*0.86)/(H40-I40))</f>
        <v/>
      </c>
      <c r="R40" s="129" t="s">
        <v>156</v>
      </c>
      <c r="S40" s="131" t="s">
        <v>25</v>
      </c>
      <c r="T40" s="182" t="str">
        <f t="shared" ref="T40" si="117">IF(AND(T42="",S43="",S42=""),"",IF(AND(T42="",S43="",S42&lt;&gt;""),S42+Q40,IF(AND(T42&lt;&gt;"",S43&lt;&gt;"",S42&lt;&gt;""),T42+S43+S42+Q40,"")))</f>
        <v/>
      </c>
      <c r="U40" s="184" t="str">
        <f t="shared" ref="U40" si="118">IF(AND(U42="",S42=""),"",IF(AND(U42="",S42&lt;&gt;""),S42,IF(AND(U42&lt;&gt;"",S42&lt;&gt;""),U42+S42,"")))</f>
        <v/>
      </c>
      <c r="V40" s="179" t="s">
        <v>25</v>
      </c>
      <c r="W40" s="125"/>
      <c r="X40" s="134"/>
      <c r="Y40" s="125"/>
      <c r="Z40" s="177" t="str">
        <f t="shared" ref="Z40" si="119">IF(P40="","",P40/2)</f>
        <v/>
      </c>
      <c r="AA40" s="172" t="str">
        <f t="shared" ref="AA40" si="120">IF(AND(Z40="",X40=""),"",Z40/((X40/3600)*4187))</f>
        <v/>
      </c>
      <c r="AB40" s="174" t="str">
        <f t="shared" ref="AB40" si="121">IF(AND(AB38="",AA38="",H40=""),"",IF(AND(H40&lt;&gt;"",AA38=""),H40,IF(AND(AA38&lt;&gt;"",AB38&lt;&gt;""),AB38-AA38)))</f>
        <v/>
      </c>
    </row>
    <row r="41" spans="1:28" ht="15.75" thickBot="1">
      <c r="A41" s="216"/>
      <c r="B41" s="200"/>
      <c r="C41" s="214"/>
      <c r="D41" s="154"/>
      <c r="E41" s="192"/>
      <c r="F41" s="192"/>
      <c r="G41" s="192"/>
      <c r="H41" s="200"/>
      <c r="I41" s="200"/>
      <c r="J41" s="192"/>
      <c r="K41" s="200"/>
      <c r="L41" s="209"/>
      <c r="M41" s="204"/>
      <c r="N41" s="192"/>
      <c r="O41" s="200"/>
      <c r="P41" s="192"/>
      <c r="Q41" s="192"/>
      <c r="R41" s="130" t="s">
        <v>152</v>
      </c>
      <c r="S41" s="132" t="s">
        <v>25</v>
      </c>
      <c r="T41" s="183"/>
      <c r="U41" s="183"/>
      <c r="V41" s="180"/>
      <c r="W41" s="126"/>
      <c r="X41" s="36"/>
      <c r="Y41" s="126"/>
      <c r="Z41" s="178"/>
      <c r="AA41" s="173"/>
      <c r="AB41" s="175"/>
    </row>
    <row r="42" spans="1:28">
      <c r="A42" s="217"/>
      <c r="B42" s="198"/>
      <c r="C42" s="212"/>
      <c r="D42" s="155"/>
      <c r="E42" s="211" t="str">
        <f t="shared" si="0"/>
        <v/>
      </c>
      <c r="F42" s="202" t="str">
        <f>IF(OR(C42="",B42=""),"",VLOOKUP(B42,DN,E42,0))</f>
        <v/>
      </c>
      <c r="G42" s="197" t="str">
        <f t="shared" si="1"/>
        <v/>
      </c>
      <c r="H42" s="198"/>
      <c r="I42" s="198"/>
      <c r="J42" s="211" t="str">
        <f t="shared" ref="J42" si="122">H42&amp;I42</f>
        <v/>
      </c>
      <c r="K42" s="198"/>
      <c r="L42" s="206" t="str">
        <f>IF(E42=3,INDEX('coef Fct'!fct,VLOOKUP(J42,tatr,2,0),VLOOKUP('deperd tuyauterie'!K42,ti,2,0)),IF(E42=4,INDEX(fcti,VLOOKUP(J42,tatr,2,0),VLOOKUP('deperd tuyauterie'!K42,tii,2,0)),IF(E42="","")))</f>
        <v/>
      </c>
      <c r="M42" s="203"/>
      <c r="N42" s="202" t="str">
        <f>IF(M42="","",VLOOKUP(M42,annexe!position,2,0))</f>
        <v/>
      </c>
      <c r="O42" s="198"/>
      <c r="P42" s="197" t="str">
        <f t="shared" ref="P42" si="123">IF(OR(N42="",L42=""),"",IF(N42="",G42*L42*O42,IF(O42&lt;&gt;"",G42*L42*N42*O42)))</f>
        <v/>
      </c>
      <c r="Q42" s="193" t="str">
        <f t="shared" ref="Q42" si="124">IF(OR(P42="",C42=""),"",(P42*0.86)/(H42-I42))</f>
        <v/>
      </c>
      <c r="R42" s="142" t="s">
        <v>156</v>
      </c>
      <c r="S42" s="112"/>
      <c r="T42" s="182" t="str">
        <f t="shared" ref="T42" si="125">IF(AND(T44="",S45="",S44=""),"",IF(AND(T44="",S45="",S44&lt;&gt;""),S44+Q42,IF(AND(T44&lt;&gt;"",S45&lt;&gt;"",S44&lt;&gt;""),T44+S45+S44+Q42,"")))</f>
        <v/>
      </c>
      <c r="U42" s="184" t="str">
        <f t="shared" ref="U42" si="126">IF(AND(U44="",S44=""),"",IF(AND(U44="",S44&lt;&gt;""),S44,IF(AND(U44&lt;&gt;"",S44&lt;&gt;""),U44+S44,"")))</f>
        <v/>
      </c>
      <c r="V42" s="181" t="s">
        <v>25</v>
      </c>
      <c r="W42" s="128"/>
      <c r="X42" s="127"/>
      <c r="Y42" s="128"/>
      <c r="Z42" s="176" t="str">
        <f t="shared" ref="Z42" si="127">IF(P42="","",P42/2)</f>
        <v/>
      </c>
      <c r="AA42" s="172" t="str">
        <f t="shared" ref="AA42" si="128">IF(AND(Z42="",X42=""),"",Z42/((X42/3600)*4187))</f>
        <v/>
      </c>
      <c r="AB42" s="174" t="str">
        <f t="shared" ref="AB42" si="129">IF(AND(AB40="",AA40="",H42=""),"",IF(AND(H42&lt;&gt;"",AA40=""),H42,IF(AND(AA40&lt;&gt;"",AB40&lt;&gt;""),AB40-AA40)))</f>
        <v/>
      </c>
    </row>
    <row r="43" spans="1:28" ht="15.75" thickBot="1">
      <c r="A43" s="217"/>
      <c r="B43" s="198"/>
      <c r="C43" s="212"/>
      <c r="D43" s="155"/>
      <c r="E43" s="193"/>
      <c r="F43" s="193"/>
      <c r="G43" s="193"/>
      <c r="H43" s="198"/>
      <c r="I43" s="198"/>
      <c r="J43" s="193"/>
      <c r="K43" s="198"/>
      <c r="L43" s="207"/>
      <c r="M43" s="203"/>
      <c r="N43" s="193"/>
      <c r="O43" s="198"/>
      <c r="P43" s="193"/>
      <c r="Q43" s="193"/>
      <c r="R43" s="148" t="s">
        <v>152</v>
      </c>
      <c r="S43" s="133" t="s">
        <v>25</v>
      </c>
      <c r="T43" s="183"/>
      <c r="U43" s="183"/>
      <c r="V43" s="190"/>
      <c r="W43" s="128"/>
      <c r="X43" s="127"/>
      <c r="Y43" s="128"/>
      <c r="Z43" s="176"/>
      <c r="AA43" s="173"/>
      <c r="AB43" s="175"/>
    </row>
    <row r="44" spans="1:28">
      <c r="A44" s="215"/>
      <c r="B44" s="199"/>
      <c r="C44" s="213"/>
      <c r="D44" s="153"/>
      <c r="E44" s="210" t="str">
        <f t="shared" si="0"/>
        <v/>
      </c>
      <c r="F44" s="201" t="str">
        <f>IF(OR(C44="",B44=""),"",VLOOKUP(B44,DN,E44,0))</f>
        <v/>
      </c>
      <c r="G44" s="196" t="str">
        <f t="shared" si="1"/>
        <v/>
      </c>
      <c r="H44" s="199"/>
      <c r="I44" s="199"/>
      <c r="J44" s="210" t="str">
        <f t="shared" ref="J44" si="130">H44&amp;I44</f>
        <v/>
      </c>
      <c r="K44" s="199"/>
      <c r="L44" s="208" t="str">
        <f>IF(E44=3,INDEX('coef Fct'!fct,VLOOKUP(J44,tatr,2,0),VLOOKUP('deperd tuyauterie'!K44,ti,2,0)),IF(E44=4,INDEX(fcti,VLOOKUP(J44,tatr,2,0),VLOOKUP('deperd tuyauterie'!K44,tii,2,0)),IF(E44="","")))</f>
        <v/>
      </c>
      <c r="M44" s="205"/>
      <c r="N44" s="201" t="str">
        <f>IF(M44="","",VLOOKUP(M44,annexe!position,2,0))</f>
        <v/>
      </c>
      <c r="O44" s="199"/>
      <c r="P44" s="196" t="str">
        <f t="shared" ref="P44" si="131">IF(OR(N44="",L44=""),"",IF(N44="",G44*L44*O44,IF(O44&lt;&gt;"",G44*L44*N44*O44)))</f>
        <v/>
      </c>
      <c r="Q44" s="191" t="str">
        <f t="shared" ref="Q44" si="132">IF(OR(P44="",C44=""),"",(P44*0.86)/(H44-I44))</f>
        <v/>
      </c>
      <c r="R44" s="129" t="s">
        <v>156</v>
      </c>
      <c r="S44" s="131"/>
      <c r="T44" s="182" t="str">
        <f t="shared" ref="T44" si="133">IF(AND(T46="",S47="",S46=""),"",IF(AND(T46="",S47="",S46&lt;&gt;""),S46+Q44,IF(AND(T46&lt;&gt;"",S47&lt;&gt;"",S46&lt;&gt;""),T46+S47+S46+Q44,"")))</f>
        <v/>
      </c>
      <c r="U44" s="184" t="str">
        <f t="shared" ref="U44" si="134">IF(AND(U46="",S46=""),"",IF(AND(U46="",S46&lt;&gt;""),S46,IF(AND(U46&lt;&gt;"",S46&lt;&gt;""),U46+S46,"")))</f>
        <v xml:space="preserve"> </v>
      </c>
      <c r="V44" s="179" t="s">
        <v>25</v>
      </c>
      <c r="W44" s="125"/>
      <c r="X44" s="134"/>
      <c r="Y44" s="125"/>
      <c r="Z44" s="177" t="str">
        <f t="shared" ref="Z44" si="135">IF(P44="","",P44/2)</f>
        <v/>
      </c>
      <c r="AA44" s="172" t="str">
        <f t="shared" ref="AA44" si="136">IF(AND(Z44="",X44=""),"",Z44/((X44/3600)*4187))</f>
        <v/>
      </c>
      <c r="AB44" s="174" t="str">
        <f t="shared" ref="AB44" si="137">IF(AND(AB42="",AA42="",H44=""),"",IF(AND(H44&lt;&gt;"",AA42=""),H44,IF(AND(AA42&lt;&gt;"",AB42&lt;&gt;""),AB42-AA42)))</f>
        <v/>
      </c>
    </row>
    <row r="45" spans="1:28" ht="15.75" thickBot="1">
      <c r="A45" s="216"/>
      <c r="B45" s="200"/>
      <c r="C45" s="214"/>
      <c r="D45" s="154"/>
      <c r="E45" s="192"/>
      <c r="F45" s="192"/>
      <c r="G45" s="192"/>
      <c r="H45" s="200"/>
      <c r="I45" s="200"/>
      <c r="J45" s="192"/>
      <c r="K45" s="200"/>
      <c r="L45" s="209"/>
      <c r="M45" s="204"/>
      <c r="N45" s="192"/>
      <c r="O45" s="200"/>
      <c r="P45" s="192"/>
      <c r="Q45" s="192"/>
      <c r="R45" s="130" t="s">
        <v>152</v>
      </c>
      <c r="S45" s="132" t="s">
        <v>25</v>
      </c>
      <c r="T45" s="183"/>
      <c r="U45" s="183"/>
      <c r="V45" s="180"/>
      <c r="W45" s="126"/>
      <c r="X45" s="36"/>
      <c r="Y45" s="126"/>
      <c r="Z45" s="178"/>
      <c r="AA45" s="173"/>
      <c r="AB45" s="175"/>
    </row>
    <row r="46" spans="1:28">
      <c r="A46" s="217"/>
      <c r="B46" s="198"/>
      <c r="C46" s="212"/>
      <c r="D46" s="155"/>
      <c r="E46" s="211" t="str">
        <f t="shared" si="0"/>
        <v/>
      </c>
      <c r="F46" s="202" t="str">
        <f>IF(OR(C46="",B46=""),"",VLOOKUP(B46,DN,E46,0))</f>
        <v/>
      </c>
      <c r="G46" s="197" t="str">
        <f t="shared" si="1"/>
        <v/>
      </c>
      <c r="H46" s="198"/>
      <c r="I46" s="198"/>
      <c r="J46" s="211" t="str">
        <f t="shared" ref="J46" si="138">H46&amp;I46</f>
        <v/>
      </c>
      <c r="K46" s="198"/>
      <c r="L46" s="206" t="str">
        <f>IF(E46=3,INDEX('coef Fct'!fct,VLOOKUP(J46,tatr,2,0),VLOOKUP('deperd tuyauterie'!K46,ti,2,0)),IF(E46=4,INDEX(fcti,VLOOKUP(J46,tatr,2,0),VLOOKUP('deperd tuyauterie'!K46,tii,2,0)),IF(E46="","")))</f>
        <v/>
      </c>
      <c r="M46" s="203"/>
      <c r="N46" s="202" t="str">
        <f>IF(M46="","",VLOOKUP(M46,annexe!position,2,0))</f>
        <v/>
      </c>
      <c r="O46" s="198"/>
      <c r="P46" s="197" t="str">
        <f t="shared" ref="P46" si="139">IF(OR(N46="",L46=""),"",IF(N46="",G46*L46*O46,IF(O46&lt;&gt;"",G46*L46*N46*O46)))</f>
        <v/>
      </c>
      <c r="Q46" s="193" t="str">
        <f t="shared" ref="Q46" si="140">IF(OR(P46="",C46=""),"",(P46*0.86)/(H46-I46))</f>
        <v/>
      </c>
      <c r="R46" s="142" t="s">
        <v>156</v>
      </c>
      <c r="S46" s="112" t="s">
        <v>25</v>
      </c>
      <c r="T46" s="182" t="str">
        <f t="shared" ref="T46" si="141">IF(AND(T48="",S49="",S48=""),"",IF(AND(T48="",S49="",S48&lt;&gt;""),S48+Q46,IF(AND(T48&lt;&gt;"",S49&lt;&gt;"",S48&lt;&gt;""),T48+S49+S48+Q46,"")))</f>
        <v/>
      </c>
      <c r="U46" s="184" t="str">
        <f t="shared" ref="U46" si="142">IF(AND(U48="",S48=""),"",IF(AND(U48="",S48&lt;&gt;""),S48,IF(AND(U48&lt;&gt;"",S48&lt;&gt;""),U48+S48,"")))</f>
        <v/>
      </c>
      <c r="V46" s="181" t="s">
        <v>25</v>
      </c>
      <c r="W46" s="128"/>
      <c r="X46" s="127"/>
      <c r="Y46" s="128"/>
      <c r="Z46" s="176" t="str">
        <f t="shared" ref="Z46" si="143">IF(P46="","",P46/2)</f>
        <v/>
      </c>
      <c r="AA46" s="172" t="str">
        <f t="shared" ref="AA46" si="144">IF(AND(Z46="",X46=""),"",Z46/((X46/3600)*4187))</f>
        <v/>
      </c>
      <c r="AB46" s="174" t="str">
        <f t="shared" ref="AB46" si="145">IF(AND(AB44="",AA44="",H46=""),"",IF(AND(H46&lt;&gt;"",AA44=""),H46,IF(AND(AA44&lt;&gt;"",AB44&lt;&gt;""),AB44-AA44)))</f>
        <v/>
      </c>
    </row>
    <row r="47" spans="1:28" ht="15.75" thickBot="1">
      <c r="A47" s="217"/>
      <c r="B47" s="198"/>
      <c r="C47" s="212"/>
      <c r="D47" s="155"/>
      <c r="E47" s="193"/>
      <c r="F47" s="193"/>
      <c r="G47" s="193"/>
      <c r="H47" s="198"/>
      <c r="I47" s="198"/>
      <c r="J47" s="193"/>
      <c r="K47" s="198"/>
      <c r="L47" s="207"/>
      <c r="M47" s="203"/>
      <c r="N47" s="193"/>
      <c r="O47" s="198"/>
      <c r="P47" s="193"/>
      <c r="Q47" s="193"/>
      <c r="R47" s="148" t="s">
        <v>152</v>
      </c>
      <c r="S47" s="133" t="s">
        <v>25</v>
      </c>
      <c r="T47" s="183"/>
      <c r="U47" s="183"/>
      <c r="V47" s="190"/>
      <c r="W47" s="128"/>
      <c r="X47" s="127"/>
      <c r="Y47" s="128"/>
      <c r="Z47" s="176"/>
      <c r="AA47" s="173"/>
      <c r="AB47" s="175"/>
    </row>
    <row r="48" spans="1:28">
      <c r="A48" s="215"/>
      <c r="B48" s="199"/>
      <c r="C48" s="213"/>
      <c r="D48" s="153"/>
      <c r="E48" s="210" t="str">
        <f t="shared" si="0"/>
        <v/>
      </c>
      <c r="F48" s="201" t="str">
        <f>IF(OR(C48="",B48=""),"",VLOOKUP(B48,DN,E48,0))</f>
        <v/>
      </c>
      <c r="G48" s="196" t="str">
        <f t="shared" si="1"/>
        <v/>
      </c>
      <c r="H48" s="199"/>
      <c r="I48" s="199"/>
      <c r="J48" s="210" t="str">
        <f t="shared" ref="J48" si="146">H48&amp;I48</f>
        <v/>
      </c>
      <c r="K48" s="199"/>
      <c r="L48" s="208" t="str">
        <f>IF(E48=3,INDEX('coef Fct'!fct,VLOOKUP(J48,tatr,2,0),VLOOKUP('deperd tuyauterie'!K48,ti,2,0)),IF(E48=4,INDEX(fcti,VLOOKUP(J48,tatr,2,0),VLOOKUP('deperd tuyauterie'!K48,tii,2,0)),IF(E48="","")))</f>
        <v/>
      </c>
      <c r="M48" s="205"/>
      <c r="N48" s="201" t="str">
        <f>IF(M48="","",VLOOKUP(M48,annexe!position,2,0))</f>
        <v/>
      </c>
      <c r="O48" s="199"/>
      <c r="P48" s="196" t="str">
        <f t="shared" ref="P48" si="147">IF(OR(N48="",L48=""),"",IF(N48="",G48*L48*O48,IF(O48&lt;&gt;"",G48*L48*N48*O48)))</f>
        <v/>
      </c>
      <c r="Q48" s="191" t="str">
        <f t="shared" ref="Q48" si="148">IF(OR(P48="",C48=""),"",(P48*0.86)/(H48-I48))</f>
        <v/>
      </c>
      <c r="R48" s="129" t="s">
        <v>156</v>
      </c>
      <c r="S48" s="131"/>
      <c r="T48" s="182" t="str">
        <f t="shared" ref="T48" si="149">IF(AND(T50="",S51="",S50=""),"",IF(AND(T50="",S51="",S50&lt;&gt;""),S50+Q48,IF(AND(T50&lt;&gt;"",S51&lt;&gt;"",S50&lt;&gt;""),T50+S51+S50+Q48,"")))</f>
        <v/>
      </c>
      <c r="U48" s="184" t="str">
        <f t="shared" ref="U48" si="150">IF(AND(U50="",S50=""),"",IF(AND(U50="",S50&lt;&gt;""),S50,IF(AND(U50&lt;&gt;"",S50&lt;&gt;""),U50+S50,"")))</f>
        <v xml:space="preserve"> </v>
      </c>
      <c r="V48" s="179" t="s">
        <v>25</v>
      </c>
      <c r="W48" s="125"/>
      <c r="X48" s="134"/>
      <c r="Y48" s="125"/>
      <c r="Z48" s="177" t="str">
        <f t="shared" ref="Z48" si="151">IF(P48="","",P48/2)</f>
        <v/>
      </c>
      <c r="AA48" s="172" t="str">
        <f t="shared" ref="AA48" si="152">IF(AND(Z48="",X48=""),"",Z48/((X48/3600)*4187))</f>
        <v/>
      </c>
      <c r="AB48" s="174" t="str">
        <f t="shared" ref="AB48" si="153">IF(AND(AB46="",AA46="",H48=""),"",IF(AND(H48&lt;&gt;"",AA46=""),H48,IF(AND(AA46&lt;&gt;"",AB46&lt;&gt;""),AB46-AA46)))</f>
        <v/>
      </c>
    </row>
    <row r="49" spans="1:28" ht="15.75" thickBot="1">
      <c r="A49" s="216"/>
      <c r="B49" s="200"/>
      <c r="C49" s="214"/>
      <c r="D49" s="154"/>
      <c r="E49" s="192"/>
      <c r="F49" s="192"/>
      <c r="G49" s="192"/>
      <c r="H49" s="200"/>
      <c r="I49" s="200"/>
      <c r="J49" s="192"/>
      <c r="K49" s="200"/>
      <c r="L49" s="209"/>
      <c r="M49" s="204"/>
      <c r="N49" s="192"/>
      <c r="O49" s="200"/>
      <c r="P49" s="192"/>
      <c r="Q49" s="192"/>
      <c r="R49" s="130" t="s">
        <v>152</v>
      </c>
      <c r="S49" s="132" t="s">
        <v>25</v>
      </c>
      <c r="T49" s="183"/>
      <c r="U49" s="183"/>
      <c r="V49" s="180"/>
      <c r="W49" s="126"/>
      <c r="X49" s="36"/>
      <c r="Y49" s="126"/>
      <c r="Z49" s="178"/>
      <c r="AA49" s="173"/>
      <c r="AB49" s="175"/>
    </row>
    <row r="50" spans="1:28">
      <c r="A50" s="217"/>
      <c r="B50" s="198"/>
      <c r="C50" s="212"/>
      <c r="D50" s="155"/>
      <c r="E50" s="211" t="str">
        <f t="shared" si="0"/>
        <v/>
      </c>
      <c r="F50" s="202" t="str">
        <f>IF(OR(C50="",B50=""),"",VLOOKUP(B50,DN,E50,0))</f>
        <v/>
      </c>
      <c r="G50" s="197" t="str">
        <f t="shared" si="1"/>
        <v/>
      </c>
      <c r="H50" s="198"/>
      <c r="I50" s="198"/>
      <c r="J50" s="211" t="str">
        <f t="shared" ref="J50" si="154">H50&amp;I50</f>
        <v/>
      </c>
      <c r="K50" s="198"/>
      <c r="L50" s="206" t="str">
        <f>IF(E50=3,INDEX('coef Fct'!fct,VLOOKUP(J50,tatr,2,0),VLOOKUP('deperd tuyauterie'!K50,ti,2,0)),IF(E50=4,INDEX(fcti,VLOOKUP(J50,tatr,2,0),VLOOKUP('deperd tuyauterie'!K50,tii,2,0)),IF(E50="","")))</f>
        <v/>
      </c>
      <c r="M50" s="203"/>
      <c r="N50" s="202" t="str">
        <f>IF(M50="","",VLOOKUP(M50,annexe!position,2,0))</f>
        <v/>
      </c>
      <c r="O50" s="198"/>
      <c r="P50" s="197" t="str">
        <f t="shared" ref="P50" si="155">IF(OR(N50="",L50=""),"",IF(N50="",G50*L50*O50,IF(O50&lt;&gt;"",G50*L50*N50*O50)))</f>
        <v/>
      </c>
      <c r="Q50" s="193" t="str">
        <f t="shared" ref="Q50" si="156">IF(OR(P50="",C50=""),"",(P50*0.86)/(H50-I50))</f>
        <v/>
      </c>
      <c r="R50" s="142" t="s">
        <v>156</v>
      </c>
      <c r="S50" s="112" t="s">
        <v>25</v>
      </c>
      <c r="T50" s="182" t="str">
        <f t="shared" ref="T50" si="157">IF(AND(T52="",S53="",S52=""),"",IF(AND(T52="",S53="",S52&lt;&gt;""),S52+Q50,IF(AND(T52&lt;&gt;"",S53&lt;&gt;"",S52&lt;&gt;""),T52+S53+S52+Q50,"")))</f>
        <v/>
      </c>
      <c r="U50" s="184" t="str">
        <f t="shared" ref="U50" si="158">IF(AND(U52="",S52=""),"",IF(AND(U52="",S52&lt;&gt;""),S52,IF(AND(U52&lt;&gt;"",S52&lt;&gt;""),U52+S52,"")))</f>
        <v/>
      </c>
      <c r="V50" s="181" t="s">
        <v>25</v>
      </c>
      <c r="W50" s="128"/>
      <c r="X50" s="127"/>
      <c r="Y50" s="128"/>
      <c r="Z50" s="176" t="str">
        <f t="shared" ref="Z50" si="159">IF(P50="","",P50/2)</f>
        <v/>
      </c>
      <c r="AA50" s="172" t="str">
        <f t="shared" ref="AA50" si="160">IF(AND(Z50="",X50=""),"",Z50/((X50/3600)*4187))</f>
        <v/>
      </c>
      <c r="AB50" s="174" t="str">
        <f t="shared" ref="AB50" si="161">IF(AND(AB48="",AA48="",H50=""),"",IF(AND(H50&lt;&gt;"",AA48=""),H50,IF(AND(AA48&lt;&gt;"",AB48&lt;&gt;""),AB48-AA48)))</f>
        <v/>
      </c>
    </row>
    <row r="51" spans="1:28" ht="15.75" thickBot="1">
      <c r="A51" s="217"/>
      <c r="B51" s="198"/>
      <c r="C51" s="212"/>
      <c r="D51" s="155"/>
      <c r="E51" s="193"/>
      <c r="F51" s="193"/>
      <c r="G51" s="193"/>
      <c r="H51" s="198"/>
      <c r="I51" s="198"/>
      <c r="J51" s="193"/>
      <c r="K51" s="198"/>
      <c r="L51" s="207"/>
      <c r="M51" s="203"/>
      <c r="N51" s="193"/>
      <c r="O51" s="198"/>
      <c r="P51" s="193"/>
      <c r="Q51" s="193"/>
      <c r="R51" s="148" t="s">
        <v>152</v>
      </c>
      <c r="S51" s="133" t="s">
        <v>25</v>
      </c>
      <c r="T51" s="183"/>
      <c r="U51" s="183"/>
      <c r="V51" s="190"/>
      <c r="W51" s="128"/>
      <c r="X51" s="127"/>
      <c r="Y51" s="128"/>
      <c r="Z51" s="176"/>
      <c r="AA51" s="173"/>
      <c r="AB51" s="175"/>
    </row>
    <row r="52" spans="1:28">
      <c r="A52" s="215"/>
      <c r="B52" s="199"/>
      <c r="C52" s="213"/>
      <c r="D52" s="153"/>
      <c r="E52" s="210" t="str">
        <f t="shared" si="0"/>
        <v/>
      </c>
      <c r="F52" s="201" t="str">
        <f>IF(OR(C52="",B52=""),"",VLOOKUP(B52,DN,E52,0))</f>
        <v/>
      </c>
      <c r="G52" s="196" t="str">
        <f t="shared" si="1"/>
        <v/>
      </c>
      <c r="H52" s="199"/>
      <c r="I52" s="199"/>
      <c r="J52" s="210" t="str">
        <f t="shared" ref="J52" si="162">H52&amp;I52</f>
        <v/>
      </c>
      <c r="K52" s="199"/>
      <c r="L52" s="208" t="str">
        <f>IF(E52=3,INDEX('coef Fct'!fct,VLOOKUP(J52,tatr,2,0),VLOOKUP('deperd tuyauterie'!K52,ti,2,0)),IF(E52=4,INDEX(fcti,VLOOKUP(J52,tatr,2,0),VLOOKUP('deperd tuyauterie'!K52,tii,2,0)),IF(E52="","")))</f>
        <v/>
      </c>
      <c r="M52" s="205"/>
      <c r="N52" s="201" t="str">
        <f>IF(M52="","",VLOOKUP(M52,annexe!position,2,0))</f>
        <v/>
      </c>
      <c r="O52" s="199"/>
      <c r="P52" s="196" t="str">
        <f t="shared" ref="P52" si="163">IF(OR(N52="",L52=""),"",IF(N52="",G52*L52*O52,IF(O52&lt;&gt;"",G52*L52*N52*O52)))</f>
        <v/>
      </c>
      <c r="Q52" s="191" t="str">
        <f t="shared" ref="Q52" si="164">IF(OR(P52="",C52=""),"",(P52*0.86)/(H52-I52))</f>
        <v/>
      </c>
      <c r="R52" s="129" t="s">
        <v>156</v>
      </c>
      <c r="S52" s="131"/>
      <c r="T52" s="182" t="str">
        <f>IF(AND(T54="",S55="",S54=""),"",IF(AND(T54="",S55="",S54&lt;&gt;""),S54+Q52,IF(AND(T54&lt;&gt;"",S55&lt;&gt;"",S54&lt;&gt;""),T54+S55+S54+Q52,"")))</f>
        <v/>
      </c>
      <c r="U52" s="184" t="str">
        <f t="shared" ref="U52" si="165">IF(AND(U54="",S54=""),"",IF(AND(U54="",S54&lt;&gt;""),S54,IF(AND(U54&lt;&gt;"",S54&lt;&gt;""),U54+S54,"")))</f>
        <v xml:space="preserve"> </v>
      </c>
      <c r="V52" s="179" t="s">
        <v>25</v>
      </c>
      <c r="W52" s="125"/>
      <c r="X52" s="134"/>
      <c r="Y52" s="125"/>
      <c r="Z52" s="177" t="str">
        <f t="shared" ref="Z52" si="166">IF(P52="","",P52/2)</f>
        <v/>
      </c>
      <c r="AA52" s="172" t="str">
        <f t="shared" ref="AA52" si="167">IF(AND(Z52="",X52=""),"",Z52/((X52/3600)*4187))</f>
        <v/>
      </c>
      <c r="AB52" s="174" t="str">
        <f t="shared" ref="AB52" si="168">IF(AND(AB50="",AA50="",H52=""),"",IF(AND(H52&lt;&gt;"",AA50=""),H52,IF(AND(AA50&lt;&gt;"",AB50&lt;&gt;""),AB50-AA50)))</f>
        <v/>
      </c>
    </row>
    <row r="53" spans="1:28" ht="15.75" thickBot="1">
      <c r="A53" s="216"/>
      <c r="B53" s="200"/>
      <c r="C53" s="214"/>
      <c r="D53" s="154"/>
      <c r="E53" s="192"/>
      <c r="F53" s="192"/>
      <c r="G53" s="192"/>
      <c r="H53" s="200"/>
      <c r="I53" s="200"/>
      <c r="J53" s="192"/>
      <c r="K53" s="200"/>
      <c r="L53" s="209"/>
      <c r="M53" s="204"/>
      <c r="N53" s="192"/>
      <c r="O53" s="200"/>
      <c r="P53" s="192"/>
      <c r="Q53" s="192"/>
      <c r="R53" s="130" t="s">
        <v>152</v>
      </c>
      <c r="S53" s="132" t="s">
        <v>25</v>
      </c>
      <c r="T53" s="183"/>
      <c r="U53" s="183"/>
      <c r="V53" s="180"/>
      <c r="W53" s="126"/>
      <c r="X53" s="36"/>
      <c r="Y53" s="126"/>
      <c r="Z53" s="178"/>
      <c r="AA53" s="173"/>
      <c r="AB53" s="175"/>
    </row>
    <row r="54" spans="1:28">
      <c r="A54" s="217"/>
      <c r="B54" s="198"/>
      <c r="C54" s="212"/>
      <c r="D54" s="155"/>
      <c r="E54" s="211" t="str">
        <f t="shared" si="0"/>
        <v/>
      </c>
      <c r="F54" s="202" t="str">
        <f>IF(OR(C54="",B54=""),"",VLOOKUP(B54,DN,E54,0))</f>
        <v/>
      </c>
      <c r="G54" s="197" t="str">
        <f t="shared" si="1"/>
        <v/>
      </c>
      <c r="H54" s="198"/>
      <c r="I54" s="198"/>
      <c r="J54" s="211" t="str">
        <f t="shared" ref="J54" si="169">H54&amp;I54</f>
        <v/>
      </c>
      <c r="K54" s="198"/>
      <c r="L54" s="206" t="str">
        <f>IF(E54=3,INDEX('coef Fct'!fct,VLOOKUP(J54,tatr,2,0),VLOOKUP('deperd tuyauterie'!K54,ti,2,0)),IF(E54=4,INDEX(fcti,VLOOKUP(J54,tatr,2,0),VLOOKUP('deperd tuyauterie'!K54,tii,2,0)),IF(E54="","")))</f>
        <v/>
      </c>
      <c r="M54" s="203"/>
      <c r="N54" s="202" t="str">
        <f>IF(M54="","",VLOOKUP(M54,annexe!position,2,0))</f>
        <v/>
      </c>
      <c r="O54" s="198"/>
      <c r="P54" s="197" t="str">
        <f t="shared" ref="P54" si="170">IF(OR(N54="",L54=""),"",IF(N54="",G54*L54*O54,IF(O54&lt;&gt;"",G54*L54*N54*O54)))</f>
        <v/>
      </c>
      <c r="Q54" s="193" t="str">
        <f t="shared" ref="Q54" si="171">IF(OR(P54="",C54=""),"",(P54*0.86)/(H54-I54))</f>
        <v/>
      </c>
      <c r="R54" s="142" t="s">
        <v>156</v>
      </c>
      <c r="S54" s="112" t="s">
        <v>25</v>
      </c>
      <c r="T54" s="182" t="str">
        <f>IF(AND(T56="",S57="",S56=""),"",IF(AND(T56="",S57="",S56&lt;&gt;""),S56+Q54,IF(AND(T56&lt;&gt;"",S57&lt;&gt;"",S56&lt;&gt;""),T56+S57+S56+Q54,"")))</f>
        <v/>
      </c>
      <c r="U54" s="184" t="str">
        <f>IF(AND(U56="",S56=""),"",IF(AND(U56="",S56&lt;&gt;""),S56,IF(AND(U56&lt;&gt;"",S56&lt;&gt;""),U56+S56,"")))</f>
        <v/>
      </c>
      <c r="V54" s="181" t="s">
        <v>25</v>
      </c>
      <c r="W54" s="128"/>
      <c r="X54" s="127"/>
      <c r="Y54" s="128"/>
      <c r="Z54" s="176" t="str">
        <f t="shared" ref="Z54" si="172">IF(P54="","",P54/2)</f>
        <v/>
      </c>
      <c r="AA54" s="172" t="str">
        <f t="shared" ref="AA54" si="173">IF(AND(Z54="",X54=""),"",Z54/((X54/3600)*4187))</f>
        <v/>
      </c>
      <c r="AB54" s="174" t="str">
        <f t="shared" ref="AB54" si="174">IF(AND(AB52="",AA52="",H54=""),"",IF(AND(H54&lt;&gt;"",AA52=""),H54,IF(AND(AA52&lt;&gt;"",AB52&lt;&gt;""),AB52-AA52)))</f>
        <v/>
      </c>
    </row>
    <row r="55" spans="1:28" ht="15.75" thickBot="1">
      <c r="A55" s="216"/>
      <c r="B55" s="200"/>
      <c r="C55" s="214"/>
      <c r="D55" s="154"/>
      <c r="E55" s="192"/>
      <c r="F55" s="192"/>
      <c r="G55" s="192"/>
      <c r="H55" s="200"/>
      <c r="I55" s="200"/>
      <c r="J55" s="192"/>
      <c r="K55" s="200"/>
      <c r="L55" s="209"/>
      <c r="M55" s="204"/>
      <c r="N55" s="192"/>
      <c r="O55" s="200"/>
      <c r="P55" s="192"/>
      <c r="Q55" s="192"/>
      <c r="R55" s="130" t="s">
        <v>152</v>
      </c>
      <c r="S55" s="132" t="s">
        <v>25</v>
      </c>
      <c r="T55" s="183"/>
      <c r="U55" s="183"/>
      <c r="V55" s="180"/>
      <c r="W55" s="126"/>
      <c r="X55" s="36"/>
      <c r="Y55" s="126"/>
      <c r="Z55" s="178"/>
      <c r="AA55" s="173"/>
      <c r="AB55" s="175"/>
    </row>
    <row r="56" spans="1:28">
      <c r="T56" s="171"/>
      <c r="U56" s="156"/>
    </row>
    <row r="57" spans="1:28">
      <c r="T57" s="159"/>
      <c r="U57" s="151"/>
    </row>
  </sheetData>
  <mergeCells count="530">
    <mergeCell ref="U52:U53"/>
    <mergeCell ref="U54:U55"/>
    <mergeCell ref="U30:U31"/>
    <mergeCell ref="U32:U33"/>
    <mergeCell ref="U34:U35"/>
    <mergeCell ref="U36:U37"/>
    <mergeCell ref="U38:U39"/>
    <mergeCell ref="U40:U41"/>
    <mergeCell ref="U42:U43"/>
    <mergeCell ref="U44:U45"/>
    <mergeCell ref="U46:U47"/>
    <mergeCell ref="U12:U13"/>
    <mergeCell ref="U14:U15"/>
    <mergeCell ref="U16:U17"/>
    <mergeCell ref="U18:U19"/>
    <mergeCell ref="U20:U21"/>
    <mergeCell ref="U22:U23"/>
    <mergeCell ref="U24:U25"/>
    <mergeCell ref="U26:U27"/>
    <mergeCell ref="U28:U29"/>
    <mergeCell ref="E10:E11"/>
    <mergeCell ref="C10:C11"/>
    <mergeCell ref="B10:B11"/>
    <mergeCell ref="AB10:AB11"/>
    <mergeCell ref="AA10:AA11"/>
    <mergeCell ref="Z10:Z11"/>
    <mergeCell ref="Y10:Y11"/>
    <mergeCell ref="Q10:Q11"/>
    <mergeCell ref="P10:P11"/>
    <mergeCell ref="O10:O11"/>
    <mergeCell ref="M10:M11"/>
    <mergeCell ref="L10:L11"/>
    <mergeCell ref="V10:V11"/>
    <mergeCell ref="W10:W11"/>
    <mergeCell ref="U10:U11"/>
    <mergeCell ref="G12:G13"/>
    <mergeCell ref="G14:G15"/>
    <mergeCell ref="G16:G17"/>
    <mergeCell ref="K10:K11"/>
    <mergeCell ref="K12:K13"/>
    <mergeCell ref="K14:K15"/>
    <mergeCell ref="K16:K17"/>
    <mergeCell ref="I10:I11"/>
    <mergeCell ref="H10:H11"/>
    <mergeCell ref="A34:A35"/>
    <mergeCell ref="A36:A37"/>
    <mergeCell ref="A18:A19"/>
    <mergeCell ref="A20:A21"/>
    <mergeCell ref="A22:A23"/>
    <mergeCell ref="A24:A25"/>
    <mergeCell ref="A26:A27"/>
    <mergeCell ref="I6:N6"/>
    <mergeCell ref="A10:A11"/>
    <mergeCell ref="A12:A13"/>
    <mergeCell ref="A14:A15"/>
    <mergeCell ref="A16:A17"/>
    <mergeCell ref="F10:F11"/>
    <mergeCell ref="F12:F13"/>
    <mergeCell ref="F14:F15"/>
    <mergeCell ref="F16:F17"/>
    <mergeCell ref="J10:J11"/>
    <mergeCell ref="J12:J13"/>
    <mergeCell ref="J14:J15"/>
    <mergeCell ref="J16:J17"/>
    <mergeCell ref="N10:N11"/>
    <mergeCell ref="N12:N13"/>
    <mergeCell ref="N14:N15"/>
    <mergeCell ref="G10:G11"/>
    <mergeCell ref="A48:A49"/>
    <mergeCell ref="A50:A51"/>
    <mergeCell ref="A52:A53"/>
    <mergeCell ref="A54:A55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A38:A39"/>
    <mergeCell ref="A40:A41"/>
    <mergeCell ref="A42:A43"/>
    <mergeCell ref="A44:A45"/>
    <mergeCell ref="A46:A47"/>
    <mergeCell ref="A28:A29"/>
    <mergeCell ref="B54:B55"/>
    <mergeCell ref="A30:A31"/>
    <mergeCell ref="A32:A33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C38:C39"/>
    <mergeCell ref="B44:B45"/>
    <mergeCell ref="B46:B47"/>
    <mergeCell ref="B48:B49"/>
    <mergeCell ref="B50:B51"/>
    <mergeCell ref="B40:B41"/>
    <mergeCell ref="B42:B43"/>
    <mergeCell ref="B52:B53"/>
    <mergeCell ref="B34:B35"/>
    <mergeCell ref="B36:B37"/>
    <mergeCell ref="B38:B39"/>
    <mergeCell ref="C50:C51"/>
    <mergeCell ref="C52:C53"/>
    <mergeCell ref="C54:C55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30:E31"/>
    <mergeCell ref="E32:E33"/>
    <mergeCell ref="E34:E35"/>
    <mergeCell ref="C40:C41"/>
    <mergeCell ref="C42:C43"/>
    <mergeCell ref="C44:C45"/>
    <mergeCell ref="C46:C47"/>
    <mergeCell ref="C48:C49"/>
    <mergeCell ref="F52:F53"/>
    <mergeCell ref="F54:F55"/>
    <mergeCell ref="F18:F19"/>
    <mergeCell ref="F20:F21"/>
    <mergeCell ref="F22:F23"/>
    <mergeCell ref="F24:F25"/>
    <mergeCell ref="F26:F27"/>
    <mergeCell ref="E46:E47"/>
    <mergeCell ref="E48:E49"/>
    <mergeCell ref="E50:E51"/>
    <mergeCell ref="E52:E53"/>
    <mergeCell ref="E54:E55"/>
    <mergeCell ref="E36:E37"/>
    <mergeCell ref="E38:E39"/>
    <mergeCell ref="E40:E41"/>
    <mergeCell ref="E42:E43"/>
    <mergeCell ref="E44:E45"/>
    <mergeCell ref="G40:G41"/>
    <mergeCell ref="G42:G43"/>
    <mergeCell ref="F48:F49"/>
    <mergeCell ref="F50:F51"/>
    <mergeCell ref="G18:G19"/>
    <mergeCell ref="G20:G21"/>
    <mergeCell ref="G22:G23"/>
    <mergeCell ref="G24:G25"/>
    <mergeCell ref="G26:G27"/>
    <mergeCell ref="G28:G29"/>
    <mergeCell ref="G30:G31"/>
    <mergeCell ref="G32:G33"/>
    <mergeCell ref="F38:F39"/>
    <mergeCell ref="F40:F41"/>
    <mergeCell ref="F42:F43"/>
    <mergeCell ref="F44:F45"/>
    <mergeCell ref="F46:F47"/>
    <mergeCell ref="F28:F29"/>
    <mergeCell ref="F30:F31"/>
    <mergeCell ref="F32:F33"/>
    <mergeCell ref="F34:F35"/>
    <mergeCell ref="F36:F37"/>
    <mergeCell ref="G54:G55"/>
    <mergeCell ref="H12:H13"/>
    <mergeCell ref="H14:H15"/>
    <mergeCell ref="H16:H17"/>
    <mergeCell ref="H18:H19"/>
    <mergeCell ref="H20:H21"/>
    <mergeCell ref="H22:H23"/>
    <mergeCell ref="H24:H25"/>
    <mergeCell ref="H26:H27"/>
    <mergeCell ref="H28:H29"/>
    <mergeCell ref="H30:H31"/>
    <mergeCell ref="H32:H33"/>
    <mergeCell ref="H34:H35"/>
    <mergeCell ref="H36:H37"/>
    <mergeCell ref="H38:H39"/>
    <mergeCell ref="G44:G45"/>
    <mergeCell ref="G46:G47"/>
    <mergeCell ref="G48:G49"/>
    <mergeCell ref="G50:G51"/>
    <mergeCell ref="G52:G53"/>
    <mergeCell ref="G34:G35"/>
    <mergeCell ref="G36:G37"/>
    <mergeCell ref="G38:G39"/>
    <mergeCell ref="H50:H51"/>
    <mergeCell ref="H52:H53"/>
    <mergeCell ref="H54:H55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  <mergeCell ref="I30:I31"/>
    <mergeCell ref="I32:I33"/>
    <mergeCell ref="I34:I35"/>
    <mergeCell ref="H40:H41"/>
    <mergeCell ref="H42:H43"/>
    <mergeCell ref="H44:H45"/>
    <mergeCell ref="H46:H47"/>
    <mergeCell ref="H48:H49"/>
    <mergeCell ref="I46:I47"/>
    <mergeCell ref="I48:I49"/>
    <mergeCell ref="I50:I51"/>
    <mergeCell ref="I52:I53"/>
    <mergeCell ref="I54:I55"/>
    <mergeCell ref="I36:I37"/>
    <mergeCell ref="I38:I39"/>
    <mergeCell ref="I40:I41"/>
    <mergeCell ref="I42:I43"/>
    <mergeCell ref="I44:I45"/>
    <mergeCell ref="J30:J31"/>
    <mergeCell ref="J32:J33"/>
    <mergeCell ref="J34:J35"/>
    <mergeCell ref="J36:J37"/>
    <mergeCell ref="J52:J53"/>
    <mergeCell ref="J54:J55"/>
    <mergeCell ref="J18:J19"/>
    <mergeCell ref="J20:J21"/>
    <mergeCell ref="J22:J23"/>
    <mergeCell ref="J24:J25"/>
    <mergeCell ref="J26:J27"/>
    <mergeCell ref="K40:K41"/>
    <mergeCell ref="K42:K43"/>
    <mergeCell ref="J48:J49"/>
    <mergeCell ref="J50:J51"/>
    <mergeCell ref="K18:K19"/>
    <mergeCell ref="K20:K21"/>
    <mergeCell ref="K22:K23"/>
    <mergeCell ref="K24:K25"/>
    <mergeCell ref="K26:K27"/>
    <mergeCell ref="K28:K29"/>
    <mergeCell ref="K30:K31"/>
    <mergeCell ref="K32:K33"/>
    <mergeCell ref="J38:J39"/>
    <mergeCell ref="J40:J41"/>
    <mergeCell ref="J42:J43"/>
    <mergeCell ref="J44:J45"/>
    <mergeCell ref="J46:J47"/>
    <mergeCell ref="J28:J29"/>
    <mergeCell ref="K54:K55"/>
    <mergeCell ref="L12:L13"/>
    <mergeCell ref="L14:L15"/>
    <mergeCell ref="L16:L17"/>
    <mergeCell ref="L18:L19"/>
    <mergeCell ref="L20:L21"/>
    <mergeCell ref="L22:L23"/>
    <mergeCell ref="L24:L25"/>
    <mergeCell ref="L26:L27"/>
    <mergeCell ref="L28:L29"/>
    <mergeCell ref="L30:L31"/>
    <mergeCell ref="L32:L33"/>
    <mergeCell ref="L34:L35"/>
    <mergeCell ref="L36:L37"/>
    <mergeCell ref="L38:L39"/>
    <mergeCell ref="K44:K45"/>
    <mergeCell ref="K46:K47"/>
    <mergeCell ref="K48:K49"/>
    <mergeCell ref="K50:K51"/>
    <mergeCell ref="K52:K53"/>
    <mergeCell ref="K34:K35"/>
    <mergeCell ref="K36:K37"/>
    <mergeCell ref="K38:K39"/>
    <mergeCell ref="L50:L51"/>
    <mergeCell ref="L52:L53"/>
    <mergeCell ref="L54:L55"/>
    <mergeCell ref="M12:M13"/>
    <mergeCell ref="M14:M15"/>
    <mergeCell ref="M16:M17"/>
    <mergeCell ref="M18:M19"/>
    <mergeCell ref="M20:M21"/>
    <mergeCell ref="M22:M23"/>
    <mergeCell ref="M24:M25"/>
    <mergeCell ref="M26:M27"/>
    <mergeCell ref="M28:M29"/>
    <mergeCell ref="M30:M31"/>
    <mergeCell ref="M32:M33"/>
    <mergeCell ref="M34:M35"/>
    <mergeCell ref="L40:L41"/>
    <mergeCell ref="L42:L43"/>
    <mergeCell ref="L44:L45"/>
    <mergeCell ref="L46:L47"/>
    <mergeCell ref="L48:L49"/>
    <mergeCell ref="M46:M47"/>
    <mergeCell ref="M48:M49"/>
    <mergeCell ref="M50:M51"/>
    <mergeCell ref="M52:M53"/>
    <mergeCell ref="M54:M55"/>
    <mergeCell ref="M36:M37"/>
    <mergeCell ref="M38:M39"/>
    <mergeCell ref="M40:M41"/>
    <mergeCell ref="M42:M43"/>
    <mergeCell ref="M44:M45"/>
    <mergeCell ref="N26:N27"/>
    <mergeCell ref="N28:N29"/>
    <mergeCell ref="N30:N31"/>
    <mergeCell ref="N32:N33"/>
    <mergeCell ref="N34:N35"/>
    <mergeCell ref="N54:N55"/>
    <mergeCell ref="N16:N17"/>
    <mergeCell ref="N18:N19"/>
    <mergeCell ref="N20:N21"/>
    <mergeCell ref="N22:N23"/>
    <mergeCell ref="N24:N25"/>
    <mergeCell ref="N46:N47"/>
    <mergeCell ref="N48:N49"/>
    <mergeCell ref="N50:N51"/>
    <mergeCell ref="N52:N53"/>
    <mergeCell ref="N36:N37"/>
    <mergeCell ref="N38:N39"/>
    <mergeCell ref="N40:N41"/>
    <mergeCell ref="N42:N43"/>
    <mergeCell ref="N44:N45"/>
    <mergeCell ref="P46:P47"/>
    <mergeCell ref="O36:O37"/>
    <mergeCell ref="O38:O39"/>
    <mergeCell ref="O20:O21"/>
    <mergeCell ref="O22:O23"/>
    <mergeCell ref="O24:O25"/>
    <mergeCell ref="O26:O27"/>
    <mergeCell ref="O28:O29"/>
    <mergeCell ref="O12:O13"/>
    <mergeCell ref="O14:O15"/>
    <mergeCell ref="O16:O17"/>
    <mergeCell ref="O18:O19"/>
    <mergeCell ref="Q26:Q27"/>
    <mergeCell ref="O50:O51"/>
    <mergeCell ref="O52:O53"/>
    <mergeCell ref="O54:O55"/>
    <mergeCell ref="P12:P13"/>
    <mergeCell ref="P14:P15"/>
    <mergeCell ref="P16:P17"/>
    <mergeCell ref="P18:P19"/>
    <mergeCell ref="P20:P21"/>
    <mergeCell ref="P22:P23"/>
    <mergeCell ref="P24:P25"/>
    <mergeCell ref="P26:P27"/>
    <mergeCell ref="P28:P29"/>
    <mergeCell ref="P30:P31"/>
    <mergeCell ref="P32:P33"/>
    <mergeCell ref="P34:P35"/>
    <mergeCell ref="O40:O41"/>
    <mergeCell ref="O42:O43"/>
    <mergeCell ref="O44:O45"/>
    <mergeCell ref="O46:O47"/>
    <mergeCell ref="O48:O49"/>
    <mergeCell ref="O30:O31"/>
    <mergeCell ref="O32:O33"/>
    <mergeCell ref="O34:O35"/>
    <mergeCell ref="Q50:Q51"/>
    <mergeCell ref="Q52:Q53"/>
    <mergeCell ref="Q54:Q55"/>
    <mergeCell ref="Q12:Q13"/>
    <mergeCell ref="Q14:Q15"/>
    <mergeCell ref="Q16:Q17"/>
    <mergeCell ref="Q18:Q19"/>
    <mergeCell ref="P48:P49"/>
    <mergeCell ref="P50:P51"/>
    <mergeCell ref="P52:P53"/>
    <mergeCell ref="P54:P55"/>
    <mergeCell ref="P36:P37"/>
    <mergeCell ref="P38:P39"/>
    <mergeCell ref="P40:P41"/>
    <mergeCell ref="P42:P43"/>
    <mergeCell ref="P44:P45"/>
    <mergeCell ref="Q46:Q47"/>
    <mergeCell ref="Q48:Q49"/>
    <mergeCell ref="Q30:Q31"/>
    <mergeCell ref="Q32:Q33"/>
    <mergeCell ref="Q34:Q35"/>
    <mergeCell ref="Q36:Q37"/>
    <mergeCell ref="Q38:Q39"/>
    <mergeCell ref="Q20:Q21"/>
    <mergeCell ref="T32:T33"/>
    <mergeCell ref="Q40:Q41"/>
    <mergeCell ref="Q42:Q43"/>
    <mergeCell ref="Q44:Q45"/>
    <mergeCell ref="V40:V41"/>
    <mergeCell ref="V42:V43"/>
    <mergeCell ref="V44:V45"/>
    <mergeCell ref="R8:S8"/>
    <mergeCell ref="T10:T11"/>
    <mergeCell ref="T12:T13"/>
    <mergeCell ref="T14:T15"/>
    <mergeCell ref="T16:T17"/>
    <mergeCell ref="T18:T19"/>
    <mergeCell ref="T20:T21"/>
    <mergeCell ref="T22:T23"/>
    <mergeCell ref="T24:T25"/>
    <mergeCell ref="Q28:Q29"/>
    <mergeCell ref="T34:T35"/>
    <mergeCell ref="T36:T37"/>
    <mergeCell ref="T38:T39"/>
    <mergeCell ref="T40:T41"/>
    <mergeCell ref="T42:T43"/>
    <mergeCell ref="Q22:Q23"/>
    <mergeCell ref="Q24:Q25"/>
    <mergeCell ref="V46:V47"/>
    <mergeCell ref="V48:V49"/>
    <mergeCell ref="T54:T55"/>
    <mergeCell ref="T50:T51"/>
    <mergeCell ref="T52:T53"/>
    <mergeCell ref="V12:V13"/>
    <mergeCell ref="V14:V15"/>
    <mergeCell ref="V16:V17"/>
    <mergeCell ref="V18:V19"/>
    <mergeCell ref="V20:V21"/>
    <mergeCell ref="V22:V23"/>
    <mergeCell ref="V24:V25"/>
    <mergeCell ref="V26:V27"/>
    <mergeCell ref="V50:V51"/>
    <mergeCell ref="V28:V29"/>
    <mergeCell ref="V30:V31"/>
    <mergeCell ref="V32:V33"/>
    <mergeCell ref="V34:V35"/>
    <mergeCell ref="V36:V37"/>
    <mergeCell ref="V38:V39"/>
    <mergeCell ref="T44:T45"/>
    <mergeCell ref="T26:T27"/>
    <mergeCell ref="T28:T29"/>
    <mergeCell ref="T30:T31"/>
    <mergeCell ref="W12:W13"/>
    <mergeCell ref="W14:W15"/>
    <mergeCell ref="W16:W17"/>
    <mergeCell ref="W18:W19"/>
    <mergeCell ref="W20:W21"/>
    <mergeCell ref="W22:W23"/>
    <mergeCell ref="X10:X11"/>
    <mergeCell ref="X12:X13"/>
    <mergeCell ref="X14:X15"/>
    <mergeCell ref="X16:X17"/>
    <mergeCell ref="X18:X19"/>
    <mergeCell ref="X20:X21"/>
    <mergeCell ref="X22:X23"/>
    <mergeCell ref="Y12:Y13"/>
    <mergeCell ref="Y14:Y15"/>
    <mergeCell ref="Y16:Y17"/>
    <mergeCell ref="Y18:Y19"/>
    <mergeCell ref="Y20:Y21"/>
    <mergeCell ref="Y22:Y23"/>
    <mergeCell ref="Z12:Z13"/>
    <mergeCell ref="Z14:Z15"/>
    <mergeCell ref="Z16:Z17"/>
    <mergeCell ref="Z18:Z19"/>
    <mergeCell ref="Z20:Z21"/>
    <mergeCell ref="Z22:Z23"/>
    <mergeCell ref="AB30:AB31"/>
    <mergeCell ref="AB32:AB33"/>
    <mergeCell ref="AB34:AB35"/>
    <mergeCell ref="AB36:AB37"/>
    <mergeCell ref="AB38:AB39"/>
    <mergeCell ref="AB40:AB41"/>
    <mergeCell ref="Z24:Z25"/>
    <mergeCell ref="Z26:Z27"/>
    <mergeCell ref="AA30:AA31"/>
    <mergeCell ref="AA32:AA33"/>
    <mergeCell ref="Z28:Z29"/>
    <mergeCell ref="Z30:Z31"/>
    <mergeCell ref="Z32:Z33"/>
    <mergeCell ref="Z34:Z35"/>
    <mergeCell ref="Z36:Z37"/>
    <mergeCell ref="Z38:Z39"/>
    <mergeCell ref="Z40:Z41"/>
    <mergeCell ref="AA34:AA35"/>
    <mergeCell ref="AA36:AA37"/>
    <mergeCell ref="AA38:AA39"/>
    <mergeCell ref="AA40:AA41"/>
    <mergeCell ref="AB12:AB13"/>
    <mergeCell ref="AB14:AB15"/>
    <mergeCell ref="AB16:AB17"/>
    <mergeCell ref="AB18:AB19"/>
    <mergeCell ref="AB20:AB21"/>
    <mergeCell ref="AB22:AB23"/>
    <mergeCell ref="AB24:AB25"/>
    <mergeCell ref="AB26:AB27"/>
    <mergeCell ref="AB28:AB29"/>
    <mergeCell ref="AA42:AA43"/>
    <mergeCell ref="AA44:AA45"/>
    <mergeCell ref="Z42:Z43"/>
    <mergeCell ref="Z44:Z45"/>
    <mergeCell ref="AA12:AA13"/>
    <mergeCell ref="AA14:AA15"/>
    <mergeCell ref="AA16:AA17"/>
    <mergeCell ref="AA18:AA19"/>
    <mergeCell ref="AA20:AA21"/>
    <mergeCell ref="AA22:AA23"/>
    <mergeCell ref="AA24:AA25"/>
    <mergeCell ref="AA26:AA27"/>
    <mergeCell ref="AA28:AA29"/>
    <mergeCell ref="T56:T57"/>
    <mergeCell ref="AA46:AA47"/>
    <mergeCell ref="AA48:AA49"/>
    <mergeCell ref="AA50:AA51"/>
    <mergeCell ref="AA52:AA53"/>
    <mergeCell ref="AA54:AA55"/>
    <mergeCell ref="AB42:AB43"/>
    <mergeCell ref="AB44:AB45"/>
    <mergeCell ref="AB46:AB47"/>
    <mergeCell ref="AB48:AB49"/>
    <mergeCell ref="AB50:AB51"/>
    <mergeCell ref="AB52:AB53"/>
    <mergeCell ref="AB54:AB55"/>
    <mergeCell ref="Z46:Z47"/>
    <mergeCell ref="Z48:Z49"/>
    <mergeCell ref="Z50:Z51"/>
    <mergeCell ref="Z52:Z53"/>
    <mergeCell ref="Z54:Z55"/>
    <mergeCell ref="V52:V53"/>
    <mergeCell ref="V54:V55"/>
    <mergeCell ref="T46:T47"/>
    <mergeCell ref="T48:T49"/>
    <mergeCell ref="U48:U49"/>
    <mergeCell ref="U50:U51"/>
  </mergeCells>
  <conditionalFormatting sqref="T10:U55">
    <cfRule type="cellIs" dxfId="3" priority="2" operator="equal">
      <formula>0</formula>
    </cfRule>
  </conditionalFormatting>
  <conditionalFormatting sqref="V10 V12:V55">
    <cfRule type="containsErrors" dxfId="2" priority="1">
      <formula>ISERROR(V10)</formula>
    </cfRule>
  </conditionalFormatting>
  <dataValidations count="3">
    <dataValidation type="list" allowBlank="1" showInputMessage="1" showErrorMessage="1" sqref="C10:D55">
      <formula1>annexe!B1:B3</formula1>
    </dataValidation>
    <dataValidation type="list" allowBlank="1" showInputMessage="1" showErrorMessage="1" sqref="B10:B55">
      <formula1>annexe!C1:C14</formula1>
    </dataValidation>
    <dataValidation type="list" allowBlank="1" showInputMessage="1" showErrorMessage="1" sqref="M10:M55">
      <formula1>annexe!E1:E4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4:E18"/>
  <sheetViews>
    <sheetView workbookViewId="0">
      <selection activeCell="B6" sqref="B6:B18"/>
    </sheetView>
  </sheetViews>
  <sheetFormatPr baseColWidth="10" defaultRowHeight="15"/>
  <sheetData>
    <row r="4" spans="2:5" ht="15.75" thickBot="1"/>
    <row r="5" spans="2:5" ht="15.75" thickBot="1">
      <c r="B5" s="87" t="s">
        <v>105</v>
      </c>
      <c r="C5" s="88" t="s">
        <v>106</v>
      </c>
      <c r="D5" s="89" t="s">
        <v>107</v>
      </c>
      <c r="E5" s="90" t="s">
        <v>108</v>
      </c>
    </row>
    <row r="6" spans="2:5">
      <c r="B6" s="116" t="s">
        <v>109</v>
      </c>
      <c r="C6" s="117">
        <v>20</v>
      </c>
      <c r="D6" s="118">
        <v>0.82</v>
      </c>
      <c r="E6" s="119">
        <v>0.22</v>
      </c>
    </row>
    <row r="7" spans="2:5">
      <c r="B7" s="91" t="s">
        <v>110</v>
      </c>
      <c r="C7" s="120">
        <v>20</v>
      </c>
      <c r="D7" s="121">
        <v>0.99</v>
      </c>
      <c r="E7" s="122">
        <v>0.25</v>
      </c>
    </row>
    <row r="8" spans="2:5">
      <c r="B8" s="91" t="s">
        <v>111</v>
      </c>
      <c r="C8" s="120">
        <v>20</v>
      </c>
      <c r="D8" s="121">
        <v>1.22</v>
      </c>
      <c r="E8" s="122">
        <v>0.28999999999999998</v>
      </c>
    </row>
    <row r="9" spans="2:5">
      <c r="B9" s="91" t="s">
        <v>112</v>
      </c>
      <c r="C9" s="120">
        <v>20</v>
      </c>
      <c r="D9" s="121">
        <v>1.48</v>
      </c>
      <c r="E9" s="122">
        <v>0.33</v>
      </c>
    </row>
    <row r="10" spans="2:5">
      <c r="B10" s="91" t="s">
        <v>113</v>
      </c>
      <c r="C10" s="120">
        <v>30</v>
      </c>
      <c r="D10" s="121">
        <v>1.8</v>
      </c>
      <c r="E10" s="122">
        <v>0.3</v>
      </c>
    </row>
    <row r="11" spans="2:5">
      <c r="B11" s="91" t="s">
        <v>137</v>
      </c>
      <c r="C11" s="120">
        <v>30</v>
      </c>
      <c r="D11" s="121">
        <v>2.02</v>
      </c>
      <c r="E11" s="122">
        <v>0.33</v>
      </c>
    </row>
    <row r="12" spans="2:5">
      <c r="B12" s="91" t="s">
        <v>114</v>
      </c>
      <c r="C12" s="120">
        <v>30</v>
      </c>
      <c r="D12" s="121">
        <v>2.33</v>
      </c>
      <c r="E12" s="122">
        <v>0.37</v>
      </c>
    </row>
    <row r="13" spans="2:5">
      <c r="B13" s="91" t="s">
        <v>115</v>
      </c>
      <c r="C13" s="120">
        <v>30</v>
      </c>
      <c r="D13" s="121">
        <v>2.4500000000000002</v>
      </c>
      <c r="E13" s="122">
        <v>0.39</v>
      </c>
    </row>
    <row r="14" spans="2:5">
      <c r="B14" s="91" t="s">
        <v>116</v>
      </c>
      <c r="C14" s="120">
        <v>30</v>
      </c>
      <c r="D14" s="121">
        <v>2.56</v>
      </c>
      <c r="E14" s="122">
        <v>0.4</v>
      </c>
    </row>
    <row r="15" spans="2:5">
      <c r="B15" s="91" t="s">
        <v>117</v>
      </c>
      <c r="C15" s="120">
        <v>30</v>
      </c>
      <c r="D15" s="121">
        <v>2.79</v>
      </c>
      <c r="E15" s="122">
        <v>0.43</v>
      </c>
    </row>
    <row r="16" spans="2:5">
      <c r="B16" s="91" t="s">
        <v>118</v>
      </c>
      <c r="C16" s="120">
        <v>40</v>
      </c>
      <c r="D16" s="121">
        <v>3</v>
      </c>
      <c r="E16" s="122">
        <v>0.38</v>
      </c>
    </row>
    <row r="17" spans="2:5">
      <c r="B17" s="91" t="s">
        <v>119</v>
      </c>
      <c r="C17" s="120">
        <v>40</v>
      </c>
      <c r="D17" s="121">
        <v>3.43</v>
      </c>
      <c r="E17" s="122">
        <v>0.42</v>
      </c>
    </row>
    <row r="18" spans="2:5">
      <c r="B18" s="91" t="s">
        <v>120</v>
      </c>
      <c r="C18" s="120">
        <v>40</v>
      </c>
      <c r="D18" s="121">
        <v>4.28</v>
      </c>
      <c r="E18" s="122">
        <v>0.51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L15"/>
  <sheetViews>
    <sheetView workbookViewId="0">
      <selection activeCell="D6" sqref="D6:L15"/>
    </sheetView>
  </sheetViews>
  <sheetFormatPr baseColWidth="10" defaultRowHeight="15"/>
  <sheetData>
    <row r="2" spans="2:12">
      <c r="B2" s="224" t="s">
        <v>121</v>
      </c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2:12" ht="15.75" thickBot="1"/>
    <row r="4" spans="2:12" ht="15.75" thickBot="1">
      <c r="D4" s="225" t="s">
        <v>122</v>
      </c>
      <c r="E4" s="226"/>
      <c r="F4" s="226"/>
      <c r="G4" s="226"/>
      <c r="H4" s="226"/>
      <c r="I4" s="226"/>
      <c r="J4" s="226"/>
      <c r="K4" s="226"/>
      <c r="L4" s="227"/>
    </row>
    <row r="5" spans="2:12" ht="15.75" thickBot="1">
      <c r="B5" s="92" t="s">
        <v>123</v>
      </c>
      <c r="C5" s="90" t="s">
        <v>124</v>
      </c>
      <c r="D5" s="89">
        <v>45</v>
      </c>
      <c r="E5" s="93">
        <v>22</v>
      </c>
      <c r="F5" s="93">
        <v>20</v>
      </c>
      <c r="G5" s="93">
        <v>18</v>
      </c>
      <c r="H5" s="93">
        <v>15</v>
      </c>
      <c r="I5" s="93">
        <v>10</v>
      </c>
      <c r="J5" s="93">
        <v>7</v>
      </c>
      <c r="K5" s="93">
        <v>5</v>
      </c>
      <c r="L5" s="90">
        <v>0</v>
      </c>
    </row>
    <row r="6" spans="2:12">
      <c r="B6" s="94">
        <v>90</v>
      </c>
      <c r="C6" s="95">
        <v>70</v>
      </c>
      <c r="D6" s="96">
        <v>0.56799999999999995</v>
      </c>
      <c r="E6" s="97">
        <v>0.96499999999999997</v>
      </c>
      <c r="F6" s="97">
        <v>1</v>
      </c>
      <c r="G6" s="97">
        <v>1.034</v>
      </c>
      <c r="H6" s="97">
        <v>1.0860000000000001</v>
      </c>
      <c r="I6" s="97">
        <v>1.1739999999999999</v>
      </c>
      <c r="J6" s="97">
        <v>1.226</v>
      </c>
      <c r="K6" s="97">
        <v>1.2609999999999999</v>
      </c>
      <c r="L6" s="98">
        <v>1.349</v>
      </c>
    </row>
    <row r="7" spans="2:12">
      <c r="B7" s="99">
        <v>80</v>
      </c>
      <c r="C7" s="100">
        <v>60</v>
      </c>
      <c r="D7" s="101">
        <v>0.38100000000000001</v>
      </c>
      <c r="E7" s="30">
        <v>0.76100000000000001</v>
      </c>
      <c r="F7" s="30">
        <v>0.79400000000000004</v>
      </c>
      <c r="G7" s="30">
        <v>0.82799999999999996</v>
      </c>
      <c r="H7" s="30">
        <v>0.878</v>
      </c>
      <c r="I7" s="30">
        <v>0.96299999999999997</v>
      </c>
      <c r="J7" s="30">
        <v>1.014</v>
      </c>
      <c r="K7" s="30">
        <v>1.048</v>
      </c>
      <c r="L7" s="31">
        <v>1.133</v>
      </c>
    </row>
    <row r="8" spans="2:12">
      <c r="B8" s="99">
        <v>75</v>
      </c>
      <c r="C8" s="100">
        <v>65</v>
      </c>
      <c r="D8" s="101">
        <v>0.38100000000000001</v>
      </c>
      <c r="E8" s="30">
        <v>0.76100000000000001</v>
      </c>
      <c r="F8" s="30">
        <v>0.79400000000000004</v>
      </c>
      <c r="G8" s="30">
        <v>0.82799999999999996</v>
      </c>
      <c r="H8" s="30">
        <v>0.878</v>
      </c>
      <c r="I8" s="30">
        <v>0.96299999999999997</v>
      </c>
      <c r="J8" s="30">
        <v>1.014</v>
      </c>
      <c r="K8" s="30">
        <v>1.048</v>
      </c>
      <c r="L8" s="31">
        <v>1.133</v>
      </c>
    </row>
    <row r="9" spans="2:12">
      <c r="B9" s="99">
        <v>75</v>
      </c>
      <c r="C9" s="100">
        <v>60</v>
      </c>
      <c r="D9" s="101">
        <v>0.33600000000000002</v>
      </c>
      <c r="E9" s="30">
        <v>0.71199999999999997</v>
      </c>
      <c r="F9" s="30">
        <v>0.745</v>
      </c>
      <c r="G9" s="30">
        <v>0.77800000000000002</v>
      </c>
      <c r="H9" s="30">
        <v>0.82799999999999996</v>
      </c>
      <c r="I9" s="30">
        <v>0.91200000000000003</v>
      </c>
      <c r="J9" s="30">
        <v>0.96299999999999997</v>
      </c>
      <c r="K9" s="30">
        <v>0.996</v>
      </c>
      <c r="L9" s="31">
        <v>1.081</v>
      </c>
    </row>
    <row r="10" spans="2:12">
      <c r="B10" s="99">
        <v>65</v>
      </c>
      <c r="C10" s="100">
        <v>50</v>
      </c>
      <c r="D10" s="101">
        <v>0.17100000000000001</v>
      </c>
      <c r="E10" s="30">
        <v>0.52500000000000002</v>
      </c>
      <c r="F10" s="30">
        <v>0.55700000000000005</v>
      </c>
      <c r="G10" s="30">
        <v>0.58899999999999997</v>
      </c>
      <c r="H10" s="30">
        <v>0.63700000000000001</v>
      </c>
      <c r="I10" s="30">
        <v>0.71699999999999997</v>
      </c>
      <c r="J10" s="30">
        <v>0.76600000000000001</v>
      </c>
      <c r="K10" s="30">
        <v>0.79800000000000004</v>
      </c>
      <c r="L10" s="31">
        <v>0.88</v>
      </c>
    </row>
    <row r="11" spans="2:12">
      <c r="B11" s="99">
        <v>60</v>
      </c>
      <c r="C11" s="100">
        <v>50</v>
      </c>
      <c r="D11" s="101">
        <v>0.13200000000000001</v>
      </c>
      <c r="E11" s="30">
        <v>0.48099999999999998</v>
      </c>
      <c r="F11" s="30">
        <v>0.51200000000000001</v>
      </c>
      <c r="G11" s="30">
        <v>0.54400000000000004</v>
      </c>
      <c r="H11" s="30">
        <v>0.59099999999999997</v>
      </c>
      <c r="I11" s="30">
        <v>0.67100000000000004</v>
      </c>
      <c r="J11" s="30">
        <v>0.71899999999999997</v>
      </c>
      <c r="K11" s="30">
        <v>0.751</v>
      </c>
      <c r="L11" s="31">
        <v>0.83199999999999996</v>
      </c>
    </row>
    <row r="12" spans="2:12">
      <c r="B12" s="99">
        <v>60</v>
      </c>
      <c r="C12" s="100">
        <v>45</v>
      </c>
      <c r="D12" s="101">
        <v>9.6000000000000002E-2</v>
      </c>
      <c r="E12" s="30">
        <v>0.437</v>
      </c>
      <c r="F12" s="30">
        <v>0.46800000000000003</v>
      </c>
      <c r="G12" s="30">
        <v>0.5</v>
      </c>
      <c r="H12" s="30">
        <v>0.54600000000000004</v>
      </c>
      <c r="I12" s="30">
        <v>0.625</v>
      </c>
      <c r="J12" s="30">
        <v>0.67200000000000004</v>
      </c>
      <c r="K12" s="30">
        <v>0.70399999999999996</v>
      </c>
      <c r="L12" s="31">
        <v>0.78400000000000003</v>
      </c>
    </row>
    <row r="13" spans="2:12">
      <c r="B13" s="99">
        <v>55</v>
      </c>
      <c r="C13" s="100">
        <v>45</v>
      </c>
      <c r="D13" s="101">
        <v>6.0999999999999999E-2</v>
      </c>
      <c r="E13" s="30">
        <v>0.39400000000000002</v>
      </c>
      <c r="F13" s="30">
        <v>0.42499999999999999</v>
      </c>
      <c r="G13" s="30">
        <v>0.45600000000000002</v>
      </c>
      <c r="H13" s="30">
        <v>0.502</v>
      </c>
      <c r="I13" s="30">
        <v>0.57999999999999996</v>
      </c>
      <c r="J13" s="30">
        <v>0.627</v>
      </c>
      <c r="K13" s="30">
        <v>0.65800000000000003</v>
      </c>
      <c r="L13" s="31">
        <v>0.73799999999999999</v>
      </c>
    </row>
    <row r="14" spans="2:12">
      <c r="B14" s="99">
        <v>55</v>
      </c>
      <c r="C14" s="100">
        <v>40</v>
      </c>
      <c r="D14" s="101">
        <v>2.8000000000000001E-2</v>
      </c>
      <c r="E14" s="30">
        <v>0.35299999999999998</v>
      </c>
      <c r="F14" s="30">
        <v>0.38300000000000001</v>
      </c>
      <c r="G14" s="30">
        <v>0.41299999999999998</v>
      </c>
      <c r="H14" s="30">
        <v>0.45900000000000002</v>
      </c>
      <c r="I14" s="30">
        <v>0.53600000000000003</v>
      </c>
      <c r="J14" s="30">
        <v>0.58199999999999996</v>
      </c>
      <c r="K14" s="30">
        <v>0.61299999999999999</v>
      </c>
      <c r="L14" s="31">
        <v>0.69199999999999995</v>
      </c>
    </row>
    <row r="15" spans="2:12" ht="15.75" thickBot="1">
      <c r="B15" s="102">
        <v>50</v>
      </c>
      <c r="C15" s="103">
        <v>40</v>
      </c>
      <c r="D15" s="104" t="s">
        <v>125</v>
      </c>
      <c r="E15" s="33">
        <v>0.312</v>
      </c>
      <c r="F15" s="33">
        <v>0.34200000000000003</v>
      </c>
      <c r="G15" s="33">
        <v>0.371</v>
      </c>
      <c r="H15" s="33">
        <v>0.41599999999999998</v>
      </c>
      <c r="I15" s="33">
        <v>0.49199999999999999</v>
      </c>
      <c r="J15" s="33">
        <v>0.53800000000000003</v>
      </c>
      <c r="K15" s="33">
        <v>0.56899999999999995</v>
      </c>
      <c r="L15" s="34">
        <v>0.64700000000000002</v>
      </c>
    </row>
  </sheetData>
  <mergeCells count="2">
    <mergeCell ref="B2:L2"/>
    <mergeCell ref="D4:L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2:L15"/>
  <sheetViews>
    <sheetView workbookViewId="0">
      <selection activeCell="K19" sqref="K19"/>
    </sheetView>
  </sheetViews>
  <sheetFormatPr baseColWidth="10" defaultRowHeight="15"/>
  <sheetData>
    <row r="2" spans="2:12">
      <c r="B2" s="224" t="s">
        <v>126</v>
      </c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2:12" ht="15.75" thickBot="1"/>
    <row r="4" spans="2:12" ht="15.75" thickBot="1">
      <c r="D4" s="225" t="s">
        <v>122</v>
      </c>
      <c r="E4" s="226"/>
      <c r="F4" s="226"/>
      <c r="G4" s="226"/>
      <c r="H4" s="226"/>
      <c r="I4" s="226"/>
      <c r="J4" s="226"/>
      <c r="K4" s="226"/>
      <c r="L4" s="227"/>
    </row>
    <row r="5" spans="2:12" ht="15.75" thickBot="1">
      <c r="B5" s="92" t="s">
        <v>123</v>
      </c>
      <c r="C5" s="90" t="s">
        <v>124</v>
      </c>
      <c r="D5" s="89">
        <v>35</v>
      </c>
      <c r="E5" s="93">
        <v>22</v>
      </c>
      <c r="F5" s="93">
        <v>20</v>
      </c>
      <c r="G5" s="93">
        <v>18</v>
      </c>
      <c r="H5" s="93">
        <v>15</v>
      </c>
      <c r="I5" s="93">
        <v>10</v>
      </c>
      <c r="J5" s="93">
        <v>7</v>
      </c>
      <c r="K5" s="93">
        <v>5</v>
      </c>
      <c r="L5" s="90">
        <v>0</v>
      </c>
    </row>
    <row r="6" spans="2:12">
      <c r="B6" s="94">
        <v>90</v>
      </c>
      <c r="C6" s="95">
        <v>70</v>
      </c>
      <c r="D6" s="96">
        <v>0.75</v>
      </c>
      <c r="E6" s="97">
        <v>0.96699999999999997</v>
      </c>
      <c r="F6" s="97">
        <v>1</v>
      </c>
      <c r="G6" s="97">
        <v>1.0329999999999999</v>
      </c>
      <c r="H6" s="97">
        <v>1.083</v>
      </c>
      <c r="I6" s="97">
        <v>1.167</v>
      </c>
      <c r="J6" s="97">
        <v>1.2170000000000001</v>
      </c>
      <c r="K6" s="97">
        <v>1.25</v>
      </c>
      <c r="L6" s="98">
        <v>1.333</v>
      </c>
    </row>
    <row r="7" spans="2:12">
      <c r="B7" s="99">
        <v>80</v>
      </c>
      <c r="C7" s="100">
        <v>60</v>
      </c>
      <c r="D7" s="101">
        <v>0.58099999999999996</v>
      </c>
      <c r="E7" s="30">
        <v>0.79700000000000004</v>
      </c>
      <c r="F7" s="30">
        <v>0.83</v>
      </c>
      <c r="G7" s="30">
        <v>0.86299999999999999</v>
      </c>
      <c r="H7" s="30">
        <v>0.91300000000000003</v>
      </c>
      <c r="I7" s="30">
        <v>0.996</v>
      </c>
      <c r="J7" s="30">
        <v>1.046</v>
      </c>
      <c r="K7" s="30">
        <v>1.08</v>
      </c>
      <c r="L7" s="31">
        <v>1.1619999999999999</v>
      </c>
    </row>
    <row r="8" spans="2:12">
      <c r="B8" s="99">
        <v>75</v>
      </c>
      <c r="C8" s="100">
        <v>65</v>
      </c>
      <c r="D8" s="101">
        <v>0.58099999999999996</v>
      </c>
      <c r="E8" s="30">
        <v>0.79700000000000004</v>
      </c>
      <c r="F8" s="30">
        <v>0.83</v>
      </c>
      <c r="G8" s="30">
        <v>0.86299999999999999</v>
      </c>
      <c r="H8" s="30">
        <v>0.91300000000000003</v>
      </c>
      <c r="I8" s="30">
        <v>0.996</v>
      </c>
      <c r="J8" s="30">
        <v>1.046</v>
      </c>
      <c r="K8" s="30">
        <v>1.08</v>
      </c>
      <c r="L8" s="31">
        <v>1.1619999999999999</v>
      </c>
    </row>
    <row r="9" spans="2:12">
      <c r="B9" s="99">
        <v>75</v>
      </c>
      <c r="C9" s="100">
        <v>60</v>
      </c>
      <c r="D9" s="101">
        <v>0.53900000000000003</v>
      </c>
      <c r="E9" s="30">
        <v>0.755</v>
      </c>
      <c r="F9" s="30">
        <v>0.78800000000000003</v>
      </c>
      <c r="G9" s="30">
        <v>0.82099999999999995</v>
      </c>
      <c r="H9" s="30">
        <v>0.871</v>
      </c>
      <c r="I9" s="30">
        <v>0.95399999999999996</v>
      </c>
      <c r="J9" s="30">
        <v>1.004</v>
      </c>
      <c r="K9" s="30">
        <v>1.0369999999999999</v>
      </c>
      <c r="L9" s="31">
        <v>1.1200000000000001</v>
      </c>
    </row>
    <row r="10" spans="2:12">
      <c r="B10" s="99">
        <v>65</v>
      </c>
      <c r="C10" s="100">
        <v>50</v>
      </c>
      <c r="D10" s="101">
        <v>0.371</v>
      </c>
      <c r="E10" s="30">
        <v>0.58599999999999997</v>
      </c>
      <c r="F10" s="30">
        <v>0.61899999999999999</v>
      </c>
      <c r="G10" s="30">
        <v>0.65200000000000002</v>
      </c>
      <c r="H10" s="30">
        <v>0.70199999999999996</v>
      </c>
      <c r="I10" s="30">
        <v>0.78500000000000003</v>
      </c>
      <c r="J10" s="30">
        <v>0.83399999999999996</v>
      </c>
      <c r="K10" s="30">
        <v>0.86699999999999999</v>
      </c>
      <c r="L10" s="31">
        <v>0.95</v>
      </c>
    </row>
    <row r="11" spans="2:12">
      <c r="B11" s="99">
        <v>60</v>
      </c>
      <c r="C11" s="100">
        <v>50</v>
      </c>
      <c r="D11" s="101">
        <v>0.32900000000000001</v>
      </c>
      <c r="E11" s="30">
        <v>0.54400000000000004</v>
      </c>
      <c r="F11" s="30">
        <v>0.57699999999999996</v>
      </c>
      <c r="G11" s="30">
        <v>0.61</v>
      </c>
      <c r="H11" s="30">
        <v>0.66</v>
      </c>
      <c r="I11" s="30">
        <v>0.74199999999999999</v>
      </c>
      <c r="J11" s="30">
        <v>0.79200000000000004</v>
      </c>
      <c r="K11" s="30">
        <v>0.82499999999999996</v>
      </c>
      <c r="L11" s="31">
        <v>0.90800000000000003</v>
      </c>
    </row>
    <row r="12" spans="2:12">
      <c r="B12" s="99">
        <v>60</v>
      </c>
      <c r="C12" s="100">
        <v>45</v>
      </c>
      <c r="D12" s="101">
        <v>0.28699999999999998</v>
      </c>
      <c r="E12" s="30">
        <v>0.502</v>
      </c>
      <c r="F12" s="30">
        <v>0.53500000000000003</v>
      </c>
      <c r="G12" s="30">
        <v>0.56799999999999995</v>
      </c>
      <c r="H12" s="30">
        <v>0.61799999999999999</v>
      </c>
      <c r="I12" s="30">
        <v>0.7</v>
      </c>
      <c r="J12" s="30">
        <v>0.75</v>
      </c>
      <c r="K12" s="30">
        <v>0.78300000000000003</v>
      </c>
      <c r="L12" s="31">
        <v>0.86599999999999999</v>
      </c>
    </row>
    <row r="13" spans="2:12">
      <c r="B13" s="99">
        <v>55</v>
      </c>
      <c r="C13" s="100">
        <v>45</v>
      </c>
      <c r="D13" s="101">
        <v>0.246</v>
      </c>
      <c r="E13" s="30">
        <v>0.46</v>
      </c>
      <c r="F13" s="30">
        <v>0.49299999999999999</v>
      </c>
      <c r="G13" s="30">
        <v>0.52600000000000002</v>
      </c>
      <c r="H13" s="30">
        <v>0.57599999999999996</v>
      </c>
      <c r="I13" s="30">
        <v>0.65800000000000003</v>
      </c>
      <c r="J13" s="30">
        <v>0.70799999999999996</v>
      </c>
      <c r="K13" s="30">
        <v>0.74099999999999999</v>
      </c>
      <c r="L13" s="31">
        <v>0.82299999999999995</v>
      </c>
    </row>
    <row r="14" spans="2:12">
      <c r="B14" s="99">
        <v>55</v>
      </c>
      <c r="C14" s="100">
        <v>40</v>
      </c>
      <c r="D14" s="101">
        <v>0.20399999999999999</v>
      </c>
      <c r="E14" s="30">
        <v>0.41799999999999998</v>
      </c>
      <c r="F14" s="30">
        <v>0.45100000000000001</v>
      </c>
      <c r="G14" s="30">
        <v>0.48399999999999999</v>
      </c>
      <c r="H14" s="30">
        <v>0.53400000000000003</v>
      </c>
      <c r="I14" s="30">
        <v>0.61599999999999999</v>
      </c>
      <c r="J14" s="30">
        <v>0.66600000000000004</v>
      </c>
      <c r="K14" s="30">
        <v>0.69899999999999995</v>
      </c>
      <c r="L14" s="31">
        <v>0.78100000000000003</v>
      </c>
    </row>
    <row r="15" spans="2:12" ht="15.75" thickBot="1">
      <c r="B15" s="102">
        <v>50</v>
      </c>
      <c r="C15" s="103">
        <v>40</v>
      </c>
      <c r="D15" s="104">
        <v>0.16300000000000001</v>
      </c>
      <c r="E15" s="33">
        <v>0.377</v>
      </c>
      <c r="F15" s="33">
        <v>0.41</v>
      </c>
      <c r="G15" s="33">
        <v>0.443</v>
      </c>
      <c r="H15" s="33">
        <v>0.49199999999999999</v>
      </c>
      <c r="I15" s="33">
        <v>0.57399999999999995</v>
      </c>
      <c r="J15" s="33">
        <v>0.624</v>
      </c>
      <c r="K15" s="33">
        <v>0.65700000000000003</v>
      </c>
      <c r="L15" s="34">
        <v>0.73899999999999999</v>
      </c>
    </row>
  </sheetData>
  <mergeCells count="2">
    <mergeCell ref="B2:L2"/>
    <mergeCell ref="D4:L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K13" sqref="K13"/>
    </sheetView>
  </sheetViews>
  <sheetFormatPr baseColWidth="10" defaultRowHeight="15"/>
  <cols>
    <col min="7" max="7" width="5.5703125" customWidth="1"/>
    <col min="8" max="8" width="4" customWidth="1"/>
    <col min="10" max="10" width="8.140625" customWidth="1"/>
    <col min="11" max="11" width="5.42578125" customWidth="1"/>
    <col min="13" max="13" width="7.5703125" customWidth="1"/>
    <col min="14" max="14" width="6" customWidth="1"/>
  </cols>
  <sheetData>
    <row r="1" spans="2:16">
      <c r="B1" s="105"/>
      <c r="C1" s="106"/>
      <c r="E1" s="107"/>
      <c r="G1" s="108"/>
      <c r="H1" s="108"/>
      <c r="J1" s="1"/>
      <c r="K1" s="1"/>
      <c r="M1" s="109"/>
      <c r="N1" s="109"/>
    </row>
    <row r="2" spans="2:16">
      <c r="B2" s="110" t="s">
        <v>127</v>
      </c>
      <c r="C2" s="123" t="s">
        <v>109</v>
      </c>
      <c r="E2" s="111" t="s">
        <v>146</v>
      </c>
      <c r="F2">
        <v>0.75</v>
      </c>
      <c r="G2" s="108" t="str">
        <f>'coef Fct'!B6&amp;'coef Fct'!C6</f>
        <v>9070</v>
      </c>
      <c r="H2" s="108">
        <v>1</v>
      </c>
      <c r="J2" s="112">
        <v>45</v>
      </c>
      <c r="K2" s="1">
        <v>1</v>
      </c>
      <c r="M2" s="113">
        <v>35</v>
      </c>
      <c r="N2" s="109">
        <v>1</v>
      </c>
    </row>
    <row r="3" spans="2:16">
      <c r="B3" s="114" t="s">
        <v>128</v>
      </c>
      <c r="C3" s="123" t="s">
        <v>110</v>
      </c>
      <c r="E3" s="111" t="s">
        <v>147</v>
      </c>
      <c r="F3">
        <v>0.9</v>
      </c>
      <c r="G3" s="108" t="str">
        <f>'coef Fct'!B7&amp;'coef Fct'!C7</f>
        <v>8060</v>
      </c>
      <c r="H3" s="108">
        <v>2</v>
      </c>
      <c r="J3" s="112">
        <v>22</v>
      </c>
      <c r="K3" s="1">
        <v>2</v>
      </c>
      <c r="M3" s="113">
        <v>22</v>
      </c>
      <c r="N3" s="109">
        <v>2</v>
      </c>
      <c r="P3">
        <v>0.75</v>
      </c>
    </row>
    <row r="4" spans="2:16">
      <c r="C4" s="123" t="s">
        <v>111</v>
      </c>
      <c r="E4" s="115" t="s">
        <v>148</v>
      </c>
      <c r="F4">
        <v>0.9</v>
      </c>
      <c r="G4" s="108" t="str">
        <f>'coef Fct'!B8&amp;'coef Fct'!C8</f>
        <v>7565</v>
      </c>
      <c r="H4" s="108">
        <v>3</v>
      </c>
      <c r="J4" s="112">
        <v>20</v>
      </c>
      <c r="K4" s="1">
        <v>3</v>
      </c>
      <c r="M4" s="113">
        <v>20</v>
      </c>
      <c r="N4" s="109">
        <v>3</v>
      </c>
      <c r="P4">
        <v>0.9</v>
      </c>
    </row>
    <row r="5" spans="2:16">
      <c r="C5" s="123" t="s">
        <v>112</v>
      </c>
      <c r="G5" s="108" t="str">
        <f>'coef Fct'!B9&amp;'coef Fct'!C9</f>
        <v>7560</v>
      </c>
      <c r="H5" s="108">
        <v>4</v>
      </c>
      <c r="J5" s="112">
        <v>18</v>
      </c>
      <c r="K5" s="1">
        <v>4</v>
      </c>
      <c r="M5" s="113">
        <v>18</v>
      </c>
      <c r="N5" s="109">
        <v>4</v>
      </c>
      <c r="P5">
        <v>0.9</v>
      </c>
    </row>
    <row r="6" spans="2:16">
      <c r="C6" s="123" t="s">
        <v>113</v>
      </c>
      <c r="G6" s="108" t="str">
        <f>'coef Fct'!B10&amp;'coef Fct'!C10</f>
        <v>6550</v>
      </c>
      <c r="H6" s="108">
        <v>5</v>
      </c>
      <c r="J6" s="112">
        <v>15</v>
      </c>
      <c r="K6" s="1">
        <v>5</v>
      </c>
      <c r="M6" s="113">
        <v>15</v>
      </c>
      <c r="N6" s="109">
        <v>5</v>
      </c>
    </row>
    <row r="7" spans="2:16">
      <c r="C7" s="123" t="s">
        <v>137</v>
      </c>
      <c r="G7" s="108" t="str">
        <f>'coef Fct'!B11&amp;'coef Fct'!C11</f>
        <v>6050</v>
      </c>
      <c r="H7" s="108">
        <v>6</v>
      </c>
      <c r="J7" s="112">
        <v>10</v>
      </c>
      <c r="K7" s="1">
        <v>6</v>
      </c>
      <c r="M7" s="113">
        <v>10</v>
      </c>
      <c r="N7" s="109">
        <v>6</v>
      </c>
    </row>
    <row r="8" spans="2:16">
      <c r="C8" s="123" t="s">
        <v>114</v>
      </c>
      <c r="G8" s="108" t="str">
        <f>'coef Fct'!B12&amp;'coef Fct'!C12</f>
        <v>6045</v>
      </c>
      <c r="H8" s="108">
        <v>7</v>
      </c>
      <c r="J8" s="112">
        <v>7</v>
      </c>
      <c r="K8" s="1">
        <v>7</v>
      </c>
      <c r="M8" s="113">
        <v>7</v>
      </c>
      <c r="N8" s="109">
        <v>7</v>
      </c>
    </row>
    <row r="9" spans="2:16">
      <c r="C9" s="123" t="s">
        <v>115</v>
      </c>
      <c r="G9" s="108" t="str">
        <f>'coef Fct'!B13&amp;'coef Fct'!C13</f>
        <v>5545</v>
      </c>
      <c r="H9" s="108">
        <v>8</v>
      </c>
      <c r="J9" s="112">
        <v>5</v>
      </c>
      <c r="K9" s="1">
        <v>8</v>
      </c>
      <c r="M9" s="113">
        <v>5</v>
      </c>
      <c r="N9" s="109">
        <v>8</v>
      </c>
    </row>
    <row r="10" spans="2:16">
      <c r="C10" s="123" t="s">
        <v>116</v>
      </c>
      <c r="G10" s="108" t="str">
        <f>'coef Fct'!B14&amp;'coef Fct'!C14</f>
        <v>5540</v>
      </c>
      <c r="H10" s="108">
        <v>9</v>
      </c>
      <c r="J10" s="112">
        <v>0</v>
      </c>
      <c r="K10" s="1">
        <v>9</v>
      </c>
      <c r="M10" s="113">
        <v>0</v>
      </c>
      <c r="N10" s="109">
        <v>9</v>
      </c>
    </row>
    <row r="11" spans="2:16">
      <c r="C11" s="123" t="s">
        <v>117</v>
      </c>
      <c r="G11" s="108" t="str">
        <f>'coef Fct'!B15&amp;'coef Fct'!C15</f>
        <v>5040</v>
      </c>
      <c r="H11" s="108">
        <v>10</v>
      </c>
    </row>
    <row r="12" spans="2:16">
      <c r="C12" s="123" t="s">
        <v>118</v>
      </c>
    </row>
    <row r="13" spans="2:16">
      <c r="C13" s="123" t="s">
        <v>119</v>
      </c>
    </row>
    <row r="14" spans="2:16">
      <c r="C14" s="123" t="s">
        <v>120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6:AA56"/>
  <sheetViews>
    <sheetView tabSelected="1" topLeftCell="E5" workbookViewId="0">
      <selection activeCell="Q6" sqref="Q6"/>
    </sheetView>
  </sheetViews>
  <sheetFormatPr baseColWidth="10" defaultRowHeight="15"/>
  <cols>
    <col min="12" max="12" width="20.28515625" customWidth="1"/>
    <col min="16" max="16" width="10.140625" customWidth="1"/>
    <col min="17" max="17" width="16" customWidth="1"/>
    <col min="18" max="18" width="9.5703125" customWidth="1"/>
  </cols>
  <sheetData>
    <row r="6" spans="1:27" ht="21">
      <c r="H6" s="218" t="s">
        <v>150</v>
      </c>
      <c r="I6" s="218"/>
      <c r="J6" s="218"/>
      <c r="K6" s="218"/>
      <c r="L6" s="218"/>
      <c r="M6" s="218"/>
    </row>
    <row r="7" spans="1:27" ht="15.75" thickBot="1"/>
    <row r="8" spans="1:27" ht="60.75" thickBot="1">
      <c r="A8" s="135" t="s">
        <v>130</v>
      </c>
      <c r="B8" s="136" t="s">
        <v>131</v>
      </c>
      <c r="C8" s="137" t="s">
        <v>129</v>
      </c>
      <c r="D8" s="136" t="s">
        <v>132</v>
      </c>
      <c r="E8" s="136" t="s">
        <v>134</v>
      </c>
      <c r="F8" s="138" t="s">
        <v>142</v>
      </c>
      <c r="G8" s="137" t="s">
        <v>139</v>
      </c>
      <c r="H8" s="136" t="s">
        <v>140</v>
      </c>
      <c r="I8" s="137" t="s">
        <v>133</v>
      </c>
      <c r="J8" s="136" t="s">
        <v>92</v>
      </c>
      <c r="K8" s="136" t="s">
        <v>135</v>
      </c>
      <c r="L8" s="137" t="s">
        <v>149</v>
      </c>
      <c r="M8" s="136" t="s">
        <v>136</v>
      </c>
      <c r="N8" s="138" t="s">
        <v>141</v>
      </c>
      <c r="O8" s="138" t="s">
        <v>138</v>
      </c>
      <c r="P8" s="139" t="s">
        <v>151</v>
      </c>
      <c r="Q8" s="194" t="s">
        <v>153</v>
      </c>
      <c r="R8" s="195"/>
      <c r="S8" s="136" t="s">
        <v>154</v>
      </c>
      <c r="T8" s="136" t="s">
        <v>162</v>
      </c>
      <c r="U8" s="140" t="s">
        <v>155</v>
      </c>
      <c r="V8" s="140" t="s">
        <v>143</v>
      </c>
      <c r="W8" s="140" t="s">
        <v>144</v>
      </c>
      <c r="X8" s="141" t="s">
        <v>145</v>
      </c>
      <c r="Y8" s="140" t="s">
        <v>158</v>
      </c>
      <c r="Z8" s="141" t="s">
        <v>159</v>
      </c>
      <c r="AA8" s="149" t="s">
        <v>160</v>
      </c>
    </row>
    <row r="9" spans="1:27" ht="15.75" thickBot="1">
      <c r="A9" s="143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5"/>
      <c r="Q9" s="145"/>
      <c r="R9" s="145"/>
      <c r="S9" s="145"/>
      <c r="T9" s="145"/>
      <c r="U9" s="145" t="s">
        <v>25</v>
      </c>
      <c r="V9" s="146"/>
      <c r="W9" s="146"/>
      <c r="X9" s="147"/>
      <c r="Y9" s="147"/>
      <c r="Z9" s="147"/>
      <c r="AA9" s="150"/>
    </row>
    <row r="10" spans="1:27">
      <c r="A10" s="215">
        <v>1</v>
      </c>
      <c r="B10" s="199" t="s">
        <v>120</v>
      </c>
      <c r="C10" s="213" t="s">
        <v>128</v>
      </c>
      <c r="D10" s="210">
        <f t="shared" ref="D10:D54" si="0">IF(C10="nu",3,IF(C10="isole",4,IF(C10="","")))</f>
        <v>4</v>
      </c>
      <c r="E10" s="201">
        <f>IF(OR(C10="",B10=""),"",VLOOKUP(B10,DN,D10,0))</f>
        <v>0.51</v>
      </c>
      <c r="F10" s="196">
        <f t="shared" ref="F10:F54" si="1">IF(E10="","",E10*60)</f>
        <v>30.6</v>
      </c>
      <c r="G10" s="199">
        <v>90</v>
      </c>
      <c r="H10" s="199">
        <v>70</v>
      </c>
      <c r="I10" s="210" t="str">
        <f>G10&amp;H10</f>
        <v>9070</v>
      </c>
      <c r="J10" s="199">
        <v>15</v>
      </c>
      <c r="K10" s="208">
        <f>IF(D10=3,INDEX('coef Fct'!fct,VLOOKUP(I10,tatr,2,0),VLOOKUP('deperd tuyauterie'!K10,ti,2,0)),IF(D10=4,INDEX(fcti,VLOOKUP(I10,tatr,2,0),VLOOKUP('deperd tuyauterie'!K10,tii,2,0)),IF(D10="","")))</f>
        <v>1.333</v>
      </c>
      <c r="L10" s="230" t="s">
        <v>146</v>
      </c>
      <c r="M10" s="201">
        <f>IF(L10="","",VLOOKUP(L10,annexe!position,2,0))</f>
        <v>0.75</v>
      </c>
      <c r="N10" s="199">
        <v>18</v>
      </c>
      <c r="O10" s="196">
        <f>IF(OR(M10="",K10=""),"",IF(M10="",F10*K10*N10,IF(N10&lt;&gt;"",F10*K10*M10*N10)))</f>
        <v>550.66229999999996</v>
      </c>
      <c r="P10" s="228">
        <f>IF(OR(O10="",C10=""),"",(O10*0.86)/(G10-H10))</f>
        <v>23.678478899999998</v>
      </c>
      <c r="Q10" s="142" t="s">
        <v>156</v>
      </c>
      <c r="R10" s="112" t="s">
        <v>25</v>
      </c>
      <c r="S10" s="182">
        <f t="shared" ref="S10" si="2">IF(AND(S12="",R13="",R12=""),"",IF(AND(S12="",R13="",R12&lt;&gt;""),R12+P10,IF(AND(S12&lt;&gt;"",R13&lt;&gt;"",R12&lt;&gt;""),S12+R13+R12+P10,"")))</f>
        <v>36378.89971492</v>
      </c>
      <c r="T10" s="184">
        <f t="shared" ref="T10" si="3">IF(AND(T12="",R12=""),"",IF(AND(T12="",R12&lt;&gt;""),R12,IF(AND(T12&lt;&gt;"",R12&lt;&gt;""),T12+R12,"")))</f>
        <v>34260</v>
      </c>
      <c r="U10" s="179" t="s">
        <v>25</v>
      </c>
      <c r="V10" s="177"/>
      <c r="W10" s="177"/>
      <c r="X10" s="177"/>
      <c r="Y10" s="177">
        <f t="shared" ref="Y10:Y12" si="4">IF(O10="","",O10/2)</f>
        <v>275.33114999999998</v>
      </c>
      <c r="Z10" s="172" t="e">
        <f>IF(AND(Y10="",W10=""),"",Y10/((W10/3600)*4187))</f>
        <v>#DIV/0!</v>
      </c>
      <c r="AA10" s="174">
        <f>IF(AND(Z9="",AA9="",G10=""),"",IF(AND(AA9="",G10&lt;&gt;""),G10,IF(AND(G10&lt;&gt;"",Z9&lt;&gt;""),AA9-Z9)))</f>
        <v>90</v>
      </c>
    </row>
    <row r="11" spans="1:27" ht="15.75" thickBot="1">
      <c r="A11" s="216"/>
      <c r="B11" s="200"/>
      <c r="C11" s="214"/>
      <c r="D11" s="220"/>
      <c r="E11" s="219"/>
      <c r="F11" s="221"/>
      <c r="G11" s="200"/>
      <c r="H11" s="200"/>
      <c r="I11" s="220"/>
      <c r="J11" s="200"/>
      <c r="K11" s="222"/>
      <c r="L11" s="231"/>
      <c r="M11" s="219"/>
      <c r="N11" s="200"/>
      <c r="O11" s="221"/>
      <c r="P11" s="183"/>
      <c r="Q11" s="148" t="s">
        <v>152</v>
      </c>
      <c r="R11" s="133" t="s">
        <v>25</v>
      </c>
      <c r="S11" s="183"/>
      <c r="T11" s="183"/>
      <c r="U11" s="223"/>
      <c r="V11" s="178"/>
      <c r="W11" s="178"/>
      <c r="X11" s="178"/>
      <c r="Y11" s="178"/>
      <c r="Z11" s="173"/>
      <c r="AA11" s="175"/>
    </row>
    <row r="12" spans="1:27">
      <c r="A12" s="215">
        <v>2</v>
      </c>
      <c r="B12" s="199" t="s">
        <v>119</v>
      </c>
      <c r="C12" s="213" t="s">
        <v>128</v>
      </c>
      <c r="D12" s="210">
        <f t="shared" si="0"/>
        <v>4</v>
      </c>
      <c r="E12" s="201">
        <f>IF(OR(C12="",B12=""),"",VLOOKUP(B12,DN,D12,0))</f>
        <v>0.42</v>
      </c>
      <c r="F12" s="196">
        <f t="shared" si="1"/>
        <v>25.2</v>
      </c>
      <c r="G12" s="199">
        <v>90</v>
      </c>
      <c r="H12" s="199">
        <v>70</v>
      </c>
      <c r="I12" s="210" t="str">
        <f t="shared" ref="I12" si="5">G12&amp;H12</f>
        <v>9070</v>
      </c>
      <c r="J12" s="199">
        <v>7</v>
      </c>
      <c r="K12" s="208">
        <f>IF(D12=3,INDEX('coef Fct'!fct,VLOOKUP(I12,tatr,2,0),VLOOKUP('deperd tuyauterie'!K12,ti,2,0)),IF(D12=4,INDEX(fcti,VLOOKUP(I12,tatr,2,0),VLOOKUP('deperd tuyauterie'!K12,tii,2,0)),IF(D12="","")))</f>
        <v>1.333</v>
      </c>
      <c r="L12" s="230" t="s">
        <v>146</v>
      </c>
      <c r="M12" s="201">
        <f>IF(L12="","",VLOOKUP(L12,annexe!position,2,0))</f>
        <v>0.75</v>
      </c>
      <c r="N12" s="199">
        <v>24</v>
      </c>
      <c r="O12" s="196">
        <f t="shared" ref="O12" si="6">IF(OR(M12="",K12=""),"",IF(M12="",F12*K12*N12,IF(N12&lt;&gt;"",F12*K12*M12*N12)))</f>
        <v>604.64879999999994</v>
      </c>
      <c r="P12" s="228">
        <f>IF(OR(O12="",C12=""),"",(O12*0.86)/(G12-H12))</f>
        <v>25.999898399999996</v>
      </c>
      <c r="Q12" s="129" t="s">
        <v>156</v>
      </c>
      <c r="R12" s="131">
        <v>26260</v>
      </c>
      <c r="S12" s="182">
        <f t="shared" ref="S12" si="7">IF(AND(S14="",R15="",R14=""),"",IF(AND(S14="",R15="",R14&lt;&gt;""),R14+P12,IF(AND(S14&lt;&gt;"",R15&lt;&gt;"",R14&lt;&gt;""),S14+R15+R14+P12,"")))</f>
        <v>9255.221236020001</v>
      </c>
      <c r="T12" s="184">
        <f t="shared" ref="T12" si="8">IF(AND(T14="",R14=""),"",IF(AND(T14="",R14&lt;&gt;""),R14,IF(AND(T14&lt;&gt;"",R14&lt;&gt;""),T14+R14,"")))</f>
        <v>8000</v>
      </c>
      <c r="U12" s="179" t="s">
        <v>25</v>
      </c>
      <c r="V12" s="177"/>
      <c r="W12" s="177"/>
      <c r="X12" s="187"/>
      <c r="Y12" s="177">
        <f t="shared" si="4"/>
        <v>302.32439999999997</v>
      </c>
      <c r="Z12" s="185" t="e">
        <f>IF(AND(Y12="",W12=""),"",Y12/((W12/3600)*4187))</f>
        <v>#DIV/0!</v>
      </c>
      <c r="AA12" s="174" t="e">
        <f>IF(AND(AA10="",Z10="",G12=""),"",IF(AND(G12&lt;&gt;"",Z10=""),G12,IF(AND(Z10&lt;&gt;"",AA10&lt;&gt;""),AA10-Z10)))</f>
        <v>#DIV/0!</v>
      </c>
    </row>
    <row r="13" spans="1:27" ht="15.75" thickBot="1">
      <c r="A13" s="216"/>
      <c r="B13" s="200"/>
      <c r="C13" s="214"/>
      <c r="D13" s="192"/>
      <c r="E13" s="192"/>
      <c r="F13" s="192"/>
      <c r="G13" s="200"/>
      <c r="H13" s="200"/>
      <c r="I13" s="192"/>
      <c r="J13" s="200"/>
      <c r="K13" s="209"/>
      <c r="L13" s="231"/>
      <c r="M13" s="192"/>
      <c r="N13" s="200"/>
      <c r="O13" s="192"/>
      <c r="P13" s="183"/>
      <c r="Q13" s="130" t="s">
        <v>152</v>
      </c>
      <c r="R13" s="132">
        <v>840</v>
      </c>
      <c r="S13" s="183"/>
      <c r="T13" s="183"/>
      <c r="U13" s="180"/>
      <c r="V13" s="178"/>
      <c r="W13" s="178"/>
      <c r="X13" s="188"/>
      <c r="Y13" s="178"/>
      <c r="Z13" s="186"/>
      <c r="AA13" s="175"/>
    </row>
    <row r="14" spans="1:27">
      <c r="A14" s="217">
        <v>3</v>
      </c>
      <c r="B14" s="198" t="s">
        <v>117</v>
      </c>
      <c r="C14" s="212" t="s">
        <v>128</v>
      </c>
      <c r="D14" s="211">
        <f t="shared" si="0"/>
        <v>4</v>
      </c>
      <c r="E14" s="202">
        <f>IF(OR(C14="",B14=""),"",VLOOKUP(B14,DN,D14,0))</f>
        <v>0.43</v>
      </c>
      <c r="F14" s="197">
        <f t="shared" si="1"/>
        <v>25.8</v>
      </c>
      <c r="G14" s="199">
        <v>90</v>
      </c>
      <c r="H14" s="199">
        <v>70</v>
      </c>
      <c r="I14" s="211" t="str">
        <f t="shared" ref="I14" si="9">G14&amp;H14</f>
        <v>9070</v>
      </c>
      <c r="J14" s="198">
        <v>5</v>
      </c>
      <c r="K14" s="206">
        <f>IF(D14=3,INDEX('coef Fct'!fct,VLOOKUP(I14,tatr,2,0),VLOOKUP('deperd tuyauterie'!K14,ti,2,0)),IF(D14=4,INDEX(fcti,VLOOKUP(I14,tatr,2,0),VLOOKUP('deperd tuyauterie'!K14,tii,2,0)),IF(D14="","")))</f>
        <v>1.333</v>
      </c>
      <c r="L14" s="232" t="s">
        <v>146</v>
      </c>
      <c r="M14" s="202">
        <f>IF(L14="","",VLOOKUP(L14,annexe!position,2,0))</f>
        <v>0.75</v>
      </c>
      <c r="N14" s="198">
        <v>14</v>
      </c>
      <c r="O14" s="197">
        <f t="shared" ref="O14" si="10">IF(OR(M14="",K14=""),"",IF(M14="",F14*K14*N14,IF(N14&lt;&gt;"",F14*K14*M14*N14)))</f>
        <v>361.10969999999998</v>
      </c>
      <c r="P14" s="229">
        <f>IF(OR(O14="",C14=""),"",(O14*0.86)/(G14-H14))</f>
        <v>15.527717099999998</v>
      </c>
      <c r="Q14" s="142" t="s">
        <v>156</v>
      </c>
      <c r="R14" s="112">
        <v>4670</v>
      </c>
      <c r="S14" s="182">
        <f t="shared" ref="S14" si="11">IF(AND(S16="",R17="",R16=""),"",IF(AND(S16="",R17="",R16&lt;&gt;""),R16+P14,IF(AND(S16&lt;&gt;"",R17&lt;&gt;"",R16&lt;&gt;""),S16+R17+R16+P14,"")))</f>
        <v>4099.2213376200007</v>
      </c>
      <c r="T14" s="184">
        <f t="shared" ref="T14" si="12">IF(AND(T16="",R16=""),"",IF(AND(T16="",R16&lt;&gt;""),R16,IF(AND(T16&lt;&gt;"",R16&lt;&gt;""),T16+R16,"")))</f>
        <v>3330</v>
      </c>
      <c r="U14" s="181" t="s">
        <v>25</v>
      </c>
      <c r="V14" s="176"/>
      <c r="W14" s="176"/>
      <c r="X14" s="189"/>
      <c r="Y14" s="176">
        <f t="shared" ref="Y14" si="13">IF(O14="","",O14/2)</f>
        <v>180.55484999999999</v>
      </c>
      <c r="Z14" s="172" t="e">
        <f t="shared" ref="Z14" si="14">IF(AND(Y14="",W14=""),"",Y14/((W14/3600)*4187))</f>
        <v>#DIV/0!</v>
      </c>
      <c r="AA14" s="174" t="e">
        <f t="shared" ref="AA14" si="15">IF(AND(AA12="",Z12="",G14=""),"",IF(AND(G14&lt;&gt;"",Z12=""),G14,IF(AND(Z12&lt;&gt;"",AA12&lt;&gt;""),AA12-Z12)))</f>
        <v>#DIV/0!</v>
      </c>
    </row>
    <row r="15" spans="1:27" ht="15.75" thickBot="1">
      <c r="A15" s="217"/>
      <c r="B15" s="198"/>
      <c r="C15" s="212"/>
      <c r="D15" s="193"/>
      <c r="E15" s="193"/>
      <c r="F15" s="193"/>
      <c r="G15" s="200"/>
      <c r="H15" s="200"/>
      <c r="I15" s="193"/>
      <c r="J15" s="198"/>
      <c r="K15" s="207"/>
      <c r="L15" s="232"/>
      <c r="M15" s="193"/>
      <c r="N15" s="198"/>
      <c r="O15" s="193"/>
      <c r="P15" s="229"/>
      <c r="Q15" s="148" t="s">
        <v>152</v>
      </c>
      <c r="R15" s="133">
        <v>460</v>
      </c>
      <c r="S15" s="183"/>
      <c r="T15" s="183"/>
      <c r="U15" s="190"/>
      <c r="V15" s="176"/>
      <c r="W15" s="176"/>
      <c r="X15" s="189"/>
      <c r="Y15" s="176"/>
      <c r="Z15" s="173"/>
      <c r="AA15" s="175"/>
    </row>
    <row r="16" spans="1:27">
      <c r="A16" s="215">
        <v>4</v>
      </c>
      <c r="B16" s="199" t="s">
        <v>114</v>
      </c>
      <c r="C16" s="213" t="s">
        <v>127</v>
      </c>
      <c r="D16" s="210">
        <f t="shared" si="0"/>
        <v>3</v>
      </c>
      <c r="E16" s="201">
        <f>IF(OR(C16="",B16=""),"",VLOOKUP(B16,DN,D16,0))</f>
        <v>2.33</v>
      </c>
      <c r="F16" s="196">
        <f t="shared" si="1"/>
        <v>139.80000000000001</v>
      </c>
      <c r="G16" s="199">
        <v>90</v>
      </c>
      <c r="H16" s="199">
        <v>70</v>
      </c>
      <c r="I16" s="210" t="str">
        <f t="shared" ref="I16" si="16">G16&amp;H16</f>
        <v>9070</v>
      </c>
      <c r="J16" s="199">
        <v>10</v>
      </c>
      <c r="K16" s="208">
        <f>IF(D16=3,INDEX('coef Fct'!fct,VLOOKUP(I16,tatr,2,0),VLOOKUP('deperd tuyauterie'!K16,ti,2,0)),IF(D16=4,INDEX(fcti,VLOOKUP(I16,tatr,2,0),VLOOKUP('deperd tuyauterie'!K16,tii,2,0)),IF(D16="","")))</f>
        <v>1.349</v>
      </c>
      <c r="L16" s="230" t="s">
        <v>146</v>
      </c>
      <c r="M16" s="201">
        <f>IF(L16="","",VLOOKUP(L16,annexe!position,2,0))</f>
        <v>0.75</v>
      </c>
      <c r="N16" s="199">
        <v>16</v>
      </c>
      <c r="O16" s="196">
        <f t="shared" ref="O16" si="17">IF(OR(M16="",K16=""),"",IF(M16="",F16*K16*N16,IF(N16&lt;&gt;"",F16*K16*M16*N16)))</f>
        <v>2263.0824000000002</v>
      </c>
      <c r="P16" s="228">
        <f>IF(OR(O16="",C16=""),"",(O16*0.86)/(G16-H16))</f>
        <v>97.312543200000007</v>
      </c>
      <c r="Q16" s="129" t="s">
        <v>156</v>
      </c>
      <c r="R16" s="131">
        <v>930</v>
      </c>
      <c r="S16" s="182">
        <f t="shared" ref="S16" si="18">IF(AND(S18="",R19="",R18=""),"",IF(AND(S18="",R19="",R18&lt;&gt;""),R18+P16,IF(AND(S18&lt;&gt;"",R19&lt;&gt;"",R18&lt;&gt;""),S18+R19+R18+P16,"")))</f>
        <v>2973.6936205200004</v>
      </c>
      <c r="T16" s="184">
        <f t="shared" ref="T16" si="19">IF(AND(T18="",R18=""),"",IF(AND(T18="",R18&lt;&gt;""),R18,IF(AND(T18&lt;&gt;"",R18&lt;&gt;""),T18+R18,"")))</f>
        <v>2400</v>
      </c>
      <c r="U16" s="179" t="s">
        <v>25</v>
      </c>
      <c r="V16" s="177"/>
      <c r="W16" s="177"/>
      <c r="X16" s="187"/>
      <c r="Y16" s="177">
        <f t="shared" ref="Y16" si="20">IF(O16="","",O16/2)</f>
        <v>1131.5412000000001</v>
      </c>
      <c r="Z16" s="172" t="e">
        <f t="shared" ref="Z16" si="21">IF(AND(Y16="",W16=""),"",Y16/((W16/3600)*4187))</f>
        <v>#DIV/0!</v>
      </c>
      <c r="AA16" s="174" t="e">
        <f t="shared" ref="AA16" si="22">IF(AND(AA14="",Z14="",G16=""),"",IF(AND(G16&lt;&gt;"",Z14=""),G16,IF(AND(Z14&lt;&gt;"",AA14&lt;&gt;""),AA14-Z14)))</f>
        <v>#DIV/0!</v>
      </c>
    </row>
    <row r="17" spans="1:27" ht="15" customHeight="1" thickBot="1">
      <c r="A17" s="216"/>
      <c r="B17" s="200"/>
      <c r="C17" s="214"/>
      <c r="D17" s="192"/>
      <c r="E17" s="192"/>
      <c r="F17" s="192"/>
      <c r="G17" s="200"/>
      <c r="H17" s="200"/>
      <c r="I17" s="192"/>
      <c r="J17" s="200"/>
      <c r="K17" s="209"/>
      <c r="L17" s="231"/>
      <c r="M17" s="192"/>
      <c r="N17" s="200"/>
      <c r="O17" s="192"/>
      <c r="P17" s="183"/>
      <c r="Q17" s="130" t="s">
        <v>152</v>
      </c>
      <c r="R17" s="132">
        <v>180</v>
      </c>
      <c r="S17" s="183"/>
      <c r="T17" s="183"/>
      <c r="U17" s="180"/>
      <c r="V17" s="178"/>
      <c r="W17" s="178"/>
      <c r="X17" s="188"/>
      <c r="Y17" s="178"/>
      <c r="Z17" s="173"/>
      <c r="AA17" s="175"/>
    </row>
    <row r="18" spans="1:27">
      <c r="A18" s="217">
        <v>5</v>
      </c>
      <c r="B18" s="198" t="s">
        <v>137</v>
      </c>
      <c r="C18" s="212" t="s">
        <v>128</v>
      </c>
      <c r="D18" s="211">
        <f t="shared" si="0"/>
        <v>4</v>
      </c>
      <c r="E18" s="202">
        <f>IF(OR(C18="",B18=""),"",VLOOKUP(B18,DN,D18,0))</f>
        <v>0.33</v>
      </c>
      <c r="F18" s="197">
        <f t="shared" si="1"/>
        <v>19.8</v>
      </c>
      <c r="G18" s="199">
        <v>90</v>
      </c>
      <c r="H18" s="199">
        <v>70</v>
      </c>
      <c r="I18" s="211" t="str">
        <f t="shared" ref="I18" si="23">G18&amp;H18</f>
        <v>9070</v>
      </c>
      <c r="J18" s="198">
        <v>7</v>
      </c>
      <c r="K18" s="206">
        <f>IF(D18=3,INDEX('coef Fct'!fct,VLOOKUP(I18,tatr,2,0),VLOOKUP('deperd tuyauterie'!K18,ti,2,0)),IF(D18=4,INDEX(fcti,VLOOKUP(I18,tatr,2,0),VLOOKUP('deperd tuyauterie'!K18,tii,2,0)),IF(D18="","")))</f>
        <v>1.333</v>
      </c>
      <c r="L18" s="232" t="s">
        <v>146</v>
      </c>
      <c r="M18" s="202">
        <f>IF(L18="","",VLOOKUP(L18,annexe!position,2,0))</f>
        <v>0.75</v>
      </c>
      <c r="N18" s="198">
        <v>16</v>
      </c>
      <c r="O18" s="197">
        <f t="shared" ref="O18" si="24">IF(OR(M18="",K18=""),"",IF(M18="",F18*K18*N18,IF(N18&lt;&gt;"",F18*K18*M18*N18)))</f>
        <v>316.7208</v>
      </c>
      <c r="P18" s="229">
        <f>IF(OR(O18="",C18=""),"",(O18*0.86)/(G18-H18))</f>
        <v>13.6189944</v>
      </c>
      <c r="Q18" s="142" t="s">
        <v>156</v>
      </c>
      <c r="R18" s="112">
        <v>1300</v>
      </c>
      <c r="S18" s="182">
        <f t="shared" ref="S18" si="25">IF(AND(S20="",R21="",R20=""),"",IF(AND(S20="",R21="",R20&lt;&gt;""),R20+P18,IF(AND(S20&lt;&gt;"",R21&lt;&gt;"",R20&lt;&gt;""),S20+R21+R20+P18,"")))</f>
        <v>1366.38107732</v>
      </c>
      <c r="T18" s="184">
        <f t="shared" ref="T18" si="26">IF(AND(T20="",R20=""),"",IF(AND(T20="",R20&lt;&gt;""),R20,IF(AND(T20&lt;&gt;"",R20&lt;&gt;""),T20+R20,"")))</f>
        <v>1100</v>
      </c>
      <c r="U18" s="181" t="s">
        <v>25</v>
      </c>
      <c r="V18" s="176"/>
      <c r="W18" s="176"/>
      <c r="X18" s="189"/>
      <c r="Y18" s="176">
        <f t="shared" ref="Y18" si="27">IF(O18="","",O18/2)</f>
        <v>158.3604</v>
      </c>
      <c r="Z18" s="172" t="e">
        <f t="shared" ref="Z18" si="28">IF(AND(Y18="",W18=""),"",Y18/((W18/3600)*4187))</f>
        <v>#DIV/0!</v>
      </c>
      <c r="AA18" s="174" t="e">
        <f t="shared" ref="AA18" si="29">IF(AND(AA16="",Z16="",G18=""),"",IF(AND(G18&lt;&gt;"",Z16=""),G18,IF(AND(Z16&lt;&gt;"",AA16&lt;&gt;""),AA16-Z16)))</f>
        <v>#DIV/0!</v>
      </c>
    </row>
    <row r="19" spans="1:27" ht="15.75" thickBot="1">
      <c r="A19" s="217"/>
      <c r="B19" s="198"/>
      <c r="C19" s="212"/>
      <c r="D19" s="193"/>
      <c r="E19" s="193"/>
      <c r="F19" s="193"/>
      <c r="G19" s="200"/>
      <c r="H19" s="200"/>
      <c r="I19" s="193"/>
      <c r="J19" s="198"/>
      <c r="K19" s="207"/>
      <c r="L19" s="232"/>
      <c r="M19" s="193"/>
      <c r="N19" s="198"/>
      <c r="O19" s="193"/>
      <c r="P19" s="229"/>
      <c r="Q19" s="148" t="s">
        <v>152</v>
      </c>
      <c r="R19" s="133">
        <v>210</v>
      </c>
      <c r="S19" s="183"/>
      <c r="T19" s="183"/>
      <c r="U19" s="190"/>
      <c r="V19" s="176"/>
      <c r="W19" s="176"/>
      <c r="X19" s="189"/>
      <c r="Y19" s="176"/>
      <c r="Z19" s="173"/>
      <c r="AA19" s="175"/>
    </row>
    <row r="20" spans="1:27">
      <c r="A20" s="215">
        <v>6</v>
      </c>
      <c r="B20" s="199" t="s">
        <v>112</v>
      </c>
      <c r="C20" s="213" t="s">
        <v>128</v>
      </c>
      <c r="D20" s="210">
        <f t="shared" si="0"/>
        <v>4</v>
      </c>
      <c r="E20" s="201">
        <f>IF(OR(C20="",B20=""),"",VLOOKUP(B20,DN,D20,0))</f>
        <v>0.33</v>
      </c>
      <c r="F20" s="196">
        <f t="shared" si="1"/>
        <v>19.8</v>
      </c>
      <c r="G20" s="199">
        <v>90</v>
      </c>
      <c r="H20" s="199">
        <v>70</v>
      </c>
      <c r="I20" s="210" t="str">
        <f t="shared" ref="I20" si="30">G20&amp;H20</f>
        <v>9070</v>
      </c>
      <c r="J20" s="199">
        <v>7</v>
      </c>
      <c r="K20" s="208">
        <f>IF(D20=3,INDEX('coef Fct'!fct,VLOOKUP(I20,tatr,2,0),VLOOKUP('deperd tuyauterie'!K20,ti,2,0)),IF(D20=4,INDEX(fcti,VLOOKUP(I20,tatr,2,0),VLOOKUP('deperd tuyauterie'!K20,tii,2,0)),IF(D20="","")))</f>
        <v>1.333</v>
      </c>
      <c r="L20" s="230" t="s">
        <v>146</v>
      </c>
      <c r="M20" s="201">
        <f>IF(L20="","",VLOOKUP(L20,annexe!position,2,0))</f>
        <v>0.75</v>
      </c>
      <c r="N20" s="199">
        <v>28</v>
      </c>
      <c r="O20" s="196">
        <f t="shared" ref="O20" si="31">IF(OR(M20="",K20=""),"",IF(M20="",F20*K20*N20,IF(N20&lt;&gt;"",F20*K20*M20*N20)))</f>
        <v>554.26139999999998</v>
      </c>
      <c r="P20" s="228">
        <f>IF(OR(O20="",C20=""),"",(O20*0.86)/(G20-H20))</f>
        <v>23.833240199999999</v>
      </c>
      <c r="Q20" s="129" t="s">
        <v>156</v>
      </c>
      <c r="R20" s="131">
        <v>750</v>
      </c>
      <c r="S20" s="182">
        <f t="shared" ref="S20" si="32">IF(AND(S22="",R23="",R22=""),"",IF(AND(S22="",R23="",R22&lt;&gt;""),R22+P20,IF(AND(S22&lt;&gt;"",R23&lt;&gt;"",R22&lt;&gt;""),S22+R23+R22+P20,"")))</f>
        <v>482.76208291999995</v>
      </c>
      <c r="T20" s="184">
        <f t="shared" ref="T20" si="33">IF(AND(T22="",R22=""),"",IF(AND(T22="",R22&lt;&gt;""),R22,IF(AND(T22&lt;&gt;"",R22&lt;&gt;""),T22+R22,"")))</f>
        <v>350</v>
      </c>
      <c r="U20" s="179" t="s">
        <v>25</v>
      </c>
      <c r="V20" s="177"/>
      <c r="W20" s="177"/>
      <c r="X20" s="187"/>
      <c r="Y20" s="177">
        <f t="shared" ref="Y20" si="34">IF(O20="","",O20/2)</f>
        <v>277.13069999999999</v>
      </c>
      <c r="Z20" s="172" t="e">
        <f t="shared" ref="Z20" si="35">IF(AND(Y20="",W20=""),"",Y20/((W20/3600)*4187))</f>
        <v>#DIV/0!</v>
      </c>
      <c r="AA20" s="174" t="e">
        <f t="shared" ref="AA20" si="36">IF(AND(AA18="",Z18="",G20=""),"",IF(AND(G20&lt;&gt;"",Z18=""),G20,IF(AND(Z18&lt;&gt;"",AA18&lt;&gt;""),AA18-Z18)))</f>
        <v>#DIV/0!</v>
      </c>
    </row>
    <row r="21" spans="1:27" ht="15.75" thickBot="1">
      <c r="A21" s="216"/>
      <c r="B21" s="200"/>
      <c r="C21" s="214"/>
      <c r="D21" s="192"/>
      <c r="E21" s="192"/>
      <c r="F21" s="192"/>
      <c r="G21" s="200"/>
      <c r="H21" s="200"/>
      <c r="I21" s="192"/>
      <c r="J21" s="200"/>
      <c r="K21" s="209"/>
      <c r="L21" s="231"/>
      <c r="M21" s="192"/>
      <c r="N21" s="200"/>
      <c r="O21" s="192"/>
      <c r="P21" s="183"/>
      <c r="Q21" s="130" t="s">
        <v>152</v>
      </c>
      <c r="R21" s="132">
        <v>120</v>
      </c>
      <c r="S21" s="183"/>
      <c r="T21" s="183"/>
      <c r="U21" s="180"/>
      <c r="V21" s="178"/>
      <c r="W21" s="178"/>
      <c r="X21" s="188"/>
      <c r="Y21" s="178"/>
      <c r="Z21" s="173"/>
      <c r="AA21" s="175"/>
    </row>
    <row r="22" spans="1:27">
      <c r="A22" s="217">
        <v>7</v>
      </c>
      <c r="B22" s="198" t="s">
        <v>111</v>
      </c>
      <c r="C22" s="212" t="s">
        <v>127</v>
      </c>
      <c r="D22" s="211">
        <f t="shared" si="0"/>
        <v>3</v>
      </c>
      <c r="E22" s="202">
        <f>IF(OR(C22="",B22=""),"",VLOOKUP(B22,DN,D22,0))</f>
        <v>1.22</v>
      </c>
      <c r="F22" s="197">
        <f t="shared" si="1"/>
        <v>73.2</v>
      </c>
      <c r="G22" s="199">
        <v>90</v>
      </c>
      <c r="H22" s="199">
        <v>70</v>
      </c>
      <c r="I22" s="211" t="str">
        <f t="shared" ref="I22" si="37">G22&amp;H22</f>
        <v>9070</v>
      </c>
      <c r="J22" s="198">
        <v>15</v>
      </c>
      <c r="K22" s="206">
        <f>IF(D22=3,INDEX('coef Fct'!fct,VLOOKUP(I22,tatr,2,0),VLOOKUP('deperd tuyauterie'!K22,ti,2,0)),IF(D22=4,INDEX(fcti,VLOOKUP(I22,tatr,2,0),VLOOKUP('deperd tuyauterie'!K22,tii,2,0)),IF(D22="","")))</f>
        <v>1.349</v>
      </c>
      <c r="L22" s="232" t="s">
        <v>146</v>
      </c>
      <c r="M22" s="202">
        <f>IF(L22="","",VLOOKUP(L22,annexe!position,2,0))</f>
        <v>0.75</v>
      </c>
      <c r="N22" s="198">
        <v>18</v>
      </c>
      <c r="O22" s="197">
        <f t="shared" ref="O22" si="38">IF(OR(M22="",K22=""),"",IF(M22="",F22*K22*N22,IF(N22&lt;&gt;"",F22*K22*M22*N22)))</f>
        <v>1333.0818000000002</v>
      </c>
      <c r="P22" s="229">
        <f>IF(OR(O22="",C22=""),"",(O22*0.86)/(G22-H22))</f>
        <v>57.322517400000002</v>
      </c>
      <c r="Q22" s="142" t="s">
        <v>156</v>
      </c>
      <c r="R22" s="112">
        <v>150</v>
      </c>
      <c r="S22" s="182">
        <f t="shared" ref="S22" si="39">IF(AND(S24="",R25="",R24=""),"",IF(AND(S24="",R25="",R24&lt;&gt;""),R24+P22,IF(AND(S24&lt;&gt;"",R25&lt;&gt;"",R24&lt;&gt;""),S24+R25+R24+P22,"")))</f>
        <v>290.92884271999998</v>
      </c>
      <c r="T22" s="184">
        <f t="shared" ref="T22" si="40">IF(AND(T24="",R24=""),"",IF(AND(T24="",R24&lt;&gt;""),R24,IF(AND(T24&lt;&gt;"",R24&lt;&gt;""),T24+R24,"")))</f>
        <v>200</v>
      </c>
      <c r="U22" s="181" t="s">
        <v>25</v>
      </c>
      <c r="V22" s="176"/>
      <c r="W22" s="176"/>
      <c r="X22" s="189"/>
      <c r="Y22" s="176">
        <f t="shared" ref="Y22" si="41">IF(O22="","",O22/2)</f>
        <v>666.54090000000008</v>
      </c>
      <c r="Z22" s="172" t="e">
        <f t="shared" ref="Z22" si="42">IF(AND(Y22="",W22=""),"",Y22/((W22/3600)*4187))</f>
        <v>#DIV/0!</v>
      </c>
      <c r="AA22" s="174" t="e">
        <f t="shared" ref="AA22" si="43">IF(AND(AA20="",Z20="",G22=""),"",IF(AND(G22&lt;&gt;"",Z20=""),G22,IF(AND(Z20&lt;&gt;"",AA20&lt;&gt;""),AA20-Z20)))</f>
        <v>#DIV/0!</v>
      </c>
    </row>
    <row r="23" spans="1:27" ht="15.75" thickBot="1">
      <c r="A23" s="217"/>
      <c r="B23" s="198"/>
      <c r="C23" s="212"/>
      <c r="D23" s="193"/>
      <c r="E23" s="193"/>
      <c r="F23" s="193"/>
      <c r="G23" s="200"/>
      <c r="H23" s="200"/>
      <c r="I23" s="193"/>
      <c r="J23" s="198"/>
      <c r="K23" s="207"/>
      <c r="L23" s="232"/>
      <c r="M23" s="193"/>
      <c r="N23" s="198"/>
      <c r="O23" s="193"/>
      <c r="P23" s="229"/>
      <c r="Q23" s="148" t="s">
        <v>152</v>
      </c>
      <c r="R23" s="133">
        <v>18</v>
      </c>
      <c r="S23" s="183"/>
      <c r="T23" s="183"/>
      <c r="U23" s="190"/>
      <c r="V23" s="176"/>
      <c r="W23" s="176"/>
      <c r="X23" s="189"/>
      <c r="Y23" s="176"/>
      <c r="Z23" s="173"/>
      <c r="AA23" s="175"/>
    </row>
    <row r="24" spans="1:27">
      <c r="A24" s="215">
        <v>8</v>
      </c>
      <c r="B24" s="199" t="s">
        <v>110</v>
      </c>
      <c r="C24" s="213" t="s">
        <v>127</v>
      </c>
      <c r="D24" s="210">
        <f t="shared" si="0"/>
        <v>3</v>
      </c>
      <c r="E24" s="201">
        <f>IF(OR(C24="",B24=""),"",VLOOKUP(B24,DN,D24,0))</f>
        <v>0.99</v>
      </c>
      <c r="F24" s="196">
        <f t="shared" si="1"/>
        <v>59.4</v>
      </c>
      <c r="G24" s="199">
        <v>90</v>
      </c>
      <c r="H24" s="199">
        <v>70</v>
      </c>
      <c r="I24" s="210" t="str">
        <f t="shared" ref="I24" si="44">G24&amp;H24</f>
        <v>9070</v>
      </c>
      <c r="J24" s="199">
        <v>20</v>
      </c>
      <c r="K24" s="208">
        <f>IF(D24=3,INDEX('coef Fct'!fct,VLOOKUP(I24,tatr,2,0),VLOOKUP('deperd tuyauterie'!K24,ti,2,0)),IF(D24=4,INDEX(fcti,VLOOKUP(I24,tatr,2,0),VLOOKUP('deperd tuyauterie'!K24,tii,2,0)),IF(D24="","")))</f>
        <v>1.349</v>
      </c>
      <c r="L24" s="205" t="s">
        <v>147</v>
      </c>
      <c r="M24" s="201">
        <f>IF(L24="","",VLOOKUP(L24,annexe!position,2,0))</f>
        <v>0.9</v>
      </c>
      <c r="N24" s="199">
        <v>6</v>
      </c>
      <c r="O24" s="196">
        <f t="shared" ref="O24" si="45">IF(OR(M24="",K24=""),"",IF(M24="",F24*K24*N24,IF(N24&lt;&gt;"",F24*K24*M24*N24)))</f>
        <v>432.70524</v>
      </c>
      <c r="P24" s="228">
        <f>IF(OR(O24="",C24=""),"",(O24*0.86)/(G24-H24))</f>
        <v>18.60632532</v>
      </c>
      <c r="Q24" s="129" t="s">
        <v>156</v>
      </c>
      <c r="R24" s="131">
        <v>100</v>
      </c>
      <c r="S24" s="182">
        <f t="shared" ref="S24" si="46">IF(AND(S26="",R27="",R26=""),"",IF(AND(S26="",R27="",R26&lt;&gt;""),R26+P24,IF(AND(S26&lt;&gt;"",R27&lt;&gt;"",R26&lt;&gt;""),S26+R27+R26+P24,"")))</f>
        <v>118.60632532</v>
      </c>
      <c r="T24" s="184">
        <f t="shared" ref="T24" si="47">IF(AND(T26="",R26=""),"",IF(AND(T26="",R26&lt;&gt;""),R26,IF(AND(T26&lt;&gt;"",R26&lt;&gt;""),T26+R26,"")))</f>
        <v>100</v>
      </c>
      <c r="U24" s="179" t="s">
        <v>25</v>
      </c>
      <c r="V24" s="125"/>
      <c r="W24" s="134"/>
      <c r="X24" s="125"/>
      <c r="Y24" s="177">
        <f t="shared" ref="Y24" si="48">IF(O24="","",O24/2)</f>
        <v>216.35262</v>
      </c>
      <c r="Z24" s="172" t="e">
        <f t="shared" ref="Z24" si="49">IF(AND(Y24="",W24=""),"",Y24/((W24/3600)*4187))</f>
        <v>#DIV/0!</v>
      </c>
      <c r="AA24" s="174" t="e">
        <f t="shared" ref="AA24" si="50">IF(AND(AA22="",Z22="",G24=""),"",IF(AND(G24&lt;&gt;"",Z22=""),G24,IF(AND(Z22&lt;&gt;"",AA22&lt;&gt;""),AA22-Z22)))</f>
        <v>#DIV/0!</v>
      </c>
    </row>
    <row r="25" spans="1:27" ht="15.75" thickBot="1">
      <c r="A25" s="216"/>
      <c r="B25" s="200"/>
      <c r="C25" s="214"/>
      <c r="D25" s="192"/>
      <c r="E25" s="192"/>
      <c r="F25" s="192"/>
      <c r="G25" s="200"/>
      <c r="H25" s="200"/>
      <c r="I25" s="192"/>
      <c r="J25" s="200"/>
      <c r="K25" s="209"/>
      <c r="L25" s="204"/>
      <c r="M25" s="192"/>
      <c r="N25" s="200"/>
      <c r="O25" s="192"/>
      <c r="P25" s="183"/>
      <c r="Q25" s="130" t="s">
        <v>152</v>
      </c>
      <c r="R25" s="132">
        <v>15</v>
      </c>
      <c r="S25" s="183"/>
      <c r="T25" s="183"/>
      <c r="U25" s="180"/>
      <c r="V25" s="126"/>
      <c r="W25" s="36"/>
      <c r="X25" s="126"/>
      <c r="Y25" s="178"/>
      <c r="Z25" s="173"/>
      <c r="AA25" s="175"/>
    </row>
    <row r="26" spans="1:27">
      <c r="A26" s="217">
        <v>9</v>
      </c>
      <c r="B26" s="198" t="s">
        <v>109</v>
      </c>
      <c r="C26" s="212" t="s">
        <v>127</v>
      </c>
      <c r="D26" s="211">
        <f t="shared" si="0"/>
        <v>3</v>
      </c>
      <c r="E26" s="202">
        <f>IF(OR(C26="",B26=""),"",VLOOKUP(B26,DN,D26,0))</f>
        <v>0.82</v>
      </c>
      <c r="F26" s="197">
        <f t="shared" si="1"/>
        <v>49.199999999999996</v>
      </c>
      <c r="G26" s="199">
        <v>90</v>
      </c>
      <c r="H26" s="199">
        <v>70</v>
      </c>
      <c r="I26" s="211" t="str">
        <f t="shared" ref="I26" si="51">G26&amp;H26</f>
        <v>9070</v>
      </c>
      <c r="J26" s="198">
        <v>20</v>
      </c>
      <c r="K26" s="206">
        <f>IF(D26=3,INDEX('coef Fct'!fct,VLOOKUP(I26,tatr,2,0),VLOOKUP('deperd tuyauterie'!K26,ti,2,0)),IF(D26=4,INDEX(fcti,VLOOKUP(I26,tatr,2,0),VLOOKUP('deperd tuyauterie'!K26,tii,2,0)),IF(D26="","")))</f>
        <v>1.349</v>
      </c>
      <c r="L26" s="203" t="s">
        <v>147</v>
      </c>
      <c r="M26" s="202">
        <f>IF(L26="","",VLOOKUP(L26,annexe!position,2,0))</f>
        <v>0.9</v>
      </c>
      <c r="N26" s="198">
        <v>10</v>
      </c>
      <c r="O26" s="197">
        <f t="shared" ref="O26" si="52">IF(OR(M26="",K26=""),"",IF(M26="",F26*K26*N26,IF(N26&lt;&gt;"",F26*K26*M26*N26)))</f>
        <v>597.33719999999994</v>
      </c>
      <c r="P26" s="229">
        <f>IF(OR(O26="",C26=""),"",(O26*0.86)/(G26-H26))</f>
        <v>25.685499599999996</v>
      </c>
      <c r="Q26" s="142" t="s">
        <v>156</v>
      </c>
      <c r="R26" s="112">
        <v>100</v>
      </c>
      <c r="S26" s="182" t="str">
        <f t="shared" ref="S26" si="53">IF(AND(S28="",R29="",R28=""),"",IF(AND(S28="",R29="",R28&lt;&gt;""),R28+P26,IF(AND(S28&lt;&gt;"",R29&lt;&gt;"",R28&lt;&gt;""),S28+R29+R28+P26,"")))</f>
        <v/>
      </c>
      <c r="T26" s="184" t="str">
        <f t="shared" ref="T26" si="54">IF(AND(T28="",R28=""),"",IF(AND(T28="",R28&lt;&gt;""),R28,IF(AND(T28&lt;&gt;"",R28&lt;&gt;""),T28+R28,"")))</f>
        <v/>
      </c>
      <c r="U26" s="181" t="s">
        <v>25</v>
      </c>
      <c r="V26" s="128"/>
      <c r="W26" s="127"/>
      <c r="X26" s="128"/>
      <c r="Y26" s="176">
        <f t="shared" ref="Y26" si="55">IF(O26="","",O26/2)</f>
        <v>298.66859999999997</v>
      </c>
      <c r="Z26" s="172" t="e">
        <f t="shared" ref="Z26" si="56">IF(AND(Y26="",W26=""),"",Y26/((W26/3600)*4187))</f>
        <v>#DIV/0!</v>
      </c>
      <c r="AA26" s="174" t="e">
        <f t="shared" ref="AA26" si="57">IF(AND(AA24="",Z24="",G26=""),"",IF(AND(G26&lt;&gt;"",Z24=""),G26,IF(AND(Z24&lt;&gt;"",AA24&lt;&gt;""),AA24-Z24)))</f>
        <v>#DIV/0!</v>
      </c>
    </row>
    <row r="27" spans="1:27" ht="15.75" thickBot="1">
      <c r="A27" s="217"/>
      <c r="B27" s="198"/>
      <c r="C27" s="212"/>
      <c r="D27" s="193"/>
      <c r="E27" s="193"/>
      <c r="F27" s="193"/>
      <c r="G27" s="200"/>
      <c r="H27" s="200"/>
      <c r="I27" s="193"/>
      <c r="J27" s="198"/>
      <c r="K27" s="207"/>
      <c r="L27" s="203"/>
      <c r="M27" s="193"/>
      <c r="N27" s="198"/>
      <c r="O27" s="193"/>
      <c r="P27" s="229"/>
      <c r="Q27" s="148" t="s">
        <v>152</v>
      </c>
      <c r="R27" s="133"/>
      <c r="S27" s="183"/>
      <c r="T27" s="183"/>
      <c r="U27" s="190"/>
      <c r="V27" s="128"/>
      <c r="W27" s="127"/>
      <c r="X27" s="128"/>
      <c r="Y27" s="176"/>
      <c r="Z27" s="173"/>
      <c r="AA27" s="175"/>
    </row>
    <row r="28" spans="1:27">
      <c r="A28" s="215">
        <v>10</v>
      </c>
      <c r="B28" s="199" t="s">
        <v>116</v>
      </c>
      <c r="C28" s="213" t="s">
        <v>128</v>
      </c>
      <c r="D28" s="210">
        <f t="shared" si="0"/>
        <v>4</v>
      </c>
      <c r="E28" s="201">
        <f>IF(OR(C28="",B28=""),"",VLOOKUP(B28,DN,D28,0))</f>
        <v>0.4</v>
      </c>
      <c r="F28" s="196">
        <f t="shared" si="1"/>
        <v>24</v>
      </c>
      <c r="G28" s="199">
        <v>90</v>
      </c>
      <c r="H28" s="199">
        <v>70</v>
      </c>
      <c r="I28" s="210" t="str">
        <f t="shared" ref="I28" si="58">G28&amp;H28</f>
        <v>9070</v>
      </c>
      <c r="J28" s="199">
        <v>5</v>
      </c>
      <c r="K28" s="208">
        <f>IF(D28=3,INDEX('coef Fct'!fct,VLOOKUP(I28,tatr,2,0),VLOOKUP('deperd tuyauterie'!K28,ti,2,0)),IF(D28=4,INDEX(fcti,VLOOKUP(I28,tatr,2,0),VLOOKUP('deperd tuyauterie'!K28,tii,2,0)),IF(D28="","")))</f>
        <v>1.333</v>
      </c>
      <c r="L28" s="230" t="s">
        <v>146</v>
      </c>
      <c r="M28" s="201">
        <f>IF(L28="","",VLOOKUP(L28,annexe!position,2,0))</f>
        <v>0.75</v>
      </c>
      <c r="N28" s="199">
        <v>36</v>
      </c>
      <c r="O28" s="196">
        <f t="shared" ref="O28" si="59">IF(OR(M28="",K28=""),"",IF(M28="",F28*K28*N28,IF(N28&lt;&gt;"",F28*K28*M28*N28)))</f>
        <v>863.78399999999999</v>
      </c>
      <c r="P28" s="228">
        <f>IF(OR(O28="",C28=""),"",(O28*0.86)/(G28-H28))</f>
        <v>37.142712000000003</v>
      </c>
      <c r="Q28" s="129" t="s">
        <v>156</v>
      </c>
      <c r="R28" s="131"/>
      <c r="S28" s="182">
        <f t="shared" ref="S28" si="60">IF(AND(S30="",R31="",R30=""),"",IF(AND(S30="",R31="",R30&lt;&gt;""),R30+P28,IF(AND(S30&lt;&gt;"",R31&lt;&gt;"",R30&lt;&gt;""),S30+R31+R30+P28,"")))</f>
        <v>6347.9104849599998</v>
      </c>
      <c r="T28" s="184">
        <f t="shared" ref="T28" si="61">IF(AND(T30="",R30=""),"",IF(AND(T30="",R30&lt;&gt;""),R30,IF(AND(T30&lt;&gt;"",R30&lt;&gt;""),T30+R30,"")))</f>
        <v>5430</v>
      </c>
      <c r="U28" s="179" t="s">
        <v>25</v>
      </c>
      <c r="V28" s="125"/>
      <c r="W28" s="134"/>
      <c r="X28" s="125"/>
      <c r="Y28" s="177">
        <f t="shared" ref="Y28" si="62">IF(O28="","",O28/2)</f>
        <v>431.892</v>
      </c>
      <c r="Z28" s="172" t="e">
        <f t="shared" ref="Z28" si="63">IF(AND(Y28="",W28=""),"",Y28/((W28/3600)*4187))</f>
        <v>#DIV/0!</v>
      </c>
      <c r="AA28" s="174" t="e">
        <f t="shared" ref="AA28" si="64">IF(AND(AA26="",Z26="",G28=""),"",IF(AND(G28&lt;&gt;"",Z26=""),G28,IF(AND(Z26&lt;&gt;"",AA26&lt;&gt;""),AA26-Z26)))</f>
        <v>#DIV/0!</v>
      </c>
    </row>
    <row r="29" spans="1:27" ht="15.75" thickBot="1">
      <c r="A29" s="216"/>
      <c r="B29" s="200"/>
      <c r="C29" s="214"/>
      <c r="D29" s="192"/>
      <c r="E29" s="192"/>
      <c r="F29" s="192"/>
      <c r="G29" s="200"/>
      <c r="H29" s="200"/>
      <c r="I29" s="192"/>
      <c r="J29" s="200"/>
      <c r="K29" s="209"/>
      <c r="L29" s="231"/>
      <c r="M29" s="192"/>
      <c r="N29" s="200"/>
      <c r="O29" s="192"/>
      <c r="P29" s="183"/>
      <c r="Q29" s="130" t="s">
        <v>152</v>
      </c>
      <c r="R29" s="132" t="s">
        <v>25</v>
      </c>
      <c r="S29" s="183"/>
      <c r="T29" s="183"/>
      <c r="U29" s="180"/>
      <c r="V29" s="126"/>
      <c r="W29" s="36"/>
      <c r="X29" s="126"/>
      <c r="Y29" s="178"/>
      <c r="Z29" s="173"/>
      <c r="AA29" s="175"/>
    </row>
    <row r="30" spans="1:27">
      <c r="A30" s="217">
        <v>11</v>
      </c>
      <c r="B30" s="198" t="s">
        <v>137</v>
      </c>
      <c r="C30" s="212" t="s">
        <v>127</v>
      </c>
      <c r="D30" s="211">
        <f t="shared" si="0"/>
        <v>3</v>
      </c>
      <c r="E30" s="202">
        <f>IF(OR(C30="",B30=""),"",VLOOKUP(B30,DN,D30,0))</f>
        <v>2.02</v>
      </c>
      <c r="F30" s="197">
        <f t="shared" si="1"/>
        <v>121.2</v>
      </c>
      <c r="G30" s="199">
        <v>90</v>
      </c>
      <c r="H30" s="199">
        <v>70</v>
      </c>
      <c r="I30" s="211" t="str">
        <f t="shared" ref="I30" si="65">G30&amp;H30</f>
        <v>9070</v>
      </c>
      <c r="J30" s="198">
        <v>15</v>
      </c>
      <c r="K30" s="206">
        <f>IF(D30=3,INDEX('coef Fct'!fct,VLOOKUP(I30,tatr,2,0),VLOOKUP('deperd tuyauterie'!K30,ti,2,0)),IF(D30=4,INDEX(fcti,VLOOKUP(I30,tatr,2,0),VLOOKUP('deperd tuyauterie'!K30,tii,2,0)),IF(D30="","")))</f>
        <v>1.349</v>
      </c>
      <c r="L30" s="232" t="s">
        <v>146</v>
      </c>
      <c r="M30" s="202">
        <f>IF(L30="","",VLOOKUP(L30,annexe!position,2,0))</f>
        <v>0.75</v>
      </c>
      <c r="N30" s="198">
        <v>22</v>
      </c>
      <c r="O30" s="197">
        <f t="shared" ref="O30" si="66">IF(OR(M30="",K30=""),"",IF(M30="",F30*K30*N30,IF(N30&lt;&gt;"",F30*K30*M30*N30)))</f>
        <v>2697.7302</v>
      </c>
      <c r="P30" s="229">
        <f>IF(OR(O30="",C30=""),"",(O30*0.86)/(G30-H30))</f>
        <v>116.00239859999999</v>
      </c>
      <c r="Q30" s="142" t="s">
        <v>156</v>
      </c>
      <c r="R30" s="112">
        <v>2600</v>
      </c>
      <c r="S30" s="182">
        <f t="shared" ref="S30" si="67">IF(AND(S32="",R33="",R32=""),"",IF(AND(S32="",R33="",R32&lt;&gt;""),R32+P30,IF(AND(S32&lt;&gt;"",R33&lt;&gt;"",R32&lt;&gt;""),S32+R33+R32+P30,"")))</f>
        <v>3480.7677729600005</v>
      </c>
      <c r="T30" s="184">
        <f t="shared" ref="T30" si="68">IF(AND(T32="",R32=""),"",IF(AND(T32="",R32&lt;&gt;""),R32,IF(AND(T32&lt;&gt;"",R32&lt;&gt;""),T32+R32,"")))</f>
        <v>2830</v>
      </c>
      <c r="U30" s="181" t="s">
        <v>25</v>
      </c>
      <c r="V30" s="128"/>
      <c r="W30" s="127"/>
      <c r="X30" s="128"/>
      <c r="Y30" s="176">
        <f t="shared" ref="Y30" si="69">IF(O30="","",O30/2)</f>
        <v>1348.8651</v>
      </c>
      <c r="Z30" s="172" t="e">
        <f t="shared" ref="Z30" si="70">IF(AND(Y30="",W30=""),"",Y30/((W30/3600)*4187))</f>
        <v>#DIV/0!</v>
      </c>
      <c r="AA30" s="174" t="e">
        <f t="shared" ref="AA30" si="71">IF(AND(AA28="",Z28="",G30=""),"",IF(AND(G30&lt;&gt;"",Z28=""),G30,IF(AND(Z28&lt;&gt;"",AA28&lt;&gt;""),AA28-Z28)))</f>
        <v>#DIV/0!</v>
      </c>
    </row>
    <row r="31" spans="1:27" ht="15.75" thickBot="1">
      <c r="A31" s="217"/>
      <c r="B31" s="198"/>
      <c r="C31" s="212"/>
      <c r="D31" s="193"/>
      <c r="E31" s="193"/>
      <c r="F31" s="193"/>
      <c r="G31" s="200"/>
      <c r="H31" s="200"/>
      <c r="I31" s="193"/>
      <c r="J31" s="198"/>
      <c r="K31" s="207"/>
      <c r="L31" s="232"/>
      <c r="M31" s="193"/>
      <c r="N31" s="198"/>
      <c r="O31" s="193"/>
      <c r="P31" s="229"/>
      <c r="Q31" s="148" t="s">
        <v>152</v>
      </c>
      <c r="R31" s="133">
        <v>230</v>
      </c>
      <c r="S31" s="183"/>
      <c r="T31" s="183"/>
      <c r="U31" s="190"/>
      <c r="V31" s="128"/>
      <c r="W31" s="127"/>
      <c r="X31" s="128"/>
      <c r="Y31" s="176"/>
      <c r="Z31" s="173"/>
      <c r="AA31" s="175"/>
    </row>
    <row r="32" spans="1:27">
      <c r="A32" s="215">
        <v>12</v>
      </c>
      <c r="B32" s="199" t="s">
        <v>113</v>
      </c>
      <c r="C32" s="213" t="s">
        <v>128</v>
      </c>
      <c r="D32" s="210">
        <f t="shared" si="0"/>
        <v>4</v>
      </c>
      <c r="E32" s="201">
        <f>IF(OR(C32="",B32=""),"",VLOOKUP(B32,DN,D32,0))</f>
        <v>0.3</v>
      </c>
      <c r="F32" s="196">
        <f t="shared" si="1"/>
        <v>18</v>
      </c>
      <c r="G32" s="199">
        <v>90</v>
      </c>
      <c r="H32" s="199">
        <v>70</v>
      </c>
      <c r="I32" s="210" t="str">
        <f t="shared" ref="I32" si="72">G32&amp;H32</f>
        <v>9070</v>
      </c>
      <c r="J32" s="199">
        <v>7</v>
      </c>
      <c r="K32" s="208">
        <f>IF(D32=3,INDEX('coef Fct'!fct,VLOOKUP(I32,tatr,2,0),VLOOKUP('deperd tuyauterie'!K32,ti,2,0)),IF(D32=4,INDEX(fcti,VLOOKUP(I32,tatr,2,0),VLOOKUP('deperd tuyauterie'!K32,tii,2,0)),IF(D32="","")))</f>
        <v>1.333</v>
      </c>
      <c r="L32" s="230" t="s">
        <v>146</v>
      </c>
      <c r="M32" s="201">
        <f>IF(L32="","",VLOOKUP(L32,annexe!position,2,0))</f>
        <v>0.75</v>
      </c>
      <c r="N32" s="199">
        <v>16</v>
      </c>
      <c r="O32" s="196">
        <f t="shared" ref="O32" si="73">IF(OR(M32="",K32=""),"",IF(M32="",F32*K32*N32,IF(N32&lt;&gt;"",F32*K32*M32*N32)))</f>
        <v>287.928</v>
      </c>
      <c r="P32" s="228">
        <f>IF(OR(O32="",C32=""),"",(O32*0.86)/(G32-H32))</f>
        <v>12.380903999999999</v>
      </c>
      <c r="Q32" s="129" t="s">
        <v>156</v>
      </c>
      <c r="R32" s="131">
        <v>1250</v>
      </c>
      <c r="S32" s="182">
        <f t="shared" ref="S32" si="74">IF(AND(S34="",R35="",R34=""),"",IF(AND(S34="",R35="",R34&lt;&gt;""),R34+P32,IF(AND(S34&lt;&gt;"",R35&lt;&gt;"",R34&lt;&gt;""),S34+R35+R34+P32,"")))</f>
        <v>1934.7653743600001</v>
      </c>
      <c r="T32" s="184">
        <f t="shared" ref="T32" si="75">IF(AND(T34="",R34=""),"",IF(AND(T34="",R34&lt;&gt;""),R34,IF(AND(T34&lt;&gt;"",R34&lt;&gt;""),T34+R34,"")))</f>
        <v>1580</v>
      </c>
      <c r="U32" s="179" t="s">
        <v>25</v>
      </c>
      <c r="V32" s="125"/>
      <c r="W32" s="134"/>
      <c r="X32" s="125"/>
      <c r="Y32" s="177">
        <f t="shared" ref="Y32" si="76">IF(O32="","",O32/2)</f>
        <v>143.964</v>
      </c>
      <c r="Z32" s="172" t="e">
        <f t="shared" ref="Z32" si="77">IF(AND(Y32="",W32=""),"",Y32/((W32/3600)*4187))</f>
        <v>#DIV/0!</v>
      </c>
      <c r="AA32" s="174" t="e">
        <f t="shared" ref="AA32" si="78">IF(AND(AA30="",Z30="",G32=""),"",IF(AND(G32&lt;&gt;"",Z30=""),G32,IF(AND(Z30&lt;&gt;"",AA30&lt;&gt;""),AA30-Z30)))</f>
        <v>#DIV/0!</v>
      </c>
    </row>
    <row r="33" spans="1:27" ht="15.75" thickBot="1">
      <c r="A33" s="216"/>
      <c r="B33" s="200"/>
      <c r="C33" s="214"/>
      <c r="D33" s="192"/>
      <c r="E33" s="192"/>
      <c r="F33" s="192"/>
      <c r="G33" s="200"/>
      <c r="H33" s="200"/>
      <c r="I33" s="192"/>
      <c r="J33" s="200"/>
      <c r="K33" s="209"/>
      <c r="L33" s="231"/>
      <c r="M33" s="192"/>
      <c r="N33" s="200"/>
      <c r="O33" s="192"/>
      <c r="P33" s="183"/>
      <c r="Q33" s="130" t="s">
        <v>152</v>
      </c>
      <c r="R33" s="132">
        <v>180</v>
      </c>
      <c r="S33" s="183"/>
      <c r="T33" s="183"/>
      <c r="U33" s="180"/>
      <c r="V33" s="126"/>
      <c r="W33" s="36"/>
      <c r="X33" s="126"/>
      <c r="Y33" s="178"/>
      <c r="Z33" s="173"/>
      <c r="AA33" s="175"/>
    </row>
    <row r="34" spans="1:27">
      <c r="A34" s="217">
        <v>13</v>
      </c>
      <c r="B34" s="198" t="s">
        <v>112</v>
      </c>
      <c r="C34" s="212" t="s">
        <v>127</v>
      </c>
      <c r="D34" s="211">
        <f t="shared" si="0"/>
        <v>3</v>
      </c>
      <c r="E34" s="202">
        <f>IF(OR(C34="",B34=""),"",VLOOKUP(B34,DN,D34,0))</f>
        <v>1.48</v>
      </c>
      <c r="F34" s="197">
        <f t="shared" si="1"/>
        <v>88.8</v>
      </c>
      <c r="G34" s="199">
        <v>90</v>
      </c>
      <c r="H34" s="199">
        <v>70</v>
      </c>
      <c r="I34" s="211" t="str">
        <f t="shared" ref="I34" si="79">G34&amp;H34</f>
        <v>9070</v>
      </c>
      <c r="J34" s="198">
        <v>20</v>
      </c>
      <c r="K34" s="206">
        <f>IF(D34=3,INDEX('coef Fct'!fct,VLOOKUP(I34,tatr,2,0),VLOOKUP('deperd tuyauterie'!K34,ti,2,0)),IF(D34=4,INDEX(fcti,VLOOKUP(I34,tatr,2,0),VLOOKUP('deperd tuyauterie'!K34,tii,2,0)),IF(D34="","")))</f>
        <v>1.349</v>
      </c>
      <c r="L34" s="232" t="s">
        <v>146</v>
      </c>
      <c r="M34" s="202">
        <f>IF(L34="","",VLOOKUP(L34,annexe!position,2,0))</f>
        <v>0.75</v>
      </c>
      <c r="N34" s="198">
        <v>26</v>
      </c>
      <c r="O34" s="197">
        <f t="shared" ref="O34" si="80">IF(OR(M34="",K34=""),"",IF(M34="",F34*K34*N34,IF(N34&lt;&gt;"",F34*K34*M34*N34)))</f>
        <v>2335.9283999999998</v>
      </c>
      <c r="P34" s="229">
        <f>IF(OR(O34="",C34=""),"",(O34*0.86)/(G34-H34))</f>
        <v>100.44492119999998</v>
      </c>
      <c r="Q34" s="142" t="s">
        <v>156</v>
      </c>
      <c r="R34" s="112">
        <v>880</v>
      </c>
      <c r="S34" s="182">
        <f t="shared" ref="S34" si="81">IF(AND(S36="",R37="",R36=""),"",IF(AND(S36="",R37="",R36&lt;&gt;""),R36+P34,IF(AND(S36&lt;&gt;"",R37&lt;&gt;"",R36&lt;&gt;""),S36+R37+R36+P34,"")))</f>
        <v>922.38447036000002</v>
      </c>
      <c r="T34" s="184">
        <f t="shared" ref="T34" si="82">IF(AND(T36="",R36=""),"",IF(AND(T36="",R36&lt;&gt;""),R36,IF(AND(T36&lt;&gt;"",R36&lt;&gt;""),T36+R36,"")))</f>
        <v>700</v>
      </c>
      <c r="U34" s="181" t="s">
        <v>25</v>
      </c>
      <c r="V34" s="128"/>
      <c r="W34" s="127"/>
      <c r="X34" s="128"/>
      <c r="Y34" s="176">
        <f t="shared" ref="Y34" si="83">IF(O34="","",O34/2)</f>
        <v>1167.9641999999999</v>
      </c>
      <c r="Z34" s="172" t="e">
        <f t="shared" ref="Z34" si="84">IF(AND(Y34="",W34=""),"",Y34/((W34/3600)*4187))</f>
        <v>#DIV/0!</v>
      </c>
      <c r="AA34" s="174" t="e">
        <f t="shared" ref="AA34" si="85">IF(AND(AA32="",Z32="",G34=""),"",IF(AND(G34&lt;&gt;"",Z32=""),G34,IF(AND(Z32&lt;&gt;"",AA32&lt;&gt;""),AA32-Z32)))</f>
        <v>#DIV/0!</v>
      </c>
    </row>
    <row r="35" spans="1:27" ht="15.75" thickBot="1">
      <c r="A35" s="217"/>
      <c r="B35" s="198"/>
      <c r="C35" s="212"/>
      <c r="D35" s="193"/>
      <c r="E35" s="193"/>
      <c r="F35" s="193"/>
      <c r="G35" s="200"/>
      <c r="H35" s="200"/>
      <c r="I35" s="193"/>
      <c r="J35" s="198"/>
      <c r="K35" s="207"/>
      <c r="L35" s="232"/>
      <c r="M35" s="193"/>
      <c r="N35" s="198"/>
      <c r="O35" s="193"/>
      <c r="P35" s="229"/>
      <c r="Q35" s="148" t="s">
        <v>152</v>
      </c>
      <c r="R35" s="133">
        <v>120</v>
      </c>
      <c r="S35" s="183"/>
      <c r="T35" s="183"/>
      <c r="U35" s="190"/>
      <c r="V35" s="128"/>
      <c r="W35" s="127"/>
      <c r="X35" s="128"/>
      <c r="Y35" s="176"/>
      <c r="Z35" s="173"/>
      <c r="AA35" s="175"/>
    </row>
    <row r="36" spans="1:27">
      <c r="A36" s="215">
        <v>14</v>
      </c>
      <c r="B36" s="199" t="s">
        <v>111</v>
      </c>
      <c r="C36" s="213" t="s">
        <v>127</v>
      </c>
      <c r="D36" s="210">
        <f t="shared" si="0"/>
        <v>3</v>
      </c>
      <c r="E36" s="201">
        <f>IF(OR(C36="",B36=""),"",VLOOKUP(B36,DN,D36,0))</f>
        <v>1.22</v>
      </c>
      <c r="F36" s="196">
        <f t="shared" si="1"/>
        <v>73.2</v>
      </c>
      <c r="G36" s="199">
        <v>90</v>
      </c>
      <c r="H36" s="199">
        <v>70</v>
      </c>
      <c r="I36" s="210" t="str">
        <f t="shared" ref="I36" si="86">G36&amp;H36</f>
        <v>9070</v>
      </c>
      <c r="J36" s="199">
        <v>20</v>
      </c>
      <c r="K36" s="208">
        <f>IF(D36=3,INDEX('coef Fct'!fct,VLOOKUP(I36,tatr,2,0),VLOOKUP('deperd tuyauterie'!K36,ti,2,0)),IF(D36=4,INDEX(fcti,VLOOKUP(I36,tatr,2,0),VLOOKUP('deperd tuyauterie'!K36,tii,2,0)),IF(D36="","")))</f>
        <v>1.349</v>
      </c>
      <c r="L36" s="205" t="s">
        <v>147</v>
      </c>
      <c r="M36" s="201">
        <f>IF(L36="","",VLOOKUP(L36,annexe!position,2,0))</f>
        <v>0.9</v>
      </c>
      <c r="N36" s="199">
        <v>6</v>
      </c>
      <c r="O36" s="196">
        <f t="shared" ref="O36" si="87">IF(OR(M36="",K36=""),"",IF(M36="",F36*K36*N36,IF(N36&lt;&gt;"",F36*K36*M36*N36)))</f>
        <v>533.23272000000009</v>
      </c>
      <c r="P36" s="228">
        <f>IF(OR(O36="",C36=""),"",(O36*0.86)/(G36-H36))</f>
        <v>22.929006960000002</v>
      </c>
      <c r="Q36" s="129" t="s">
        <v>156</v>
      </c>
      <c r="R36" s="131">
        <v>250</v>
      </c>
      <c r="S36" s="182">
        <f t="shared" ref="S36" si="88">IF(AND(S38="",R39="",R38=""),"",IF(AND(S38="",R39="",R38&lt;&gt;""),R38+P36,IF(AND(S38&lt;&gt;"",R39&lt;&gt;"",R38&lt;&gt;""),S38+R39+R38+P36,"")))</f>
        <v>541.93954916000007</v>
      </c>
      <c r="T36" s="184">
        <f t="shared" ref="T36" si="89">IF(AND(T38="",R38=""),"",IF(AND(T38="",R38&lt;&gt;""),R38,IF(AND(T38&lt;&gt;"",R38&lt;&gt;""),T38+R38,"")))</f>
        <v>450</v>
      </c>
      <c r="U36" s="179" t="s">
        <v>25</v>
      </c>
      <c r="V36" s="125"/>
      <c r="W36" s="134"/>
      <c r="X36" s="125"/>
      <c r="Y36" s="177">
        <f t="shared" ref="Y36" si="90">IF(O36="","",O36/2)</f>
        <v>266.61636000000004</v>
      </c>
      <c r="Z36" s="172" t="e">
        <f t="shared" ref="Z36" si="91">IF(AND(Y36="",W36=""),"",Y36/((W36/3600)*4187))</f>
        <v>#DIV/0!</v>
      </c>
      <c r="AA36" s="174" t="e">
        <f t="shared" ref="AA36" si="92">IF(AND(AA34="",Z34="",G36=""),"",IF(AND(G36&lt;&gt;"",Z34=""),G36,IF(AND(Z34&lt;&gt;"",AA34&lt;&gt;""),AA34-Z34)))</f>
        <v>#DIV/0!</v>
      </c>
    </row>
    <row r="37" spans="1:27" ht="15.75" thickBot="1">
      <c r="A37" s="216"/>
      <c r="B37" s="200"/>
      <c r="C37" s="214"/>
      <c r="D37" s="192"/>
      <c r="E37" s="192"/>
      <c r="F37" s="192"/>
      <c r="G37" s="200"/>
      <c r="H37" s="200"/>
      <c r="I37" s="192"/>
      <c r="J37" s="200"/>
      <c r="K37" s="209"/>
      <c r="L37" s="204"/>
      <c r="M37" s="192"/>
      <c r="N37" s="200"/>
      <c r="O37" s="192"/>
      <c r="P37" s="183"/>
      <c r="Q37" s="130" t="s">
        <v>152</v>
      </c>
      <c r="R37" s="132">
        <v>30</v>
      </c>
      <c r="S37" s="183"/>
      <c r="T37" s="183"/>
      <c r="U37" s="180"/>
      <c r="V37" s="126"/>
      <c r="W37" s="36"/>
      <c r="X37" s="126"/>
      <c r="Y37" s="178"/>
      <c r="Z37" s="173"/>
      <c r="AA37" s="175"/>
    </row>
    <row r="38" spans="1:27">
      <c r="A38" s="217">
        <v>15</v>
      </c>
      <c r="B38" s="198" t="s">
        <v>110</v>
      </c>
      <c r="C38" s="212" t="s">
        <v>127</v>
      </c>
      <c r="D38" s="211">
        <f t="shared" si="0"/>
        <v>3</v>
      </c>
      <c r="E38" s="202">
        <f>IF(OR(C38="",B38=""),"",VLOOKUP(B38,DN,D38,0))</f>
        <v>0.99</v>
      </c>
      <c r="F38" s="197">
        <f t="shared" si="1"/>
        <v>59.4</v>
      </c>
      <c r="G38" s="199">
        <v>90</v>
      </c>
      <c r="H38" s="199">
        <v>70</v>
      </c>
      <c r="I38" s="211" t="str">
        <f t="shared" ref="I38" si="93">G38&amp;H38</f>
        <v>9070</v>
      </c>
      <c r="J38" s="198">
        <v>20</v>
      </c>
      <c r="K38" s="206">
        <f>IF(D38=3,INDEX('coef Fct'!fct,VLOOKUP(I38,tatr,2,0),VLOOKUP('deperd tuyauterie'!K38,ti,2,0)),IF(D38=4,INDEX(fcti,VLOOKUP(I38,tatr,2,0),VLOOKUP('deperd tuyauterie'!K38,tii,2,0)),IF(D38="","")))</f>
        <v>1.349</v>
      </c>
      <c r="L38" s="203" t="s">
        <v>147</v>
      </c>
      <c r="M38" s="202">
        <f>IF(L38="","",VLOOKUP(L38,annexe!position,2,0))</f>
        <v>0.9</v>
      </c>
      <c r="N38" s="198">
        <v>10</v>
      </c>
      <c r="O38" s="197">
        <f t="shared" ref="O38" si="94">IF(OR(M38="",K38=""),"",IF(M38="",F38*K38*N38,IF(N38&lt;&gt;"",F38*K38*M38*N38)))</f>
        <v>721.17540000000008</v>
      </c>
      <c r="P38" s="229">
        <f>IF(OR(O38="",C38=""),"",(O38*0.86)/(G38-H38))</f>
        <v>31.010542200000003</v>
      </c>
      <c r="Q38" s="142" t="s">
        <v>156</v>
      </c>
      <c r="R38" s="112">
        <v>300</v>
      </c>
      <c r="S38" s="182">
        <f t="shared" ref="S38" si="95">IF(AND(S40="",R41="",R40=""),"",IF(AND(S40="",R41="",R40&lt;&gt;""),R40+P38,IF(AND(S40&lt;&gt;"",R41&lt;&gt;"",R40&lt;&gt;""),S40+R41+R40+P38,"")))</f>
        <v>181.0105422</v>
      </c>
      <c r="T38" s="184">
        <f t="shared" ref="T38" si="96">IF(AND(T40="",R40=""),"",IF(AND(T40="",R40&lt;&gt;""),R40,IF(AND(T40&lt;&gt;"",R40&lt;&gt;""),T40+R40,"")))</f>
        <v>150</v>
      </c>
      <c r="U38" s="181" t="s">
        <v>157</v>
      </c>
      <c r="V38" s="128"/>
      <c r="W38" s="127"/>
      <c r="X38" s="128"/>
      <c r="Y38" s="176">
        <f t="shared" ref="Y38" si="97">IF(O38="","",O38/2)</f>
        <v>360.58770000000004</v>
      </c>
      <c r="Z38" s="172" t="e">
        <f t="shared" ref="Z38" si="98">IF(AND(Y38="",W38=""),"",Y38/((W38/3600)*4187))</f>
        <v>#DIV/0!</v>
      </c>
      <c r="AA38" s="174" t="e">
        <f t="shared" ref="AA38" si="99">IF(AND(AA36="",Z36="",G38=""),"",IF(AND(G38&lt;&gt;"",Z36=""),G38,IF(AND(Z36&lt;&gt;"",AA36&lt;&gt;""),AA36-Z36)))</f>
        <v>#DIV/0!</v>
      </c>
    </row>
    <row r="39" spans="1:27" ht="15.75" thickBot="1">
      <c r="A39" s="217"/>
      <c r="B39" s="198"/>
      <c r="C39" s="212"/>
      <c r="D39" s="193"/>
      <c r="E39" s="193"/>
      <c r="F39" s="193"/>
      <c r="G39" s="200"/>
      <c r="H39" s="200"/>
      <c r="I39" s="193"/>
      <c r="J39" s="198"/>
      <c r="K39" s="207"/>
      <c r="L39" s="203"/>
      <c r="M39" s="193"/>
      <c r="N39" s="198"/>
      <c r="O39" s="193"/>
      <c r="P39" s="229"/>
      <c r="Q39" s="148" t="s">
        <v>152</v>
      </c>
      <c r="R39" s="133">
        <v>38</v>
      </c>
      <c r="S39" s="183"/>
      <c r="T39" s="183"/>
      <c r="U39" s="190"/>
      <c r="V39" s="128"/>
      <c r="W39" s="127"/>
      <c r="X39" s="128"/>
      <c r="Y39" s="176"/>
      <c r="Z39" s="173"/>
      <c r="AA39" s="175"/>
    </row>
    <row r="40" spans="1:27">
      <c r="A40" s="215"/>
      <c r="B40" s="199"/>
      <c r="C40" s="213"/>
      <c r="D40" s="210" t="str">
        <f t="shared" si="0"/>
        <v/>
      </c>
      <c r="E40" s="201" t="str">
        <f>IF(OR(C40="",B40=""),"",VLOOKUP(B40,DN,D40,0))</f>
        <v/>
      </c>
      <c r="F40" s="196" t="str">
        <f t="shared" si="1"/>
        <v/>
      </c>
      <c r="G40" s="199"/>
      <c r="H40" s="199"/>
      <c r="I40" s="210" t="str">
        <f t="shared" ref="I40" si="100">G40&amp;H40</f>
        <v/>
      </c>
      <c r="J40" s="199"/>
      <c r="K40" s="208" t="str">
        <f>IF(D40=3,INDEX('coef Fct'!fct,VLOOKUP(I40,tatr,2,0),VLOOKUP('deperd tuyauterie'!K40,ti,2,0)),IF(D40=4,INDEX(fcti,VLOOKUP(I40,tatr,2,0),VLOOKUP('deperd tuyauterie'!K40,tii,2,0)),IF(D40="","")))</f>
        <v/>
      </c>
      <c r="L40" s="205"/>
      <c r="M40" s="201" t="str">
        <f>IF(L40="","",VLOOKUP(L40,annexe!position,2,0))</f>
        <v/>
      </c>
      <c r="N40" s="199"/>
      <c r="O40" s="196" t="str">
        <f t="shared" ref="O40" si="101">IF(OR(M40="",K40=""),"",IF(M40="",F40*K40*N40,IF(N40&lt;&gt;"",F40*K40*M40*N40)))</f>
        <v/>
      </c>
      <c r="P40" s="228" t="str">
        <f>IF(OR(O40="",C40=""),"",(O40*0.86)/(G40-H40))</f>
        <v/>
      </c>
      <c r="Q40" s="129" t="s">
        <v>156</v>
      </c>
      <c r="R40" s="131">
        <v>150</v>
      </c>
      <c r="S40" s="182" t="str">
        <f t="shared" ref="S40" si="102">IF(AND(S42="",R43="",R42=""),"",IF(AND(S42="",R43="",R42&lt;&gt;""),R42+P40,IF(AND(S42&lt;&gt;"",R43&lt;&gt;"",R42&lt;&gt;""),S42+R43+R42+P40,"")))</f>
        <v/>
      </c>
      <c r="T40" s="184" t="str">
        <f t="shared" ref="T40" si="103">IF(AND(T42="",R42=""),"",IF(AND(T42="",R42&lt;&gt;""),R42,IF(AND(T42&lt;&gt;"",R42&lt;&gt;""),T42+R42,"")))</f>
        <v/>
      </c>
      <c r="U40" s="179" t="s">
        <v>25</v>
      </c>
      <c r="V40" s="125"/>
      <c r="W40" s="134"/>
      <c r="X40" s="125"/>
      <c r="Y40" s="177" t="str">
        <f t="shared" ref="Y40" si="104">IF(O40="","",O40/2)</f>
        <v/>
      </c>
      <c r="Z40" s="172" t="str">
        <f t="shared" ref="Z40" si="105">IF(AND(Y40="",W40=""),"",Y40/((W40/3600)*4187))</f>
        <v/>
      </c>
      <c r="AA40" s="174" t="e">
        <f t="shared" ref="AA40" si="106">IF(AND(AA38="",Z38="",G40=""),"",IF(AND(G40&lt;&gt;"",Z38=""),G40,IF(AND(Z38&lt;&gt;"",AA38&lt;&gt;""),AA38-Z38)))</f>
        <v>#DIV/0!</v>
      </c>
    </row>
    <row r="41" spans="1:27" ht="15.75" thickBot="1">
      <c r="A41" s="216"/>
      <c r="B41" s="200"/>
      <c r="C41" s="214"/>
      <c r="D41" s="192"/>
      <c r="E41" s="192"/>
      <c r="F41" s="192"/>
      <c r="G41" s="200"/>
      <c r="H41" s="200"/>
      <c r="I41" s="192"/>
      <c r="J41" s="200"/>
      <c r="K41" s="209"/>
      <c r="L41" s="204"/>
      <c r="M41" s="192"/>
      <c r="N41" s="200"/>
      <c r="O41" s="192"/>
      <c r="P41" s="183"/>
      <c r="Q41" s="130" t="s">
        <v>152</v>
      </c>
      <c r="R41" s="132"/>
      <c r="S41" s="183"/>
      <c r="T41" s="183"/>
      <c r="U41" s="180"/>
      <c r="V41" s="126"/>
      <c r="W41" s="36"/>
      <c r="X41" s="126"/>
      <c r="Y41" s="178"/>
      <c r="Z41" s="173"/>
      <c r="AA41" s="175"/>
    </row>
    <row r="42" spans="1:27">
      <c r="A42" s="217"/>
      <c r="B42" s="198"/>
      <c r="C42" s="212"/>
      <c r="D42" s="211" t="str">
        <f t="shared" si="0"/>
        <v/>
      </c>
      <c r="E42" s="202" t="str">
        <f>IF(OR(C42="",B42=""),"",VLOOKUP(B42,DN,D42,0))</f>
        <v/>
      </c>
      <c r="F42" s="197" t="str">
        <f t="shared" si="1"/>
        <v/>
      </c>
      <c r="G42" s="198"/>
      <c r="H42" s="198"/>
      <c r="I42" s="211" t="str">
        <f t="shared" ref="I42" si="107">G42&amp;H42</f>
        <v/>
      </c>
      <c r="J42" s="198"/>
      <c r="K42" s="206" t="str">
        <f>IF(D42=3,INDEX('coef Fct'!fct,VLOOKUP(I42,tatr,2,0),VLOOKUP('deperd tuyauterie'!K42,ti,2,0)),IF(D42=4,INDEX(fcti,VLOOKUP(I42,tatr,2,0),VLOOKUP('deperd tuyauterie'!K42,tii,2,0)),IF(D42="","")))</f>
        <v/>
      </c>
      <c r="L42" s="203"/>
      <c r="M42" s="202" t="str">
        <f>IF(L42="","",VLOOKUP(L42,annexe!position,2,0))</f>
        <v/>
      </c>
      <c r="N42" s="198"/>
      <c r="O42" s="197" t="str">
        <f t="shared" ref="O42" si="108">IF(OR(M42="",K42=""),"",IF(M42="",F42*K42*N42,IF(N42&lt;&gt;"",F42*K42*M42*N42)))</f>
        <v/>
      </c>
      <c r="P42" s="229" t="str">
        <f>IF(OR(O42="",C42=""),"",(O42*0.86)/(G42-H42))</f>
        <v/>
      </c>
      <c r="Q42" s="142" t="s">
        <v>156</v>
      </c>
      <c r="R42" s="112"/>
      <c r="S42" s="182" t="str">
        <f t="shared" ref="S42" si="109">IF(AND(S44="",R45="",R44=""),"",IF(AND(S44="",R45="",R44&lt;&gt;""),R44+P42,IF(AND(S44&lt;&gt;"",R45&lt;&gt;"",R44&lt;&gt;""),S44+R45+R44+P42,"")))</f>
        <v/>
      </c>
      <c r="T42" s="184" t="str">
        <f t="shared" ref="T42" si="110">IF(AND(T44="",R44=""),"",IF(AND(T44="",R44&lt;&gt;""),R44,IF(AND(T44&lt;&gt;"",R44&lt;&gt;""),T44+R44,"")))</f>
        <v/>
      </c>
      <c r="U42" s="181" t="s">
        <v>25</v>
      </c>
      <c r="V42" s="128"/>
      <c r="W42" s="127"/>
      <c r="X42" s="128"/>
      <c r="Y42" s="176" t="str">
        <f t="shared" ref="Y42" si="111">IF(O42="","",O42/2)</f>
        <v/>
      </c>
      <c r="Z42" s="172" t="str">
        <f t="shared" ref="Z42" si="112">IF(AND(Y42="",W42=""),"",Y42/((W42/3600)*4187))</f>
        <v/>
      </c>
      <c r="AA42" s="174" t="e">
        <f t="shared" ref="AA42" si="113">IF(AND(AA40="",Z40="",G42=""),"",IF(AND(G42&lt;&gt;"",Z40=""),G42,IF(AND(Z40&lt;&gt;"",AA40&lt;&gt;""),AA40-Z40)))</f>
        <v>#DIV/0!</v>
      </c>
    </row>
    <row r="43" spans="1:27" ht="15.75" thickBot="1">
      <c r="A43" s="217"/>
      <c r="B43" s="198"/>
      <c r="C43" s="212"/>
      <c r="D43" s="193"/>
      <c r="E43" s="193"/>
      <c r="F43" s="193"/>
      <c r="G43" s="198"/>
      <c r="H43" s="198"/>
      <c r="I43" s="193"/>
      <c r="J43" s="198"/>
      <c r="K43" s="207"/>
      <c r="L43" s="203"/>
      <c r="M43" s="193"/>
      <c r="N43" s="198"/>
      <c r="O43" s="193"/>
      <c r="P43" s="229"/>
      <c r="Q43" s="148" t="s">
        <v>152</v>
      </c>
      <c r="R43" s="133" t="s">
        <v>25</v>
      </c>
      <c r="S43" s="183"/>
      <c r="T43" s="183"/>
      <c r="U43" s="190"/>
      <c r="V43" s="128"/>
      <c r="W43" s="127"/>
      <c r="X43" s="128"/>
      <c r="Y43" s="176"/>
      <c r="Z43" s="173"/>
      <c r="AA43" s="175"/>
    </row>
    <row r="44" spans="1:27">
      <c r="A44" s="215"/>
      <c r="B44" s="199"/>
      <c r="C44" s="213"/>
      <c r="D44" s="210" t="str">
        <f t="shared" si="0"/>
        <v/>
      </c>
      <c r="E44" s="201" t="str">
        <f>IF(OR(C44="",B44=""),"",VLOOKUP(B44,DN,D44,0))</f>
        <v/>
      </c>
      <c r="F44" s="196" t="str">
        <f t="shared" si="1"/>
        <v/>
      </c>
      <c r="G44" s="199"/>
      <c r="H44" s="199"/>
      <c r="I44" s="210" t="str">
        <f t="shared" ref="I44" si="114">G44&amp;H44</f>
        <v/>
      </c>
      <c r="J44" s="199"/>
      <c r="K44" s="208" t="str">
        <f>IF(D44=3,INDEX('coef Fct'!fct,VLOOKUP(I44,tatr,2,0),VLOOKUP('deperd tuyauterie'!K44,ti,2,0)),IF(D44=4,INDEX(fcti,VLOOKUP(I44,tatr,2,0),VLOOKUP('deperd tuyauterie'!K44,tii,2,0)),IF(D44="","")))</f>
        <v/>
      </c>
      <c r="L44" s="205"/>
      <c r="M44" s="201" t="str">
        <f>IF(L44="","",VLOOKUP(L44,annexe!position,2,0))</f>
        <v/>
      </c>
      <c r="N44" s="199"/>
      <c r="O44" s="196" t="str">
        <f t="shared" ref="O44" si="115">IF(OR(M44="",K44=""),"",IF(M44="",F44*K44*N44,IF(N44&lt;&gt;"",F44*K44*M44*N44)))</f>
        <v/>
      </c>
      <c r="P44" s="228" t="str">
        <f>IF(OR(O44="",C44=""),"",(O44*0.86)/(G44-H44))</f>
        <v/>
      </c>
      <c r="Q44" s="129" t="s">
        <v>156</v>
      </c>
      <c r="R44" s="131"/>
      <c r="S44" s="182" t="str">
        <f t="shared" ref="S44" si="116">IF(AND(S46="",R47="",R46=""),"",IF(AND(S46="",R47="",R46&lt;&gt;""),R46+P44,IF(AND(S46&lt;&gt;"",R47&lt;&gt;"",R46&lt;&gt;""),S46+R47+R46+P44,"")))</f>
        <v/>
      </c>
      <c r="T44" s="184" t="str">
        <f t="shared" ref="T44" si="117">IF(AND(T46="",R46=""),"",IF(AND(T46="",R46&lt;&gt;""),R46,IF(AND(T46&lt;&gt;"",R46&lt;&gt;""),T46+R46,"")))</f>
        <v xml:space="preserve"> </v>
      </c>
      <c r="U44" s="179" t="s">
        <v>25</v>
      </c>
      <c r="V44" s="125"/>
      <c r="W44" s="134"/>
      <c r="X44" s="125"/>
      <c r="Y44" s="177" t="str">
        <f t="shared" ref="Y44" si="118">IF(O44="","",O44/2)</f>
        <v/>
      </c>
      <c r="Z44" s="172" t="str">
        <f t="shared" ref="Z44" si="119">IF(AND(Y44="",W44=""),"",Y44/((W44/3600)*4187))</f>
        <v/>
      </c>
      <c r="AA44" s="174" t="e">
        <f t="shared" ref="AA44" si="120">IF(AND(AA42="",Z42="",G44=""),"",IF(AND(G44&lt;&gt;"",Z42=""),G44,IF(AND(Z42&lt;&gt;"",AA42&lt;&gt;""),AA42-Z42)))</f>
        <v>#DIV/0!</v>
      </c>
    </row>
    <row r="45" spans="1:27" ht="15.75" thickBot="1">
      <c r="A45" s="216"/>
      <c r="B45" s="200"/>
      <c r="C45" s="214"/>
      <c r="D45" s="192"/>
      <c r="E45" s="192"/>
      <c r="F45" s="192"/>
      <c r="G45" s="200"/>
      <c r="H45" s="200"/>
      <c r="I45" s="192"/>
      <c r="J45" s="200"/>
      <c r="K45" s="209"/>
      <c r="L45" s="204"/>
      <c r="M45" s="192"/>
      <c r="N45" s="200"/>
      <c r="O45" s="192"/>
      <c r="P45" s="183"/>
      <c r="Q45" s="130" t="s">
        <v>152</v>
      </c>
      <c r="R45" s="132" t="s">
        <v>25</v>
      </c>
      <c r="S45" s="183"/>
      <c r="T45" s="183"/>
      <c r="U45" s="180"/>
      <c r="V45" s="126"/>
      <c r="W45" s="36"/>
      <c r="X45" s="126"/>
      <c r="Y45" s="178"/>
      <c r="Z45" s="173"/>
      <c r="AA45" s="175"/>
    </row>
    <row r="46" spans="1:27">
      <c r="A46" s="217"/>
      <c r="B46" s="198"/>
      <c r="C46" s="212"/>
      <c r="D46" s="211" t="str">
        <f t="shared" si="0"/>
        <v/>
      </c>
      <c r="E46" s="202" t="str">
        <f>IF(OR(C46="",B46=""),"",VLOOKUP(B46,DN,D46,0))</f>
        <v/>
      </c>
      <c r="F46" s="197" t="str">
        <f t="shared" si="1"/>
        <v/>
      </c>
      <c r="G46" s="198"/>
      <c r="H46" s="198"/>
      <c r="I46" s="211" t="str">
        <f t="shared" ref="I46" si="121">G46&amp;H46</f>
        <v/>
      </c>
      <c r="J46" s="198"/>
      <c r="K46" s="206" t="str">
        <f>IF(D46=3,INDEX('coef Fct'!fct,VLOOKUP(I46,tatr,2,0),VLOOKUP('deperd tuyauterie'!K46,ti,2,0)),IF(D46=4,INDEX(fcti,VLOOKUP(I46,tatr,2,0),VLOOKUP('deperd tuyauterie'!K46,tii,2,0)),IF(D46="","")))</f>
        <v/>
      </c>
      <c r="L46" s="203"/>
      <c r="M46" s="202" t="str">
        <f>IF(L46="","",VLOOKUP(L46,annexe!position,2,0))</f>
        <v/>
      </c>
      <c r="N46" s="198"/>
      <c r="O46" s="197" t="str">
        <f t="shared" ref="O46" si="122">IF(OR(M46="",K46=""),"",IF(M46="",F46*K46*N46,IF(N46&lt;&gt;"",F46*K46*M46*N46)))</f>
        <v/>
      </c>
      <c r="P46" s="229" t="str">
        <f>IF(OR(O46="",C46=""),"",(O46*0.86)/(G46-H46))</f>
        <v/>
      </c>
      <c r="Q46" s="142" t="s">
        <v>156</v>
      </c>
      <c r="R46" s="112" t="s">
        <v>25</v>
      </c>
      <c r="S46" s="182" t="str">
        <f t="shared" ref="S46" si="123">IF(AND(S48="",R49="",R48=""),"",IF(AND(S48="",R49="",R48&lt;&gt;""),R48+P46,IF(AND(S48&lt;&gt;"",R49&lt;&gt;"",R48&lt;&gt;""),S48+R49+R48+P46,"")))</f>
        <v/>
      </c>
      <c r="T46" s="184" t="str">
        <f t="shared" ref="T46" si="124">IF(AND(T48="",R48=""),"",IF(AND(T48="",R48&lt;&gt;""),R48,IF(AND(T48&lt;&gt;"",R48&lt;&gt;""),T48+R48,"")))</f>
        <v/>
      </c>
      <c r="U46" s="181" t="s">
        <v>25</v>
      </c>
      <c r="V46" s="128"/>
      <c r="W46" s="127"/>
      <c r="X46" s="128"/>
      <c r="Y46" s="176" t="str">
        <f t="shared" ref="Y46" si="125">IF(O46="","",O46/2)</f>
        <v/>
      </c>
      <c r="Z46" s="172" t="str">
        <f t="shared" ref="Z46" si="126">IF(AND(Y46="",W46=""),"",Y46/((W46/3600)*4187))</f>
        <v/>
      </c>
      <c r="AA46" s="174" t="e">
        <f t="shared" ref="AA46" si="127">IF(AND(AA44="",Z44="",G46=""),"",IF(AND(G46&lt;&gt;"",Z44=""),G46,IF(AND(Z44&lt;&gt;"",AA44&lt;&gt;""),AA44-Z44)))</f>
        <v>#DIV/0!</v>
      </c>
    </row>
    <row r="47" spans="1:27" ht="15.75" thickBot="1">
      <c r="A47" s="217"/>
      <c r="B47" s="198"/>
      <c r="C47" s="212"/>
      <c r="D47" s="193"/>
      <c r="E47" s="193"/>
      <c r="F47" s="193"/>
      <c r="G47" s="198"/>
      <c r="H47" s="198"/>
      <c r="I47" s="193"/>
      <c r="J47" s="198"/>
      <c r="K47" s="207"/>
      <c r="L47" s="203"/>
      <c r="M47" s="193"/>
      <c r="N47" s="198"/>
      <c r="O47" s="193"/>
      <c r="P47" s="229"/>
      <c r="Q47" s="148" t="s">
        <v>152</v>
      </c>
      <c r="R47" s="133" t="s">
        <v>25</v>
      </c>
      <c r="S47" s="183"/>
      <c r="T47" s="183"/>
      <c r="U47" s="190"/>
      <c r="V47" s="128"/>
      <c r="W47" s="127"/>
      <c r="X47" s="128"/>
      <c r="Y47" s="176"/>
      <c r="Z47" s="173"/>
      <c r="AA47" s="175"/>
    </row>
    <row r="48" spans="1:27">
      <c r="A48" s="215"/>
      <c r="B48" s="199"/>
      <c r="C48" s="213"/>
      <c r="D48" s="210" t="str">
        <f t="shared" si="0"/>
        <v/>
      </c>
      <c r="E48" s="201" t="str">
        <f>IF(OR(C48="",B48=""),"",VLOOKUP(B48,DN,D48,0))</f>
        <v/>
      </c>
      <c r="F48" s="196" t="str">
        <f t="shared" si="1"/>
        <v/>
      </c>
      <c r="G48" s="199"/>
      <c r="H48" s="199"/>
      <c r="I48" s="210" t="str">
        <f t="shared" ref="I48" si="128">G48&amp;H48</f>
        <v/>
      </c>
      <c r="J48" s="199"/>
      <c r="K48" s="208" t="str">
        <f>IF(D48=3,INDEX('coef Fct'!fct,VLOOKUP(I48,tatr,2,0),VLOOKUP('deperd tuyauterie'!K48,ti,2,0)),IF(D48=4,INDEX(fcti,VLOOKUP(I48,tatr,2,0),VLOOKUP('deperd tuyauterie'!K48,tii,2,0)),IF(D48="","")))</f>
        <v/>
      </c>
      <c r="L48" s="205"/>
      <c r="M48" s="201" t="str">
        <f>IF(L48="","",VLOOKUP(L48,annexe!position,2,0))</f>
        <v/>
      </c>
      <c r="N48" s="199"/>
      <c r="O48" s="196" t="str">
        <f t="shared" ref="O48" si="129">IF(OR(M48="",K48=""),"",IF(M48="",F48*K48*N48,IF(N48&lt;&gt;"",F48*K48*M48*N48)))</f>
        <v/>
      </c>
      <c r="P48" s="228" t="str">
        <f>IF(OR(O48="",C48=""),"",(O48*0.86)/(G48-H48))</f>
        <v/>
      </c>
      <c r="Q48" s="129" t="s">
        <v>156</v>
      </c>
      <c r="R48" s="131"/>
      <c r="S48" s="182" t="str">
        <f t="shared" ref="S48" si="130">IF(AND(S50="",R51="",R50=""),"",IF(AND(S50="",R51="",R50&lt;&gt;""),R50+P48,IF(AND(S50&lt;&gt;"",R51&lt;&gt;"",R50&lt;&gt;""),S50+R51+R50+P48,"")))</f>
        <v/>
      </c>
      <c r="T48" s="184" t="str">
        <f t="shared" ref="T48" si="131">IF(AND(T50="",R50=""),"",IF(AND(T50="",R50&lt;&gt;""),R50,IF(AND(T50&lt;&gt;"",R50&lt;&gt;""),T50+R50,"")))</f>
        <v xml:space="preserve"> </v>
      </c>
      <c r="U48" s="179" t="s">
        <v>25</v>
      </c>
      <c r="V48" s="125"/>
      <c r="W48" s="134"/>
      <c r="X48" s="125"/>
      <c r="Y48" s="177" t="str">
        <f t="shared" ref="Y48" si="132">IF(O48="","",O48/2)</f>
        <v/>
      </c>
      <c r="Z48" s="172" t="str">
        <f t="shared" ref="Z48" si="133">IF(AND(Y48="",W48=""),"",Y48/((W48/3600)*4187))</f>
        <v/>
      </c>
      <c r="AA48" s="174" t="e">
        <f t="shared" ref="AA48" si="134">IF(AND(AA46="",Z46="",G48=""),"",IF(AND(G48&lt;&gt;"",Z46=""),G48,IF(AND(Z46&lt;&gt;"",AA46&lt;&gt;""),AA46-Z46)))</f>
        <v>#DIV/0!</v>
      </c>
    </row>
    <row r="49" spans="1:27" ht="15.75" thickBot="1">
      <c r="A49" s="216"/>
      <c r="B49" s="200"/>
      <c r="C49" s="214"/>
      <c r="D49" s="192"/>
      <c r="E49" s="192"/>
      <c r="F49" s="192"/>
      <c r="G49" s="200"/>
      <c r="H49" s="200"/>
      <c r="I49" s="192"/>
      <c r="J49" s="200"/>
      <c r="K49" s="209"/>
      <c r="L49" s="204"/>
      <c r="M49" s="192"/>
      <c r="N49" s="200"/>
      <c r="O49" s="192"/>
      <c r="P49" s="183"/>
      <c r="Q49" s="130" t="s">
        <v>152</v>
      </c>
      <c r="R49" s="132" t="s">
        <v>25</v>
      </c>
      <c r="S49" s="183"/>
      <c r="T49" s="183"/>
      <c r="U49" s="180"/>
      <c r="V49" s="126"/>
      <c r="W49" s="36"/>
      <c r="X49" s="126"/>
      <c r="Y49" s="178"/>
      <c r="Z49" s="173"/>
      <c r="AA49" s="175"/>
    </row>
    <row r="50" spans="1:27">
      <c r="A50" s="217"/>
      <c r="B50" s="198"/>
      <c r="C50" s="212"/>
      <c r="D50" s="211" t="str">
        <f t="shared" si="0"/>
        <v/>
      </c>
      <c r="E50" s="202" t="str">
        <f>IF(OR(C50="",B50=""),"",VLOOKUP(B50,DN,D50,0))</f>
        <v/>
      </c>
      <c r="F50" s="197" t="str">
        <f t="shared" si="1"/>
        <v/>
      </c>
      <c r="G50" s="198"/>
      <c r="H50" s="198"/>
      <c r="I50" s="211" t="str">
        <f t="shared" ref="I50" si="135">G50&amp;H50</f>
        <v/>
      </c>
      <c r="J50" s="198"/>
      <c r="K50" s="206" t="str">
        <f>IF(D50=3,INDEX('coef Fct'!fct,VLOOKUP(I50,tatr,2,0),VLOOKUP('deperd tuyauterie'!K50,ti,2,0)),IF(D50=4,INDEX(fcti,VLOOKUP(I50,tatr,2,0),VLOOKUP('deperd tuyauterie'!K50,tii,2,0)),IF(D50="","")))</f>
        <v/>
      </c>
      <c r="L50" s="203"/>
      <c r="M50" s="202" t="str">
        <f>IF(L50="","",VLOOKUP(L50,annexe!position,2,0))</f>
        <v/>
      </c>
      <c r="N50" s="198"/>
      <c r="O50" s="197" t="str">
        <f t="shared" ref="O50" si="136">IF(OR(M50="",K50=""),"",IF(M50="",F50*K50*N50,IF(N50&lt;&gt;"",F50*K50*M50*N50)))</f>
        <v/>
      </c>
      <c r="P50" s="193" t="str">
        <f>IF(OR(O50="",C50=""),"",(O50*0.86)/(G50-H50))</f>
        <v/>
      </c>
      <c r="Q50" s="142" t="s">
        <v>156</v>
      </c>
      <c r="R50" s="112" t="s">
        <v>25</v>
      </c>
      <c r="S50" s="182" t="str">
        <f t="shared" ref="S50" si="137">IF(AND(S52="",R53="",R52=""),"",IF(AND(S52="",R53="",R52&lt;&gt;""),R52+P50,IF(AND(S52&lt;&gt;"",R53&lt;&gt;"",R52&lt;&gt;""),S52+R53+R52+P50,"")))</f>
        <v/>
      </c>
      <c r="T50" s="184" t="str">
        <f t="shared" ref="T50" si="138">IF(AND(T52="",R52=""),"",IF(AND(T52="",R52&lt;&gt;""),R52,IF(AND(T52&lt;&gt;"",R52&lt;&gt;""),T52+R52,"")))</f>
        <v/>
      </c>
      <c r="U50" s="181" t="s">
        <v>25</v>
      </c>
      <c r="V50" s="128"/>
      <c r="W50" s="127"/>
      <c r="X50" s="128"/>
      <c r="Y50" s="176" t="str">
        <f t="shared" ref="Y50" si="139">IF(O50="","",O50/2)</f>
        <v/>
      </c>
      <c r="Z50" s="172" t="str">
        <f t="shared" ref="Z50" si="140">IF(AND(Y50="",W50=""),"",Y50/((W50/3600)*4187))</f>
        <v/>
      </c>
      <c r="AA50" s="174" t="e">
        <f t="shared" ref="AA50" si="141">IF(AND(AA48="",Z48="",G50=""),"",IF(AND(G50&lt;&gt;"",Z48=""),G50,IF(AND(Z48&lt;&gt;"",AA48&lt;&gt;""),AA48-Z48)))</f>
        <v>#DIV/0!</v>
      </c>
    </row>
    <row r="51" spans="1:27" ht="15.75" thickBot="1">
      <c r="A51" s="217"/>
      <c r="B51" s="198"/>
      <c r="C51" s="212"/>
      <c r="D51" s="193"/>
      <c r="E51" s="193"/>
      <c r="F51" s="193"/>
      <c r="G51" s="198"/>
      <c r="H51" s="198"/>
      <c r="I51" s="193"/>
      <c r="J51" s="198"/>
      <c r="K51" s="207"/>
      <c r="L51" s="203"/>
      <c r="M51" s="193"/>
      <c r="N51" s="198"/>
      <c r="O51" s="193"/>
      <c r="P51" s="193"/>
      <c r="Q51" s="148" t="s">
        <v>152</v>
      </c>
      <c r="R51" s="133" t="s">
        <v>25</v>
      </c>
      <c r="S51" s="183"/>
      <c r="T51" s="183"/>
      <c r="U51" s="190"/>
      <c r="V51" s="128"/>
      <c r="W51" s="127"/>
      <c r="X51" s="128"/>
      <c r="Y51" s="176"/>
      <c r="Z51" s="173"/>
      <c r="AA51" s="175"/>
    </row>
    <row r="52" spans="1:27">
      <c r="A52" s="215"/>
      <c r="B52" s="199"/>
      <c r="C52" s="213"/>
      <c r="D52" s="210" t="str">
        <f t="shared" si="0"/>
        <v/>
      </c>
      <c r="E52" s="201" t="str">
        <f>IF(OR(C52="",B52=""),"",VLOOKUP(B52,DN,D52,0))</f>
        <v/>
      </c>
      <c r="F52" s="196" t="str">
        <f t="shared" si="1"/>
        <v/>
      </c>
      <c r="G52" s="199"/>
      <c r="H52" s="199"/>
      <c r="I52" s="210" t="str">
        <f t="shared" ref="I52" si="142">G52&amp;H52</f>
        <v/>
      </c>
      <c r="J52" s="199"/>
      <c r="K52" s="208" t="str">
        <f>IF(D52=3,INDEX('coef Fct'!fct,VLOOKUP(I52,tatr,2,0),VLOOKUP('deperd tuyauterie'!K52,ti,2,0)),IF(D52=4,INDEX(fcti,VLOOKUP(I52,tatr,2,0),VLOOKUP('deperd tuyauterie'!K52,tii,2,0)),IF(D52="","")))</f>
        <v/>
      </c>
      <c r="L52" s="205"/>
      <c r="M52" s="201" t="str">
        <f>IF(L52="","",VLOOKUP(L52,annexe!position,2,0))</f>
        <v/>
      </c>
      <c r="N52" s="199"/>
      <c r="O52" s="196" t="str">
        <f t="shared" ref="O52" si="143">IF(OR(M52="",K52=""),"",IF(M52="",F52*K52*N52,IF(N52&lt;&gt;"",F52*K52*M52*N52)))</f>
        <v/>
      </c>
      <c r="P52" s="191" t="str">
        <f>IF(OR(O52="",C52=""),"",(O52*0.86)/(G52-H52))</f>
        <v/>
      </c>
      <c r="Q52" s="129" t="s">
        <v>156</v>
      </c>
      <c r="R52" s="131"/>
      <c r="S52" s="182" t="str">
        <f>IF(AND(S54="",R55="",R54=""),"",IF(AND(S54="",R55="",R54&lt;&gt;""),R54+P52,IF(AND(S54&lt;&gt;"",R55&lt;&gt;"",R54&lt;&gt;""),S54+R55+R54+P52,"")))</f>
        <v/>
      </c>
      <c r="T52" s="184" t="str">
        <f t="shared" ref="T52" si="144">IF(AND(T54="",R54=""),"",IF(AND(T54="",R54&lt;&gt;""),R54,IF(AND(T54&lt;&gt;"",R54&lt;&gt;""),T54+R54,"")))</f>
        <v xml:space="preserve"> </v>
      </c>
      <c r="U52" s="179" t="s">
        <v>25</v>
      </c>
      <c r="V52" s="125"/>
      <c r="W52" s="134"/>
      <c r="X52" s="125"/>
      <c r="Y52" s="177" t="str">
        <f t="shared" ref="Y52" si="145">IF(O52="","",O52/2)</f>
        <v/>
      </c>
      <c r="Z52" s="172" t="str">
        <f t="shared" ref="Z52" si="146">IF(AND(Y52="",W52=""),"",Y52/((W52/3600)*4187))</f>
        <v/>
      </c>
      <c r="AA52" s="174" t="e">
        <f t="shared" ref="AA52" si="147">IF(AND(AA50="",Z50="",G52=""),"",IF(AND(G52&lt;&gt;"",Z50=""),G52,IF(AND(Z50&lt;&gt;"",AA50&lt;&gt;""),AA50-Z50)))</f>
        <v>#DIV/0!</v>
      </c>
    </row>
    <row r="53" spans="1:27" ht="15.75" thickBot="1">
      <c r="A53" s="216"/>
      <c r="B53" s="200"/>
      <c r="C53" s="214"/>
      <c r="D53" s="192"/>
      <c r="E53" s="192"/>
      <c r="F53" s="192"/>
      <c r="G53" s="200"/>
      <c r="H53" s="200"/>
      <c r="I53" s="192"/>
      <c r="J53" s="200"/>
      <c r="K53" s="209"/>
      <c r="L53" s="204"/>
      <c r="M53" s="192"/>
      <c r="N53" s="200"/>
      <c r="O53" s="192"/>
      <c r="P53" s="192"/>
      <c r="Q53" s="130" t="s">
        <v>152</v>
      </c>
      <c r="R53" s="132" t="s">
        <v>25</v>
      </c>
      <c r="S53" s="183"/>
      <c r="T53" s="183"/>
      <c r="U53" s="180"/>
      <c r="V53" s="126"/>
      <c r="W53" s="36"/>
      <c r="X53" s="126"/>
      <c r="Y53" s="178"/>
      <c r="Z53" s="173"/>
      <c r="AA53" s="175"/>
    </row>
    <row r="54" spans="1:27">
      <c r="A54" s="217"/>
      <c r="B54" s="198"/>
      <c r="C54" s="212"/>
      <c r="D54" s="211" t="str">
        <f t="shared" si="0"/>
        <v/>
      </c>
      <c r="E54" s="202" t="str">
        <f>IF(OR(C54="",B54=""),"",VLOOKUP(B54,DN,D54,0))</f>
        <v/>
      </c>
      <c r="F54" s="197" t="str">
        <f t="shared" si="1"/>
        <v/>
      </c>
      <c r="G54" s="198"/>
      <c r="H54" s="198"/>
      <c r="I54" s="211" t="str">
        <f t="shared" ref="I54" si="148">G54&amp;H54</f>
        <v/>
      </c>
      <c r="J54" s="198"/>
      <c r="K54" s="206" t="str">
        <f>IF(D54=3,INDEX('coef Fct'!fct,VLOOKUP(I54,tatr,2,0),VLOOKUP('deperd tuyauterie'!K54,ti,2,0)),IF(D54=4,INDEX(fcti,VLOOKUP(I54,tatr,2,0),VLOOKUP('deperd tuyauterie'!K54,tii,2,0)),IF(D54="","")))</f>
        <v/>
      </c>
      <c r="L54" s="203"/>
      <c r="M54" s="202" t="str">
        <f>IF(L54="","",VLOOKUP(L54,annexe!position,2,0))</f>
        <v/>
      </c>
      <c r="N54" s="198"/>
      <c r="O54" s="197" t="str">
        <f t="shared" ref="O54" si="149">IF(OR(M54="",K54=""),"",IF(M54="",F54*K54*N54,IF(N54&lt;&gt;"",F54*K54*M54*N54)))</f>
        <v/>
      </c>
      <c r="P54" s="193" t="str">
        <f>IF(OR(O54="",C54=""),"",(O54*0.86)/(G54-H54))</f>
        <v/>
      </c>
      <c r="Q54" s="142" t="s">
        <v>156</v>
      </c>
      <c r="R54" s="112" t="s">
        <v>25</v>
      </c>
      <c r="S54" s="182" t="str">
        <f>IF(AND(S56="",R57="",R56=""),"",IF(AND(S56="",R57="",R56&lt;&gt;""),R56+P54,IF(AND(S56&lt;&gt;"",R57&lt;&gt;"",R56&lt;&gt;""),S56+R57+R56+P54,"")))</f>
        <v/>
      </c>
      <c r="T54" s="184" t="str">
        <f>IF(AND(T56="",R56=""),"",IF(AND(T56="",R56&lt;&gt;""),R56,IF(AND(T56&lt;&gt;"",R56&lt;&gt;""),T56+R56,"")))</f>
        <v/>
      </c>
      <c r="U54" s="181" t="s">
        <v>25</v>
      </c>
      <c r="V54" s="128"/>
      <c r="W54" s="127"/>
      <c r="X54" s="128"/>
      <c r="Y54" s="176" t="str">
        <f t="shared" ref="Y54" si="150">IF(O54="","",O54/2)</f>
        <v/>
      </c>
      <c r="Z54" s="172" t="str">
        <f t="shared" ref="Z54" si="151">IF(AND(Y54="",W54=""),"",Y54/((W54/3600)*4187))</f>
        <v/>
      </c>
      <c r="AA54" s="174" t="e">
        <f t="shared" ref="AA54" si="152">IF(AND(AA52="",Z52="",G54=""),"",IF(AND(G54&lt;&gt;"",Z52=""),G54,IF(AND(Z52&lt;&gt;"",AA52&lt;&gt;""),AA52-Z52)))</f>
        <v>#DIV/0!</v>
      </c>
    </row>
    <row r="55" spans="1:27" ht="15.75" thickBot="1">
      <c r="A55" s="216"/>
      <c r="B55" s="200"/>
      <c r="C55" s="214"/>
      <c r="D55" s="192"/>
      <c r="E55" s="192"/>
      <c r="F55" s="192"/>
      <c r="G55" s="200"/>
      <c r="H55" s="200"/>
      <c r="I55" s="192"/>
      <c r="J55" s="200"/>
      <c r="K55" s="209"/>
      <c r="L55" s="204"/>
      <c r="M55" s="192"/>
      <c r="N55" s="200"/>
      <c r="O55" s="192"/>
      <c r="P55" s="192"/>
      <c r="Q55" s="130" t="s">
        <v>152</v>
      </c>
      <c r="R55" s="132" t="s">
        <v>25</v>
      </c>
      <c r="S55" s="183"/>
      <c r="T55" s="183"/>
      <c r="U55" s="180"/>
      <c r="V55" s="126"/>
      <c r="W55" s="36"/>
      <c r="X55" s="126"/>
      <c r="Y55" s="178"/>
      <c r="Z55" s="173"/>
      <c r="AA55" s="175"/>
    </row>
    <row r="56" spans="1:27">
      <c r="T56" s="156"/>
    </row>
  </sheetData>
  <mergeCells count="529">
    <mergeCell ref="H6:M6"/>
    <mergeCell ref="Q8:R8"/>
    <mergeCell ref="A10:A11"/>
    <mergeCell ref="B10:B11"/>
    <mergeCell ref="C10:C11"/>
    <mergeCell ref="D10:D11"/>
    <mergeCell ref="E10:E11"/>
    <mergeCell ref="F10:F11"/>
    <mergeCell ref="G10:G11"/>
    <mergeCell ref="H10:H11"/>
    <mergeCell ref="A12:A13"/>
    <mergeCell ref="B12:B13"/>
    <mergeCell ref="C12:C13"/>
    <mergeCell ref="D12:D13"/>
    <mergeCell ref="E12:E13"/>
    <mergeCell ref="O10:O11"/>
    <mergeCell ref="P10:P11"/>
    <mergeCell ref="S10:S11"/>
    <mergeCell ref="T10:T11"/>
    <mergeCell ref="I10:I11"/>
    <mergeCell ref="J10:J11"/>
    <mergeCell ref="K10:K11"/>
    <mergeCell ref="L10:L11"/>
    <mergeCell ref="M10:M11"/>
    <mergeCell ref="N10:N11"/>
    <mergeCell ref="H12:H13"/>
    <mergeCell ref="I12:I13"/>
    <mergeCell ref="J12:J13"/>
    <mergeCell ref="K12:K13"/>
    <mergeCell ref="W10:W11"/>
    <mergeCell ref="X10:X11"/>
    <mergeCell ref="Y10:Y11"/>
    <mergeCell ref="Z10:Z11"/>
    <mergeCell ref="AA10:AA11"/>
    <mergeCell ref="U10:U11"/>
    <mergeCell ref="V10:V11"/>
    <mergeCell ref="Z12:Z13"/>
    <mergeCell ref="AA12:AA13"/>
    <mergeCell ref="A14:A15"/>
    <mergeCell ref="B14:B15"/>
    <mergeCell ref="C14:C15"/>
    <mergeCell ref="D14:D15"/>
    <mergeCell ref="E14:E15"/>
    <mergeCell ref="F14:F15"/>
    <mergeCell ref="G14:G15"/>
    <mergeCell ref="H14:H15"/>
    <mergeCell ref="T12:T13"/>
    <mergeCell ref="U12:U13"/>
    <mergeCell ref="V12:V13"/>
    <mergeCell ref="W12:W13"/>
    <mergeCell ref="X12:X13"/>
    <mergeCell ref="Y12:Y13"/>
    <mergeCell ref="L12:L13"/>
    <mergeCell ref="M12:M13"/>
    <mergeCell ref="N12:N13"/>
    <mergeCell ref="O12:O13"/>
    <mergeCell ref="P12:P13"/>
    <mergeCell ref="S12:S13"/>
    <mergeCell ref="F12:F13"/>
    <mergeCell ref="G12:G13"/>
    <mergeCell ref="A16:A17"/>
    <mergeCell ref="B16:B17"/>
    <mergeCell ref="C16:C17"/>
    <mergeCell ref="D16:D17"/>
    <mergeCell ref="E16:E17"/>
    <mergeCell ref="O14:O15"/>
    <mergeCell ref="P14:P15"/>
    <mergeCell ref="S14:S15"/>
    <mergeCell ref="T14:T15"/>
    <mergeCell ref="I14:I15"/>
    <mergeCell ref="J14:J15"/>
    <mergeCell ref="K14:K15"/>
    <mergeCell ref="L14:L15"/>
    <mergeCell ref="M14:M15"/>
    <mergeCell ref="N14:N15"/>
    <mergeCell ref="H16:H17"/>
    <mergeCell ref="I16:I17"/>
    <mergeCell ref="J16:J17"/>
    <mergeCell ref="K16:K17"/>
    <mergeCell ref="W14:W15"/>
    <mergeCell ref="X14:X15"/>
    <mergeCell ref="Y14:Y15"/>
    <mergeCell ref="Z14:Z15"/>
    <mergeCell ref="AA14:AA15"/>
    <mergeCell ref="U14:U15"/>
    <mergeCell ref="V14:V15"/>
    <mergeCell ref="Z16:Z17"/>
    <mergeCell ref="AA16:AA17"/>
    <mergeCell ref="A18:A19"/>
    <mergeCell ref="B18:B19"/>
    <mergeCell ref="C18:C19"/>
    <mergeCell ref="D18:D19"/>
    <mergeCell ref="E18:E19"/>
    <mergeCell ref="F18:F19"/>
    <mergeCell ref="G18:G19"/>
    <mergeCell ref="H18:H19"/>
    <mergeCell ref="T16:T17"/>
    <mergeCell ref="U16:U17"/>
    <mergeCell ref="V16:V17"/>
    <mergeCell ref="W16:W17"/>
    <mergeCell ref="X16:X17"/>
    <mergeCell ref="Y16:Y17"/>
    <mergeCell ref="L16:L17"/>
    <mergeCell ref="M16:M17"/>
    <mergeCell ref="N16:N17"/>
    <mergeCell ref="O16:O17"/>
    <mergeCell ref="P16:P17"/>
    <mergeCell ref="S16:S17"/>
    <mergeCell ref="F16:F17"/>
    <mergeCell ref="G16:G17"/>
    <mergeCell ref="A20:A21"/>
    <mergeCell ref="B20:B21"/>
    <mergeCell ref="C20:C21"/>
    <mergeCell ref="D20:D21"/>
    <mergeCell ref="E20:E21"/>
    <mergeCell ref="O18:O19"/>
    <mergeCell ref="P18:P19"/>
    <mergeCell ref="S18:S19"/>
    <mergeCell ref="T18:T19"/>
    <mergeCell ref="I18:I19"/>
    <mergeCell ref="J18:J19"/>
    <mergeCell ref="K18:K19"/>
    <mergeCell ref="L18:L19"/>
    <mergeCell ref="M18:M19"/>
    <mergeCell ref="N18:N19"/>
    <mergeCell ref="H20:H21"/>
    <mergeCell ref="I20:I21"/>
    <mergeCell ref="J20:J21"/>
    <mergeCell ref="K20:K21"/>
    <mergeCell ref="W18:W19"/>
    <mergeCell ref="X18:X19"/>
    <mergeCell ref="Y18:Y19"/>
    <mergeCell ref="Z18:Z19"/>
    <mergeCell ref="AA18:AA19"/>
    <mergeCell ref="U18:U19"/>
    <mergeCell ref="V18:V19"/>
    <mergeCell ref="Z20:Z21"/>
    <mergeCell ref="AA20:AA21"/>
    <mergeCell ref="A22:A23"/>
    <mergeCell ref="B22:B23"/>
    <mergeCell ref="C22:C23"/>
    <mergeCell ref="D22:D23"/>
    <mergeCell ref="E22:E23"/>
    <mergeCell ref="F22:F23"/>
    <mergeCell ref="G22:G23"/>
    <mergeCell ref="H22:H23"/>
    <mergeCell ref="T20:T21"/>
    <mergeCell ref="U20:U21"/>
    <mergeCell ref="V20:V21"/>
    <mergeCell ref="W20:W21"/>
    <mergeCell ref="X20:X21"/>
    <mergeCell ref="Y20:Y21"/>
    <mergeCell ref="L20:L21"/>
    <mergeCell ref="M20:M21"/>
    <mergeCell ref="N20:N21"/>
    <mergeCell ref="O20:O21"/>
    <mergeCell ref="P20:P21"/>
    <mergeCell ref="S20:S21"/>
    <mergeCell ref="F20:F21"/>
    <mergeCell ref="G20:G21"/>
    <mergeCell ref="W22:W23"/>
    <mergeCell ref="X22:X23"/>
    <mergeCell ref="Y22:Y23"/>
    <mergeCell ref="Z22:Z23"/>
    <mergeCell ref="AA22:AA23"/>
    <mergeCell ref="A24:A25"/>
    <mergeCell ref="B24:B25"/>
    <mergeCell ref="C24:C25"/>
    <mergeCell ref="D24:D25"/>
    <mergeCell ref="E24:E25"/>
    <mergeCell ref="O22:O23"/>
    <mergeCell ref="P22:P23"/>
    <mergeCell ref="S22:S23"/>
    <mergeCell ref="T22:T23"/>
    <mergeCell ref="U22:U23"/>
    <mergeCell ref="V22:V23"/>
    <mergeCell ref="I22:I23"/>
    <mergeCell ref="J22:J23"/>
    <mergeCell ref="K22:K23"/>
    <mergeCell ref="L22:L23"/>
    <mergeCell ref="M22:M23"/>
    <mergeCell ref="N22:N23"/>
    <mergeCell ref="T24:T25"/>
    <mergeCell ref="U24:U25"/>
    <mergeCell ref="Y24:Y25"/>
    <mergeCell ref="Z24:Z25"/>
    <mergeCell ref="AA24:AA25"/>
    <mergeCell ref="A26:A27"/>
    <mergeCell ref="B26:B27"/>
    <mergeCell ref="C26:C27"/>
    <mergeCell ref="D26:D27"/>
    <mergeCell ref="E26:E27"/>
    <mergeCell ref="L24:L25"/>
    <mergeCell ref="M24:M25"/>
    <mergeCell ref="N24:N25"/>
    <mergeCell ref="O24:O25"/>
    <mergeCell ref="P24:P25"/>
    <mergeCell ref="S24:S25"/>
    <mergeCell ref="F24:F25"/>
    <mergeCell ref="G24:G25"/>
    <mergeCell ref="H24:H25"/>
    <mergeCell ref="I24:I25"/>
    <mergeCell ref="J24:J25"/>
    <mergeCell ref="K24:K25"/>
    <mergeCell ref="T26:T27"/>
    <mergeCell ref="U26:U27"/>
    <mergeCell ref="Y26:Y27"/>
    <mergeCell ref="Z26:Z27"/>
    <mergeCell ref="AA26:AA27"/>
    <mergeCell ref="A28:A29"/>
    <mergeCell ref="B28:B29"/>
    <mergeCell ref="C28:C29"/>
    <mergeCell ref="D28:D29"/>
    <mergeCell ref="E28:E29"/>
    <mergeCell ref="L26:L27"/>
    <mergeCell ref="M26:M27"/>
    <mergeCell ref="N26:N27"/>
    <mergeCell ref="O26:O27"/>
    <mergeCell ref="P26:P27"/>
    <mergeCell ref="S26:S27"/>
    <mergeCell ref="F26:F27"/>
    <mergeCell ref="G26:G27"/>
    <mergeCell ref="H26:H27"/>
    <mergeCell ref="I26:I27"/>
    <mergeCell ref="J26:J27"/>
    <mergeCell ref="K26:K27"/>
    <mergeCell ref="T28:T29"/>
    <mergeCell ref="U28:U29"/>
    <mergeCell ref="Y28:Y29"/>
    <mergeCell ref="Z28:Z29"/>
    <mergeCell ref="AA28:AA29"/>
    <mergeCell ref="A30:A31"/>
    <mergeCell ref="B30:B31"/>
    <mergeCell ref="C30:C31"/>
    <mergeCell ref="D30:D31"/>
    <mergeCell ref="E30:E31"/>
    <mergeCell ref="L28:L29"/>
    <mergeCell ref="M28:M29"/>
    <mergeCell ref="N28:N29"/>
    <mergeCell ref="O28:O29"/>
    <mergeCell ref="P28:P29"/>
    <mergeCell ref="S28:S29"/>
    <mergeCell ref="F28:F29"/>
    <mergeCell ref="G28:G29"/>
    <mergeCell ref="H28:H29"/>
    <mergeCell ref="I28:I29"/>
    <mergeCell ref="J28:J29"/>
    <mergeCell ref="K28:K29"/>
    <mergeCell ref="T30:T31"/>
    <mergeCell ref="U30:U31"/>
    <mergeCell ref="Y30:Y31"/>
    <mergeCell ref="Z30:Z31"/>
    <mergeCell ref="AA30:AA31"/>
    <mergeCell ref="A32:A33"/>
    <mergeCell ref="B32:B33"/>
    <mergeCell ref="C32:C33"/>
    <mergeCell ref="D32:D33"/>
    <mergeCell ref="E32:E33"/>
    <mergeCell ref="L30:L31"/>
    <mergeCell ref="M30:M31"/>
    <mergeCell ref="N30:N31"/>
    <mergeCell ref="O30:O31"/>
    <mergeCell ref="P30:P31"/>
    <mergeCell ref="S30:S31"/>
    <mergeCell ref="F30:F31"/>
    <mergeCell ref="G30:G31"/>
    <mergeCell ref="H30:H31"/>
    <mergeCell ref="I30:I31"/>
    <mergeCell ref="J30:J31"/>
    <mergeCell ref="K30:K31"/>
    <mergeCell ref="T32:T33"/>
    <mergeCell ref="U32:U33"/>
    <mergeCell ref="Y32:Y33"/>
    <mergeCell ref="Z32:Z33"/>
    <mergeCell ref="AA32:AA33"/>
    <mergeCell ref="A34:A35"/>
    <mergeCell ref="B34:B35"/>
    <mergeCell ref="C34:C35"/>
    <mergeCell ref="D34:D35"/>
    <mergeCell ref="E34:E35"/>
    <mergeCell ref="L32:L33"/>
    <mergeCell ref="M32:M33"/>
    <mergeCell ref="N32:N33"/>
    <mergeCell ref="O32:O33"/>
    <mergeCell ref="P32:P33"/>
    <mergeCell ref="S32:S33"/>
    <mergeCell ref="F32:F33"/>
    <mergeCell ref="G32:G33"/>
    <mergeCell ref="H32:H33"/>
    <mergeCell ref="I32:I33"/>
    <mergeCell ref="J32:J33"/>
    <mergeCell ref="K32:K33"/>
    <mergeCell ref="T34:T35"/>
    <mergeCell ref="U34:U35"/>
    <mergeCell ref="Y34:Y35"/>
    <mergeCell ref="Z34:Z35"/>
    <mergeCell ref="AA34:AA35"/>
    <mergeCell ref="A36:A37"/>
    <mergeCell ref="B36:B37"/>
    <mergeCell ref="C36:C37"/>
    <mergeCell ref="D36:D37"/>
    <mergeCell ref="E36:E37"/>
    <mergeCell ref="L34:L35"/>
    <mergeCell ref="M34:M35"/>
    <mergeCell ref="N34:N35"/>
    <mergeCell ref="O34:O35"/>
    <mergeCell ref="P34:P35"/>
    <mergeCell ref="S34:S35"/>
    <mergeCell ref="F34:F35"/>
    <mergeCell ref="G34:G35"/>
    <mergeCell ref="H34:H35"/>
    <mergeCell ref="I34:I35"/>
    <mergeCell ref="J34:J35"/>
    <mergeCell ref="K34:K35"/>
    <mergeCell ref="T36:T37"/>
    <mergeCell ref="U36:U37"/>
    <mergeCell ref="Y36:Y37"/>
    <mergeCell ref="Z36:Z37"/>
    <mergeCell ref="AA36:AA37"/>
    <mergeCell ref="A38:A39"/>
    <mergeCell ref="B38:B39"/>
    <mergeCell ref="C38:C39"/>
    <mergeCell ref="D38:D39"/>
    <mergeCell ref="E38:E39"/>
    <mergeCell ref="L36:L37"/>
    <mergeCell ref="M36:M37"/>
    <mergeCell ref="N36:N37"/>
    <mergeCell ref="O36:O37"/>
    <mergeCell ref="P36:P37"/>
    <mergeCell ref="S36:S37"/>
    <mergeCell ref="F36:F37"/>
    <mergeCell ref="G36:G37"/>
    <mergeCell ref="H36:H37"/>
    <mergeCell ref="I36:I37"/>
    <mergeCell ref="J36:J37"/>
    <mergeCell ref="K36:K37"/>
    <mergeCell ref="T38:T39"/>
    <mergeCell ref="U38:U39"/>
    <mergeCell ref="Y38:Y39"/>
    <mergeCell ref="Z38:Z39"/>
    <mergeCell ref="AA38:AA39"/>
    <mergeCell ref="A40:A41"/>
    <mergeCell ref="B40:B41"/>
    <mergeCell ref="C40:C41"/>
    <mergeCell ref="D40:D41"/>
    <mergeCell ref="E40:E41"/>
    <mergeCell ref="L38:L39"/>
    <mergeCell ref="M38:M39"/>
    <mergeCell ref="N38:N39"/>
    <mergeCell ref="O38:O39"/>
    <mergeCell ref="P38:P39"/>
    <mergeCell ref="S38:S39"/>
    <mergeCell ref="F38:F39"/>
    <mergeCell ref="G38:G39"/>
    <mergeCell ref="H38:H39"/>
    <mergeCell ref="I38:I39"/>
    <mergeCell ref="J38:J39"/>
    <mergeCell ref="K38:K39"/>
    <mergeCell ref="T40:T41"/>
    <mergeCell ref="U40:U41"/>
    <mergeCell ref="Y40:Y41"/>
    <mergeCell ref="Z40:Z41"/>
    <mergeCell ref="AA40:AA41"/>
    <mergeCell ref="A42:A43"/>
    <mergeCell ref="B42:B43"/>
    <mergeCell ref="C42:C43"/>
    <mergeCell ref="D42:D43"/>
    <mergeCell ref="E42:E43"/>
    <mergeCell ref="L40:L41"/>
    <mergeCell ref="M40:M41"/>
    <mergeCell ref="N40:N41"/>
    <mergeCell ref="O40:O41"/>
    <mergeCell ref="P40:P41"/>
    <mergeCell ref="S40:S41"/>
    <mergeCell ref="F40:F41"/>
    <mergeCell ref="G40:G41"/>
    <mergeCell ref="H40:H41"/>
    <mergeCell ref="I40:I41"/>
    <mergeCell ref="J40:J41"/>
    <mergeCell ref="K40:K41"/>
    <mergeCell ref="T42:T43"/>
    <mergeCell ref="U42:U43"/>
    <mergeCell ref="Y42:Y43"/>
    <mergeCell ref="Z42:Z43"/>
    <mergeCell ref="AA42:AA43"/>
    <mergeCell ref="A44:A45"/>
    <mergeCell ref="B44:B45"/>
    <mergeCell ref="C44:C45"/>
    <mergeCell ref="D44:D45"/>
    <mergeCell ref="E44:E45"/>
    <mergeCell ref="L42:L43"/>
    <mergeCell ref="M42:M43"/>
    <mergeCell ref="N42:N43"/>
    <mergeCell ref="O42:O43"/>
    <mergeCell ref="P42:P43"/>
    <mergeCell ref="S42:S43"/>
    <mergeCell ref="F42:F43"/>
    <mergeCell ref="G42:G43"/>
    <mergeCell ref="H42:H43"/>
    <mergeCell ref="I42:I43"/>
    <mergeCell ref="J42:J43"/>
    <mergeCell ref="K42:K43"/>
    <mergeCell ref="T44:T45"/>
    <mergeCell ref="U44:U45"/>
    <mergeCell ref="Y44:Y45"/>
    <mergeCell ref="Z44:Z45"/>
    <mergeCell ref="AA44:AA45"/>
    <mergeCell ref="A46:A47"/>
    <mergeCell ref="B46:B47"/>
    <mergeCell ref="C46:C47"/>
    <mergeCell ref="D46:D47"/>
    <mergeCell ref="E46:E47"/>
    <mergeCell ref="L44:L45"/>
    <mergeCell ref="M44:M45"/>
    <mergeCell ref="N44:N45"/>
    <mergeCell ref="O44:O45"/>
    <mergeCell ref="P44:P45"/>
    <mergeCell ref="S44:S45"/>
    <mergeCell ref="F44:F45"/>
    <mergeCell ref="G44:G45"/>
    <mergeCell ref="H44:H45"/>
    <mergeCell ref="I44:I45"/>
    <mergeCell ref="J44:J45"/>
    <mergeCell ref="K44:K45"/>
    <mergeCell ref="T46:T47"/>
    <mergeCell ref="U46:U47"/>
    <mergeCell ref="Y46:Y47"/>
    <mergeCell ref="Z46:Z47"/>
    <mergeCell ref="AA46:AA47"/>
    <mergeCell ref="A48:A49"/>
    <mergeCell ref="B48:B49"/>
    <mergeCell ref="C48:C49"/>
    <mergeCell ref="D48:D49"/>
    <mergeCell ref="E48:E49"/>
    <mergeCell ref="L46:L47"/>
    <mergeCell ref="M46:M47"/>
    <mergeCell ref="N46:N47"/>
    <mergeCell ref="O46:O47"/>
    <mergeCell ref="P46:P47"/>
    <mergeCell ref="S46:S47"/>
    <mergeCell ref="F46:F47"/>
    <mergeCell ref="G46:G47"/>
    <mergeCell ref="H46:H47"/>
    <mergeCell ref="I46:I47"/>
    <mergeCell ref="J46:J47"/>
    <mergeCell ref="K46:K47"/>
    <mergeCell ref="T48:T49"/>
    <mergeCell ref="U48:U49"/>
    <mergeCell ref="Y48:Y49"/>
    <mergeCell ref="Z48:Z49"/>
    <mergeCell ref="AA48:AA49"/>
    <mergeCell ref="A50:A51"/>
    <mergeCell ref="B50:B51"/>
    <mergeCell ref="C50:C51"/>
    <mergeCell ref="D50:D51"/>
    <mergeCell ref="E50:E51"/>
    <mergeCell ref="L48:L49"/>
    <mergeCell ref="M48:M49"/>
    <mergeCell ref="N48:N49"/>
    <mergeCell ref="O48:O49"/>
    <mergeCell ref="P48:P49"/>
    <mergeCell ref="S48:S49"/>
    <mergeCell ref="F48:F49"/>
    <mergeCell ref="G48:G49"/>
    <mergeCell ref="H48:H49"/>
    <mergeCell ref="I48:I49"/>
    <mergeCell ref="J48:J49"/>
    <mergeCell ref="K48:K49"/>
    <mergeCell ref="T50:T51"/>
    <mergeCell ref="U50:U51"/>
    <mergeCell ref="Y50:Y51"/>
    <mergeCell ref="Z50:Z51"/>
    <mergeCell ref="AA50:AA51"/>
    <mergeCell ref="A52:A53"/>
    <mergeCell ref="B52:B53"/>
    <mergeCell ref="C52:C53"/>
    <mergeCell ref="D52:D53"/>
    <mergeCell ref="E52:E53"/>
    <mergeCell ref="L50:L51"/>
    <mergeCell ref="M50:M51"/>
    <mergeCell ref="N50:N51"/>
    <mergeCell ref="O50:O51"/>
    <mergeCell ref="P50:P51"/>
    <mergeCell ref="S50:S51"/>
    <mergeCell ref="F50:F51"/>
    <mergeCell ref="G50:G51"/>
    <mergeCell ref="H50:H51"/>
    <mergeCell ref="I50:I51"/>
    <mergeCell ref="J50:J51"/>
    <mergeCell ref="K50:K51"/>
    <mergeCell ref="Z52:Z53"/>
    <mergeCell ref="AA52:AA53"/>
    <mergeCell ref="A54:A55"/>
    <mergeCell ref="B54:B55"/>
    <mergeCell ref="C54:C55"/>
    <mergeCell ref="D54:D55"/>
    <mergeCell ref="E54:E55"/>
    <mergeCell ref="L52:L53"/>
    <mergeCell ref="M52:M53"/>
    <mergeCell ref="N52:N53"/>
    <mergeCell ref="O52:O53"/>
    <mergeCell ref="P52:P53"/>
    <mergeCell ref="S52:S53"/>
    <mergeCell ref="F52:F53"/>
    <mergeCell ref="G52:G53"/>
    <mergeCell ref="H52:H53"/>
    <mergeCell ref="I52:I53"/>
    <mergeCell ref="J52:J53"/>
    <mergeCell ref="K52:K53"/>
    <mergeCell ref="F54:F55"/>
    <mergeCell ref="G54:G55"/>
    <mergeCell ref="H54:H55"/>
    <mergeCell ref="I54:I55"/>
    <mergeCell ref="J54:J55"/>
    <mergeCell ref="K54:K55"/>
    <mergeCell ref="T52:T53"/>
    <mergeCell ref="U52:U53"/>
    <mergeCell ref="Y52:Y53"/>
    <mergeCell ref="T54:T55"/>
    <mergeCell ref="U54:U55"/>
    <mergeCell ref="Y54:Y55"/>
    <mergeCell ref="Z54:Z55"/>
    <mergeCell ref="AA54:AA55"/>
    <mergeCell ref="L54:L55"/>
    <mergeCell ref="M54:M55"/>
    <mergeCell ref="N54:N55"/>
    <mergeCell ref="O54:O55"/>
    <mergeCell ref="P54:P55"/>
    <mergeCell ref="S54:S55"/>
  </mergeCells>
  <conditionalFormatting sqref="S10:T55">
    <cfRule type="cellIs" dxfId="1" priority="2" operator="equal">
      <formula>0</formula>
    </cfRule>
  </conditionalFormatting>
  <conditionalFormatting sqref="U10 U12:U55">
    <cfRule type="containsErrors" dxfId="0" priority="1">
      <formula>ISERROR(U10)</formula>
    </cfRule>
  </conditionalFormatting>
  <dataValidations count="3">
    <dataValidation type="list" allowBlank="1" showInputMessage="1" showErrorMessage="1" sqref="L10:L55">
      <formula1>annexe!E1:E4</formula1>
    </dataValidation>
    <dataValidation type="list" allowBlank="1" showInputMessage="1" showErrorMessage="1" sqref="B10:B55">
      <formula1>annexe!C1:C14</formula1>
    </dataValidation>
    <dataValidation type="list" allowBlank="1" showInputMessage="1" showErrorMessage="1" sqref="C10:C55">
      <formula1>annexe!B1:B3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Radiateur</vt:lpstr>
      <vt:lpstr>rad monotube</vt:lpstr>
      <vt:lpstr>deperd tuyauterie</vt:lpstr>
      <vt:lpstr>coef kt-kti</vt:lpstr>
      <vt:lpstr>coef Fct</vt:lpstr>
      <vt:lpstr>coef Fcti</vt:lpstr>
      <vt:lpstr>annexe</vt:lpstr>
      <vt:lpstr>Feuil1</vt:lpstr>
      <vt:lpstr>DN</vt:lpstr>
      <vt:lpstr>annexe!etat</vt:lpstr>
      <vt:lpstr>'coef Fct'!fct</vt:lpstr>
      <vt:lpstr>fcti</vt:lpstr>
      <vt:lpstr>annexe!position</vt:lpstr>
      <vt:lpstr>tatr</vt:lpstr>
      <vt:lpstr>ti</vt:lpstr>
      <vt:lpstr>tii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cp:lastPrinted>2011-12-05T11:26:46Z</cp:lastPrinted>
  <dcterms:created xsi:type="dcterms:W3CDTF">2011-10-19T06:36:28Z</dcterms:created>
  <dcterms:modified xsi:type="dcterms:W3CDTF">2010-09-04T18:10:22Z</dcterms:modified>
</cp:coreProperties>
</file>