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820" yWindow="390" windowWidth="22005" windowHeight="8160" activeTab="1"/>
  </bookViews>
  <sheets>
    <sheet name="Feries" sheetId="1" r:id="rId1"/>
    <sheet name="Horaire" sheetId="2" r:id="rId2"/>
  </sheets>
  <definedNames>
    <definedName name="_xlnm._FilterDatabase" localSheetId="1" hidden="1">Horaire!$C$10:$C$11</definedName>
    <definedName name="JoursFeries">Feries!$C$3:$N$15</definedName>
  </definedNames>
  <calcPr calcId="125725"/>
</workbook>
</file>

<file path=xl/calcChain.xml><?xml version="1.0" encoding="utf-8"?>
<calcChain xmlns="http://schemas.openxmlformats.org/spreadsheetml/2006/main">
  <c r="R44" i="2"/>
  <c r="Q45"/>
  <c r="R45" s="1"/>
  <c r="P5"/>
  <c r="T39"/>
  <c r="S39"/>
  <c r="S35"/>
  <c r="P39"/>
  <c r="R38"/>
  <c r="R37"/>
  <c r="R36"/>
  <c r="R39" s="1"/>
  <c r="Q38"/>
  <c r="Q37"/>
  <c r="P38"/>
  <c r="P37"/>
  <c r="Q36"/>
  <c r="P36"/>
  <c r="O38"/>
  <c r="O37"/>
  <c r="O36"/>
  <c r="O7"/>
  <c r="O6"/>
  <c r="R46" l="1"/>
  <c r="I5"/>
  <c r="F5"/>
  <c r="J5" l="1"/>
  <c r="K5" s="1"/>
  <c r="L5" l="1"/>
  <c r="I57" l="1"/>
  <c r="F57"/>
  <c r="I56"/>
  <c r="F56"/>
  <c r="I55"/>
  <c r="F55"/>
  <c r="I54"/>
  <c r="F54"/>
  <c r="I53"/>
  <c r="F53"/>
  <c r="I52"/>
  <c r="F52"/>
  <c r="I51"/>
  <c r="F51"/>
  <c r="I49"/>
  <c r="F49"/>
  <c r="I48"/>
  <c r="F48"/>
  <c r="I47"/>
  <c r="F47"/>
  <c r="I46"/>
  <c r="F46"/>
  <c r="I45"/>
  <c r="F45"/>
  <c r="I44"/>
  <c r="F44"/>
  <c r="I43"/>
  <c r="F43"/>
  <c r="I41"/>
  <c r="F41"/>
  <c r="I40"/>
  <c r="F40"/>
  <c r="I39"/>
  <c r="F39"/>
  <c r="I38"/>
  <c r="F38"/>
  <c r="I37"/>
  <c r="F37"/>
  <c r="I36"/>
  <c r="F36"/>
  <c r="I35"/>
  <c r="F35"/>
  <c r="I33"/>
  <c r="F33"/>
  <c r="I32"/>
  <c r="F32"/>
  <c r="I31"/>
  <c r="F31"/>
  <c r="I30"/>
  <c r="F30"/>
  <c r="I29"/>
  <c r="F29"/>
  <c r="I28"/>
  <c r="F28"/>
  <c r="I27"/>
  <c r="F27"/>
  <c r="I25"/>
  <c r="F25"/>
  <c r="I24"/>
  <c r="F24"/>
  <c r="I23"/>
  <c r="F23"/>
  <c r="I22"/>
  <c r="F22"/>
  <c r="I21"/>
  <c r="F21"/>
  <c r="I20"/>
  <c r="F20"/>
  <c r="I19"/>
  <c r="F19"/>
  <c r="I17"/>
  <c r="F17"/>
  <c r="I16"/>
  <c r="F16"/>
  <c r="I15"/>
  <c r="F15"/>
  <c r="I14"/>
  <c r="F14"/>
  <c r="I13"/>
  <c r="F13"/>
  <c r="I12"/>
  <c r="J12" s="1"/>
  <c r="F12"/>
  <c r="I11"/>
  <c r="F11"/>
  <c r="C11"/>
  <c r="I6"/>
  <c r="F6"/>
  <c r="N28" i="1"/>
  <c r="M28"/>
  <c r="L28"/>
  <c r="K28"/>
  <c r="J28"/>
  <c r="I28"/>
  <c r="H28"/>
  <c r="G28"/>
  <c r="F28"/>
  <c r="E28"/>
  <c r="D28"/>
  <c r="C28"/>
  <c r="N23"/>
  <c r="M23"/>
  <c r="L23"/>
  <c r="K23"/>
  <c r="J23"/>
  <c r="I23"/>
  <c r="H23"/>
  <c r="G23"/>
  <c r="F23"/>
  <c r="E23"/>
  <c r="D23"/>
  <c r="C23"/>
  <c r="N22"/>
  <c r="M22"/>
  <c r="L22"/>
  <c r="K22"/>
  <c r="J22"/>
  <c r="I22"/>
  <c r="H22"/>
  <c r="G22"/>
  <c r="F22"/>
  <c r="E22"/>
  <c r="D22"/>
  <c r="C22"/>
  <c r="N21"/>
  <c r="M21"/>
  <c r="L21"/>
  <c r="K21"/>
  <c r="J21"/>
  <c r="I21"/>
  <c r="H21"/>
  <c r="G21"/>
  <c r="F21"/>
  <c r="E21"/>
  <c r="D21"/>
  <c r="C21"/>
  <c r="N18"/>
  <c r="M18"/>
  <c r="L18"/>
  <c r="K18"/>
  <c r="J18"/>
  <c r="I18"/>
  <c r="H18"/>
  <c r="G18"/>
  <c r="F18"/>
  <c r="E18"/>
  <c r="D18"/>
  <c r="C18"/>
  <c r="N15"/>
  <c r="M15"/>
  <c r="L15"/>
  <c r="K15"/>
  <c r="J15"/>
  <c r="I15"/>
  <c r="H15"/>
  <c r="G15"/>
  <c r="F15"/>
  <c r="E15"/>
  <c r="D15"/>
  <c r="C15"/>
  <c r="N14"/>
  <c r="M14"/>
  <c r="L14"/>
  <c r="K14"/>
  <c r="J14"/>
  <c r="I14"/>
  <c r="H14"/>
  <c r="G14"/>
  <c r="F14"/>
  <c r="E14"/>
  <c r="D14"/>
  <c r="C14"/>
  <c r="N13"/>
  <c r="M13"/>
  <c r="L13"/>
  <c r="K13"/>
  <c r="J13"/>
  <c r="I13"/>
  <c r="H13"/>
  <c r="G13"/>
  <c r="F13"/>
  <c r="E13"/>
  <c r="D13"/>
  <c r="C13"/>
  <c r="N12"/>
  <c r="M12"/>
  <c r="L12"/>
  <c r="K12"/>
  <c r="J12"/>
  <c r="I12"/>
  <c r="H12"/>
  <c r="G12"/>
  <c r="F12"/>
  <c r="E12"/>
  <c r="D12"/>
  <c r="C12"/>
  <c r="N11"/>
  <c r="M11"/>
  <c r="L11"/>
  <c r="K11"/>
  <c r="J11"/>
  <c r="I11"/>
  <c r="H11"/>
  <c r="G11"/>
  <c r="F11"/>
  <c r="E11"/>
  <c r="D11"/>
  <c r="C11"/>
  <c r="N7"/>
  <c r="M7"/>
  <c r="L7"/>
  <c r="K7"/>
  <c r="J7"/>
  <c r="I7"/>
  <c r="H7"/>
  <c r="G7"/>
  <c r="F7"/>
  <c r="E7"/>
  <c r="D7"/>
  <c r="C7"/>
  <c r="N6"/>
  <c r="M6"/>
  <c r="L6"/>
  <c r="K6"/>
  <c r="J6"/>
  <c r="I6"/>
  <c r="H6"/>
  <c r="G6"/>
  <c r="F6"/>
  <c r="E6"/>
  <c r="D6"/>
  <c r="C6"/>
  <c r="N4"/>
  <c r="N25" s="1"/>
  <c r="M4"/>
  <c r="M26" s="1"/>
  <c r="L4"/>
  <c r="L26" s="1"/>
  <c r="K4"/>
  <c r="K26" s="1"/>
  <c r="J4"/>
  <c r="J26" s="1"/>
  <c r="I4"/>
  <c r="I26" s="1"/>
  <c r="H4"/>
  <c r="H26" s="1"/>
  <c r="G4"/>
  <c r="G26" s="1"/>
  <c r="F4"/>
  <c r="F25" s="1"/>
  <c r="E4"/>
  <c r="E26" s="1"/>
  <c r="D4"/>
  <c r="D26" s="1"/>
  <c r="C4"/>
  <c r="C26" s="1"/>
  <c r="N3"/>
  <c r="N20" s="1"/>
  <c r="M3"/>
  <c r="M20" s="1"/>
  <c r="L3"/>
  <c r="L20" s="1"/>
  <c r="K3"/>
  <c r="K20" s="1"/>
  <c r="J3"/>
  <c r="J20" s="1"/>
  <c r="I3"/>
  <c r="I20" s="1"/>
  <c r="H3"/>
  <c r="H20" s="1"/>
  <c r="G3"/>
  <c r="G20" s="1"/>
  <c r="F3"/>
  <c r="F20" s="1"/>
  <c r="E3"/>
  <c r="E20" s="1"/>
  <c r="D3"/>
  <c r="D20" s="1"/>
  <c r="C3"/>
  <c r="C20" s="1"/>
  <c r="J13" i="2" l="1"/>
  <c r="J20"/>
  <c r="J22"/>
  <c r="J24"/>
  <c r="J27"/>
  <c r="J29"/>
  <c r="J31"/>
  <c r="J33"/>
  <c r="J36"/>
  <c r="J42" s="1"/>
  <c r="J38"/>
  <c r="J40"/>
  <c r="J43"/>
  <c r="J45"/>
  <c r="J47"/>
  <c r="J49"/>
  <c r="J52"/>
  <c r="J54"/>
  <c r="J56"/>
  <c r="J19"/>
  <c r="J21"/>
  <c r="J23"/>
  <c r="J25"/>
  <c r="J28"/>
  <c r="J30"/>
  <c r="J32"/>
  <c r="J35"/>
  <c r="J37"/>
  <c r="J39"/>
  <c r="J41"/>
  <c r="J44"/>
  <c r="J46"/>
  <c r="J48"/>
  <c r="J51"/>
  <c r="J53"/>
  <c r="J55"/>
  <c r="J57"/>
  <c r="J6"/>
  <c r="K6" s="1"/>
  <c r="L6" s="1"/>
  <c r="J16"/>
  <c r="J17"/>
  <c r="J11"/>
  <c r="J15"/>
  <c r="C12"/>
  <c r="J14"/>
  <c r="J19" i="1"/>
  <c r="J27" s="1"/>
  <c r="N19"/>
  <c r="N27" s="1"/>
  <c r="F5"/>
  <c r="J5"/>
  <c r="N5"/>
  <c r="J8"/>
  <c r="N8"/>
  <c r="N9"/>
  <c r="N10" s="1"/>
  <c r="E5"/>
  <c r="I5"/>
  <c r="M5"/>
  <c r="E8"/>
  <c r="I8"/>
  <c r="M8"/>
  <c r="E9"/>
  <c r="E10" s="1"/>
  <c r="I9"/>
  <c r="I10" s="1"/>
  <c r="M9"/>
  <c r="M10" s="1"/>
  <c r="E24"/>
  <c r="I24"/>
  <c r="M24"/>
  <c r="E25"/>
  <c r="I25"/>
  <c r="M25"/>
  <c r="F8"/>
  <c r="J9"/>
  <c r="J10" s="1"/>
  <c r="F24"/>
  <c r="N24"/>
  <c r="J25"/>
  <c r="F26"/>
  <c r="N26"/>
  <c r="D5"/>
  <c r="H5"/>
  <c r="L5"/>
  <c r="D8"/>
  <c r="H8"/>
  <c r="L8"/>
  <c r="D9"/>
  <c r="D10" s="1"/>
  <c r="H9"/>
  <c r="H10" s="1"/>
  <c r="L9"/>
  <c r="L10" s="1"/>
  <c r="D24"/>
  <c r="H24"/>
  <c r="L24"/>
  <c r="D25"/>
  <c r="H25"/>
  <c r="L25"/>
  <c r="F9"/>
  <c r="F10" s="1"/>
  <c r="J24"/>
  <c r="C5"/>
  <c r="G5"/>
  <c r="K5"/>
  <c r="C8"/>
  <c r="G8"/>
  <c r="K8"/>
  <c r="C9"/>
  <c r="C10" s="1"/>
  <c r="G9"/>
  <c r="G10" s="1"/>
  <c r="K9"/>
  <c r="K10" s="1"/>
  <c r="C24"/>
  <c r="G24"/>
  <c r="K24"/>
  <c r="C25"/>
  <c r="G25"/>
  <c r="K25"/>
  <c r="J50" i="2" l="1"/>
  <c r="J26"/>
  <c r="J34"/>
  <c r="J58"/>
  <c r="K11"/>
  <c r="K12"/>
  <c r="B12"/>
  <c r="A12"/>
  <c r="L12" s="1"/>
  <c r="A11"/>
  <c r="L11" s="1"/>
  <c r="F19" i="1"/>
  <c r="F27" s="1"/>
  <c r="C13" i="2"/>
  <c r="K13" s="1"/>
  <c r="J18"/>
  <c r="C18"/>
  <c r="C19" i="1"/>
  <c r="C27" s="1"/>
  <c r="D19"/>
  <c r="D27" s="1"/>
  <c r="E19"/>
  <c r="E27" s="1"/>
  <c r="G19"/>
  <c r="G27" s="1"/>
  <c r="H19"/>
  <c r="H27" s="1"/>
  <c r="I19"/>
  <c r="I27" s="1"/>
  <c r="K19"/>
  <c r="K27" s="1"/>
  <c r="L19"/>
  <c r="L27" s="1"/>
  <c r="M19"/>
  <c r="M27" s="1"/>
  <c r="A18" i="2" l="1"/>
  <c r="O35"/>
  <c r="P35"/>
  <c r="B13"/>
  <c r="C14"/>
  <c r="K14" s="1"/>
  <c r="A13"/>
  <c r="L13" s="1"/>
  <c r="A14" l="1"/>
  <c r="L14" s="1"/>
  <c r="C15"/>
  <c r="K15" s="1"/>
  <c r="C16" l="1"/>
  <c r="K16" s="1"/>
  <c r="A15"/>
  <c r="L15" s="1"/>
  <c r="C17" l="1"/>
  <c r="K17" s="1"/>
  <c r="A16"/>
  <c r="L16" s="1"/>
  <c r="A17" l="1"/>
  <c r="L17" s="1"/>
  <c r="L18" s="1"/>
  <c r="C19"/>
  <c r="K19" s="1"/>
  <c r="K18"/>
  <c r="B19"/>
  <c r="C26" s="1"/>
  <c r="A26" s="1"/>
  <c r="C20"/>
  <c r="K20" s="1"/>
  <c r="A19" l="1"/>
  <c r="L19" s="1"/>
  <c r="Q35"/>
  <c r="M18"/>
  <c r="R35" s="1"/>
  <c r="A20"/>
  <c r="L20" s="1"/>
  <c r="B20"/>
  <c r="C21"/>
  <c r="K21" s="1"/>
  <c r="A21" l="1"/>
  <c r="L21" s="1"/>
  <c r="B21"/>
  <c r="C22"/>
  <c r="K22" s="1"/>
  <c r="A22" l="1"/>
  <c r="L22" s="1"/>
  <c r="B22"/>
  <c r="C23"/>
  <c r="K23" s="1"/>
  <c r="A23" l="1"/>
  <c r="L23" s="1"/>
  <c r="B23"/>
  <c r="C24"/>
  <c r="K24" s="1"/>
  <c r="A24" l="1"/>
  <c r="L24" s="1"/>
  <c r="B24"/>
  <c r="C25"/>
  <c r="K25" s="1"/>
  <c r="K26" s="1"/>
  <c r="M26" s="1"/>
  <c r="C27" l="1"/>
  <c r="K27" s="1"/>
  <c r="A25"/>
  <c r="L25" s="1"/>
  <c r="L26" s="1"/>
  <c r="B25"/>
  <c r="A27" l="1"/>
  <c r="L27" s="1"/>
  <c r="C28"/>
  <c r="K28" s="1"/>
  <c r="B27"/>
  <c r="C34" s="1"/>
  <c r="A34" s="1"/>
  <c r="C29" l="1"/>
  <c r="K29" s="1"/>
  <c r="A28"/>
  <c r="L28" s="1"/>
  <c r="C30" l="1"/>
  <c r="K30" s="1"/>
  <c r="A29"/>
  <c r="L29" s="1"/>
  <c r="C31" l="1"/>
  <c r="K31" s="1"/>
  <c r="A30"/>
  <c r="L30" s="1"/>
  <c r="C32" l="1"/>
  <c r="K32" s="1"/>
  <c r="A31"/>
  <c r="L31" s="1"/>
  <c r="C33" l="1"/>
  <c r="K33" s="1"/>
  <c r="K34" s="1"/>
  <c r="M34" s="1"/>
  <c r="A32"/>
  <c r="L32" s="1"/>
  <c r="A33" l="1"/>
  <c r="L33" s="1"/>
  <c r="L34" s="1"/>
  <c r="C35"/>
  <c r="K35" s="1"/>
  <c r="A35" l="1"/>
  <c r="L35" s="1"/>
  <c r="C36"/>
  <c r="K36" s="1"/>
  <c r="B35"/>
  <c r="C42" s="1"/>
  <c r="A42" s="1"/>
  <c r="C37" l="1"/>
  <c r="K37" s="1"/>
  <c r="A36"/>
  <c r="L36" s="1"/>
  <c r="C38" l="1"/>
  <c r="K38" s="1"/>
  <c r="A37"/>
  <c r="L37" s="1"/>
  <c r="C39" l="1"/>
  <c r="K39" s="1"/>
  <c r="A38"/>
  <c r="L38" s="1"/>
  <c r="C40" l="1"/>
  <c r="K40" s="1"/>
  <c r="A39"/>
  <c r="L39" s="1"/>
  <c r="C41" l="1"/>
  <c r="K41" s="1"/>
  <c r="K42" s="1"/>
  <c r="M42" s="1"/>
  <c r="A40"/>
  <c r="L40" s="1"/>
  <c r="A41" l="1"/>
  <c r="L41" s="1"/>
  <c r="L42" s="1"/>
  <c r="C43"/>
  <c r="K43" s="1"/>
  <c r="A43" l="1"/>
  <c r="L43" s="1"/>
  <c r="C44"/>
  <c r="K44" s="1"/>
  <c r="B43"/>
  <c r="C50" s="1"/>
  <c r="A50" s="1"/>
  <c r="C45" l="1"/>
  <c r="K45" s="1"/>
  <c r="A44"/>
  <c r="L44" s="1"/>
  <c r="C46" l="1"/>
  <c r="K46" s="1"/>
  <c r="A45"/>
  <c r="L45" s="1"/>
  <c r="C47" l="1"/>
  <c r="K47" s="1"/>
  <c r="A46"/>
  <c r="L46" s="1"/>
  <c r="C48" l="1"/>
  <c r="K48" s="1"/>
  <c r="A47"/>
  <c r="L47" s="1"/>
  <c r="C49" l="1"/>
  <c r="K49" s="1"/>
  <c r="K50" s="1"/>
  <c r="M50" s="1"/>
  <c r="A48"/>
  <c r="L48" s="1"/>
  <c r="C51" l="1"/>
  <c r="K51" s="1"/>
  <c r="A49"/>
  <c r="L49" s="1"/>
  <c r="L50" s="1"/>
  <c r="C52" l="1"/>
  <c r="K52" s="1"/>
  <c r="A51"/>
  <c r="L51" s="1"/>
  <c r="B51"/>
  <c r="C58" s="1"/>
  <c r="A58" s="1"/>
  <c r="C53" l="1"/>
  <c r="K53" s="1"/>
  <c r="A52"/>
  <c r="L52" s="1"/>
  <c r="B52"/>
  <c r="C54" l="1"/>
  <c r="K54" s="1"/>
  <c r="A53"/>
  <c r="L53" s="1"/>
  <c r="B53"/>
  <c r="C55" l="1"/>
  <c r="K55" s="1"/>
  <c r="A54"/>
  <c r="L54" s="1"/>
  <c r="B54"/>
  <c r="C56" l="1"/>
  <c r="K56" s="1"/>
  <c r="A55"/>
  <c r="L55" s="1"/>
  <c r="B55"/>
  <c r="C57" l="1"/>
  <c r="K57" s="1"/>
  <c r="K58" s="1"/>
  <c r="M58" s="1"/>
  <c r="A56"/>
  <c r="L56" s="1"/>
  <c r="B56"/>
  <c r="A57" l="1"/>
  <c r="L57" s="1"/>
  <c r="L58" s="1"/>
  <c r="B57"/>
</calcChain>
</file>

<file path=xl/sharedStrings.xml><?xml version="1.0" encoding="utf-8"?>
<sst xmlns="http://schemas.openxmlformats.org/spreadsheetml/2006/main" count="71" uniqueCount="67">
  <si>
    <t>Jours fériés</t>
  </si>
  <si>
    <t>Année</t>
  </si>
  <si>
    <t>Jour de l'An</t>
  </si>
  <si>
    <t>Pâques</t>
  </si>
  <si>
    <t>Lundi de Pâques</t>
  </si>
  <si>
    <t>Fête du travail</t>
  </si>
  <si>
    <t>Victoire 1945</t>
  </si>
  <si>
    <t>Ascenscion</t>
  </si>
  <si>
    <t>Pentecôte</t>
  </si>
  <si>
    <t>Lundi de Pentecôte</t>
  </si>
  <si>
    <t>Fête Nationale</t>
  </si>
  <si>
    <t>Assomption</t>
  </si>
  <si>
    <t>Toussaint</t>
  </si>
  <si>
    <t>Armistice de 1918</t>
  </si>
  <si>
    <t>Noël</t>
  </si>
  <si>
    <t>Fête des mères</t>
  </si>
  <si>
    <t>Epiphanie</t>
  </si>
  <si>
    <t>Chandeleur</t>
  </si>
  <si>
    <t>Saint Valentin</t>
  </si>
  <si>
    <t>Fête des grand-mères</t>
  </si>
  <si>
    <t>Mardi Gras</t>
  </si>
  <si>
    <t>Mercredi Cendres</t>
  </si>
  <si>
    <t>Mi-Carême</t>
  </si>
  <si>
    <t>Fête des pères</t>
  </si>
  <si>
    <t>Horai. théoriques</t>
  </si>
  <si>
    <t>MATIN</t>
  </si>
  <si>
    <t>APRES-MIDI</t>
  </si>
  <si>
    <t>Total présence</t>
  </si>
  <si>
    <t>Total Supp</t>
  </si>
  <si>
    <t>Jour</t>
  </si>
  <si>
    <t>Début</t>
  </si>
  <si>
    <t>Fin</t>
  </si>
  <si>
    <t>Tps Mat</t>
  </si>
  <si>
    <t>Tps AP</t>
  </si>
  <si>
    <t>Mai</t>
  </si>
  <si>
    <t>Jours Féries Trav.</t>
  </si>
  <si>
    <t>Horai. Payé</t>
  </si>
  <si>
    <r>
      <t xml:space="preserve">H./mois </t>
    </r>
    <r>
      <rPr>
        <sz val="10"/>
        <color theme="1"/>
        <rFont val="Calibri"/>
        <family val="2"/>
      </rPr>
      <t>↓</t>
    </r>
  </si>
  <si>
    <r>
      <t xml:space="preserve">H./sem </t>
    </r>
    <r>
      <rPr>
        <sz val="10"/>
        <color theme="1"/>
        <rFont val="Calibri"/>
        <family val="2"/>
      </rPr>
      <t>↓</t>
    </r>
  </si>
  <si>
    <r>
      <t xml:space="preserve">H./jour </t>
    </r>
    <r>
      <rPr>
        <sz val="10"/>
        <color theme="1"/>
        <rFont val="Calibri"/>
        <family val="2"/>
      </rPr>
      <t>↓</t>
    </r>
  </si>
  <si>
    <r>
      <t xml:space="preserve">Ici n° sem </t>
    </r>
    <r>
      <rPr>
        <b/>
        <sz val="10"/>
        <rFont val="Calibri"/>
        <family val="2"/>
      </rPr>
      <t>↓</t>
    </r>
  </si>
  <si>
    <r>
      <t xml:space="preserve">Ici férié O/N </t>
    </r>
    <r>
      <rPr>
        <b/>
        <sz val="10"/>
        <rFont val="Calibri"/>
        <family val="2"/>
      </rPr>
      <t>↓</t>
    </r>
  </si>
  <si>
    <t>Total h normal</t>
  </si>
  <si>
    <t>Semaine</t>
  </si>
  <si>
    <t>HS à 25%</t>
  </si>
  <si>
    <t>HS à 50%</t>
  </si>
  <si>
    <t>Taux hor</t>
  </si>
  <si>
    <t>Taux 25%</t>
  </si>
  <si>
    <t>Taux 50%</t>
  </si>
  <si>
    <t>Tot hs</t>
  </si>
  <si>
    <t>Tot h/prés</t>
  </si>
  <si>
    <t>Tot h/nor</t>
  </si>
  <si>
    <t>TOTAL MOIS</t>
  </si>
  <si>
    <t>à changer ↓</t>
  </si>
  <si>
    <t>←11*  151,67</t>
  </si>
  <si>
    <t>Salaire Mensuel</t>
  </si>
  <si>
    <t xml:space="preserve">HS 25% </t>
  </si>
  <si>
    <t>Brut</t>
  </si>
  <si>
    <t>voilà ce qu'il à pour l'instant sur sa feuille de paye</t>
  </si>
  <si>
    <t>poste Hier, 22:59 : Il faut juste voir comment l'entreprise les rémunère.</t>
  </si>
  <si>
    <r>
      <t>J'aurais quand même une recommandation, ce serait d'avoir une liste </t>
    </r>
    <r>
      <rPr>
        <i/>
        <sz val="10.3"/>
        <color rgb="FF7030A0"/>
        <rFont val="Calibri"/>
        <family val="2"/>
        <scheme val="minor"/>
      </rPr>
      <t xml:space="preserve">à la </t>
    </r>
    <r>
      <rPr>
        <i/>
        <u/>
        <sz val="10.3"/>
        <color rgb="FF7030A0"/>
        <rFont val="Calibri"/>
        <family val="2"/>
        <scheme val="minor"/>
      </rPr>
      <t>prévert </t>
    </r>
    <r>
      <rPr>
        <sz val="11"/>
        <color rgb="FF7030A0"/>
        <rFont val="Calibri"/>
        <family val="2"/>
        <scheme val="minor"/>
      </rPr>
      <t>de tous les jours, sans les lignes totaux par semaine</t>
    </r>
  </si>
  <si>
    <r>
      <t xml:space="preserve">poste Aujourd’hui, 08:13 </t>
    </r>
    <r>
      <rPr>
        <sz val="11"/>
        <color rgb="FFFF0000"/>
        <rFont val="Calibri"/>
        <family val="2"/>
        <scheme val="minor"/>
      </rPr>
      <t>MAIS !!!</t>
    </r>
  </si>
  <si>
    <t>Vous m'expliquer "prévert" SVP</t>
  </si>
  <si>
    <t>Donc il est payé mensuellement sur (35h/sem) + (17h33 d'HS)</t>
  </si>
  <si>
    <t>dans mon tableau ci-dessus comment je gère les 17h33 ?</t>
  </si>
  <si>
    <t>ils ne sont pas amis avec Excel, le TCD serait trop compliqué pour EUX !</t>
  </si>
  <si>
    <t>https://forum.excel-pratique.com/130749</t>
  </si>
</sst>
</file>

<file path=xl/styles.xml><?xml version="1.0" encoding="utf-8"?>
<styleSheet xmlns="http://schemas.openxmlformats.org/spreadsheetml/2006/main">
  <numFmts count="7">
    <numFmt numFmtId="164" formatCode="[$-40C]dddd\ d\ mmmm\ yyyy"/>
    <numFmt numFmtId="165" formatCode="_(&quot;€&quot;* #,##0.00_);_(&quot;€&quot;* \(#,##0.00\);_(&quot;€&quot;* &quot;-&quot;??_);_(@_)"/>
    <numFmt numFmtId="166" formatCode="_(* #,##0_);_(* \(#,##0\);_(* &quot;-&quot;_);_(@_)"/>
    <numFmt numFmtId="167" formatCode="dd/mm/yy;@"/>
    <numFmt numFmtId="168" formatCode="h:mm;@"/>
    <numFmt numFmtId="169" formatCode="ddd\ dd/mm"/>
    <numFmt numFmtId="170" formatCode="[h]:mm"/>
  </numFmts>
  <fonts count="3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EE3360"/>
      <name val="Calibri"/>
      <family val="2"/>
      <scheme val="minor"/>
    </font>
    <font>
      <sz val="11"/>
      <color rgb="FFEE336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6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</font>
    <font>
      <b/>
      <sz val="12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0000FF"/>
      <name val="Calibri"/>
      <family val="2"/>
    </font>
    <font>
      <b/>
      <sz val="11"/>
      <color rgb="FF632523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0"/>
      <color rgb="FF0000FF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66CC"/>
      <name val="Calibri"/>
      <family val="2"/>
      <scheme val="minor"/>
    </font>
    <font>
      <sz val="10"/>
      <color theme="1"/>
      <name val="Calibri"/>
      <family val="2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</font>
    <font>
      <i/>
      <sz val="10"/>
      <color rgb="FFFF0000"/>
      <name val="Calibri"/>
      <family val="2"/>
    </font>
    <font>
      <b/>
      <sz val="10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i/>
      <sz val="10.3"/>
      <color rgb="FF7030A0"/>
      <name val="Calibri"/>
      <family val="2"/>
      <scheme val="minor"/>
    </font>
    <font>
      <i/>
      <u/>
      <sz val="10.3"/>
      <color rgb="FF7030A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5" tint="0.80001220740379042"/>
        </stop>
      </gradientFill>
    </fill>
    <fill>
      <gradientFill>
        <stop position="0">
          <color theme="0"/>
        </stop>
        <stop position="1">
          <color rgb="FF95CEDD"/>
        </stop>
      </gradientFill>
    </fill>
    <fill>
      <gradientFill degree="90">
        <stop position="0">
          <color rgb="FF95CEDD"/>
        </stop>
        <stop position="1">
          <color theme="0"/>
        </stop>
      </gradientFill>
    </fill>
    <fill>
      <patternFill patternType="solid">
        <fgColor rgb="FFFF00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FFED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AB"/>
        <bgColor indexed="64"/>
      </patternFill>
    </fill>
    <fill>
      <patternFill patternType="solid">
        <fgColor rgb="FFFFFFD5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">
    <xf numFmtId="0" fontId="0" fillId="0" borderId="0"/>
    <xf numFmtId="0" fontId="6" fillId="0" borderId="0" applyNumberFormat="0" applyFill="0" applyBorder="0" applyAlignment="0" applyProtection="0"/>
    <xf numFmtId="165" fontId="10" fillId="0" borderId="0" applyFont="0" applyFill="0" applyBorder="0" applyAlignment="0" applyProtection="0"/>
    <xf numFmtId="166" fontId="11" fillId="0" borderId="0" applyFont="0" applyFill="0" applyBorder="0" applyAlignment="0" applyProtection="0"/>
    <xf numFmtId="167" fontId="11" fillId="0" borderId="0" applyFont="0" applyFill="0" applyBorder="0" applyAlignment="0" applyProtection="0"/>
  </cellStyleXfs>
  <cellXfs count="104">
    <xf numFmtId="0" fontId="0" fillId="0" borderId="0" xfId="0"/>
    <xf numFmtId="0" fontId="2" fillId="2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right"/>
    </xf>
    <xf numFmtId="164" fontId="4" fillId="0" borderId="3" xfId="0" applyNumberFormat="1" applyFont="1" applyBorder="1"/>
    <xf numFmtId="164" fontId="4" fillId="0" borderId="4" xfId="0" applyNumberFormat="1" applyFont="1" applyBorder="1"/>
    <xf numFmtId="0" fontId="4" fillId="3" borderId="5" xfId="0" applyFont="1" applyFill="1" applyBorder="1" applyAlignment="1">
      <alignment horizontal="right"/>
    </xf>
    <xf numFmtId="164" fontId="4" fillId="0" borderId="6" xfId="0" applyNumberFormat="1" applyFont="1" applyBorder="1"/>
    <xf numFmtId="164" fontId="4" fillId="0" borderId="7" xfId="0" applyNumberFormat="1" applyFont="1" applyBorder="1"/>
    <xf numFmtId="0" fontId="4" fillId="3" borderId="8" xfId="0" applyFont="1" applyFill="1" applyBorder="1" applyAlignment="1">
      <alignment horizontal="right"/>
    </xf>
    <xf numFmtId="164" fontId="4" fillId="0" borderId="9" xfId="0" applyNumberFormat="1" applyFont="1" applyBorder="1"/>
    <xf numFmtId="0" fontId="4" fillId="0" borderId="0" xfId="0" applyFont="1" applyFill="1" applyBorder="1" applyAlignment="1">
      <alignment horizontal="right"/>
    </xf>
    <xf numFmtId="14" fontId="5" fillId="0" borderId="0" xfId="0" applyNumberFormat="1" applyFont="1"/>
    <xf numFmtId="0" fontId="5" fillId="0" borderId="0" xfId="0" applyFont="1"/>
    <xf numFmtId="0" fontId="7" fillId="0" borderId="0" xfId="1" applyFont="1" applyAlignment="1">
      <alignment horizontal="right"/>
    </xf>
    <xf numFmtId="164" fontId="8" fillId="0" borderId="10" xfId="0" applyNumberFormat="1" applyFont="1" applyBorder="1"/>
    <xf numFmtId="0" fontId="9" fillId="0" borderId="0" xfId="0" applyFont="1" applyAlignment="1">
      <alignment horizontal="right"/>
    </xf>
    <xf numFmtId="164" fontId="8" fillId="0" borderId="11" xfId="0" applyNumberFormat="1" applyFont="1" applyBorder="1"/>
    <xf numFmtId="0" fontId="12" fillId="4" borderId="13" xfId="0" applyFont="1" applyFill="1" applyBorder="1" applyAlignment="1">
      <alignment horizontal="center" vertical="center"/>
    </xf>
    <xf numFmtId="0" fontId="0" fillId="0" borderId="0" xfId="0" quotePrefix="1"/>
    <xf numFmtId="20" fontId="14" fillId="0" borderId="0" xfId="0" quotePrefix="1" applyNumberFormat="1" applyFont="1" applyFill="1" applyBorder="1"/>
    <xf numFmtId="168" fontId="13" fillId="0" borderId="12" xfId="0" applyNumberFormat="1" applyFont="1" applyBorder="1" applyAlignment="1">
      <alignment horizontal="center" vertical="center"/>
    </xf>
    <xf numFmtId="168" fontId="1" fillId="5" borderId="12" xfId="0" applyNumberFormat="1" applyFont="1" applyFill="1" applyBorder="1" applyAlignment="1">
      <alignment horizontal="center" vertical="center" wrapText="1"/>
    </xf>
    <xf numFmtId="168" fontId="3" fillId="5" borderId="12" xfId="0" applyNumberFormat="1" applyFont="1" applyFill="1" applyBorder="1" applyAlignment="1">
      <alignment horizontal="center" vertical="center" wrapText="1"/>
    </xf>
    <xf numFmtId="20" fontId="0" fillId="0" borderId="0" xfId="0" applyNumberFormat="1"/>
    <xf numFmtId="0" fontId="15" fillId="6" borderId="14" xfId="0" applyFont="1" applyFill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7" fillId="7" borderId="12" xfId="0" applyFont="1" applyFill="1" applyBorder="1" applyAlignment="1">
      <alignment horizontal="center" vertical="center" wrapText="1"/>
    </xf>
    <xf numFmtId="169" fontId="0" fillId="0" borderId="12" xfId="0" quotePrefix="1" applyNumberFormat="1" applyFill="1" applyBorder="1" applyAlignment="1">
      <alignment horizontal="right"/>
    </xf>
    <xf numFmtId="0" fontId="18" fillId="0" borderId="20" xfId="0" quotePrefix="1" applyFont="1" applyBorder="1" applyAlignment="1">
      <alignment horizontal="center"/>
    </xf>
    <xf numFmtId="20" fontId="0" fillId="0" borderId="0" xfId="0" quotePrefix="1" applyNumberFormat="1"/>
    <xf numFmtId="0" fontId="0" fillId="0" borderId="20" xfId="0" applyBorder="1"/>
    <xf numFmtId="169" fontId="20" fillId="9" borderId="12" xfId="0" quotePrefix="1" applyNumberFormat="1" applyFont="1" applyFill="1" applyBorder="1" applyAlignment="1">
      <alignment horizontal="right"/>
    </xf>
    <xf numFmtId="0" fontId="18" fillId="0" borderId="0" xfId="0" quotePrefix="1" applyFont="1" applyBorder="1" applyAlignment="1">
      <alignment horizontal="center"/>
    </xf>
    <xf numFmtId="170" fontId="0" fillId="0" borderId="16" xfId="0" applyNumberFormat="1" applyFill="1" applyBorder="1" applyAlignment="1" applyProtection="1">
      <alignment horizontal="center" vertical="center"/>
      <protection locked="0"/>
    </xf>
    <xf numFmtId="170" fontId="0" fillId="0" borderId="12" xfId="0" applyNumberFormat="1" applyFill="1" applyBorder="1" applyAlignment="1" applyProtection="1">
      <alignment horizontal="center" vertical="center"/>
      <protection locked="0"/>
    </xf>
    <xf numFmtId="170" fontId="2" fillId="7" borderId="12" xfId="0" applyNumberFormat="1" applyFont="1" applyFill="1" applyBorder="1"/>
    <xf numFmtId="170" fontId="0" fillId="0" borderId="12" xfId="0" applyNumberFormat="1" applyBorder="1"/>
    <xf numFmtId="170" fontId="19" fillId="9" borderId="10" xfId="0" quotePrefix="1" applyNumberFormat="1" applyFont="1" applyFill="1" applyBorder="1"/>
    <xf numFmtId="170" fontId="19" fillId="9" borderId="6" xfId="0" quotePrefix="1" applyNumberFormat="1" applyFont="1" applyFill="1" applyBorder="1"/>
    <xf numFmtId="170" fontId="19" fillId="9" borderId="21" xfId="0" quotePrefix="1" applyNumberFormat="1" applyFont="1" applyFill="1" applyBorder="1"/>
    <xf numFmtId="170" fontId="0" fillId="9" borderId="16" xfId="0" applyNumberFormat="1" applyFill="1" applyBorder="1" applyAlignment="1" applyProtection="1">
      <alignment horizontal="center" vertical="center"/>
      <protection locked="0"/>
    </xf>
    <xf numFmtId="170" fontId="0" fillId="9" borderId="12" xfId="0" applyNumberFormat="1" applyFill="1" applyBorder="1" applyAlignment="1" applyProtection="1">
      <alignment horizontal="center" vertical="center"/>
      <protection locked="0"/>
    </xf>
    <xf numFmtId="170" fontId="2" fillId="9" borderId="12" xfId="0" applyNumberFormat="1" applyFont="1" applyFill="1" applyBorder="1"/>
    <xf numFmtId="170" fontId="21" fillId="9" borderId="6" xfId="0" quotePrefix="1" applyNumberFormat="1" applyFont="1" applyFill="1" applyBorder="1" applyAlignment="1">
      <alignment vertical="center"/>
    </xf>
    <xf numFmtId="170" fontId="20" fillId="9" borderId="12" xfId="0" quotePrefix="1" applyNumberFormat="1" applyFont="1" applyFill="1" applyBorder="1"/>
    <xf numFmtId="0" fontId="2" fillId="0" borderId="12" xfId="0" applyFont="1" applyBorder="1" applyAlignment="1">
      <alignment horizontal="right" vertical="center" indent="1"/>
    </xf>
    <xf numFmtId="170" fontId="0" fillId="0" borderId="22" xfId="0" applyNumberFormat="1" applyBorder="1"/>
    <xf numFmtId="168" fontId="23" fillId="9" borderId="12" xfId="0" applyNumberFormat="1" applyFont="1" applyFill="1" applyBorder="1" applyAlignment="1">
      <alignment horizontal="center" vertical="center" wrapText="1"/>
    </xf>
    <xf numFmtId="170" fontId="20" fillId="9" borderId="12" xfId="0" applyNumberFormat="1" applyFont="1" applyFill="1" applyBorder="1" applyAlignment="1">
      <alignment horizontal="center" vertical="center" wrapText="1"/>
    </xf>
    <xf numFmtId="170" fontId="24" fillId="0" borderId="12" xfId="0" applyNumberFormat="1" applyFont="1" applyBorder="1"/>
    <xf numFmtId="0" fontId="26" fillId="0" borderId="0" xfId="0" applyFont="1"/>
    <xf numFmtId="0" fontId="27" fillId="8" borderId="0" xfId="0" applyNumberFormat="1" applyFont="1" applyFill="1" applyAlignment="1">
      <alignment horizontal="center"/>
    </xf>
    <xf numFmtId="0" fontId="27" fillId="8" borderId="0" xfId="0" applyNumberFormat="1" applyFont="1" applyFill="1" applyBorder="1" applyAlignment="1">
      <alignment horizontal="center"/>
    </xf>
    <xf numFmtId="0" fontId="28" fillId="0" borderId="0" xfId="0" applyFont="1" applyAlignment="1">
      <alignment horizontal="center" wrapText="1"/>
    </xf>
    <xf numFmtId="0" fontId="6" fillId="0" borderId="0" xfId="1"/>
    <xf numFmtId="0" fontId="16" fillId="0" borderId="15" xfId="0" applyFont="1" applyBorder="1" applyAlignment="1">
      <alignment horizontal="center"/>
    </xf>
    <xf numFmtId="0" fontId="16" fillId="0" borderId="16" xfId="0" applyFont="1" applyBorder="1" applyAlignment="1">
      <alignment horizontal="center"/>
    </xf>
    <xf numFmtId="0" fontId="16" fillId="0" borderId="17" xfId="0" applyFont="1" applyBorder="1" applyAlignment="1">
      <alignment horizontal="center" wrapText="1"/>
    </xf>
    <xf numFmtId="0" fontId="16" fillId="0" borderId="15" xfId="0" applyFont="1" applyBorder="1" applyAlignment="1">
      <alignment horizontal="center" wrapText="1"/>
    </xf>
    <xf numFmtId="0" fontId="16" fillId="0" borderId="16" xfId="0" applyFont="1" applyBorder="1" applyAlignment="1">
      <alignment horizont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0" fillId="10" borderId="22" xfId="0" applyFill="1" applyBorder="1"/>
    <xf numFmtId="4" fontId="0" fillId="10" borderId="22" xfId="0" applyNumberFormat="1" applyFill="1" applyBorder="1"/>
    <xf numFmtId="0" fontId="0" fillId="10" borderId="19" xfId="0" applyFill="1" applyBorder="1"/>
    <xf numFmtId="4" fontId="0" fillId="10" borderId="19" xfId="0" applyNumberFormat="1" applyFill="1" applyBorder="1"/>
    <xf numFmtId="0" fontId="25" fillId="0" borderId="0" xfId="0" applyFont="1"/>
    <xf numFmtId="0" fontId="0" fillId="10" borderId="12" xfId="0" applyFill="1" applyBorder="1"/>
    <xf numFmtId="4" fontId="0" fillId="10" borderId="12" xfId="0" applyNumberFormat="1" applyFill="1" applyBorder="1"/>
    <xf numFmtId="0" fontId="4" fillId="0" borderId="0" xfId="0" applyFont="1"/>
    <xf numFmtId="0" fontId="4" fillId="0" borderId="12" xfId="0" applyFont="1" applyBorder="1"/>
    <xf numFmtId="170" fontId="4" fillId="0" borderId="12" xfId="0" applyNumberFormat="1" applyFont="1" applyBorder="1"/>
    <xf numFmtId="169" fontId="4" fillId="0" borderId="22" xfId="0" applyNumberFormat="1" applyFont="1" applyBorder="1"/>
    <xf numFmtId="170" fontId="4" fillId="0" borderId="22" xfId="0" applyNumberFormat="1" applyFont="1" applyBorder="1"/>
    <xf numFmtId="170" fontId="22" fillId="0" borderId="22" xfId="0" quotePrefix="1" applyNumberFormat="1" applyFont="1" applyFill="1" applyBorder="1"/>
    <xf numFmtId="0" fontId="4" fillId="0" borderId="22" xfId="0" applyFont="1" applyBorder="1"/>
    <xf numFmtId="169" fontId="4" fillId="0" borderId="19" xfId="0" applyNumberFormat="1" applyFont="1" applyBorder="1"/>
    <xf numFmtId="170" fontId="4" fillId="0" borderId="19" xfId="0" applyNumberFormat="1" applyFont="1" applyBorder="1"/>
    <xf numFmtId="0" fontId="4" fillId="0" borderId="19" xfId="0" applyFont="1" applyBorder="1"/>
    <xf numFmtId="0" fontId="4" fillId="0" borderId="12" xfId="0" applyFont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25" fillId="0" borderId="0" xfId="0" applyFont="1" applyAlignment="1">
      <alignment horizontal="left"/>
    </xf>
    <xf numFmtId="0" fontId="27" fillId="0" borderId="0" xfId="0" applyFont="1"/>
    <xf numFmtId="0" fontId="27" fillId="0" borderId="23" xfId="0" applyFont="1" applyBorder="1"/>
    <xf numFmtId="2" fontId="29" fillId="0" borderId="18" xfId="0" applyNumberFormat="1" applyFont="1" applyFill="1" applyBorder="1" applyAlignment="1"/>
    <xf numFmtId="2" fontId="29" fillId="0" borderId="18" xfId="0" applyNumberFormat="1" applyFont="1" applyFill="1" applyBorder="1" applyAlignment="1">
      <alignment horizontal="right"/>
    </xf>
    <xf numFmtId="4" fontId="30" fillId="0" borderId="18" xfId="0" applyNumberFormat="1" applyFont="1" applyFill="1" applyBorder="1" applyAlignment="1"/>
    <xf numFmtId="0" fontId="27" fillId="0" borderId="24" xfId="0" applyFont="1" applyBorder="1"/>
    <xf numFmtId="2" fontId="29" fillId="0" borderId="19" xfId="0" applyNumberFormat="1" applyFont="1" applyFill="1" applyBorder="1" applyAlignment="1"/>
    <xf numFmtId="2" fontId="29" fillId="0" borderId="19" xfId="0" applyNumberFormat="1" applyFont="1" applyFill="1" applyBorder="1" applyAlignment="1">
      <alignment horizontal="right"/>
    </xf>
    <xf numFmtId="4" fontId="30" fillId="0" borderId="19" xfId="0" applyNumberFormat="1" applyFont="1" applyFill="1" applyBorder="1" applyAlignment="1"/>
    <xf numFmtId="0" fontId="31" fillId="0" borderId="17" xfId="0" applyFont="1" applyBorder="1"/>
    <xf numFmtId="4" fontId="31" fillId="0" borderId="16" xfId="0" applyNumberFormat="1" applyFont="1" applyBorder="1"/>
    <xf numFmtId="0" fontId="32" fillId="0" borderId="0" xfId="0" applyFont="1"/>
    <xf numFmtId="0" fontId="32" fillId="0" borderId="0" xfId="0" applyFont="1" applyAlignment="1"/>
    <xf numFmtId="0" fontId="35" fillId="0" borderId="0" xfId="0" applyFont="1"/>
    <xf numFmtId="0" fontId="36" fillId="0" borderId="0" xfId="0" applyFont="1" applyFill="1" applyBorder="1"/>
    <xf numFmtId="0" fontId="36" fillId="0" borderId="0" xfId="0" applyFont="1"/>
    <xf numFmtId="0" fontId="32" fillId="0" borderId="0" xfId="0" applyFont="1" applyAlignment="1">
      <alignment horizontal="left" wrapText="1"/>
    </xf>
  </cellXfs>
  <cellStyles count="5">
    <cellStyle name="Euro" xfId="2"/>
    <cellStyle name="Lien hypertexte" xfId="1" builtinId="8"/>
    <cellStyle name="Milliers [0] 2" xfId="3"/>
    <cellStyle name="Monétaire 2" xfId="4"/>
    <cellStyle name="Normal" xfId="0" builtinId="0"/>
  </cellStyles>
  <dxfs count="18">
    <dxf>
      <font>
        <color theme="0"/>
      </font>
    </dxf>
    <dxf>
      <fill>
        <patternFill>
          <bgColor rgb="FFD2ECB6"/>
        </patternFill>
      </fill>
    </dxf>
    <dxf>
      <fill>
        <patternFill>
          <bgColor theme="9" tint="0.79998168889431442"/>
        </patternFill>
      </fill>
    </dxf>
    <dxf>
      <fill>
        <patternFill>
          <bgColor rgb="FFD2ECB6"/>
        </patternFill>
      </fill>
    </dxf>
    <dxf>
      <fill>
        <patternFill>
          <bgColor theme="9" tint="0.79998168889431442"/>
        </patternFill>
      </fill>
    </dxf>
    <dxf>
      <fill>
        <patternFill>
          <bgColor rgb="FFD2ECB6"/>
        </patternFill>
      </fill>
    </dxf>
    <dxf>
      <fill>
        <patternFill>
          <bgColor theme="9" tint="0.79998168889431442"/>
        </patternFill>
      </fill>
    </dxf>
    <dxf>
      <fill>
        <patternFill>
          <bgColor rgb="FFD2ECB6"/>
        </patternFill>
      </fill>
    </dxf>
    <dxf>
      <fill>
        <patternFill>
          <bgColor theme="9" tint="0.79998168889431442"/>
        </patternFill>
      </fill>
    </dxf>
    <dxf>
      <fill>
        <patternFill>
          <bgColor rgb="FFD2ECB6"/>
        </patternFill>
      </fill>
    </dxf>
    <dxf>
      <fill>
        <patternFill>
          <bgColor theme="9" tint="0.79998168889431442"/>
        </patternFill>
      </fill>
    </dxf>
    <dxf>
      <fill>
        <patternFill>
          <bgColor rgb="FFD2ECB6"/>
        </patternFill>
      </fill>
    </dxf>
    <dxf>
      <fill>
        <patternFill>
          <bgColor theme="9" tint="0.79998168889431442"/>
        </patternFill>
      </fill>
    </dxf>
    <dxf>
      <fill>
        <patternFill>
          <bgColor rgb="FFD2ECB6"/>
        </patternFill>
      </fill>
    </dxf>
    <dxf>
      <fill>
        <patternFill>
          <bgColor theme="9" tint="0.79998168889431442"/>
        </patternFill>
      </fill>
    </dxf>
    <dxf>
      <font>
        <color theme="0"/>
      </font>
    </dxf>
    <dxf>
      <font>
        <color theme="0"/>
      </font>
    </dxf>
    <dxf>
      <fill>
        <gradientFill degree="90">
          <stop position="0">
            <color rgb="FF95CEDD"/>
          </stop>
          <stop position="1">
            <color theme="0"/>
          </stop>
        </gradientFill>
      </fill>
    </dxf>
  </dxfs>
  <tableStyles count="0" defaultTableStyle="TableStyleMedium9" defaultPivotStyle="PivotStyleLight16"/>
  <colors>
    <mruColors>
      <color rgb="FFFFFFD5"/>
      <color rgb="FFFFFF9B"/>
      <color rgb="FF0000FF"/>
      <color rgb="FF00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542924</xdr:colOff>
      <xdr:row>27</xdr:row>
      <xdr:rowOff>0</xdr:rowOff>
    </xdr:from>
    <xdr:ext cx="1076325" cy="723900"/>
    <xdr:sp macro="" textlink="">
      <xdr:nvSpPr>
        <xdr:cNvPr id="2" name="ZoneTexte 1"/>
        <xdr:cNvSpPr txBox="1"/>
      </xdr:nvSpPr>
      <xdr:spPr>
        <a:xfrm>
          <a:off x="8924924" y="5429250"/>
          <a:ext cx="1076325" cy="723900"/>
        </a:xfrm>
        <a:prstGeom prst="wedgeRectCallout">
          <a:avLst>
            <a:gd name="adj1" fmla="val 34034"/>
            <a:gd name="adj2" fmla="val 111184"/>
          </a:avLst>
        </a:prstGeom>
        <a:noFill/>
        <a:ln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000"/>
            <a:t>Ici nous sommes d'accord,</a:t>
          </a:r>
          <a:r>
            <a:rPr lang="fr-FR" sz="1000" baseline="0"/>
            <a:t> je prend la totalité des HS</a:t>
          </a:r>
          <a:endParaRPr lang="fr-FR" sz="1000"/>
        </a:p>
      </xdr:txBody>
    </xdr:sp>
    <xdr:clientData/>
  </xdr:oneCellAnchor>
  <xdr:oneCellAnchor>
    <xdr:from>
      <xdr:col>18</xdr:col>
      <xdr:colOff>114299</xdr:colOff>
      <xdr:row>24</xdr:row>
      <xdr:rowOff>152400</xdr:rowOff>
    </xdr:from>
    <xdr:ext cx="2228851" cy="1076325"/>
    <xdr:sp macro="" textlink="">
      <xdr:nvSpPr>
        <xdr:cNvPr id="3" name="ZoneTexte 2"/>
        <xdr:cNvSpPr txBox="1"/>
      </xdr:nvSpPr>
      <xdr:spPr>
        <a:xfrm>
          <a:off x="10210799" y="5010150"/>
          <a:ext cx="2228851" cy="1076325"/>
        </a:xfrm>
        <a:prstGeom prst="rect">
          <a:avLst/>
        </a:prstGeom>
        <a:noFill/>
        <a:ln>
          <a:solidFill>
            <a:srgbClr val="FF0000"/>
          </a:solidFill>
          <a:headEnd type="triangle" w="med" len="med"/>
          <a:tailEnd type="triangl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000"/>
            <a:t>pour le calcul des HS</a:t>
          </a:r>
          <a:r>
            <a:rPr lang="fr-FR" sz="1000" baseline="0"/>
            <a:t> à 25% et 50% , j'ai un problème de format. </a:t>
          </a:r>
        </a:p>
        <a:p>
          <a:r>
            <a:rPr lang="fr-FR" sz="1000" baseline="0"/>
            <a:t>Pour les h à 25% c'est bien (si 23h30 est supérieur à 8, marquer 8)</a:t>
          </a:r>
        </a:p>
        <a:p>
          <a:r>
            <a:rPr lang="fr-FR" sz="1000"/>
            <a:t>Et pour les h à 50% c'est 23h30 - 8h =15h30</a:t>
          </a:r>
        </a:p>
      </xdr:txBody>
    </xdr:sp>
    <xdr:clientData/>
  </xdr:oneCellAnchor>
  <xdr:twoCellAnchor>
    <xdr:from>
      <xdr:col>18</xdr:col>
      <xdr:colOff>419101</xdr:colOff>
      <xdr:row>27</xdr:row>
      <xdr:rowOff>57150</xdr:rowOff>
    </xdr:from>
    <xdr:to>
      <xdr:col>19</xdr:col>
      <xdr:colOff>66675</xdr:colOff>
      <xdr:row>33</xdr:row>
      <xdr:rowOff>0</xdr:rowOff>
    </xdr:to>
    <xdr:cxnSp macro="">
      <xdr:nvCxnSpPr>
        <xdr:cNvPr id="5" name="Connecteur droit avec flèche 4"/>
        <xdr:cNvCxnSpPr/>
      </xdr:nvCxnSpPr>
      <xdr:spPr>
        <a:xfrm flipH="1">
          <a:off x="10515601" y="5486400"/>
          <a:ext cx="409574" cy="108585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276225</xdr:colOff>
      <xdr:row>29</xdr:row>
      <xdr:rowOff>9525</xdr:rowOff>
    </xdr:from>
    <xdr:to>
      <xdr:col>19</xdr:col>
      <xdr:colOff>400050</xdr:colOff>
      <xdr:row>33</xdr:row>
      <xdr:rowOff>57150</xdr:rowOff>
    </xdr:to>
    <xdr:cxnSp macro="">
      <xdr:nvCxnSpPr>
        <xdr:cNvPr id="11" name="Connecteur droit avec flèche 10"/>
        <xdr:cNvCxnSpPr/>
      </xdr:nvCxnSpPr>
      <xdr:spPr>
        <a:xfrm>
          <a:off x="11134725" y="5819775"/>
          <a:ext cx="123825" cy="8096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lendrier-365.fr/jours-feries/%C3%A9piphanie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1307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B1:N28"/>
  <sheetViews>
    <sheetView showGridLines="0" topLeftCell="C1" workbookViewId="0">
      <selection activeCell="C3" sqref="C3:N15"/>
    </sheetView>
  </sheetViews>
  <sheetFormatPr baseColWidth="10" defaultRowHeight="15"/>
  <cols>
    <col min="1" max="1" width="4.85546875" customWidth="1"/>
    <col min="2" max="2" width="15.5703125" bestFit="1" customWidth="1"/>
    <col min="3" max="3" width="23.140625" bestFit="1" customWidth="1"/>
    <col min="4" max="4" width="23.28515625" bestFit="1" customWidth="1"/>
    <col min="5" max="5" width="21.85546875" bestFit="1" customWidth="1"/>
    <col min="6" max="6" width="23.85546875" bestFit="1" customWidth="1"/>
    <col min="7" max="7" width="22.28515625" bestFit="1" customWidth="1"/>
    <col min="8" max="8" width="23.140625" bestFit="1" customWidth="1"/>
    <col min="9" max="9" width="20.85546875" bestFit="1" customWidth="1"/>
    <col min="10" max="10" width="23.28515625" bestFit="1" customWidth="1"/>
    <col min="11" max="11" width="21.85546875" bestFit="1" customWidth="1"/>
    <col min="12" max="12" width="22.28515625" bestFit="1" customWidth="1"/>
    <col min="13" max="13" width="24" bestFit="1" customWidth="1"/>
    <col min="14" max="14" width="23.140625" bestFit="1" customWidth="1"/>
  </cols>
  <sheetData>
    <row r="1" spans="2:14" ht="15.75" thickBot="1">
      <c r="B1" t="s">
        <v>0</v>
      </c>
      <c r="C1" t="s">
        <v>1</v>
      </c>
    </row>
    <row r="2" spans="2:14" ht="15.75" thickBot="1">
      <c r="C2" s="1">
        <v>2019</v>
      </c>
      <c r="D2" s="1">
        <v>2020</v>
      </c>
      <c r="E2" s="1">
        <v>2021</v>
      </c>
      <c r="F2" s="1">
        <v>2022</v>
      </c>
      <c r="G2" s="1">
        <v>2023</v>
      </c>
      <c r="H2" s="1">
        <v>2024</v>
      </c>
      <c r="I2" s="1">
        <v>2025</v>
      </c>
      <c r="J2" s="1">
        <v>2026</v>
      </c>
      <c r="K2" s="1">
        <v>2027</v>
      </c>
      <c r="L2" s="1">
        <v>2028</v>
      </c>
      <c r="M2" s="1">
        <v>2029</v>
      </c>
      <c r="N2" s="1">
        <v>2030</v>
      </c>
    </row>
    <row r="3" spans="2:14">
      <c r="B3" s="2" t="s">
        <v>2</v>
      </c>
      <c r="C3" s="3">
        <f>DATE(C$2,1,1)</f>
        <v>43466</v>
      </c>
      <c r="D3" s="3">
        <f>DATE(D$2,1,1)</f>
        <v>43831</v>
      </c>
      <c r="E3" s="3">
        <f t="shared" ref="E3:N3" si="0">DATE(E$2,1,1)</f>
        <v>44197</v>
      </c>
      <c r="F3" s="3">
        <f t="shared" si="0"/>
        <v>44562</v>
      </c>
      <c r="G3" s="3">
        <f t="shared" si="0"/>
        <v>44927</v>
      </c>
      <c r="H3" s="3">
        <f t="shared" si="0"/>
        <v>45292</v>
      </c>
      <c r="I3" s="3">
        <f t="shared" si="0"/>
        <v>45658</v>
      </c>
      <c r="J3" s="3">
        <f t="shared" si="0"/>
        <v>46023</v>
      </c>
      <c r="K3" s="3">
        <f t="shared" si="0"/>
        <v>46388</v>
      </c>
      <c r="L3" s="3">
        <f t="shared" si="0"/>
        <v>46753</v>
      </c>
      <c r="M3" s="3">
        <f t="shared" si="0"/>
        <v>47119</v>
      </c>
      <c r="N3" s="4">
        <f t="shared" si="0"/>
        <v>47484</v>
      </c>
    </row>
    <row r="4" spans="2:14">
      <c r="B4" s="5" t="s">
        <v>3</v>
      </c>
      <c r="C4" s="6">
        <f>DATE(C2,3,29.56+0.979*MOD(204-11*MOD(C2,19),30)- WEEKDAY(DATE(C2,3,28.56+0.979*MOD(204-11*MOD(C2,19),30))))</f>
        <v>43576</v>
      </c>
      <c r="D4" s="6">
        <f>DATE(D2,3,29.56+0.979*MOD(204-11*MOD(D2,19),30)- WEEKDAY(DATE(D2,3,28.56+0.979*MOD(204-11*MOD(D2,19),30))))</f>
        <v>43933</v>
      </c>
      <c r="E4" s="6">
        <f t="shared" ref="E4:H4" si="1">DATE(E2,3,29.56+0.979*MOD(204-11*MOD(E2,19),30)- WEEKDAY(DATE(E2,3,28.56+0.979*MOD(204-11*MOD(E2,19),30))))</f>
        <v>44290</v>
      </c>
      <c r="F4" s="6">
        <f t="shared" si="1"/>
        <v>44668</v>
      </c>
      <c r="G4" s="6">
        <f t="shared" si="1"/>
        <v>45025</v>
      </c>
      <c r="H4" s="6">
        <f t="shared" si="1"/>
        <v>45382</v>
      </c>
      <c r="I4" s="6">
        <f>DATE(I2,3,29.56+0.979*MOD(204-11*MOD(I2,19),30)- WEEKDAY(DATE(I2,3,28.56+0.979*MOD(204-11*MOD(I2,19),30))))</f>
        <v>45767</v>
      </c>
      <c r="J4" s="6">
        <f>DATE(J2,3,29.56+0.979*MOD(204-11*MOD(J2,19),30)- WEEKDAY(DATE(J2,3,28.56+0.979*MOD(204-11*MOD(J2,19),30))))</f>
        <v>46117</v>
      </c>
      <c r="K4" s="6">
        <f t="shared" ref="K4" si="2">DATE(K2,3,29.56+0.979*MOD(204-11*MOD(K2,19),30)- WEEKDAY(DATE(K2,3,28.56+0.979*MOD(204-11*MOD(K2,19),30))))</f>
        <v>46474</v>
      </c>
      <c r="L4" s="6">
        <f>DATE(L2,3,29.56+0.979*MOD(204-11*MOD(L2,19),30)- WEEKDAY(DATE(L2,3,28.56+0.979*MOD(204-11*MOD(L2,19),30))))</f>
        <v>46859</v>
      </c>
      <c r="M4" s="6">
        <f>DATE(M2,3,29.56+0.979*MOD(204-11*MOD(M2,19),30)- WEEKDAY(DATE(M2,3,28.56+0.979*MOD(204-11*MOD(M2,19),30))))</f>
        <v>47209</v>
      </c>
      <c r="N4" s="7">
        <f t="shared" ref="N4" si="3">DATE(N2,3,29.56+0.979*MOD(204-11*MOD(N2,19),30)- WEEKDAY(DATE(N2,3,28.56+0.979*MOD(204-11*MOD(N2,19),30))))</f>
        <v>47594</v>
      </c>
    </row>
    <row r="5" spans="2:14">
      <c r="B5" s="5" t="s">
        <v>4</v>
      </c>
      <c r="C5" s="6">
        <f>C4+1</f>
        <v>43577</v>
      </c>
      <c r="D5" s="6">
        <f t="shared" ref="D5:G5" si="4">D4+1</f>
        <v>43934</v>
      </c>
      <c r="E5" s="6">
        <f t="shared" si="4"/>
        <v>44291</v>
      </c>
      <c r="F5" s="6">
        <f t="shared" si="4"/>
        <v>44669</v>
      </c>
      <c r="G5" s="6">
        <f t="shared" si="4"/>
        <v>45026</v>
      </c>
      <c r="H5" s="6">
        <f>H4+1</f>
        <v>45383</v>
      </c>
      <c r="I5" s="6">
        <f t="shared" ref="I5:N5" si="5">I4+1</f>
        <v>45768</v>
      </c>
      <c r="J5" s="6">
        <f t="shared" si="5"/>
        <v>46118</v>
      </c>
      <c r="K5" s="6">
        <f t="shared" si="5"/>
        <v>46475</v>
      </c>
      <c r="L5" s="6">
        <f t="shared" si="5"/>
        <v>46860</v>
      </c>
      <c r="M5" s="6">
        <f t="shared" si="5"/>
        <v>47210</v>
      </c>
      <c r="N5" s="6">
        <f t="shared" si="5"/>
        <v>47595</v>
      </c>
    </row>
    <row r="6" spans="2:14">
      <c r="B6" s="5" t="s">
        <v>5</v>
      </c>
      <c r="C6" s="6">
        <f>DATE(C$2,5,1)</f>
        <v>43586</v>
      </c>
      <c r="D6" s="6">
        <f t="shared" ref="D6:N6" si="6">DATE(D$2,5,1)</f>
        <v>43952</v>
      </c>
      <c r="E6" s="6">
        <f t="shared" si="6"/>
        <v>44317</v>
      </c>
      <c r="F6" s="6">
        <f t="shared" si="6"/>
        <v>44682</v>
      </c>
      <c r="G6" s="6">
        <f t="shared" si="6"/>
        <v>45047</v>
      </c>
      <c r="H6" s="6">
        <f t="shared" si="6"/>
        <v>45413</v>
      </c>
      <c r="I6" s="6">
        <f t="shared" si="6"/>
        <v>45778</v>
      </c>
      <c r="J6" s="6">
        <f t="shared" si="6"/>
        <v>46143</v>
      </c>
      <c r="K6" s="6">
        <f t="shared" si="6"/>
        <v>46508</v>
      </c>
      <c r="L6" s="6">
        <f t="shared" si="6"/>
        <v>46874</v>
      </c>
      <c r="M6" s="6">
        <f t="shared" si="6"/>
        <v>47239</v>
      </c>
      <c r="N6" s="6">
        <f t="shared" si="6"/>
        <v>47604</v>
      </c>
    </row>
    <row r="7" spans="2:14">
      <c r="B7" s="5" t="s">
        <v>6</v>
      </c>
      <c r="C7" s="6">
        <f>DATE(C$2,5,8)</f>
        <v>43593</v>
      </c>
      <c r="D7" s="6">
        <f t="shared" ref="D7:N7" si="7">DATE(D$2,5,8)</f>
        <v>43959</v>
      </c>
      <c r="E7" s="6">
        <f t="shared" si="7"/>
        <v>44324</v>
      </c>
      <c r="F7" s="6">
        <f t="shared" si="7"/>
        <v>44689</v>
      </c>
      <c r="G7" s="6">
        <f t="shared" si="7"/>
        <v>45054</v>
      </c>
      <c r="H7" s="6">
        <f t="shared" si="7"/>
        <v>45420</v>
      </c>
      <c r="I7" s="6">
        <f t="shared" si="7"/>
        <v>45785</v>
      </c>
      <c r="J7" s="6">
        <f t="shared" si="7"/>
        <v>46150</v>
      </c>
      <c r="K7" s="6">
        <f t="shared" si="7"/>
        <v>46515</v>
      </c>
      <c r="L7" s="6">
        <f t="shared" si="7"/>
        <v>46881</v>
      </c>
      <c r="M7" s="6">
        <f t="shared" si="7"/>
        <v>47246</v>
      </c>
      <c r="N7" s="6">
        <f t="shared" si="7"/>
        <v>47611</v>
      </c>
    </row>
    <row r="8" spans="2:14">
      <c r="B8" s="5" t="s">
        <v>7</v>
      </c>
      <c r="C8" s="6">
        <f>C$4+39</f>
        <v>43615</v>
      </c>
      <c r="D8" s="6">
        <f t="shared" ref="D8:N8" si="8">D$4+39</f>
        <v>43972</v>
      </c>
      <c r="E8" s="6">
        <f t="shared" si="8"/>
        <v>44329</v>
      </c>
      <c r="F8" s="6">
        <f t="shared" si="8"/>
        <v>44707</v>
      </c>
      <c r="G8" s="6">
        <f t="shared" si="8"/>
        <v>45064</v>
      </c>
      <c r="H8" s="6">
        <f t="shared" si="8"/>
        <v>45421</v>
      </c>
      <c r="I8" s="6">
        <f t="shared" si="8"/>
        <v>45806</v>
      </c>
      <c r="J8" s="6">
        <f t="shared" si="8"/>
        <v>46156</v>
      </c>
      <c r="K8" s="6">
        <f t="shared" si="8"/>
        <v>46513</v>
      </c>
      <c r="L8" s="6">
        <f t="shared" si="8"/>
        <v>46898</v>
      </c>
      <c r="M8" s="6">
        <f t="shared" si="8"/>
        <v>47248</v>
      </c>
      <c r="N8" s="6">
        <f t="shared" si="8"/>
        <v>47633</v>
      </c>
    </row>
    <row r="9" spans="2:14">
      <c r="B9" s="5" t="s">
        <v>8</v>
      </c>
      <c r="C9" s="6">
        <f>C4+49</f>
        <v>43625</v>
      </c>
      <c r="D9" s="6">
        <f t="shared" ref="D9:M9" si="9">D4+49</f>
        <v>43982</v>
      </c>
      <c r="E9" s="6">
        <f t="shared" si="9"/>
        <v>44339</v>
      </c>
      <c r="F9" s="6">
        <f t="shared" si="9"/>
        <v>44717</v>
      </c>
      <c r="G9" s="6">
        <f t="shared" si="9"/>
        <v>45074</v>
      </c>
      <c r="H9" s="6">
        <f t="shared" si="9"/>
        <v>45431</v>
      </c>
      <c r="I9" s="6">
        <f t="shared" si="9"/>
        <v>45816</v>
      </c>
      <c r="J9" s="6">
        <f t="shared" si="9"/>
        <v>46166</v>
      </c>
      <c r="K9" s="6">
        <f t="shared" si="9"/>
        <v>46523</v>
      </c>
      <c r="L9" s="6">
        <f t="shared" si="9"/>
        <v>46908</v>
      </c>
      <c r="M9" s="6">
        <f t="shared" si="9"/>
        <v>47258</v>
      </c>
      <c r="N9" s="6">
        <f>N4+49</f>
        <v>47643</v>
      </c>
    </row>
    <row r="10" spans="2:14">
      <c r="B10" s="5" t="s">
        <v>9</v>
      </c>
      <c r="C10" s="6">
        <f>C9+1</f>
        <v>43626</v>
      </c>
      <c r="D10" s="6">
        <f t="shared" ref="D10:M10" si="10">D9+1</f>
        <v>43983</v>
      </c>
      <c r="E10" s="6">
        <f t="shared" si="10"/>
        <v>44340</v>
      </c>
      <c r="F10" s="6">
        <f t="shared" si="10"/>
        <v>44718</v>
      </c>
      <c r="G10" s="6">
        <f t="shared" si="10"/>
        <v>45075</v>
      </c>
      <c r="H10" s="6">
        <f t="shared" si="10"/>
        <v>45432</v>
      </c>
      <c r="I10" s="6">
        <f t="shared" si="10"/>
        <v>45817</v>
      </c>
      <c r="J10" s="6">
        <f t="shared" si="10"/>
        <v>46167</v>
      </c>
      <c r="K10" s="6">
        <f t="shared" si="10"/>
        <v>46524</v>
      </c>
      <c r="L10" s="6">
        <f t="shared" si="10"/>
        <v>46909</v>
      </c>
      <c r="M10" s="6">
        <f t="shared" si="10"/>
        <v>47259</v>
      </c>
      <c r="N10" s="6">
        <f>N9+1</f>
        <v>47644</v>
      </c>
    </row>
    <row r="11" spans="2:14">
      <c r="B11" s="5" t="s">
        <v>10</v>
      </c>
      <c r="C11" s="6">
        <f>DATE(C$2,7,14)</f>
        <v>43660</v>
      </c>
      <c r="D11" s="6">
        <f t="shared" ref="D11:M11" si="11">DATE(D$2,7,14)</f>
        <v>44026</v>
      </c>
      <c r="E11" s="6">
        <f t="shared" si="11"/>
        <v>44391</v>
      </c>
      <c r="F11" s="6">
        <f t="shared" si="11"/>
        <v>44756</v>
      </c>
      <c r="G11" s="6">
        <f t="shared" si="11"/>
        <v>45121</v>
      </c>
      <c r="H11" s="6">
        <f t="shared" si="11"/>
        <v>45487</v>
      </c>
      <c r="I11" s="6">
        <f t="shared" si="11"/>
        <v>45852</v>
      </c>
      <c r="J11" s="6">
        <f t="shared" si="11"/>
        <v>46217</v>
      </c>
      <c r="K11" s="6">
        <f t="shared" si="11"/>
        <v>46582</v>
      </c>
      <c r="L11" s="6">
        <f t="shared" si="11"/>
        <v>46948</v>
      </c>
      <c r="M11" s="6">
        <f t="shared" si="11"/>
        <v>47313</v>
      </c>
      <c r="N11" s="6">
        <f>DATE(N$2,7,14)</f>
        <v>47678</v>
      </c>
    </row>
    <row r="12" spans="2:14">
      <c r="B12" s="5" t="s">
        <v>11</v>
      </c>
      <c r="C12" s="6">
        <f>DATE(C$2,8,15)</f>
        <v>43692</v>
      </c>
      <c r="D12" s="6">
        <f t="shared" ref="D12:M12" si="12">DATE(D$2,8,15)</f>
        <v>44058</v>
      </c>
      <c r="E12" s="6">
        <f t="shared" si="12"/>
        <v>44423</v>
      </c>
      <c r="F12" s="6">
        <f t="shared" si="12"/>
        <v>44788</v>
      </c>
      <c r="G12" s="6">
        <f t="shared" si="12"/>
        <v>45153</v>
      </c>
      <c r="H12" s="6">
        <f t="shared" si="12"/>
        <v>45519</v>
      </c>
      <c r="I12" s="6">
        <f t="shared" si="12"/>
        <v>45884</v>
      </c>
      <c r="J12" s="6">
        <f t="shared" si="12"/>
        <v>46249</v>
      </c>
      <c r="K12" s="6">
        <f t="shared" si="12"/>
        <v>46614</v>
      </c>
      <c r="L12" s="6">
        <f t="shared" si="12"/>
        <v>46980</v>
      </c>
      <c r="M12" s="6">
        <f t="shared" si="12"/>
        <v>47345</v>
      </c>
      <c r="N12" s="6">
        <f>DATE(N$2,8,15)</f>
        <v>47710</v>
      </c>
    </row>
    <row r="13" spans="2:14">
      <c r="B13" s="5" t="s">
        <v>12</v>
      </c>
      <c r="C13" s="6">
        <f>DATE(C$2,11,1)</f>
        <v>43770</v>
      </c>
      <c r="D13" s="6">
        <f t="shared" ref="D13:M13" si="13">DATE(D$2,11,1)</f>
        <v>44136</v>
      </c>
      <c r="E13" s="6">
        <f t="shared" si="13"/>
        <v>44501</v>
      </c>
      <c r="F13" s="6">
        <f t="shared" si="13"/>
        <v>44866</v>
      </c>
      <c r="G13" s="6">
        <f t="shared" si="13"/>
        <v>45231</v>
      </c>
      <c r="H13" s="6">
        <f t="shared" si="13"/>
        <v>45597</v>
      </c>
      <c r="I13" s="6">
        <f t="shared" si="13"/>
        <v>45962</v>
      </c>
      <c r="J13" s="6">
        <f t="shared" si="13"/>
        <v>46327</v>
      </c>
      <c r="K13" s="6">
        <f t="shared" si="13"/>
        <v>46692</v>
      </c>
      <c r="L13" s="6">
        <f t="shared" si="13"/>
        <v>47058</v>
      </c>
      <c r="M13" s="6">
        <f t="shared" si="13"/>
        <v>47423</v>
      </c>
      <c r="N13" s="6">
        <f>DATE(N$2,11,1)</f>
        <v>47788</v>
      </c>
    </row>
    <row r="14" spans="2:14">
      <c r="B14" s="5" t="s">
        <v>13</v>
      </c>
      <c r="C14" s="6">
        <f>DATE(C$2,11,11)</f>
        <v>43780</v>
      </c>
      <c r="D14" s="6">
        <f t="shared" ref="D14:M14" si="14">DATE(D$2,11,11)</f>
        <v>44146</v>
      </c>
      <c r="E14" s="6">
        <f t="shared" si="14"/>
        <v>44511</v>
      </c>
      <c r="F14" s="6">
        <f t="shared" si="14"/>
        <v>44876</v>
      </c>
      <c r="G14" s="6">
        <f t="shared" si="14"/>
        <v>45241</v>
      </c>
      <c r="H14" s="6">
        <f t="shared" si="14"/>
        <v>45607</v>
      </c>
      <c r="I14" s="6">
        <f t="shared" si="14"/>
        <v>45972</v>
      </c>
      <c r="J14" s="6">
        <f t="shared" si="14"/>
        <v>46337</v>
      </c>
      <c r="K14" s="6">
        <f t="shared" si="14"/>
        <v>46702</v>
      </c>
      <c r="L14" s="6">
        <f t="shared" si="14"/>
        <v>47068</v>
      </c>
      <c r="M14" s="6">
        <f t="shared" si="14"/>
        <v>47433</v>
      </c>
      <c r="N14" s="6">
        <f>DATE(N$2,11,11)</f>
        <v>47798</v>
      </c>
    </row>
    <row r="15" spans="2:14" ht="15.75" thickBot="1">
      <c r="B15" s="8" t="s">
        <v>14</v>
      </c>
      <c r="C15" s="9">
        <f>DATE(C$2,12,25)</f>
        <v>43824</v>
      </c>
      <c r="D15" s="9">
        <f t="shared" ref="D15:M15" si="15">DATE(D$2,12,25)</f>
        <v>44190</v>
      </c>
      <c r="E15" s="9">
        <f t="shared" si="15"/>
        <v>44555</v>
      </c>
      <c r="F15" s="9">
        <f t="shared" si="15"/>
        <v>44920</v>
      </c>
      <c r="G15" s="9">
        <f t="shared" si="15"/>
        <v>45285</v>
      </c>
      <c r="H15" s="9">
        <f t="shared" si="15"/>
        <v>45651</v>
      </c>
      <c r="I15" s="9">
        <f t="shared" si="15"/>
        <v>46016</v>
      </c>
      <c r="J15" s="9">
        <f t="shared" si="15"/>
        <v>46381</v>
      </c>
      <c r="K15" s="9">
        <f t="shared" si="15"/>
        <v>46746</v>
      </c>
      <c r="L15" s="9">
        <f t="shared" si="15"/>
        <v>47112</v>
      </c>
      <c r="M15" s="9">
        <f t="shared" si="15"/>
        <v>47477</v>
      </c>
      <c r="N15" s="9">
        <f>DATE(N$2,12,25)</f>
        <v>47842</v>
      </c>
    </row>
    <row r="18" spans="2:14">
      <c r="B18" s="10" t="s">
        <v>15</v>
      </c>
      <c r="C18" s="11">
        <f>DATE(C$2,6,1)-WEEKDAY(DATE(C$2,5,31))</f>
        <v>43611</v>
      </c>
      <c r="D18" s="11">
        <f>DATE(D$2,6,1)-WEEKDAY(DATE(D$2,5,31))</f>
        <v>43982</v>
      </c>
      <c r="E18" s="11">
        <f>DATE(E$2,6,1)-WEEKDAY(DATE(E$2,5,31))</f>
        <v>44346</v>
      </c>
      <c r="F18" s="11">
        <f t="shared" ref="F18:M18" si="16">DATE(F$2,6,1)-WEEKDAY(DATE(F$2,5,31))</f>
        <v>44710</v>
      </c>
      <c r="G18" s="11">
        <f t="shared" si="16"/>
        <v>45074</v>
      </c>
      <c r="H18" s="11">
        <f t="shared" si="16"/>
        <v>45438</v>
      </c>
      <c r="I18" s="11">
        <f t="shared" si="16"/>
        <v>45802</v>
      </c>
      <c r="J18" s="11">
        <f t="shared" si="16"/>
        <v>46173</v>
      </c>
      <c r="K18" s="11">
        <f t="shared" si="16"/>
        <v>46537</v>
      </c>
      <c r="L18" s="11">
        <f t="shared" si="16"/>
        <v>46901</v>
      </c>
      <c r="M18" s="11">
        <f t="shared" si="16"/>
        <v>47265</v>
      </c>
      <c r="N18" s="11">
        <f>DATE(N$2,6,1)-WEEKDAY(DATE(N$2,5,31))</f>
        <v>47629</v>
      </c>
    </row>
    <row r="19" spans="2:14">
      <c r="C19" s="12" t="str">
        <f>IF(C$18=C$9,C$18+7,"")</f>
        <v/>
      </c>
      <c r="D19" s="11">
        <f>IF(D$18=D$9,D$18+7,"")</f>
        <v>43989</v>
      </c>
      <c r="E19" s="11" t="str">
        <f>IF(E$18=E$9,E$18+7,"")</f>
        <v/>
      </c>
      <c r="F19" s="11" t="str">
        <f t="shared" ref="F19:M19" si="17">IF(F$18=F$9,F$18+7,"")</f>
        <v/>
      </c>
      <c r="G19" s="11">
        <f t="shared" si="17"/>
        <v>45081</v>
      </c>
      <c r="H19" s="11" t="str">
        <f t="shared" si="17"/>
        <v/>
      </c>
      <c r="I19" s="11" t="str">
        <f t="shared" si="17"/>
        <v/>
      </c>
      <c r="J19" s="11" t="str">
        <f t="shared" si="17"/>
        <v/>
      </c>
      <c r="K19" s="11" t="str">
        <f t="shared" si="17"/>
        <v/>
      </c>
      <c r="L19" s="11" t="str">
        <f t="shared" si="17"/>
        <v/>
      </c>
      <c r="M19" s="11" t="str">
        <f t="shared" si="17"/>
        <v/>
      </c>
      <c r="N19" s="11" t="str">
        <f>IF(N$18=N$9,N$18+7,"")</f>
        <v/>
      </c>
    </row>
    <row r="20" spans="2:14">
      <c r="B20" s="13" t="s">
        <v>16</v>
      </c>
      <c r="C20" s="14">
        <f>C$3+5</f>
        <v>43471</v>
      </c>
      <c r="D20" s="14">
        <f t="shared" ref="D20:N20" si="18">D$3+5</f>
        <v>43836</v>
      </c>
      <c r="E20" s="14">
        <f t="shared" si="18"/>
        <v>44202</v>
      </c>
      <c r="F20" s="14">
        <f t="shared" si="18"/>
        <v>44567</v>
      </c>
      <c r="G20" s="14">
        <f t="shared" si="18"/>
        <v>44932</v>
      </c>
      <c r="H20" s="14">
        <f t="shared" si="18"/>
        <v>45297</v>
      </c>
      <c r="I20" s="14">
        <f t="shared" si="18"/>
        <v>45663</v>
      </c>
      <c r="J20" s="14">
        <f t="shared" si="18"/>
        <v>46028</v>
      </c>
      <c r="K20" s="14">
        <f t="shared" si="18"/>
        <v>46393</v>
      </c>
      <c r="L20" s="14">
        <f t="shared" si="18"/>
        <v>46758</v>
      </c>
      <c r="M20" s="14">
        <f t="shared" si="18"/>
        <v>47124</v>
      </c>
      <c r="N20" s="14">
        <f t="shared" si="18"/>
        <v>47489</v>
      </c>
    </row>
    <row r="21" spans="2:14">
      <c r="B21" s="15" t="s">
        <v>17</v>
      </c>
      <c r="C21" s="16">
        <f>DATE(C$2,2,2)</f>
        <v>43498</v>
      </c>
      <c r="D21" s="16">
        <f>DATE(D$2,2,2)</f>
        <v>43863</v>
      </c>
      <c r="E21" s="16">
        <f t="shared" ref="E21:N21" si="19">DATE(E$2,2,2)</f>
        <v>44229</v>
      </c>
      <c r="F21" s="16">
        <f t="shared" si="19"/>
        <v>44594</v>
      </c>
      <c r="G21" s="16">
        <f t="shared" si="19"/>
        <v>44959</v>
      </c>
      <c r="H21" s="16">
        <f t="shared" si="19"/>
        <v>45324</v>
      </c>
      <c r="I21" s="16">
        <f t="shared" si="19"/>
        <v>45690</v>
      </c>
      <c r="J21" s="16">
        <f t="shared" si="19"/>
        <v>46055</v>
      </c>
      <c r="K21" s="16">
        <f t="shared" si="19"/>
        <v>46420</v>
      </c>
      <c r="L21" s="16">
        <f t="shared" si="19"/>
        <v>46785</v>
      </c>
      <c r="M21" s="16">
        <f t="shared" si="19"/>
        <v>47151</v>
      </c>
      <c r="N21" s="16">
        <f t="shared" si="19"/>
        <v>47516</v>
      </c>
    </row>
    <row r="22" spans="2:14">
      <c r="B22" s="15" t="s">
        <v>18</v>
      </c>
      <c r="C22" s="16">
        <f>DATE(C$2,2,14)</f>
        <v>43510</v>
      </c>
      <c r="D22" s="16">
        <f>DATE(D$2,2,14)</f>
        <v>43875</v>
      </c>
      <c r="E22" s="16">
        <f t="shared" ref="E22:N22" si="20">DATE(E$2,2,14)</f>
        <v>44241</v>
      </c>
      <c r="F22" s="16">
        <f t="shared" si="20"/>
        <v>44606</v>
      </c>
      <c r="G22" s="16">
        <f t="shared" si="20"/>
        <v>44971</v>
      </c>
      <c r="H22" s="16">
        <f t="shared" si="20"/>
        <v>45336</v>
      </c>
      <c r="I22" s="16">
        <f t="shared" si="20"/>
        <v>45702</v>
      </c>
      <c r="J22" s="16">
        <f t="shared" si="20"/>
        <v>46067</v>
      </c>
      <c r="K22" s="16">
        <f t="shared" si="20"/>
        <v>46432</v>
      </c>
      <c r="L22" s="16">
        <f t="shared" si="20"/>
        <v>46797</v>
      </c>
      <c r="M22" s="16">
        <f t="shared" si="20"/>
        <v>47163</v>
      </c>
      <c r="N22" s="16">
        <f t="shared" si="20"/>
        <v>47528</v>
      </c>
    </row>
    <row r="23" spans="2:14">
      <c r="B23" s="15" t="s">
        <v>19</v>
      </c>
      <c r="C23" s="16">
        <f>DATE(C$2,3,8)-WEEKDAY(DATE(C$2,3,7))</f>
        <v>43527</v>
      </c>
      <c r="D23" s="16">
        <f>DATE(D$2,3,8)-WEEKDAY(DATE(D$2,3,7))</f>
        <v>43891</v>
      </c>
      <c r="E23" s="16">
        <f t="shared" ref="E23:N23" si="21">DATE(E$2,3,8)-WEEKDAY(DATE(E$2,3,7))</f>
        <v>44262</v>
      </c>
      <c r="F23" s="16">
        <f t="shared" si="21"/>
        <v>44626</v>
      </c>
      <c r="G23" s="16">
        <f t="shared" si="21"/>
        <v>44990</v>
      </c>
      <c r="H23" s="16">
        <f t="shared" si="21"/>
        <v>45354</v>
      </c>
      <c r="I23" s="16">
        <f t="shared" si="21"/>
        <v>45718</v>
      </c>
      <c r="J23" s="16">
        <f t="shared" si="21"/>
        <v>46082</v>
      </c>
      <c r="K23" s="16">
        <f t="shared" si="21"/>
        <v>46453</v>
      </c>
      <c r="L23" s="16">
        <f t="shared" si="21"/>
        <v>46817</v>
      </c>
      <c r="M23" s="16">
        <f t="shared" si="21"/>
        <v>47181</v>
      </c>
      <c r="N23" s="16">
        <f t="shared" si="21"/>
        <v>47545</v>
      </c>
    </row>
    <row r="24" spans="2:14">
      <c r="B24" s="15" t="s">
        <v>20</v>
      </c>
      <c r="C24" s="16">
        <f>C4-47</f>
        <v>43529</v>
      </c>
      <c r="D24" s="16">
        <f>D4-47</f>
        <v>43886</v>
      </c>
      <c r="E24" s="16">
        <f>E4-47</f>
        <v>44243</v>
      </c>
      <c r="F24" s="16">
        <f>F4-47</f>
        <v>44621</v>
      </c>
      <c r="G24" s="16">
        <f t="shared" ref="G24:L24" si="22">G4-47</f>
        <v>44978</v>
      </c>
      <c r="H24" s="16">
        <f t="shared" si="22"/>
        <v>45335</v>
      </c>
      <c r="I24" s="16">
        <f t="shared" si="22"/>
        <v>45720</v>
      </c>
      <c r="J24" s="16">
        <f t="shared" si="22"/>
        <v>46070</v>
      </c>
      <c r="K24" s="16">
        <f>K4-47</f>
        <v>46427</v>
      </c>
      <c r="L24" s="16">
        <f t="shared" si="22"/>
        <v>46812</v>
      </c>
      <c r="M24" s="16">
        <f>M4-47</f>
        <v>47162</v>
      </c>
      <c r="N24" s="16">
        <f>N4-47</f>
        <v>47547</v>
      </c>
    </row>
    <row r="25" spans="2:14">
      <c r="B25" s="15" t="s">
        <v>21</v>
      </c>
      <c r="C25" s="16">
        <f>C$4-46</f>
        <v>43530</v>
      </c>
      <c r="D25" s="16">
        <f>D$4-46</f>
        <v>43887</v>
      </c>
      <c r="E25" s="16">
        <f t="shared" ref="E25:N25" si="23">E$4-46</f>
        <v>44244</v>
      </c>
      <c r="F25" s="16">
        <f t="shared" si="23"/>
        <v>44622</v>
      </c>
      <c r="G25" s="16">
        <f t="shared" si="23"/>
        <v>44979</v>
      </c>
      <c r="H25" s="16">
        <f t="shared" si="23"/>
        <v>45336</v>
      </c>
      <c r="I25" s="16">
        <f t="shared" si="23"/>
        <v>45721</v>
      </c>
      <c r="J25" s="16">
        <f t="shared" si="23"/>
        <v>46071</v>
      </c>
      <c r="K25" s="16">
        <f t="shared" si="23"/>
        <v>46428</v>
      </c>
      <c r="L25" s="16">
        <f t="shared" si="23"/>
        <v>46813</v>
      </c>
      <c r="M25" s="16">
        <f t="shared" si="23"/>
        <v>47163</v>
      </c>
      <c r="N25" s="16">
        <f t="shared" si="23"/>
        <v>47548</v>
      </c>
    </row>
    <row r="26" spans="2:14">
      <c r="B26" s="15" t="s">
        <v>22</v>
      </c>
      <c r="C26" s="16">
        <f>C$4-24</f>
        <v>43552</v>
      </c>
      <c r="D26" s="16">
        <f>D$4-24</f>
        <v>43909</v>
      </c>
      <c r="E26" s="16">
        <f t="shared" ref="E26:N26" si="24">E$4-24</f>
        <v>44266</v>
      </c>
      <c r="F26" s="16">
        <f t="shared" si="24"/>
        <v>44644</v>
      </c>
      <c r="G26" s="16">
        <f t="shared" si="24"/>
        <v>45001</v>
      </c>
      <c r="H26" s="16">
        <f t="shared" si="24"/>
        <v>45358</v>
      </c>
      <c r="I26" s="16">
        <f t="shared" si="24"/>
        <v>45743</v>
      </c>
      <c r="J26" s="16">
        <f t="shared" si="24"/>
        <v>46093</v>
      </c>
      <c r="K26" s="16">
        <f t="shared" si="24"/>
        <v>46450</v>
      </c>
      <c r="L26" s="16">
        <f t="shared" si="24"/>
        <v>46835</v>
      </c>
      <c r="M26" s="16">
        <f t="shared" si="24"/>
        <v>47185</v>
      </c>
      <c r="N26" s="16">
        <f t="shared" si="24"/>
        <v>47570</v>
      </c>
    </row>
    <row r="27" spans="2:14">
      <c r="B27" s="15" t="s">
        <v>15</v>
      </c>
      <c r="C27" s="16">
        <f>IF(C19="",C18,C19)</f>
        <v>43611</v>
      </c>
      <c r="D27" s="16">
        <f>IF(D19="",D18,D19)</f>
        <v>43989</v>
      </c>
      <c r="E27" s="16">
        <f t="shared" ref="E27:N27" si="25">IF(E19="",E18,E19)</f>
        <v>44346</v>
      </c>
      <c r="F27" s="16">
        <f t="shared" si="25"/>
        <v>44710</v>
      </c>
      <c r="G27" s="16">
        <f t="shared" si="25"/>
        <v>45081</v>
      </c>
      <c r="H27" s="16">
        <f t="shared" si="25"/>
        <v>45438</v>
      </c>
      <c r="I27" s="16">
        <f t="shared" si="25"/>
        <v>45802</v>
      </c>
      <c r="J27" s="16">
        <f t="shared" si="25"/>
        <v>46173</v>
      </c>
      <c r="K27" s="16">
        <f t="shared" si="25"/>
        <v>46537</v>
      </c>
      <c r="L27" s="16">
        <f t="shared" si="25"/>
        <v>46901</v>
      </c>
      <c r="M27" s="16">
        <f t="shared" si="25"/>
        <v>47265</v>
      </c>
      <c r="N27" s="16">
        <f t="shared" si="25"/>
        <v>47629</v>
      </c>
    </row>
    <row r="28" spans="2:14">
      <c r="B28" s="15" t="s">
        <v>23</v>
      </c>
      <c r="C28" s="16">
        <f>DATE(C$2,6,22)-WEEKDAY(DATE(C$2,6,7))</f>
        <v>43632</v>
      </c>
      <c r="D28" s="16">
        <f>DATE(D$2,6,22)-WEEKDAY(DATE(D$2,6,7))</f>
        <v>44003</v>
      </c>
      <c r="E28" s="16">
        <f t="shared" ref="E28:N28" si="26">DATE(E$2,6,22)-WEEKDAY(DATE(E$2,6,7))</f>
        <v>44367</v>
      </c>
      <c r="F28" s="16">
        <f t="shared" si="26"/>
        <v>44731</v>
      </c>
      <c r="G28" s="16">
        <f t="shared" si="26"/>
        <v>45095</v>
      </c>
      <c r="H28" s="16">
        <f t="shared" si="26"/>
        <v>45459</v>
      </c>
      <c r="I28" s="16">
        <f t="shared" si="26"/>
        <v>45823</v>
      </c>
      <c r="J28" s="16">
        <f t="shared" si="26"/>
        <v>46194</v>
      </c>
      <c r="K28" s="16">
        <f t="shared" si="26"/>
        <v>46558</v>
      </c>
      <c r="L28" s="16">
        <f t="shared" si="26"/>
        <v>46922</v>
      </c>
      <c r="M28" s="16">
        <f t="shared" si="26"/>
        <v>47286</v>
      </c>
      <c r="N28" s="16">
        <f t="shared" si="26"/>
        <v>47650</v>
      </c>
    </row>
  </sheetData>
  <conditionalFormatting sqref="C3:N15">
    <cfRule type="expression" dxfId="17" priority="1">
      <formula>WEEKDAY(C3,2)&gt;5</formula>
    </cfRule>
  </conditionalFormatting>
  <hyperlinks>
    <hyperlink ref="B20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58"/>
  <sheetViews>
    <sheetView showGridLines="0" showZeros="0" tabSelected="1" topLeftCell="A16" zoomScaleNormal="100" workbookViewId="0">
      <selection activeCell="O18" sqref="O18"/>
    </sheetView>
  </sheetViews>
  <sheetFormatPr baseColWidth="10" defaultRowHeight="15"/>
  <cols>
    <col min="1" max="1" width="7.28515625" style="51" customWidth="1"/>
    <col min="2" max="2" width="10" customWidth="1"/>
    <col min="3" max="3" width="15.5703125" customWidth="1"/>
    <col min="4" max="4" width="10" customWidth="1"/>
    <col min="5" max="6" width="6.42578125" customWidth="1"/>
    <col min="7" max="7" width="6.140625" customWidth="1"/>
    <col min="8" max="8" width="5.85546875" customWidth="1"/>
    <col min="9" max="9" width="6.5703125" customWidth="1"/>
    <col min="10" max="13" width="7.7109375" customWidth="1"/>
    <col min="14" max="14" width="8.7109375" customWidth="1"/>
    <col min="15" max="15" width="13.140625" customWidth="1"/>
    <col min="16" max="16" width="9.5703125" customWidth="1"/>
    <col min="17" max="17" width="8" customWidth="1"/>
    <col min="18" max="18" width="9.85546875" customWidth="1"/>
    <col min="19" max="19" width="10.28515625" customWidth="1"/>
    <col min="20" max="20" width="9.28515625" customWidth="1"/>
  </cols>
  <sheetData>
    <row r="1" spans="1:17" ht="15.75" thickBot="1"/>
    <row r="2" spans="1:17" ht="21.75" thickBot="1">
      <c r="C2" s="46" t="s">
        <v>1</v>
      </c>
      <c r="D2" s="17">
        <v>2019</v>
      </c>
      <c r="I2" s="18"/>
      <c r="J2" s="66" t="s">
        <v>39</v>
      </c>
      <c r="K2" s="66" t="s">
        <v>38</v>
      </c>
      <c r="L2" s="66" t="s">
        <v>37</v>
      </c>
    </row>
    <row r="3" spans="1:17">
      <c r="J3" s="66"/>
      <c r="K3" s="66"/>
      <c r="L3" s="66"/>
      <c r="Q3" s="18"/>
    </row>
    <row r="4" spans="1:17">
      <c r="M4" s="19"/>
      <c r="O4" s="71" t="s">
        <v>53</v>
      </c>
      <c r="Q4" s="18"/>
    </row>
    <row r="5" spans="1:17">
      <c r="C5" t="s">
        <v>36</v>
      </c>
      <c r="D5" s="20">
        <v>0.33333333333333331</v>
      </c>
      <c r="E5" s="20">
        <v>0.5</v>
      </c>
      <c r="F5" s="21">
        <f>E5-D5</f>
        <v>0.16666666666666669</v>
      </c>
      <c r="G5" s="20">
        <v>0.54166666666666663</v>
      </c>
      <c r="H5" s="20">
        <v>0.70000000000000007</v>
      </c>
      <c r="I5" s="22">
        <f>H5-G5</f>
        <v>0.15833333333333344</v>
      </c>
      <c r="J5" s="48">
        <f>F5+I5</f>
        <v>0.32500000000000012</v>
      </c>
      <c r="K5" s="49">
        <f>J5*5</f>
        <v>1.6250000000000007</v>
      </c>
      <c r="L5" s="50">
        <f>(K5*52)/12</f>
        <v>7.0416666666666687</v>
      </c>
      <c r="N5" s="72" t="s">
        <v>46</v>
      </c>
      <c r="O5" s="73">
        <v>11</v>
      </c>
      <c r="P5" s="73">
        <f>O5*151.67</f>
        <v>1668.37</v>
      </c>
      <c r="Q5" s="86" t="s">
        <v>54</v>
      </c>
    </row>
    <row r="6" spans="1:17">
      <c r="C6" t="s">
        <v>24</v>
      </c>
      <c r="D6" s="20">
        <v>0.33333333333333331</v>
      </c>
      <c r="E6" s="20">
        <v>0.51041666666666663</v>
      </c>
      <c r="F6" s="21">
        <f>E6-D6</f>
        <v>0.17708333333333331</v>
      </c>
      <c r="G6" s="20">
        <v>0.5625</v>
      </c>
      <c r="H6" s="20">
        <v>0.67708333333333337</v>
      </c>
      <c r="I6" s="22">
        <f>H6-G6</f>
        <v>0.11458333333333337</v>
      </c>
      <c r="J6" s="48">
        <f>F6+I6</f>
        <v>0.29166666666666669</v>
      </c>
      <c r="K6" s="49">
        <f>J6*5</f>
        <v>1.4583333333333335</v>
      </c>
      <c r="L6" s="50">
        <f>(K6*52)/12</f>
        <v>6.3194444444444455</v>
      </c>
      <c r="N6" s="67" t="s">
        <v>47</v>
      </c>
      <c r="O6" s="68">
        <f>O5*1.25</f>
        <v>13.75</v>
      </c>
    </row>
    <row r="7" spans="1:17">
      <c r="J7" s="23"/>
      <c r="N7" s="69" t="s">
        <v>48</v>
      </c>
      <c r="O7" s="70">
        <f>O5*1.5</f>
        <v>16.5</v>
      </c>
    </row>
    <row r="9" spans="1:17" ht="15" customHeight="1">
      <c r="C9" s="24" t="s">
        <v>34</v>
      </c>
      <c r="D9" s="56" t="s">
        <v>25</v>
      </c>
      <c r="E9" s="56"/>
      <c r="F9" s="57"/>
      <c r="G9" s="58" t="s">
        <v>26</v>
      </c>
      <c r="H9" s="59"/>
      <c r="I9" s="60"/>
      <c r="J9" s="61" t="s">
        <v>27</v>
      </c>
      <c r="K9" s="64" t="s">
        <v>42</v>
      </c>
      <c r="L9" s="64" t="s">
        <v>35</v>
      </c>
      <c r="M9" s="63" t="s">
        <v>28</v>
      </c>
    </row>
    <row r="10" spans="1:17" ht="30">
      <c r="A10" s="54" t="s">
        <v>41</v>
      </c>
      <c r="B10" s="54" t="s">
        <v>40</v>
      </c>
      <c r="C10" s="25" t="s">
        <v>29</v>
      </c>
      <c r="D10" s="26" t="s">
        <v>30</v>
      </c>
      <c r="E10" s="26" t="s">
        <v>31</v>
      </c>
      <c r="F10" s="27" t="s">
        <v>32</v>
      </c>
      <c r="G10" s="26" t="s">
        <v>30</v>
      </c>
      <c r="H10" s="26" t="s">
        <v>31</v>
      </c>
      <c r="I10" s="27" t="s">
        <v>33</v>
      </c>
      <c r="J10" s="62"/>
      <c r="K10" s="65"/>
      <c r="L10" s="65"/>
      <c r="M10" s="63"/>
    </row>
    <row r="11" spans="1:17">
      <c r="A11" s="52" t="str">
        <f>IF(COUNTIF(JoursFeries,$C11),"O","N")</f>
        <v>N</v>
      </c>
      <c r="C11" s="28">
        <f>IF(DAY(TEXT("1/"&amp;MONTH(1&amp;$C$9)&amp;"/"&amp;$D$2,"mm/aaa")-MOD(TEXT("1/"&amp;MONTH(1&amp;$C$9)&amp;"/"&amp;$D$2,"mm/aaa")-3,7)+6)=1,TEXT("1/"&amp;MONTH(1&amp;$C$9)&amp;"/"&amp;$D$2,"mm/aaa")-MOD(TEXT("1/"&amp;MONTH(1&amp;$C$9)&amp;"/"&amp;$D$2,"mm/aaa")-3,7)+6,(TEXT("1/"&amp;MONTH(1&amp;$C$9)&amp;"/"&amp;$D$2,"mm/aaa")-MOD(TEXT("1/"&amp;MONTH(1&amp;$C$9)&amp;"/"&amp;$D$2,"mm/aaa")-3,7)+6)-7)</f>
        <v>43584</v>
      </c>
      <c r="D11" s="34">
        <v>0.34722222222222227</v>
      </c>
      <c r="E11" s="35">
        <v>0.52083333333333337</v>
      </c>
      <c r="F11" s="36">
        <f>E11-D11</f>
        <v>0.1736111111111111</v>
      </c>
      <c r="G11" s="35">
        <v>0.5625</v>
      </c>
      <c r="H11" s="35">
        <v>0.83333333333333337</v>
      </c>
      <c r="I11" s="36">
        <f>H11-G11</f>
        <v>0.27083333333333337</v>
      </c>
      <c r="J11" s="37">
        <f>F11+I11</f>
        <v>0.44444444444444448</v>
      </c>
      <c r="K11" s="37">
        <f>IF(WEEKDAY(C11,2)&lt;6,$J$6,"")</f>
        <v>0.29166666666666669</v>
      </c>
      <c r="L11" s="47" t="str">
        <f t="shared" ref="L11:L12" si="0">IF(A11="o",F11+I11,"")</f>
        <v/>
      </c>
      <c r="M11" s="38"/>
    </row>
    <row r="12" spans="1:17">
      <c r="A12" s="53" t="str">
        <f t="shared" ref="A12:A43" si="1">IF(COUNTIF(JoursFeries,$C12),"O","N")</f>
        <v>N</v>
      </c>
      <c r="B12" s="29">
        <f>INT(MOD(INT((C12-2)/7)+3/5,52+5/28))+1</f>
        <v>18</v>
      </c>
      <c r="C12" s="28">
        <f t="shared" ref="C12:C17" si="2">C11+1</f>
        <v>43585</v>
      </c>
      <c r="D12" s="34">
        <v>0.34722222222222227</v>
      </c>
      <c r="E12" s="35">
        <v>0.52083333333333337</v>
      </c>
      <c r="F12" s="36">
        <f t="shared" ref="F12:F17" si="3">E12-D12</f>
        <v>0.1736111111111111</v>
      </c>
      <c r="G12" s="35">
        <v>0.5625</v>
      </c>
      <c r="H12" s="35">
        <v>0.8125</v>
      </c>
      <c r="I12" s="36">
        <f t="shared" ref="I12:I17" si="4">H12-G12</f>
        <v>0.25</v>
      </c>
      <c r="J12" s="37">
        <f t="shared" ref="J12:J17" si="5">F12+I12</f>
        <v>0.4236111111111111</v>
      </c>
      <c r="K12" s="37">
        <f t="shared" ref="K12:K15" si="6">IF(WEEKDAY(C12,2)&lt;6,$J$6,"")</f>
        <v>0.29166666666666669</v>
      </c>
      <c r="L12" s="47" t="str">
        <f t="shared" si="0"/>
        <v/>
      </c>
      <c r="M12" s="38"/>
    </row>
    <row r="13" spans="1:17">
      <c r="A13" s="53" t="str">
        <f t="shared" si="1"/>
        <v>O</v>
      </c>
      <c r="B13" s="29" t="str">
        <f t="shared" ref="B13" si="7">IF(WEEKDAY(C13)=2,INT(MOD(INT((C13-2)/7)+0.6,52+5/28))+1,"")</f>
        <v/>
      </c>
      <c r="C13" s="28">
        <f t="shared" si="2"/>
        <v>43586</v>
      </c>
      <c r="D13" s="34">
        <v>0.34722222222222227</v>
      </c>
      <c r="E13" s="35">
        <v>0.52083333333333337</v>
      </c>
      <c r="F13" s="36">
        <f t="shared" si="3"/>
        <v>0.1736111111111111</v>
      </c>
      <c r="G13" s="35">
        <v>0.5625</v>
      </c>
      <c r="H13" s="35">
        <v>0.8125</v>
      </c>
      <c r="I13" s="36">
        <f t="shared" si="4"/>
        <v>0.25</v>
      </c>
      <c r="J13" s="37">
        <f t="shared" si="5"/>
        <v>0.4236111111111111</v>
      </c>
      <c r="K13" s="37">
        <f t="shared" si="6"/>
        <v>0.29166666666666669</v>
      </c>
      <c r="L13" s="47">
        <f>IF(A13="o",F13+I13,"")</f>
        <v>0.4236111111111111</v>
      </c>
      <c r="M13" s="39"/>
    </row>
    <row r="14" spans="1:17">
      <c r="A14" s="53" t="str">
        <f t="shared" si="1"/>
        <v>N</v>
      </c>
      <c r="B14" s="31"/>
      <c r="C14" s="28">
        <f t="shared" si="2"/>
        <v>43587</v>
      </c>
      <c r="D14" s="34">
        <v>0.33333333333333331</v>
      </c>
      <c r="E14" s="35">
        <v>0.52083333333333337</v>
      </c>
      <c r="F14" s="36">
        <f t="shared" si="3"/>
        <v>0.18750000000000006</v>
      </c>
      <c r="G14" s="35">
        <v>0.5625</v>
      </c>
      <c r="H14" s="35">
        <v>0.72916666666666663</v>
      </c>
      <c r="I14" s="36">
        <f t="shared" si="4"/>
        <v>0.16666666666666663</v>
      </c>
      <c r="J14" s="37">
        <f t="shared" si="5"/>
        <v>0.35416666666666669</v>
      </c>
      <c r="K14" s="37">
        <f t="shared" si="6"/>
        <v>0.29166666666666669</v>
      </c>
      <c r="L14" s="47" t="str">
        <f t="shared" ref="L14:L17" si="8">IF(A14="o",F14+I14,"")</f>
        <v/>
      </c>
      <c r="M14" s="39"/>
    </row>
    <row r="15" spans="1:17">
      <c r="A15" s="53" t="str">
        <f t="shared" si="1"/>
        <v>N</v>
      </c>
      <c r="B15" s="31"/>
      <c r="C15" s="28">
        <f t="shared" si="2"/>
        <v>43588</v>
      </c>
      <c r="D15" s="34">
        <v>0.33333333333333331</v>
      </c>
      <c r="E15" s="35">
        <v>0.5</v>
      </c>
      <c r="F15" s="36">
        <f t="shared" si="3"/>
        <v>0.16666666666666669</v>
      </c>
      <c r="G15" s="35">
        <v>0.5625</v>
      </c>
      <c r="H15" s="35">
        <v>0.8125</v>
      </c>
      <c r="I15" s="36">
        <f t="shared" si="4"/>
        <v>0.25</v>
      </c>
      <c r="J15" s="37">
        <f t="shared" si="5"/>
        <v>0.41666666666666669</v>
      </c>
      <c r="K15" s="37">
        <f t="shared" si="6"/>
        <v>0.29166666666666669</v>
      </c>
      <c r="L15" s="47" t="str">
        <f t="shared" si="8"/>
        <v/>
      </c>
      <c r="M15" s="39"/>
    </row>
    <row r="16" spans="1:17">
      <c r="A16" s="53" t="str">
        <f t="shared" si="1"/>
        <v>N</v>
      </c>
      <c r="B16" s="31"/>
      <c r="C16" s="28">
        <f t="shared" si="2"/>
        <v>43589</v>
      </c>
      <c r="D16" s="34">
        <v>0.375</v>
      </c>
      <c r="E16" s="35">
        <v>0.5</v>
      </c>
      <c r="F16" s="36">
        <f t="shared" si="3"/>
        <v>0.125</v>
      </c>
      <c r="G16" s="35">
        <v>0.5625</v>
      </c>
      <c r="H16" s="35">
        <v>0.8125</v>
      </c>
      <c r="I16" s="36">
        <f t="shared" si="4"/>
        <v>0.25</v>
      </c>
      <c r="J16" s="37">
        <f t="shared" si="5"/>
        <v>0.375</v>
      </c>
      <c r="K16" s="37" t="str">
        <f>IF(WEEKDAY(C16,2)&lt;6,$J$6,"")</f>
        <v/>
      </c>
      <c r="L16" s="47" t="str">
        <f t="shared" si="8"/>
        <v/>
      </c>
      <c r="M16" s="39"/>
    </row>
    <row r="17" spans="1:15">
      <c r="A17" s="53" t="str">
        <f t="shared" si="1"/>
        <v>N</v>
      </c>
      <c r="B17" s="31"/>
      <c r="C17" s="28">
        <f t="shared" si="2"/>
        <v>43590</v>
      </c>
      <c r="D17" s="34"/>
      <c r="E17" s="35"/>
      <c r="F17" s="36">
        <f t="shared" si="3"/>
        <v>0</v>
      </c>
      <c r="G17" s="35"/>
      <c r="H17" s="35"/>
      <c r="I17" s="36">
        <f t="shared" si="4"/>
        <v>0</v>
      </c>
      <c r="J17" s="37">
        <f t="shared" si="5"/>
        <v>0</v>
      </c>
      <c r="K17" s="37" t="str">
        <f>IF(WEEKDAY(C17,2)&lt;6,$J$6,"")</f>
        <v/>
      </c>
      <c r="L17" s="47" t="str">
        <f t="shared" si="8"/>
        <v/>
      </c>
      <c r="M17" s="40"/>
    </row>
    <row r="18" spans="1:15">
      <c r="A18" s="53" t="str">
        <f t="shared" si="1"/>
        <v>N</v>
      </c>
      <c r="B18" s="29"/>
      <c r="C18" s="32" t="str">
        <f>"Total sem "&amp;B12</f>
        <v>Total sem 18</v>
      </c>
      <c r="D18" s="41"/>
      <c r="E18" s="42"/>
      <c r="F18" s="43"/>
      <c r="G18" s="42"/>
      <c r="H18" s="42"/>
      <c r="I18" s="43"/>
      <c r="J18" s="44">
        <f>SUM(J11:J17)</f>
        <v>2.4375</v>
      </c>
      <c r="K18" s="44">
        <f>SUM(K11:K17)</f>
        <v>1.4583333333333335</v>
      </c>
      <c r="L18" s="44">
        <f>SUM(L11:L17)</f>
        <v>0.4236111111111111</v>
      </c>
      <c r="M18" s="45">
        <f>MAX(0,J18-K18)</f>
        <v>0.97916666666666652</v>
      </c>
      <c r="N18" s="30"/>
    </row>
    <row r="19" spans="1:15">
      <c r="A19" s="53" t="str">
        <f t="shared" si="1"/>
        <v>N</v>
      </c>
      <c r="B19" s="29">
        <f t="shared" ref="B19:B57" si="9">IF(WEEKDAY(C19)=2,INT(MOD(INT((C19-2)/7)+0.6,52+5/28))+1,"")</f>
        <v>19</v>
      </c>
      <c r="C19" s="28">
        <f>C17+1</f>
        <v>43591</v>
      </c>
      <c r="D19" s="34">
        <v>0.33333333333333331</v>
      </c>
      <c r="E19" s="35">
        <v>0.52083333333333337</v>
      </c>
      <c r="F19" s="36">
        <f t="shared" ref="F19:F25" si="10">E19-D19</f>
        <v>0.18750000000000006</v>
      </c>
      <c r="G19" s="35">
        <v>0.5625</v>
      </c>
      <c r="H19" s="35">
        <v>0.70833333333333337</v>
      </c>
      <c r="I19" s="36">
        <f t="shared" ref="I19:I25" si="11">H19-G19</f>
        <v>0.14583333333333337</v>
      </c>
      <c r="J19" s="37">
        <f>F19+I19</f>
        <v>0.33333333333333343</v>
      </c>
      <c r="K19" s="37">
        <f>IF(WEEKDAY(C19,2)&lt;6,$J$6,"")</f>
        <v>0.29166666666666669</v>
      </c>
      <c r="L19" s="47" t="str">
        <f t="shared" ref="L19:L20" si="12">IF(A19="o",F19+I19,"")</f>
        <v/>
      </c>
      <c r="M19" s="38"/>
    </row>
    <row r="20" spans="1:15">
      <c r="A20" s="53" t="str">
        <f t="shared" si="1"/>
        <v>N</v>
      </c>
      <c r="B20" s="29" t="str">
        <f t="shared" si="9"/>
        <v/>
      </c>
      <c r="C20" s="28">
        <f t="shared" ref="C20:C44" si="13">C19+1</f>
        <v>43592</v>
      </c>
      <c r="D20" s="34">
        <v>0.33333333333333331</v>
      </c>
      <c r="E20" s="35">
        <v>0.52083333333333337</v>
      </c>
      <c r="F20" s="36">
        <f t="shared" si="10"/>
        <v>0.18750000000000006</v>
      </c>
      <c r="G20" s="35">
        <v>0.5625</v>
      </c>
      <c r="H20" s="35">
        <v>0.75</v>
      </c>
      <c r="I20" s="36">
        <f t="shared" si="11"/>
        <v>0.1875</v>
      </c>
      <c r="J20" s="37">
        <f t="shared" ref="J20:J25" si="14">F20+I20</f>
        <v>0.37500000000000006</v>
      </c>
      <c r="K20" s="37">
        <f t="shared" ref="K20:K23" si="15">IF(WEEKDAY(C20,2)&lt;6,$J$6,"")</f>
        <v>0.29166666666666669</v>
      </c>
      <c r="L20" s="47" t="str">
        <f t="shared" si="12"/>
        <v/>
      </c>
      <c r="M20" s="38"/>
    </row>
    <row r="21" spans="1:15">
      <c r="A21" s="53" t="str">
        <f t="shared" si="1"/>
        <v>O</v>
      </c>
      <c r="B21" s="29" t="str">
        <f t="shared" si="9"/>
        <v/>
      </c>
      <c r="C21" s="28">
        <f t="shared" si="13"/>
        <v>43593</v>
      </c>
      <c r="D21" s="34">
        <v>0.33333333333333331</v>
      </c>
      <c r="E21" s="35">
        <v>0.52083333333333337</v>
      </c>
      <c r="F21" s="36">
        <f t="shared" si="10"/>
        <v>0.18750000000000006</v>
      </c>
      <c r="G21" s="35">
        <v>0.54166666666666663</v>
      </c>
      <c r="H21" s="35">
        <v>0.75</v>
      </c>
      <c r="I21" s="36">
        <f t="shared" si="11"/>
        <v>0.20833333333333337</v>
      </c>
      <c r="J21" s="37">
        <f t="shared" si="14"/>
        <v>0.39583333333333343</v>
      </c>
      <c r="K21" s="37">
        <f t="shared" si="15"/>
        <v>0.29166666666666669</v>
      </c>
      <c r="L21" s="47">
        <f>IF(A21="o",F21+I21,"")</f>
        <v>0.39583333333333343</v>
      </c>
      <c r="M21" s="39"/>
    </row>
    <row r="22" spans="1:15" ht="15.75">
      <c r="A22" s="53" t="str">
        <f t="shared" si="1"/>
        <v>N</v>
      </c>
      <c r="B22" s="29" t="str">
        <f t="shared" si="9"/>
        <v/>
      </c>
      <c r="C22" s="28">
        <f t="shared" si="13"/>
        <v>43594</v>
      </c>
      <c r="D22" s="34">
        <v>0.33333333333333331</v>
      </c>
      <c r="E22" s="35">
        <v>0.51041666666666663</v>
      </c>
      <c r="F22" s="36">
        <f t="shared" si="10"/>
        <v>0.17708333333333331</v>
      </c>
      <c r="G22" s="35">
        <v>0.55208333333333337</v>
      </c>
      <c r="H22" s="35">
        <v>0.72916666666666663</v>
      </c>
      <c r="I22" s="36">
        <f t="shared" si="11"/>
        <v>0.17708333333333326</v>
      </c>
      <c r="J22" s="37">
        <f t="shared" si="14"/>
        <v>0.35416666666666657</v>
      </c>
      <c r="K22" s="37">
        <f t="shared" si="15"/>
        <v>0.29166666666666669</v>
      </c>
      <c r="L22" s="47" t="str">
        <f t="shared" ref="L22:L25" si="16">IF(A22="o",F22+I22,"")</f>
        <v/>
      </c>
      <c r="M22" s="39"/>
      <c r="O22" s="55" t="s">
        <v>66</v>
      </c>
    </row>
    <row r="23" spans="1:15">
      <c r="A23" s="53" t="str">
        <f t="shared" si="1"/>
        <v>N</v>
      </c>
      <c r="B23" s="29" t="str">
        <f t="shared" si="9"/>
        <v/>
      </c>
      <c r="C23" s="28">
        <f t="shared" si="13"/>
        <v>43595</v>
      </c>
      <c r="D23" s="34">
        <v>0.33333333333333331</v>
      </c>
      <c r="E23" s="35">
        <v>0.52083333333333337</v>
      </c>
      <c r="F23" s="36">
        <f t="shared" si="10"/>
        <v>0.18750000000000006</v>
      </c>
      <c r="G23" s="35">
        <v>0.5625</v>
      </c>
      <c r="H23" s="35">
        <v>0.70833333333333337</v>
      </c>
      <c r="I23" s="36">
        <f t="shared" si="11"/>
        <v>0.14583333333333337</v>
      </c>
      <c r="J23" s="37">
        <f t="shared" si="14"/>
        <v>0.33333333333333343</v>
      </c>
      <c r="K23" s="37">
        <f t="shared" si="15"/>
        <v>0.29166666666666669</v>
      </c>
      <c r="L23" s="47" t="str">
        <f t="shared" si="16"/>
        <v/>
      </c>
      <c r="M23" s="39"/>
    </row>
    <row r="24" spans="1:15">
      <c r="A24" s="53" t="str">
        <f t="shared" si="1"/>
        <v>N</v>
      </c>
      <c r="B24" s="29" t="str">
        <f t="shared" si="9"/>
        <v/>
      </c>
      <c r="C24" s="28">
        <f t="shared" si="13"/>
        <v>43596</v>
      </c>
      <c r="D24" s="34">
        <v>0.375</v>
      </c>
      <c r="E24" s="35">
        <v>0.5</v>
      </c>
      <c r="F24" s="36">
        <f t="shared" si="10"/>
        <v>0.125</v>
      </c>
      <c r="G24" s="35">
        <v>0.5625</v>
      </c>
      <c r="H24" s="35">
        <v>0.8125</v>
      </c>
      <c r="I24" s="36">
        <f t="shared" si="11"/>
        <v>0.25</v>
      </c>
      <c r="J24" s="37">
        <f t="shared" si="14"/>
        <v>0.375</v>
      </c>
      <c r="K24" s="37" t="str">
        <f>IF(WEEKDAY(C24,2)&lt;6,$J$6,"")</f>
        <v/>
      </c>
      <c r="L24" s="47" t="str">
        <f t="shared" si="16"/>
        <v/>
      </c>
      <c r="M24" s="39"/>
    </row>
    <row r="25" spans="1:15">
      <c r="A25" s="53" t="str">
        <f t="shared" si="1"/>
        <v>N</v>
      </c>
      <c r="B25" s="29" t="str">
        <f t="shared" si="9"/>
        <v/>
      </c>
      <c r="C25" s="28">
        <f t="shared" si="13"/>
        <v>43597</v>
      </c>
      <c r="D25" s="34"/>
      <c r="E25" s="35"/>
      <c r="F25" s="36">
        <f t="shared" si="10"/>
        <v>0</v>
      </c>
      <c r="G25" s="35"/>
      <c r="H25" s="35"/>
      <c r="I25" s="36">
        <f t="shared" si="11"/>
        <v>0</v>
      </c>
      <c r="J25" s="37">
        <f t="shared" si="14"/>
        <v>0</v>
      </c>
      <c r="K25" s="37" t="str">
        <f>IF(WEEKDAY(C25,2)&lt;6,$J$6,"")</f>
        <v/>
      </c>
      <c r="L25" s="47" t="str">
        <f t="shared" si="16"/>
        <v/>
      </c>
      <c r="M25" s="40"/>
    </row>
    <row r="26" spans="1:15">
      <c r="A26" s="53" t="str">
        <f t="shared" si="1"/>
        <v>N</v>
      </c>
      <c r="B26" s="29"/>
      <c r="C26" s="32" t="str">
        <f>"Total sem "&amp;B19</f>
        <v>Total sem 19</v>
      </c>
      <c r="D26" s="41"/>
      <c r="E26" s="42"/>
      <c r="F26" s="43"/>
      <c r="G26" s="42"/>
      <c r="H26" s="42"/>
      <c r="I26" s="43"/>
      <c r="J26" s="44">
        <f>SUM(J19:J25)</f>
        <v>2.166666666666667</v>
      </c>
      <c r="K26" s="44">
        <f>SUM(K19:K25)</f>
        <v>1.4583333333333335</v>
      </c>
      <c r="L26" s="44">
        <f>SUM(L19:L25)</f>
        <v>0.39583333333333343</v>
      </c>
      <c r="M26" s="45">
        <f>MAX(0,J26-K26)</f>
        <v>0.70833333333333348</v>
      </c>
      <c r="N26" s="23"/>
    </row>
    <row r="27" spans="1:15">
      <c r="A27" s="53" t="str">
        <f t="shared" si="1"/>
        <v>N</v>
      </c>
      <c r="B27" s="29">
        <f t="shared" si="9"/>
        <v>20</v>
      </c>
      <c r="C27" s="28">
        <f>C25+1</f>
        <v>43598</v>
      </c>
      <c r="D27" s="34">
        <v>0.33333333333333331</v>
      </c>
      <c r="E27" s="35">
        <v>0.52083333333333337</v>
      </c>
      <c r="F27" s="36">
        <f t="shared" ref="F27:F33" si="17">E27-D27</f>
        <v>0.18750000000000006</v>
      </c>
      <c r="G27" s="35">
        <v>0.5625</v>
      </c>
      <c r="H27" s="35">
        <v>0.70833333333333337</v>
      </c>
      <c r="I27" s="36">
        <f t="shared" ref="I27:I33" si="18">H27-G27</f>
        <v>0.14583333333333337</v>
      </c>
      <c r="J27" s="37">
        <f>F27+I27</f>
        <v>0.33333333333333343</v>
      </c>
      <c r="K27" s="37">
        <f>IF(WEEKDAY(C27,2)&lt;6,$J$6,"")</f>
        <v>0.29166666666666669</v>
      </c>
      <c r="L27" s="47" t="str">
        <f t="shared" ref="L27:L28" si="19">IF(A27="o",F27+I27,"")</f>
        <v/>
      </c>
      <c r="M27" s="38"/>
    </row>
    <row r="28" spans="1:15">
      <c r="A28" s="53" t="str">
        <f t="shared" si="1"/>
        <v>N</v>
      </c>
      <c r="B28" s="29"/>
      <c r="C28" s="28">
        <f t="shared" si="13"/>
        <v>43599</v>
      </c>
      <c r="D28" s="34">
        <v>0.33333333333333331</v>
      </c>
      <c r="E28" s="35">
        <v>0.52083333333333337</v>
      </c>
      <c r="F28" s="36">
        <f t="shared" si="17"/>
        <v>0.18750000000000006</v>
      </c>
      <c r="G28" s="35">
        <v>0.5625</v>
      </c>
      <c r="H28" s="35">
        <v>0.75</v>
      </c>
      <c r="I28" s="36">
        <f t="shared" si="18"/>
        <v>0.1875</v>
      </c>
      <c r="J28" s="37">
        <f t="shared" ref="J28:J33" si="20">F28+I28</f>
        <v>0.37500000000000006</v>
      </c>
      <c r="K28" s="37">
        <f t="shared" ref="K28:K31" si="21">IF(WEEKDAY(C28,2)&lt;6,$J$6,"")</f>
        <v>0.29166666666666669</v>
      </c>
      <c r="L28" s="47" t="str">
        <f t="shared" si="19"/>
        <v/>
      </c>
      <c r="M28" s="38"/>
    </row>
    <row r="29" spans="1:15">
      <c r="A29" s="53" t="str">
        <f t="shared" si="1"/>
        <v>N</v>
      </c>
      <c r="B29" s="29"/>
      <c r="C29" s="28">
        <f t="shared" si="13"/>
        <v>43600</v>
      </c>
      <c r="D29" s="34">
        <v>0.33333333333333331</v>
      </c>
      <c r="E29" s="35">
        <v>0.52083333333333337</v>
      </c>
      <c r="F29" s="36">
        <f t="shared" si="17"/>
        <v>0.18750000000000006</v>
      </c>
      <c r="G29" s="35">
        <v>0.54166666666666663</v>
      </c>
      <c r="H29" s="35">
        <v>0.75</v>
      </c>
      <c r="I29" s="36">
        <f t="shared" si="18"/>
        <v>0.20833333333333337</v>
      </c>
      <c r="J29" s="37">
        <f t="shared" si="20"/>
        <v>0.39583333333333343</v>
      </c>
      <c r="K29" s="37">
        <f t="shared" si="21"/>
        <v>0.29166666666666669</v>
      </c>
      <c r="L29" s="47" t="str">
        <f>IF(A29="o",F29+I29,"")</f>
        <v/>
      </c>
      <c r="M29" s="39"/>
    </row>
    <row r="30" spans="1:15">
      <c r="A30" s="53" t="str">
        <f t="shared" si="1"/>
        <v>N</v>
      </c>
      <c r="B30" s="29"/>
      <c r="C30" s="28">
        <f t="shared" si="13"/>
        <v>43601</v>
      </c>
      <c r="D30" s="34">
        <v>0.33333333333333331</v>
      </c>
      <c r="E30" s="35">
        <v>0.51041666666666663</v>
      </c>
      <c r="F30" s="36">
        <f t="shared" si="17"/>
        <v>0.17708333333333331</v>
      </c>
      <c r="G30" s="35">
        <v>0.55208333333333337</v>
      </c>
      <c r="H30" s="35">
        <v>0.72916666666666663</v>
      </c>
      <c r="I30" s="36">
        <f t="shared" si="18"/>
        <v>0.17708333333333326</v>
      </c>
      <c r="J30" s="37">
        <f t="shared" si="20"/>
        <v>0.35416666666666657</v>
      </c>
      <c r="K30" s="37">
        <f t="shared" si="21"/>
        <v>0.29166666666666669</v>
      </c>
      <c r="L30" s="47" t="str">
        <f t="shared" ref="L30:L33" si="22">IF(A30="o",F30+I30,"")</f>
        <v/>
      </c>
      <c r="M30" s="39"/>
    </row>
    <row r="31" spans="1:15">
      <c r="A31" s="53" t="str">
        <f t="shared" si="1"/>
        <v>N</v>
      </c>
      <c r="B31" s="29"/>
      <c r="C31" s="28">
        <f t="shared" si="13"/>
        <v>43602</v>
      </c>
      <c r="D31" s="34">
        <v>0.33333333333333331</v>
      </c>
      <c r="E31" s="35">
        <v>0.52083333333333337</v>
      </c>
      <c r="F31" s="36">
        <f t="shared" si="17"/>
        <v>0.18750000000000006</v>
      </c>
      <c r="G31" s="35">
        <v>0.5625</v>
      </c>
      <c r="H31" s="35">
        <v>0.70833333333333337</v>
      </c>
      <c r="I31" s="36">
        <f t="shared" si="18"/>
        <v>0.14583333333333337</v>
      </c>
      <c r="J31" s="37">
        <f t="shared" si="20"/>
        <v>0.33333333333333343</v>
      </c>
      <c r="K31" s="37">
        <f t="shared" si="21"/>
        <v>0.29166666666666669</v>
      </c>
      <c r="L31" s="47" t="str">
        <f t="shared" si="22"/>
        <v/>
      </c>
      <c r="M31" s="39"/>
    </row>
    <row r="32" spans="1:15">
      <c r="A32" s="53" t="str">
        <f t="shared" si="1"/>
        <v>N</v>
      </c>
      <c r="B32" s="29"/>
      <c r="C32" s="28">
        <f t="shared" si="13"/>
        <v>43603</v>
      </c>
      <c r="D32" s="34"/>
      <c r="E32" s="35"/>
      <c r="F32" s="36">
        <f t="shared" si="17"/>
        <v>0</v>
      </c>
      <c r="G32" s="35"/>
      <c r="H32" s="35"/>
      <c r="I32" s="36">
        <f t="shared" si="18"/>
        <v>0</v>
      </c>
      <c r="J32" s="37">
        <f t="shared" si="20"/>
        <v>0</v>
      </c>
      <c r="K32" s="37" t="str">
        <f>IF(WEEKDAY(C32,2)&lt;6,$J$6,"")</f>
        <v/>
      </c>
      <c r="L32" s="47" t="str">
        <f t="shared" si="22"/>
        <v/>
      </c>
      <c r="M32" s="39"/>
    </row>
    <row r="33" spans="1:20">
      <c r="A33" s="53" t="str">
        <f t="shared" si="1"/>
        <v>N</v>
      </c>
      <c r="B33" s="29"/>
      <c r="C33" s="28">
        <f t="shared" si="13"/>
        <v>43604</v>
      </c>
      <c r="D33" s="34"/>
      <c r="E33" s="35"/>
      <c r="F33" s="36">
        <f t="shared" si="17"/>
        <v>0</v>
      </c>
      <c r="G33" s="35"/>
      <c r="H33" s="35"/>
      <c r="I33" s="36">
        <f t="shared" si="18"/>
        <v>0</v>
      </c>
      <c r="J33" s="37">
        <f t="shared" si="20"/>
        <v>0</v>
      </c>
      <c r="K33" s="37" t="str">
        <f>IF(WEEKDAY(C33,2)&lt;6,$J$6,"")</f>
        <v/>
      </c>
      <c r="L33" s="47" t="str">
        <f t="shared" si="22"/>
        <v/>
      </c>
      <c r="M33" s="40"/>
    </row>
    <row r="34" spans="1:20">
      <c r="A34" s="53" t="str">
        <f t="shared" si="1"/>
        <v>N</v>
      </c>
      <c r="B34" s="29"/>
      <c r="C34" s="32" t="str">
        <f>"Total sem "&amp;B27</f>
        <v>Total sem 20</v>
      </c>
      <c r="D34" s="41"/>
      <c r="E34" s="42"/>
      <c r="F34" s="43"/>
      <c r="G34" s="42"/>
      <c r="H34" s="42"/>
      <c r="I34" s="43"/>
      <c r="J34" s="44">
        <f>SUM(J27:J33)</f>
        <v>1.791666666666667</v>
      </c>
      <c r="K34" s="44">
        <f>SUM(K27:K33)</f>
        <v>1.4583333333333335</v>
      </c>
      <c r="L34" s="44">
        <f>SUM(L27:L33)</f>
        <v>0</v>
      </c>
      <c r="M34" s="45">
        <f>MAX(0,J34-K34)</f>
        <v>0.33333333333333348</v>
      </c>
      <c r="O34" s="75" t="s">
        <v>43</v>
      </c>
      <c r="P34" s="84" t="s">
        <v>50</v>
      </c>
      <c r="Q34" s="84" t="s">
        <v>51</v>
      </c>
      <c r="R34" s="84" t="s">
        <v>49</v>
      </c>
      <c r="S34" s="85" t="s">
        <v>44</v>
      </c>
      <c r="T34" s="85" t="s">
        <v>45</v>
      </c>
    </row>
    <row r="35" spans="1:20">
      <c r="A35" s="53" t="str">
        <f t="shared" si="1"/>
        <v>N</v>
      </c>
      <c r="B35" s="29">
        <f t="shared" si="9"/>
        <v>21</v>
      </c>
      <c r="C35" s="28">
        <f>C33+1</f>
        <v>43605</v>
      </c>
      <c r="D35" s="34">
        <v>0.33333333333333331</v>
      </c>
      <c r="E35" s="35">
        <v>0.52083333333333337</v>
      </c>
      <c r="F35" s="36">
        <f t="shared" ref="F35:F41" si="23">E35-D35</f>
        <v>0.18750000000000006</v>
      </c>
      <c r="G35" s="35">
        <v>0.5625</v>
      </c>
      <c r="H35" s="35">
        <v>0.70833333333333337</v>
      </c>
      <c r="I35" s="36">
        <f t="shared" ref="I35:I41" si="24">H35-G35</f>
        <v>0.14583333333333337</v>
      </c>
      <c r="J35" s="37">
        <f>F35+I35</f>
        <v>0.33333333333333343</v>
      </c>
      <c r="K35" s="37">
        <f>IF(WEEKDAY(C35,2)&lt;6,$J$6,"")</f>
        <v>0.29166666666666669</v>
      </c>
      <c r="L35" s="47" t="str">
        <f t="shared" ref="L35:L36" si="25">IF(A35="o",F35+I35,"")</f>
        <v/>
      </c>
      <c r="M35" s="38"/>
      <c r="O35" s="77" t="str">
        <f>C18</f>
        <v>Total sem 18</v>
      </c>
      <c r="P35" s="78">
        <f>J18</f>
        <v>2.4375</v>
      </c>
      <c r="Q35" s="78">
        <f>K18</f>
        <v>1.4583333333333335</v>
      </c>
      <c r="R35" s="78">
        <f>M18</f>
        <v>0.97916666666666652</v>
      </c>
      <c r="S35" s="79">
        <f>IF(R35&lt;=8,R35,8)</f>
        <v>0.97916666666666652</v>
      </c>
      <c r="T35" s="80"/>
    </row>
    <row r="36" spans="1:20">
      <c r="A36" s="53" t="str">
        <f t="shared" si="1"/>
        <v>N</v>
      </c>
      <c r="B36" s="29"/>
      <c r="C36" s="28">
        <f t="shared" si="13"/>
        <v>43606</v>
      </c>
      <c r="D36" s="34">
        <v>0.33333333333333331</v>
      </c>
      <c r="E36" s="35">
        <v>0.52083333333333337</v>
      </c>
      <c r="F36" s="36">
        <f t="shared" si="23"/>
        <v>0.18750000000000006</v>
      </c>
      <c r="G36" s="35">
        <v>0.5625</v>
      </c>
      <c r="H36" s="35">
        <v>0.75</v>
      </c>
      <c r="I36" s="36">
        <f t="shared" si="24"/>
        <v>0.1875</v>
      </c>
      <c r="J36" s="37">
        <f t="shared" ref="J36:J41" si="26">F36+I36</f>
        <v>0.37500000000000006</v>
      </c>
      <c r="K36" s="37">
        <f t="shared" ref="K36:K39" si="27">IF(WEEKDAY(C36,2)&lt;6,$J$6,"")</f>
        <v>0.29166666666666669</v>
      </c>
      <c r="L36" s="47" t="str">
        <f t="shared" si="25"/>
        <v/>
      </c>
      <c r="M36" s="38"/>
      <c r="O36" s="77" t="str">
        <f>C26</f>
        <v>Total sem 19</v>
      </c>
      <c r="P36" s="78">
        <f>J26</f>
        <v>2.166666666666667</v>
      </c>
      <c r="Q36" s="78">
        <f t="shared" ref="Q36:R36" si="28">K26</f>
        <v>1.4583333333333335</v>
      </c>
      <c r="R36" s="78">
        <f>M26</f>
        <v>0.70833333333333348</v>
      </c>
      <c r="S36" s="80"/>
      <c r="T36" s="80"/>
    </row>
    <row r="37" spans="1:20">
      <c r="A37" s="53" t="str">
        <f t="shared" si="1"/>
        <v>N</v>
      </c>
      <c r="B37" s="29"/>
      <c r="C37" s="28">
        <f t="shared" si="13"/>
        <v>43607</v>
      </c>
      <c r="D37" s="34">
        <v>0.33333333333333331</v>
      </c>
      <c r="E37" s="35">
        <v>0.52083333333333337</v>
      </c>
      <c r="F37" s="36">
        <f t="shared" si="23"/>
        <v>0.18750000000000006</v>
      </c>
      <c r="G37" s="35">
        <v>0.54166666666666663</v>
      </c>
      <c r="H37" s="35">
        <v>0.75</v>
      </c>
      <c r="I37" s="36">
        <f t="shared" si="24"/>
        <v>0.20833333333333337</v>
      </c>
      <c r="J37" s="37">
        <f t="shared" si="26"/>
        <v>0.39583333333333343</v>
      </c>
      <c r="K37" s="37">
        <f t="shared" si="27"/>
        <v>0.29166666666666669</v>
      </c>
      <c r="L37" s="47" t="str">
        <f>IF(A37="o",F37+I37,"")</f>
        <v/>
      </c>
      <c r="M37" s="39"/>
      <c r="O37" s="77" t="str">
        <f>C34</f>
        <v>Total sem 20</v>
      </c>
      <c r="P37" s="78">
        <f>J34</f>
        <v>1.791666666666667</v>
      </c>
      <c r="Q37" s="78">
        <f t="shared" ref="Q37:R37" si="29">K34</f>
        <v>1.4583333333333335</v>
      </c>
      <c r="R37" s="78">
        <f>M34</f>
        <v>0.33333333333333348</v>
      </c>
      <c r="S37" s="80"/>
      <c r="T37" s="80"/>
    </row>
    <row r="38" spans="1:20">
      <c r="A38" s="53" t="str">
        <f t="shared" si="1"/>
        <v>N</v>
      </c>
      <c r="B38" s="29"/>
      <c r="C38" s="28">
        <f t="shared" si="13"/>
        <v>43608</v>
      </c>
      <c r="D38" s="34">
        <v>0.33333333333333331</v>
      </c>
      <c r="E38" s="35">
        <v>0.51041666666666663</v>
      </c>
      <c r="F38" s="36">
        <f t="shared" si="23"/>
        <v>0.17708333333333331</v>
      </c>
      <c r="G38" s="35">
        <v>0.55208333333333337</v>
      </c>
      <c r="H38" s="35">
        <v>0.72916666666666663</v>
      </c>
      <c r="I38" s="36">
        <f t="shared" si="24"/>
        <v>0.17708333333333326</v>
      </c>
      <c r="J38" s="37">
        <f t="shared" si="26"/>
        <v>0.35416666666666657</v>
      </c>
      <c r="K38" s="37">
        <f t="shared" si="27"/>
        <v>0.29166666666666669</v>
      </c>
      <c r="L38" s="47" t="str">
        <f t="shared" ref="L38:L41" si="30">IF(A38="o",F38+I38,"")</f>
        <v/>
      </c>
      <c r="M38" s="39"/>
      <c r="O38" s="81" t="str">
        <f>C42</f>
        <v>Total sem 21</v>
      </c>
      <c r="P38" s="82">
        <f>J42</f>
        <v>1.791666666666667</v>
      </c>
      <c r="Q38" s="82">
        <f t="shared" ref="Q38:R38" si="31">K42</f>
        <v>1.4583333333333335</v>
      </c>
      <c r="R38" s="82">
        <f>M42</f>
        <v>0.33333333333333348</v>
      </c>
      <c r="S38" s="83"/>
      <c r="T38" s="83"/>
    </row>
    <row r="39" spans="1:20">
      <c r="A39" s="53" t="str">
        <f t="shared" si="1"/>
        <v>N</v>
      </c>
      <c r="B39" s="29"/>
      <c r="C39" s="28">
        <f t="shared" si="13"/>
        <v>43609</v>
      </c>
      <c r="D39" s="34">
        <v>0.33333333333333331</v>
      </c>
      <c r="E39" s="35">
        <v>0.52083333333333337</v>
      </c>
      <c r="F39" s="36">
        <f t="shared" si="23"/>
        <v>0.18750000000000006</v>
      </c>
      <c r="G39" s="35">
        <v>0.5625</v>
      </c>
      <c r="H39" s="35">
        <v>0.70833333333333337</v>
      </c>
      <c r="I39" s="36">
        <f t="shared" si="24"/>
        <v>0.14583333333333337</v>
      </c>
      <c r="J39" s="37">
        <f t="shared" si="26"/>
        <v>0.33333333333333343</v>
      </c>
      <c r="K39" s="37">
        <f t="shared" si="27"/>
        <v>0.29166666666666669</v>
      </c>
      <c r="L39" s="47" t="str">
        <f t="shared" si="30"/>
        <v/>
      </c>
      <c r="M39" s="39"/>
      <c r="O39" s="75" t="s">
        <v>52</v>
      </c>
      <c r="P39" s="76">
        <f>SUM(P35:P38)</f>
        <v>8.1875</v>
      </c>
      <c r="Q39" s="75"/>
      <c r="R39" s="76">
        <f>SUM(R35:R38)</f>
        <v>2.354166666666667</v>
      </c>
      <c r="S39" s="76">
        <f>SUM(S35:S38)</f>
        <v>0.97916666666666652</v>
      </c>
      <c r="T39" s="76">
        <f>SUM(T35:T38)</f>
        <v>0</v>
      </c>
    </row>
    <row r="40" spans="1:20">
      <c r="A40" s="53" t="str">
        <f t="shared" si="1"/>
        <v>N</v>
      </c>
      <c r="B40" s="29"/>
      <c r="C40" s="28">
        <f t="shared" si="13"/>
        <v>43610</v>
      </c>
      <c r="D40" s="34"/>
      <c r="E40" s="35"/>
      <c r="F40" s="36">
        <f t="shared" si="23"/>
        <v>0</v>
      </c>
      <c r="G40" s="35"/>
      <c r="H40" s="35"/>
      <c r="I40" s="36">
        <f t="shared" si="24"/>
        <v>0</v>
      </c>
      <c r="J40" s="37">
        <f t="shared" si="26"/>
        <v>0</v>
      </c>
      <c r="K40" s="37" t="str">
        <f>IF(WEEKDAY(C40,2)&lt;6,$J$6,"")</f>
        <v/>
      </c>
      <c r="L40" s="47" t="str">
        <f t="shared" si="30"/>
        <v/>
      </c>
      <c r="M40" s="39"/>
      <c r="O40" s="74"/>
      <c r="P40" s="74"/>
      <c r="Q40" s="74"/>
      <c r="R40" s="74"/>
      <c r="S40" s="74"/>
      <c r="T40" s="74"/>
    </row>
    <row r="41" spans="1:20">
      <c r="A41" s="53" t="str">
        <f t="shared" si="1"/>
        <v>N</v>
      </c>
      <c r="B41" s="29"/>
      <c r="C41" s="28">
        <f t="shared" si="13"/>
        <v>43611</v>
      </c>
      <c r="D41" s="34"/>
      <c r="E41" s="35"/>
      <c r="F41" s="36">
        <f t="shared" si="23"/>
        <v>0</v>
      </c>
      <c r="G41" s="35"/>
      <c r="H41" s="35"/>
      <c r="I41" s="36">
        <f t="shared" si="24"/>
        <v>0</v>
      </c>
      <c r="J41" s="37">
        <f t="shared" si="26"/>
        <v>0</v>
      </c>
      <c r="K41" s="37" t="str">
        <f>IF(WEEKDAY(C41,2)&lt;6,$J$6,"")</f>
        <v/>
      </c>
      <c r="L41" s="47" t="str">
        <f t="shared" si="30"/>
        <v/>
      </c>
      <c r="M41" s="40"/>
      <c r="O41" s="98" t="s">
        <v>59</v>
      </c>
      <c r="P41" s="74"/>
      <c r="Q41" s="74"/>
      <c r="R41" s="74"/>
      <c r="S41" s="74"/>
      <c r="T41" s="74"/>
    </row>
    <row r="42" spans="1:20">
      <c r="A42" s="53" t="str">
        <f t="shared" si="1"/>
        <v>N</v>
      </c>
      <c r="B42" s="29"/>
      <c r="C42" s="32" t="str">
        <f>"Total sem "&amp;B35</f>
        <v>Total sem 21</v>
      </c>
      <c r="D42" s="41"/>
      <c r="E42" s="42"/>
      <c r="F42" s="43"/>
      <c r="G42" s="42"/>
      <c r="H42" s="42"/>
      <c r="I42" s="43"/>
      <c r="J42" s="44">
        <f>SUM(J35:J41)</f>
        <v>1.791666666666667</v>
      </c>
      <c r="K42" s="44">
        <f>SUM(K35:K41)</f>
        <v>1.4583333333333335</v>
      </c>
      <c r="L42" s="44">
        <f>SUM(L35:L41)</f>
        <v>0</v>
      </c>
      <c r="M42" s="45">
        <f>MAX(0,J42-K42)</f>
        <v>0.33333333333333348</v>
      </c>
      <c r="S42" s="74"/>
      <c r="T42" s="74"/>
    </row>
    <row r="43" spans="1:20">
      <c r="A43" s="53" t="str">
        <f t="shared" si="1"/>
        <v>N</v>
      </c>
      <c r="B43" s="29">
        <f t="shared" si="9"/>
        <v>22</v>
      </c>
      <c r="C43" s="28">
        <f>C41+1</f>
        <v>43612</v>
      </c>
      <c r="D43" s="34">
        <v>0.33333333333333331</v>
      </c>
      <c r="E43" s="35">
        <v>0.52083333333333337</v>
      </c>
      <c r="F43" s="36">
        <f t="shared" ref="F43:F49" si="32">E43-D43</f>
        <v>0.18750000000000006</v>
      </c>
      <c r="G43" s="35">
        <v>0.5625</v>
      </c>
      <c r="H43" s="35">
        <v>0.70833333333333337</v>
      </c>
      <c r="I43" s="36">
        <f t="shared" ref="I43:I49" si="33">H43-G43</f>
        <v>0.14583333333333337</v>
      </c>
      <c r="J43" s="37">
        <f>F43+I43</f>
        <v>0.33333333333333343</v>
      </c>
      <c r="K43" s="37">
        <f>IF(WEEKDAY(C43,2)&lt;6,$J$6,"")</f>
        <v>0.29166666666666669</v>
      </c>
      <c r="L43" s="47" t="str">
        <f t="shared" ref="L43:L44" si="34">IF(A43="o",F43+I43,"")</f>
        <v/>
      </c>
      <c r="M43" s="38"/>
      <c r="O43" s="87" t="s">
        <v>58</v>
      </c>
      <c r="P43" s="87"/>
      <c r="Q43" s="87"/>
      <c r="R43" s="87"/>
    </row>
    <row r="44" spans="1:20">
      <c r="A44" s="53" t="str">
        <f t="shared" ref="A44:A58" si="35">IF(COUNTIF(JoursFeries,$C44),"O","N")</f>
        <v>N</v>
      </c>
      <c r="B44" s="29"/>
      <c r="C44" s="28">
        <f t="shared" si="13"/>
        <v>43613</v>
      </c>
      <c r="D44" s="34">
        <v>0.33333333333333331</v>
      </c>
      <c r="E44" s="35">
        <v>0.52083333333333337</v>
      </c>
      <c r="F44" s="36">
        <f t="shared" si="32"/>
        <v>0.18750000000000006</v>
      </c>
      <c r="G44" s="35">
        <v>0.5625</v>
      </c>
      <c r="H44" s="35">
        <v>0.75</v>
      </c>
      <c r="I44" s="36">
        <f t="shared" si="33"/>
        <v>0.1875</v>
      </c>
      <c r="J44" s="37">
        <f t="shared" ref="J44:J49" si="36">F44+I44</f>
        <v>0.37500000000000006</v>
      </c>
      <c r="K44" s="37">
        <f t="shared" ref="K44:K47" si="37">IF(WEEKDAY(C44,2)&lt;6,$J$6,"")</f>
        <v>0.29166666666666669</v>
      </c>
      <c r="L44" s="47" t="str">
        <f t="shared" si="34"/>
        <v/>
      </c>
      <c r="M44" s="38"/>
      <c r="O44" s="88" t="s">
        <v>55</v>
      </c>
      <c r="P44" s="89">
        <v>151.66999999999999</v>
      </c>
      <c r="Q44" s="90">
        <v>11</v>
      </c>
      <c r="R44" s="91">
        <f>P44*Q44</f>
        <v>1668.37</v>
      </c>
    </row>
    <row r="45" spans="1:20">
      <c r="A45" s="53" t="str">
        <f t="shared" si="35"/>
        <v>N</v>
      </c>
      <c r="B45" s="29"/>
      <c r="C45" s="28">
        <f>C44+1</f>
        <v>43614</v>
      </c>
      <c r="D45" s="34">
        <v>0.33333333333333331</v>
      </c>
      <c r="E45" s="35">
        <v>0.52083333333333337</v>
      </c>
      <c r="F45" s="36">
        <f t="shared" si="32"/>
        <v>0.18750000000000006</v>
      </c>
      <c r="G45" s="35">
        <v>0.54166666666666663</v>
      </c>
      <c r="H45" s="35">
        <v>0.75</v>
      </c>
      <c r="I45" s="36">
        <f t="shared" si="33"/>
        <v>0.20833333333333337</v>
      </c>
      <c r="J45" s="37">
        <f t="shared" si="36"/>
        <v>0.39583333333333343</v>
      </c>
      <c r="K45" s="37">
        <f t="shared" si="37"/>
        <v>0.29166666666666669</v>
      </c>
      <c r="L45" s="47" t="str">
        <f>IF(A45="o",F45+I45,"")</f>
        <v/>
      </c>
      <c r="M45" s="39"/>
      <c r="O45" s="92" t="s">
        <v>56</v>
      </c>
      <c r="P45" s="93">
        <v>17.329999999999998</v>
      </c>
      <c r="Q45" s="94">
        <f>Q44*1.25</f>
        <v>13.75</v>
      </c>
      <c r="R45" s="95">
        <f>P45*Q45</f>
        <v>238.28749999999997</v>
      </c>
    </row>
    <row r="46" spans="1:20">
      <c r="A46" s="53" t="str">
        <f t="shared" si="35"/>
        <v>O</v>
      </c>
      <c r="B46" s="29"/>
      <c r="C46" s="28">
        <f t="shared" ref="C46:C49" si="38">C45+1</f>
        <v>43615</v>
      </c>
      <c r="D46" s="34">
        <v>0.33333333333333331</v>
      </c>
      <c r="E46" s="35">
        <v>0.51041666666666663</v>
      </c>
      <c r="F46" s="36">
        <f t="shared" si="32"/>
        <v>0.17708333333333331</v>
      </c>
      <c r="G46" s="35">
        <v>0.55208333333333337</v>
      </c>
      <c r="H46" s="35">
        <v>0.72916666666666663</v>
      </c>
      <c r="I46" s="36">
        <f t="shared" si="33"/>
        <v>0.17708333333333326</v>
      </c>
      <c r="J46" s="37">
        <f t="shared" si="36"/>
        <v>0.35416666666666657</v>
      </c>
      <c r="K46" s="37">
        <f t="shared" si="37"/>
        <v>0.29166666666666669</v>
      </c>
      <c r="L46" s="47">
        <f t="shared" ref="L46:L49" si="39">IF(A46="o",F46+I46,"")</f>
        <v>0.35416666666666657</v>
      </c>
      <c r="M46" s="39"/>
      <c r="O46" s="51"/>
      <c r="P46" s="51"/>
      <c r="Q46" s="96" t="s">
        <v>57</v>
      </c>
      <c r="R46" s="97">
        <f>SUM(R44:R45)</f>
        <v>1906.6574999999998</v>
      </c>
    </row>
    <row r="47" spans="1:20">
      <c r="A47" s="53" t="str">
        <f t="shared" si="35"/>
        <v>N</v>
      </c>
      <c r="B47" s="29"/>
      <c r="C47" s="28">
        <f t="shared" si="38"/>
        <v>43616</v>
      </c>
      <c r="D47" s="34">
        <v>0.33333333333333331</v>
      </c>
      <c r="E47" s="35">
        <v>0.52083333333333337</v>
      </c>
      <c r="F47" s="36">
        <f t="shared" si="32"/>
        <v>0.18750000000000006</v>
      </c>
      <c r="G47" s="35">
        <v>0.5625</v>
      </c>
      <c r="H47" s="35">
        <v>0.70833333333333337</v>
      </c>
      <c r="I47" s="36">
        <f t="shared" si="33"/>
        <v>0.14583333333333337</v>
      </c>
      <c r="J47" s="37">
        <f t="shared" si="36"/>
        <v>0.33333333333333343</v>
      </c>
      <c r="K47" s="37">
        <f t="shared" si="37"/>
        <v>0.29166666666666669</v>
      </c>
      <c r="L47" s="47" t="str">
        <f t="shared" si="39"/>
        <v/>
      </c>
      <c r="M47" s="39"/>
    </row>
    <row r="48" spans="1:20">
      <c r="A48" s="53" t="str">
        <f t="shared" si="35"/>
        <v>N</v>
      </c>
      <c r="B48" s="29"/>
      <c r="C48" s="28">
        <f t="shared" si="38"/>
        <v>43617</v>
      </c>
      <c r="D48" s="34"/>
      <c r="E48" s="35"/>
      <c r="F48" s="36">
        <f t="shared" si="32"/>
        <v>0</v>
      </c>
      <c r="G48" s="35"/>
      <c r="H48" s="35"/>
      <c r="I48" s="36">
        <f t="shared" si="33"/>
        <v>0</v>
      </c>
      <c r="J48" s="37">
        <f t="shared" si="36"/>
        <v>0</v>
      </c>
      <c r="K48" s="37" t="str">
        <f>IF(WEEKDAY(C48,2)&lt;6,$J$6,"")</f>
        <v/>
      </c>
      <c r="L48" s="47" t="str">
        <f t="shared" si="39"/>
        <v/>
      </c>
      <c r="M48" s="39"/>
      <c r="O48" s="101" t="s">
        <v>63</v>
      </c>
    </row>
    <row r="49" spans="1:22" ht="15" customHeight="1">
      <c r="A49" s="53" t="str">
        <f t="shared" si="35"/>
        <v>N</v>
      </c>
      <c r="B49" s="29"/>
      <c r="C49" s="28">
        <f t="shared" si="38"/>
        <v>43618</v>
      </c>
      <c r="D49" s="34"/>
      <c r="E49" s="35"/>
      <c r="F49" s="36">
        <f t="shared" si="32"/>
        <v>0</v>
      </c>
      <c r="G49" s="35"/>
      <c r="H49" s="35"/>
      <c r="I49" s="36">
        <f t="shared" si="33"/>
        <v>0</v>
      </c>
      <c r="J49" s="37">
        <f t="shared" si="36"/>
        <v>0</v>
      </c>
      <c r="K49" s="37" t="str">
        <f>IF(WEEKDAY(C49,2)&lt;6,$J$6,"")</f>
        <v/>
      </c>
      <c r="L49" s="47" t="str">
        <f t="shared" si="39"/>
        <v/>
      </c>
      <c r="M49" s="40"/>
      <c r="O49" s="102" t="s">
        <v>64</v>
      </c>
      <c r="P49" s="99"/>
      <c r="Q49" s="99"/>
      <c r="R49" s="99"/>
      <c r="S49" s="99"/>
      <c r="T49" s="99"/>
      <c r="U49" s="99"/>
      <c r="V49" s="99"/>
    </row>
    <row r="50" spans="1:22">
      <c r="A50" s="53" t="str">
        <f t="shared" si="35"/>
        <v>N</v>
      </c>
      <c r="B50" s="29"/>
      <c r="C50" s="32" t="str">
        <f>"Total sem "&amp;B43</f>
        <v>Total sem 22</v>
      </c>
      <c r="D50" s="41"/>
      <c r="E50" s="42"/>
      <c r="F50" s="43"/>
      <c r="G50" s="42"/>
      <c r="H50" s="42"/>
      <c r="I50" s="43"/>
      <c r="J50" s="44">
        <f>SUM(J43:J49)</f>
        <v>1.791666666666667</v>
      </c>
      <c r="K50" s="44">
        <f>SUM(K43:K49)</f>
        <v>1.4583333333333335</v>
      </c>
      <c r="L50" s="44">
        <f>SUM(L43:L49)</f>
        <v>0.35416666666666657</v>
      </c>
      <c r="M50" s="45">
        <f>MAX(0,J50-K50)</f>
        <v>0.33333333333333348</v>
      </c>
      <c r="P50" s="99"/>
      <c r="Q50" s="99"/>
      <c r="R50" s="99"/>
      <c r="S50" s="99"/>
      <c r="T50" s="99"/>
      <c r="U50" s="99"/>
      <c r="V50" s="99"/>
    </row>
    <row r="51" spans="1:22">
      <c r="A51" s="53" t="str">
        <f t="shared" si="35"/>
        <v>N</v>
      </c>
      <c r="B51" s="29">
        <f t="shared" si="9"/>
        <v>23</v>
      </c>
      <c r="C51" s="28">
        <f>C49+1</f>
        <v>43619</v>
      </c>
      <c r="D51" s="34">
        <v>0.33333333333333331</v>
      </c>
      <c r="E51" s="35">
        <v>0.52083333333333337</v>
      </c>
      <c r="F51" s="36">
        <f t="shared" ref="F51:F57" si="40">E51-D51</f>
        <v>0.18750000000000006</v>
      </c>
      <c r="G51" s="35">
        <v>0.5625</v>
      </c>
      <c r="H51" s="35">
        <v>0.70833333333333337</v>
      </c>
      <c r="I51" s="36">
        <f t="shared" ref="I51:I57" si="41">H51-G51</f>
        <v>0.14583333333333337</v>
      </c>
      <c r="J51" s="37">
        <f>F51+I51</f>
        <v>0.33333333333333343</v>
      </c>
      <c r="K51" s="37">
        <f>IF(WEEKDAY(C51,2)&lt;6,$J$6,"")</f>
        <v>0.29166666666666669</v>
      </c>
      <c r="L51" s="47" t="str">
        <f t="shared" ref="L51:L52" si="42">IF(A51="o",F51+I51,"")</f>
        <v/>
      </c>
      <c r="M51" s="38"/>
      <c r="O51" s="98" t="s">
        <v>61</v>
      </c>
    </row>
    <row r="52" spans="1:22">
      <c r="A52" s="53" t="str">
        <f t="shared" si="35"/>
        <v>N</v>
      </c>
      <c r="B52" s="29" t="str">
        <f t="shared" si="9"/>
        <v/>
      </c>
      <c r="C52" s="28">
        <f>C51+1</f>
        <v>43620</v>
      </c>
      <c r="D52" s="34">
        <v>0.33333333333333331</v>
      </c>
      <c r="E52" s="35">
        <v>0.52083333333333337</v>
      </c>
      <c r="F52" s="36">
        <f t="shared" si="40"/>
        <v>0.18750000000000006</v>
      </c>
      <c r="G52" s="35">
        <v>0.5625</v>
      </c>
      <c r="H52" s="35">
        <v>0.70833333333333337</v>
      </c>
      <c r="I52" s="36">
        <f t="shared" si="41"/>
        <v>0.14583333333333337</v>
      </c>
      <c r="J52" s="37">
        <f t="shared" ref="J52:J57" si="43">F52+I52</f>
        <v>0.33333333333333343</v>
      </c>
      <c r="K52" s="37">
        <f t="shared" ref="K52:K55" si="44">IF(WEEKDAY(C52,2)&lt;6,$J$6,"")</f>
        <v>0.29166666666666669</v>
      </c>
      <c r="L52" s="47" t="str">
        <f t="shared" si="42"/>
        <v/>
      </c>
      <c r="M52" s="38"/>
      <c r="O52" s="103" t="s">
        <v>60</v>
      </c>
      <c r="P52" s="103"/>
      <c r="Q52" s="103"/>
      <c r="R52" s="103"/>
      <c r="S52" s="103"/>
      <c r="T52" s="103"/>
      <c r="U52" s="103"/>
      <c r="V52" s="103"/>
    </row>
    <row r="53" spans="1:22">
      <c r="A53" s="53" t="str">
        <f t="shared" si="35"/>
        <v>N</v>
      </c>
      <c r="B53" s="29" t="str">
        <f t="shared" si="9"/>
        <v/>
      </c>
      <c r="C53" s="28">
        <f t="shared" ref="C53:C57" si="45">C52+1</f>
        <v>43621</v>
      </c>
      <c r="D53" s="34">
        <v>0.33333333333333331</v>
      </c>
      <c r="E53" s="35">
        <v>0.52083333333333337</v>
      </c>
      <c r="F53" s="36">
        <f t="shared" si="40"/>
        <v>0.18750000000000006</v>
      </c>
      <c r="G53" s="35">
        <v>0.5625</v>
      </c>
      <c r="H53" s="35">
        <v>0.70833333333333337</v>
      </c>
      <c r="I53" s="36">
        <f t="shared" si="41"/>
        <v>0.14583333333333337</v>
      </c>
      <c r="J53" s="37">
        <f t="shared" si="43"/>
        <v>0.33333333333333343</v>
      </c>
      <c r="K53" s="37">
        <f t="shared" si="44"/>
        <v>0.29166666666666669</v>
      </c>
      <c r="L53" s="47" t="str">
        <f>IF(A53="o",F53+I53,"")</f>
        <v/>
      </c>
      <c r="M53" s="39"/>
      <c r="O53" s="103"/>
      <c r="P53" s="103"/>
      <c r="Q53" s="103"/>
      <c r="R53" s="103"/>
      <c r="S53" s="103"/>
      <c r="T53" s="103"/>
      <c r="U53" s="103"/>
      <c r="V53" s="103"/>
    </row>
    <row r="54" spans="1:22">
      <c r="A54" s="53" t="str">
        <f t="shared" si="35"/>
        <v>N</v>
      </c>
      <c r="B54" s="29" t="str">
        <f t="shared" si="9"/>
        <v/>
      </c>
      <c r="C54" s="28">
        <f t="shared" si="45"/>
        <v>43622</v>
      </c>
      <c r="D54" s="34">
        <v>0.33333333333333331</v>
      </c>
      <c r="E54" s="35">
        <v>0.52083333333333337</v>
      </c>
      <c r="F54" s="36">
        <f t="shared" si="40"/>
        <v>0.18750000000000006</v>
      </c>
      <c r="G54" s="35">
        <v>0.5625</v>
      </c>
      <c r="H54" s="35">
        <v>0.70833333333333337</v>
      </c>
      <c r="I54" s="36">
        <f t="shared" si="41"/>
        <v>0.14583333333333337</v>
      </c>
      <c r="J54" s="37">
        <f t="shared" si="43"/>
        <v>0.33333333333333343</v>
      </c>
      <c r="K54" s="37">
        <f t="shared" si="44"/>
        <v>0.29166666666666669</v>
      </c>
      <c r="L54" s="47" t="str">
        <f t="shared" ref="L54:L57" si="46">IF(A54="o",F54+I54,"")</f>
        <v/>
      </c>
      <c r="M54" s="39"/>
    </row>
    <row r="55" spans="1:22">
      <c r="A55" s="53" t="str">
        <f t="shared" si="35"/>
        <v>N</v>
      </c>
      <c r="B55" s="29" t="str">
        <f t="shared" si="9"/>
        <v/>
      </c>
      <c r="C55" s="28">
        <f t="shared" si="45"/>
        <v>43623</v>
      </c>
      <c r="D55" s="34">
        <v>0.33333333333333331</v>
      </c>
      <c r="E55" s="35">
        <v>0.52083333333333337</v>
      </c>
      <c r="F55" s="36">
        <f t="shared" si="40"/>
        <v>0.18750000000000006</v>
      </c>
      <c r="G55" s="35">
        <v>0.5625</v>
      </c>
      <c r="H55" s="35">
        <v>0.70833333333333337</v>
      </c>
      <c r="I55" s="36">
        <f t="shared" si="41"/>
        <v>0.14583333333333337</v>
      </c>
      <c r="J55" s="37">
        <f t="shared" si="43"/>
        <v>0.33333333333333343</v>
      </c>
      <c r="K55" s="37">
        <f t="shared" si="44"/>
        <v>0.29166666666666669</v>
      </c>
      <c r="L55" s="47" t="str">
        <f t="shared" si="46"/>
        <v/>
      </c>
      <c r="M55" s="39"/>
      <c r="O55" s="100" t="s">
        <v>62</v>
      </c>
    </row>
    <row r="56" spans="1:22">
      <c r="A56" s="53" t="str">
        <f t="shared" si="35"/>
        <v>N</v>
      </c>
      <c r="B56" s="29" t="str">
        <f t="shared" si="9"/>
        <v/>
      </c>
      <c r="C56" s="28">
        <f t="shared" si="45"/>
        <v>43624</v>
      </c>
      <c r="D56" s="34">
        <v>0.33333333333333331</v>
      </c>
      <c r="E56" s="35">
        <v>0.52083333333333337</v>
      </c>
      <c r="F56" s="36">
        <f t="shared" si="40"/>
        <v>0.18750000000000006</v>
      </c>
      <c r="G56" s="35">
        <v>0.54166666666666663</v>
      </c>
      <c r="H56" s="35">
        <v>0.66666666666666663</v>
      </c>
      <c r="I56" s="36">
        <f t="shared" si="41"/>
        <v>0.125</v>
      </c>
      <c r="J56" s="37">
        <f t="shared" si="43"/>
        <v>0.31250000000000006</v>
      </c>
      <c r="K56" s="37" t="str">
        <f>IF(WEEKDAY(C56,2)&lt;6,$J$6,"")</f>
        <v/>
      </c>
      <c r="L56" s="47" t="str">
        <f t="shared" si="46"/>
        <v/>
      </c>
      <c r="M56" s="39"/>
      <c r="O56" s="100" t="s">
        <v>65</v>
      </c>
    </row>
    <row r="57" spans="1:22">
      <c r="A57" s="53" t="str">
        <f t="shared" si="35"/>
        <v>O</v>
      </c>
      <c r="B57" s="29" t="str">
        <f t="shared" si="9"/>
        <v/>
      </c>
      <c r="C57" s="28">
        <f t="shared" si="45"/>
        <v>43625</v>
      </c>
      <c r="D57" s="34"/>
      <c r="E57" s="35"/>
      <c r="F57" s="36">
        <f t="shared" si="40"/>
        <v>0</v>
      </c>
      <c r="G57" s="35"/>
      <c r="H57" s="35"/>
      <c r="I57" s="36">
        <f t="shared" si="41"/>
        <v>0</v>
      </c>
      <c r="J57" s="37">
        <f t="shared" si="43"/>
        <v>0</v>
      </c>
      <c r="K57" s="37" t="str">
        <f>IF(WEEKDAY(C57,2)&lt;6,$J$6,"")</f>
        <v/>
      </c>
      <c r="L57" s="47">
        <f t="shared" si="46"/>
        <v>0</v>
      </c>
      <c r="M57" s="40"/>
    </row>
    <row r="58" spans="1:22">
      <c r="A58" s="53" t="str">
        <f t="shared" si="35"/>
        <v>N</v>
      </c>
      <c r="B58" s="33"/>
      <c r="C58" s="32" t="str">
        <f>"Total sem "&amp;B51</f>
        <v>Total sem 23</v>
      </c>
      <c r="D58" s="41"/>
      <c r="E58" s="42"/>
      <c r="F58" s="43"/>
      <c r="G58" s="42"/>
      <c r="H58" s="42"/>
      <c r="I58" s="43"/>
      <c r="J58" s="44">
        <f>SUM(J51:J57)</f>
        <v>1.9791666666666672</v>
      </c>
      <c r="K58" s="44">
        <f>SUM(K51:K57)</f>
        <v>1.4583333333333335</v>
      </c>
      <c r="L58" s="44">
        <f>SUM(L51:L57)</f>
        <v>0</v>
      </c>
      <c r="M58" s="45">
        <f>MAX(0,J58-K58)</f>
        <v>0.5208333333333337</v>
      </c>
    </row>
  </sheetData>
  <autoFilter ref="C10:C11"/>
  <mergeCells count="10">
    <mergeCell ref="O52:V53"/>
    <mergeCell ref="J2:J3"/>
    <mergeCell ref="K2:K3"/>
    <mergeCell ref="L2:L3"/>
    <mergeCell ref="K9:K10"/>
    <mergeCell ref="D9:F9"/>
    <mergeCell ref="G9:I9"/>
    <mergeCell ref="J9:J10"/>
    <mergeCell ref="M9:M10"/>
    <mergeCell ref="L9:L10"/>
  </mergeCells>
  <conditionalFormatting sqref="C18:N18 C11:M17 C19:I58">
    <cfRule type="expression" dxfId="14" priority="93">
      <formula>OR($C11=JoursFeries)</formula>
    </cfRule>
  </conditionalFormatting>
  <conditionalFormatting sqref="M11:M18">
    <cfRule type="expression" dxfId="13" priority="92">
      <formula>$D11=DATE($D$2,MONTH(1&amp;$C$9),1)</formula>
    </cfRule>
  </conditionalFormatting>
  <conditionalFormatting sqref="C11">
    <cfRule type="expression" priority="91">
      <formula>WEEKDAY($D11)=1</formula>
    </cfRule>
  </conditionalFormatting>
  <conditionalFormatting sqref="J19:M26">
    <cfRule type="expression" dxfId="12" priority="15">
      <formula>OR($C19=JoursFeries)</formula>
    </cfRule>
  </conditionalFormatting>
  <conditionalFormatting sqref="M19:M26">
    <cfRule type="expression" dxfId="11" priority="14">
      <formula>$D19=DATE($D$2,MONTH(1&amp;$C$9),1)</formula>
    </cfRule>
  </conditionalFormatting>
  <conditionalFormatting sqref="J27:M34">
    <cfRule type="expression" dxfId="10" priority="11">
      <formula>OR($C27=JoursFeries)</formula>
    </cfRule>
  </conditionalFormatting>
  <conditionalFormatting sqref="M27:M34">
    <cfRule type="expression" dxfId="9" priority="10">
      <formula>$D27=DATE($D$2,MONTH(1&amp;$C$9),1)</formula>
    </cfRule>
  </conditionalFormatting>
  <conditionalFormatting sqref="J35:M42">
    <cfRule type="expression" dxfId="8" priority="9">
      <formula>OR($C35=JoursFeries)</formula>
    </cfRule>
  </conditionalFormatting>
  <conditionalFormatting sqref="M35:M42">
    <cfRule type="expression" dxfId="7" priority="8">
      <formula>$D35=DATE($D$2,MONTH(1&amp;$C$9),1)</formula>
    </cfRule>
  </conditionalFormatting>
  <conditionalFormatting sqref="J43:M50">
    <cfRule type="expression" dxfId="6" priority="7">
      <formula>OR($C43=JoursFeries)</formula>
    </cfRule>
  </conditionalFormatting>
  <conditionalFormatting sqref="M43:M50">
    <cfRule type="expression" dxfId="5" priority="6">
      <formula>$D43=DATE($D$2,MONTH(1&amp;$C$9),1)</formula>
    </cfRule>
  </conditionalFormatting>
  <conditionalFormatting sqref="J51:M58">
    <cfRule type="expression" dxfId="4" priority="5">
      <formula>OR($C51=JoursFeries)</formula>
    </cfRule>
  </conditionalFormatting>
  <conditionalFormatting sqref="M51:M58">
    <cfRule type="expression" dxfId="3" priority="4">
      <formula>$D51=DATE($D$2,MONTH(1&amp;$C$9),1)</formula>
    </cfRule>
  </conditionalFormatting>
  <conditionalFormatting sqref="S35">
    <cfRule type="expression" dxfId="2" priority="3">
      <formula>OR($C35=JoursFeries)</formula>
    </cfRule>
  </conditionalFormatting>
  <conditionalFormatting sqref="S35">
    <cfRule type="expression" dxfId="1" priority="2">
      <formula>$D35=DATE($D$2,MONTH(1&amp;$C$9),1)</formula>
    </cfRule>
  </conditionalFormatting>
  <conditionalFormatting sqref="O45 O48">
    <cfRule type="expression" dxfId="0" priority="1" stopIfTrue="1">
      <formula>#REF!=0</formula>
    </cfRule>
  </conditionalFormatting>
  <dataValidations disablePrompts="1" count="2">
    <dataValidation type="list" allowBlank="1" showInputMessage="1" showErrorMessage="1" sqref="C9">
      <formula1>"Janvier,Février,Mars,Avril,Mai,Juin,Juillet,Aout,Sep,Oct,Nov,Dec"</formula1>
    </dataValidation>
    <dataValidation type="list" allowBlank="1" showInputMessage="1" showErrorMessage="1" sqref="D2">
      <formula1>"2018,2019,2020,2021"</formula1>
    </dataValidation>
  </dataValidations>
  <hyperlinks>
    <hyperlink ref="O22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Feries</vt:lpstr>
      <vt:lpstr>Horaire</vt:lpstr>
      <vt:lpstr>JoursFeries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2019-10-10T12:43:18Z</dcterms:created>
  <dcterms:modified xsi:type="dcterms:W3CDTF">2019-10-11T09:34:37Z</dcterms:modified>
</cp:coreProperties>
</file>