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45" yWindow="90" windowWidth="11850" windowHeight="11655"/>
  </bookViews>
  <sheets>
    <sheet name="Tableau de suivi" sheetId="1" r:id="rId1"/>
    <sheet name="Recap" sheetId="2" r:id="rId2"/>
  </sheets>
  <definedNames>
    <definedName name="M">'Tableau de suivi'!$C$14:$C$45</definedName>
    <definedName name="R_">'Tableau de suivi'!$D$14:$D$45</definedName>
  </definedNames>
  <calcPr calcId="125725"/>
</workbook>
</file>

<file path=xl/calcChain.xml><?xml version="1.0" encoding="utf-8"?>
<calcChain xmlns="http://schemas.openxmlformats.org/spreadsheetml/2006/main">
  <c r="G7" i="1"/>
  <c r="D48" s="1"/>
  <c r="G5"/>
  <c r="G46"/>
  <c r="E46"/>
  <c r="F45"/>
  <c r="G45" s="1"/>
  <c r="E45"/>
  <c r="F44"/>
  <c r="G44" s="1"/>
  <c r="E44"/>
  <c r="G43"/>
  <c r="F43"/>
  <c r="E43"/>
  <c r="G42"/>
  <c r="F42"/>
  <c r="E42"/>
  <c r="G41"/>
  <c r="F41"/>
  <c r="E41"/>
  <c r="J40"/>
  <c r="J43" s="1"/>
  <c r="M43" s="1"/>
  <c r="G40"/>
  <c r="F40"/>
  <c r="E40"/>
  <c r="G39"/>
  <c r="F39"/>
  <c r="E39"/>
  <c r="G38"/>
  <c r="F38"/>
  <c r="E38"/>
  <c r="G37"/>
  <c r="F37"/>
  <c r="E37"/>
  <c r="G36"/>
  <c r="F36"/>
  <c r="E36"/>
  <c r="G35"/>
  <c r="F35"/>
  <c r="E35"/>
  <c r="G34"/>
  <c r="F34"/>
  <c r="E34"/>
  <c r="J33"/>
  <c r="F33"/>
  <c r="G33" s="1"/>
  <c r="E33"/>
  <c r="F32"/>
  <c r="G32" s="1"/>
  <c r="E32"/>
  <c r="F31"/>
  <c r="G31" s="1"/>
  <c r="E31"/>
  <c r="F30"/>
  <c r="G30" s="1"/>
  <c r="E30"/>
  <c r="F29"/>
  <c r="G29" s="1"/>
  <c r="E29"/>
  <c r="F28"/>
  <c r="G28" s="1"/>
  <c r="E28"/>
  <c r="J27"/>
  <c r="J28" s="1"/>
  <c r="G27"/>
  <c r="F27"/>
  <c r="E27"/>
  <c r="G26"/>
  <c r="F26"/>
  <c r="E26"/>
  <c r="G25"/>
  <c r="F25"/>
  <c r="E25"/>
  <c r="G24"/>
  <c r="F24"/>
  <c r="E24"/>
  <c r="G23"/>
  <c r="F23"/>
  <c r="E23"/>
  <c r="G22"/>
  <c r="F22"/>
  <c r="E22"/>
  <c r="G21"/>
  <c r="F21"/>
  <c r="E21"/>
  <c r="G20"/>
  <c r="F20"/>
  <c r="E20"/>
  <c r="G19"/>
  <c r="F19"/>
  <c r="E19"/>
  <c r="F18"/>
  <c r="G18" s="1"/>
  <c r="E18"/>
  <c r="F17"/>
  <c r="G17" s="1"/>
  <c r="E17"/>
  <c r="G16"/>
  <c r="F16"/>
  <c r="E16"/>
  <c r="G15"/>
  <c r="F15"/>
  <c r="E15"/>
  <c r="B15"/>
  <c r="E51" s="1"/>
  <c r="G14"/>
  <c r="G4"/>
  <c r="G6" l="1"/>
  <c r="G8" s="1"/>
  <c r="G9" s="1"/>
  <c r="G48"/>
  <c r="G49" s="1"/>
  <c r="B16"/>
  <c r="D49" l="1"/>
  <c r="F51" s="1"/>
  <c r="B17"/>
  <c r="B18" l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</calcChain>
</file>

<file path=xl/sharedStrings.xml><?xml version="1.0" encoding="utf-8"?>
<sst xmlns="http://schemas.openxmlformats.org/spreadsheetml/2006/main" count="123" uniqueCount="79">
  <si>
    <t>Kilométrage sur la période</t>
  </si>
  <si>
    <t>Barème compensation 2019</t>
  </si>
  <si>
    <t>Relevé km Aller</t>
  </si>
  <si>
    <t>Chevaux fiscaux</t>
  </si>
  <si>
    <t>Jusqu’à 5 000 km</t>
  </si>
  <si>
    <t>De 5 001 km à 20 000 km</t>
  </si>
  <si>
    <t>Au-delà de 20 000 km</t>
  </si>
  <si>
    <t>Entreprise</t>
  </si>
  <si>
    <t>Relevé km Retour</t>
  </si>
  <si>
    <t>3 CV et moins</t>
  </si>
  <si>
    <t>+</t>
  </si>
  <si>
    <t>Nom</t>
  </si>
  <si>
    <t xml:space="preserve">Kilomètres parcourus </t>
  </si>
  <si>
    <t>4 CV</t>
  </si>
  <si>
    <t>Type de véhicule</t>
  </si>
  <si>
    <t xml:space="preserve">5 CV </t>
  </si>
  <si>
    <t>Relevé km Samedi A/R</t>
  </si>
  <si>
    <t>Mois :</t>
  </si>
  <si>
    <t>kms total</t>
  </si>
  <si>
    <t>6 CV</t>
  </si>
  <si>
    <t>Avantage nature :</t>
  </si>
  <si>
    <t>7 CV et plus</t>
  </si>
  <si>
    <t>Mercredi soir pas de retour</t>
  </si>
  <si>
    <t>Date</t>
  </si>
  <si>
    <t>Trajet</t>
  </si>
  <si>
    <t xml:space="preserve">Relevé </t>
  </si>
  <si>
    <t>Jeudi matin pas d'aller</t>
  </si>
  <si>
    <t>Aller</t>
  </si>
  <si>
    <t>Retour</t>
  </si>
  <si>
    <t>Distance</t>
  </si>
  <si>
    <t>A</t>
  </si>
  <si>
    <t>R</t>
  </si>
  <si>
    <t>SA</t>
  </si>
  <si>
    <t>SR</t>
  </si>
  <si>
    <t>Evaluation Fofait annuel</t>
  </si>
  <si>
    <t>Prix achat véhicule</t>
  </si>
  <si>
    <t>le 27/04/2016</t>
  </si>
  <si>
    <t>12% si carb emp.</t>
  </si>
  <si>
    <t>AN mensuel</t>
  </si>
  <si>
    <t>Evaluation Dépenses réelles</t>
  </si>
  <si>
    <t>Entretien annuel :</t>
  </si>
  <si>
    <t>Pneumatiques :</t>
  </si>
  <si>
    <t>Assurance :</t>
  </si>
  <si>
    <t xml:space="preserve">Carburant  annuel de </t>
  </si>
  <si>
    <t xml:space="preserve">Kilométrage annuel : </t>
  </si>
  <si>
    <t>920 km/sem, * 47</t>
  </si>
  <si>
    <t>Kilométrage personnel :</t>
  </si>
  <si>
    <t>635 km/sem, * 47</t>
  </si>
  <si>
    <t>Dépenses réelles</t>
  </si>
  <si>
    <t>Avantage en nature (AN) = Dépenses réelles * kilométrage privé / kilométrage annuel</t>
  </si>
  <si>
    <t>par an soit</t>
  </si>
  <si>
    <t>AN = 6048 * 29845 / 43240 = 4174,43 € par an, soit 273,17 € par mois</t>
  </si>
  <si>
    <t>Total kilomètres Samedis</t>
  </si>
  <si>
    <t>Total kilomètres parcourus</t>
  </si>
  <si>
    <t>Avantage Samedis</t>
  </si>
  <si>
    <t>Montant avantage nature</t>
  </si>
  <si>
    <t>Vous</t>
  </si>
  <si>
    <t>Moi</t>
  </si>
  <si>
    <t>M</t>
  </si>
  <si>
    <t>Vendredi matin pas d'aller, directement chez le client</t>
  </si>
  <si>
    <t>MOIS</t>
  </si>
  <si>
    <t>km Aller</t>
  </si>
  <si>
    <t>km Retour</t>
  </si>
  <si>
    <t>km parcourus</t>
  </si>
  <si>
    <t xml:space="preserve">AN </t>
  </si>
  <si>
    <t>km samdis A/R</t>
  </si>
  <si>
    <t>AN Samedis</t>
  </si>
  <si>
    <t>C8</t>
  </si>
  <si>
    <t>G4</t>
  </si>
  <si>
    <t>G5</t>
  </si>
  <si>
    <t>D49</t>
  </si>
  <si>
    <t>D48</t>
  </si>
  <si>
    <t>G49</t>
  </si>
  <si>
    <t>G48</t>
  </si>
  <si>
    <t>AN TOTAL</t>
  </si>
  <si>
    <t>F51</t>
  </si>
  <si>
    <t>J'ai cherché</t>
  </si>
  <si>
    <t>=SI(ET(JOURSEM($G$20)=3;H19="M");"A";"")</t>
  </si>
  <si>
    <t>=SI(ET(JOURSEM($G$20)=3;I19="M");"A";"R")</t>
  </si>
</sst>
</file>

<file path=xl/styles.xml><?xml version="1.0" encoding="utf-8"?>
<styleSheet xmlns="http://schemas.openxmlformats.org/spreadsheetml/2006/main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0.000"/>
    <numFmt numFmtId="166" formatCode="#,##0&quot; km&quot;"/>
    <numFmt numFmtId="167" formatCode="_-* #,##0\ &quot;€&quot;_-;\-* #,##0\ &quot;€&quot;_-;_-* &quot;-&quot;??\ &quot;€&quot;_-;_-@_-"/>
    <numFmt numFmtId="168" formatCode="#,##0.0"/>
    <numFmt numFmtId="169" formatCode="ddd\ dd\-mmm\-yyyy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b/>
      <sz val="1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rgb="FF00B4C2"/>
      <name val="Calibri"/>
      <family val="2"/>
      <scheme val="minor"/>
    </font>
    <font>
      <sz val="11"/>
      <color rgb="FF4F595F"/>
      <name val="Calibri"/>
      <family val="2"/>
    </font>
    <font>
      <b/>
      <sz val="11"/>
      <color rgb="FF4D4C5C"/>
      <name val="Calibri"/>
      <family val="2"/>
      <scheme val="minor"/>
    </font>
    <font>
      <sz val="11"/>
      <color rgb="FF4D4C5C"/>
      <name val="Calibri"/>
      <family val="2"/>
      <scheme val="minor"/>
    </font>
    <font>
      <b/>
      <i/>
      <sz val="11"/>
      <color rgb="FF4D4C5C"/>
      <name val="Calibri"/>
      <family val="2"/>
      <scheme val="minor"/>
    </font>
    <font>
      <i/>
      <sz val="10"/>
      <color rgb="FF4D4C5C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rgb="FF95CEDD"/>
        </stop>
        <stop position="1">
          <color theme="0"/>
        </stop>
      </gradientFill>
    </fill>
    <fill>
      <gradientFill degree="90">
        <stop position="0">
          <color rgb="FF95CEDD"/>
        </stop>
        <stop position="1">
          <color rgb="FF4F81BD"/>
        </stop>
      </gradient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DDEF3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4" fillId="3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5" fillId="2" borderId="0" xfId="0" applyFont="1" applyFill="1"/>
    <xf numFmtId="0" fontId="6" fillId="4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164" fontId="0" fillId="5" borderId="6" xfId="1" applyNumberFormat="1" applyFont="1" applyFill="1" applyBorder="1"/>
    <xf numFmtId="0" fontId="6" fillId="4" borderId="7" xfId="0" applyFont="1" applyFill="1" applyBorder="1" applyAlignment="1">
      <alignment vertical="center"/>
    </xf>
    <xf numFmtId="0" fontId="8" fillId="4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Continuous" vertical="center" wrapText="1"/>
    </xf>
    <xf numFmtId="0" fontId="6" fillId="4" borderId="8" xfId="0" applyFont="1" applyFill="1" applyBorder="1" applyAlignment="1">
      <alignment horizontal="centerContinuous" vertical="center" wrapText="1"/>
    </xf>
    <xf numFmtId="0" fontId="9" fillId="2" borderId="9" xfId="0" applyFont="1" applyFill="1" applyBorder="1" applyAlignment="1">
      <alignment horizontal="left"/>
    </xf>
    <xf numFmtId="0" fontId="10" fillId="2" borderId="10" xfId="0" applyFont="1" applyFill="1" applyBorder="1"/>
    <xf numFmtId="0" fontId="9" fillId="2" borderId="0" xfId="0" applyFont="1" applyFill="1" applyBorder="1"/>
    <xf numFmtId="0" fontId="5" fillId="2" borderId="5" xfId="0" applyFont="1" applyFill="1" applyBorder="1"/>
    <xf numFmtId="165" fontId="5" fillId="2" borderId="5" xfId="0" applyNumberFormat="1" applyFont="1" applyFill="1" applyBorder="1" applyAlignment="1">
      <alignment horizontal="center"/>
    </xf>
    <xf numFmtId="165" fontId="5" fillId="2" borderId="11" xfId="0" applyNumberFormat="1" applyFont="1" applyFill="1" applyBorder="1" applyAlignment="1">
      <alignment horizontal="center"/>
    </xf>
    <xf numFmtId="165" fontId="5" fillId="2" borderId="12" xfId="0" quotePrefix="1" applyNumberFormat="1" applyFont="1" applyFill="1" applyBorder="1" applyAlignment="1">
      <alignment horizontal="center"/>
    </xf>
    <xf numFmtId="1" fontId="5" fillId="2" borderId="13" xfId="0" applyNumberFormat="1" applyFont="1" applyFill="1" applyBorder="1" applyAlignment="1">
      <alignment horizontal="center"/>
    </xf>
    <xf numFmtId="165" fontId="5" fillId="2" borderId="6" xfId="0" applyNumberFormat="1" applyFont="1" applyFill="1" applyBorder="1" applyAlignment="1">
      <alignment horizontal="center"/>
    </xf>
    <xf numFmtId="0" fontId="9" fillId="2" borderId="5" xfId="0" applyFont="1" applyFill="1" applyBorder="1" applyAlignment="1">
      <alignment horizontal="left"/>
    </xf>
    <xf numFmtId="0" fontId="10" fillId="2" borderId="6" xfId="0" applyFont="1" applyFill="1" applyBorder="1"/>
    <xf numFmtId="0" fontId="11" fillId="2" borderId="14" xfId="0" applyFont="1" applyFill="1" applyBorder="1" applyAlignment="1">
      <alignment horizontal="left"/>
    </xf>
    <xf numFmtId="0" fontId="11" fillId="2" borderId="15" xfId="0" applyFont="1" applyFill="1" applyBorder="1" applyAlignment="1">
      <alignment horizontal="left"/>
    </xf>
    <xf numFmtId="166" fontId="11" fillId="5" borderId="16" xfId="0" applyNumberFormat="1" applyFont="1" applyFill="1" applyBorder="1"/>
    <xf numFmtId="0" fontId="5" fillId="2" borderId="5" xfId="0" applyFont="1" applyFill="1" applyBorder="1" applyAlignment="1">
      <alignment horizontal="left"/>
    </xf>
    <xf numFmtId="165" fontId="5" fillId="2" borderId="0" xfId="0" quotePrefix="1" applyNumberFormat="1" applyFont="1" applyFill="1" applyBorder="1" applyAlignment="1">
      <alignment horizontal="center"/>
    </xf>
    <xf numFmtId="1" fontId="5" fillId="2" borderId="6" xfId="0" applyNumberFormat="1" applyFont="1" applyFill="1" applyBorder="1" applyAlignment="1">
      <alignment horizontal="center"/>
    </xf>
    <xf numFmtId="0" fontId="10" fillId="5" borderId="6" xfId="0" applyFont="1" applyFill="1" applyBorder="1" applyAlignment="1">
      <alignment horizontal="center"/>
    </xf>
    <xf numFmtId="0" fontId="9" fillId="0" borderId="0" xfId="0" applyFont="1" applyFill="1" applyBorder="1"/>
    <xf numFmtId="166" fontId="0" fillId="5" borderId="6" xfId="0" applyNumberFormat="1" applyFill="1" applyBorder="1"/>
    <xf numFmtId="0" fontId="9" fillId="2" borderId="5" xfId="0" applyFont="1" applyFill="1" applyBorder="1" applyAlignment="1">
      <alignment horizontal="right" vertical="center" indent="4"/>
    </xf>
    <xf numFmtId="0" fontId="9" fillId="2" borderId="17" xfId="0" applyFont="1" applyFill="1" applyBorder="1" applyAlignment="1">
      <alignment horizontal="left"/>
    </xf>
    <xf numFmtId="0" fontId="2" fillId="0" borderId="0" xfId="0" applyFont="1"/>
    <xf numFmtId="166" fontId="2" fillId="5" borderId="6" xfId="0" applyNumberFormat="1" applyFont="1" applyFill="1" applyBorder="1"/>
    <xf numFmtId="0" fontId="0" fillId="2" borderId="18" xfId="0" applyFill="1" applyBorder="1" applyAlignment="1">
      <alignment horizontal="left"/>
    </xf>
    <xf numFmtId="0" fontId="0" fillId="5" borderId="19" xfId="0" applyFill="1" applyBorder="1"/>
    <xf numFmtId="0" fontId="2" fillId="2" borderId="18" xfId="0" applyFont="1" applyFill="1" applyBorder="1" applyAlignment="1"/>
    <xf numFmtId="0" fontId="0" fillId="2" borderId="20" xfId="0" applyFill="1" applyBorder="1" applyAlignment="1"/>
    <xf numFmtId="167" fontId="2" fillId="6" borderId="19" xfId="2" applyNumberFormat="1" applyFont="1" applyFill="1" applyBorder="1" applyAlignment="1">
      <alignment horizontal="center"/>
    </xf>
    <xf numFmtId="0" fontId="5" fillId="2" borderId="18" xfId="0" applyFont="1" applyFill="1" applyBorder="1" applyAlignment="1">
      <alignment horizontal="left"/>
    </xf>
    <xf numFmtId="165" fontId="5" fillId="2" borderId="18" xfId="0" applyNumberFormat="1" applyFont="1" applyFill="1" applyBorder="1" applyAlignment="1">
      <alignment horizontal="center"/>
    </xf>
    <xf numFmtId="165" fontId="5" fillId="2" borderId="20" xfId="0" quotePrefix="1" applyNumberFormat="1" applyFont="1" applyFill="1" applyBorder="1" applyAlignment="1">
      <alignment horizontal="center"/>
    </xf>
    <xf numFmtId="1" fontId="5" fillId="2" borderId="19" xfId="0" applyNumberFormat="1" applyFont="1" applyFill="1" applyBorder="1" applyAlignment="1">
      <alignment horizontal="center"/>
    </xf>
    <xf numFmtId="165" fontId="5" fillId="2" borderId="19" xfId="0" applyNumberFormat="1" applyFont="1" applyFill="1" applyBorder="1" applyAlignment="1">
      <alignment horizontal="center"/>
    </xf>
    <xf numFmtId="0" fontId="3" fillId="2" borderId="0" xfId="0" applyFont="1" applyFill="1"/>
    <xf numFmtId="0" fontId="12" fillId="2" borderId="0" xfId="0" applyFont="1" applyFill="1" applyBorder="1"/>
    <xf numFmtId="0" fontId="2" fillId="2" borderId="0" xfId="0" applyFont="1" applyFill="1"/>
    <xf numFmtId="0" fontId="13" fillId="3" borderId="21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/>
    </xf>
    <xf numFmtId="0" fontId="13" fillId="3" borderId="23" xfId="0" applyFont="1" applyFill="1" applyBorder="1" applyAlignment="1">
      <alignment horizontal="center"/>
    </xf>
    <xf numFmtId="0" fontId="13" fillId="3" borderId="23" xfId="0" applyFont="1" applyFill="1" applyBorder="1" applyAlignment="1">
      <alignment horizontal="center"/>
    </xf>
    <xf numFmtId="0" fontId="13" fillId="3" borderId="24" xfId="0" applyFont="1" applyFill="1" applyBorder="1" applyAlignment="1">
      <alignment horizontal="center"/>
    </xf>
    <xf numFmtId="0" fontId="0" fillId="2" borderId="0" xfId="0" applyFont="1" applyFill="1" applyBorder="1"/>
    <xf numFmtId="167" fontId="0" fillId="2" borderId="0" xfId="0" applyNumberFormat="1" applyFont="1" applyFill="1" applyBorder="1"/>
    <xf numFmtId="0" fontId="13" fillId="3" borderId="25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/>
    </xf>
    <xf numFmtId="0" fontId="13" fillId="3" borderId="27" xfId="0" applyFont="1" applyFill="1" applyBorder="1" applyAlignment="1">
      <alignment horizontal="center"/>
    </xf>
    <xf numFmtId="0" fontId="13" fillId="3" borderId="12" xfId="0" applyFont="1" applyFill="1" applyBorder="1" applyAlignment="1">
      <alignment horizontal="center"/>
    </xf>
    <xf numFmtId="0" fontId="13" fillId="3" borderId="13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left"/>
    </xf>
    <xf numFmtId="0" fontId="10" fillId="2" borderId="0" xfId="0" applyFont="1" applyFill="1" applyBorder="1"/>
    <xf numFmtId="14" fontId="0" fillId="0" borderId="28" xfId="0" applyNumberFormat="1" applyBorder="1" applyAlignment="1">
      <alignment horizontal="left"/>
    </xf>
    <xf numFmtId="0" fontId="0" fillId="0" borderId="26" xfId="0" applyBorder="1"/>
    <xf numFmtId="0" fontId="0" fillId="0" borderId="27" xfId="0" applyBorder="1"/>
    <xf numFmtId="168" fontId="0" fillId="0" borderId="27" xfId="0" applyNumberFormat="1" applyFill="1" applyBorder="1" applyAlignment="1">
      <alignment horizontal="center"/>
    </xf>
    <xf numFmtId="168" fontId="0" fillId="0" borderId="12" xfId="0" applyNumberFormat="1" applyBorder="1" applyAlignment="1">
      <alignment horizontal="center"/>
    </xf>
    <xf numFmtId="3" fontId="0" fillId="6" borderId="13" xfId="0" applyNumberFormat="1" applyFill="1" applyBorder="1" applyAlignment="1">
      <alignment horizontal="center"/>
    </xf>
    <xf numFmtId="0" fontId="15" fillId="2" borderId="0" xfId="3" applyFont="1" applyFill="1" applyBorder="1" applyAlignment="1"/>
    <xf numFmtId="0" fontId="15" fillId="2" borderId="0" xfId="3" applyFont="1" applyFill="1" applyBorder="1" applyAlignment="1">
      <alignment horizontal="left"/>
    </xf>
    <xf numFmtId="169" fontId="0" fillId="0" borderId="29" xfId="0" applyNumberFormat="1" applyBorder="1" applyAlignment="1">
      <alignment horizontal="right" indent="1"/>
    </xf>
    <xf numFmtId="0" fontId="0" fillId="0" borderId="30" xfId="0" applyBorder="1" applyAlignment="1" applyProtection="1">
      <alignment horizontal="center"/>
      <protection locked="0"/>
    </xf>
    <xf numFmtId="0" fontId="0" fillId="0" borderId="31" xfId="0" applyBorder="1" applyAlignment="1" applyProtection="1">
      <alignment horizontal="center"/>
      <protection locked="0"/>
    </xf>
    <xf numFmtId="168" fontId="0" fillId="0" borderId="31" xfId="0" applyNumberFormat="1" applyFill="1" applyBorder="1" applyAlignment="1">
      <alignment horizontal="center"/>
    </xf>
    <xf numFmtId="168" fontId="0" fillId="0" borderId="0" xfId="0" applyNumberFormat="1" applyFill="1" applyBorder="1" applyAlignment="1">
      <alignment horizontal="center"/>
    </xf>
    <xf numFmtId="3" fontId="0" fillId="6" borderId="6" xfId="0" applyNumberFormat="1" applyFill="1" applyBorder="1" applyAlignment="1">
      <alignment horizontal="center"/>
    </xf>
    <xf numFmtId="0" fontId="0" fillId="2" borderId="0" xfId="0" applyFill="1" applyBorder="1"/>
    <xf numFmtId="0" fontId="15" fillId="2" borderId="0" xfId="3" applyFont="1" applyFill="1" applyBorder="1" applyAlignment="1">
      <alignment horizontal="left"/>
    </xf>
    <xf numFmtId="0" fontId="0" fillId="2" borderId="0" xfId="0" applyFont="1" applyFill="1" applyBorder="1" applyAlignment="1">
      <alignment horizontal="left"/>
    </xf>
    <xf numFmtId="0" fontId="16" fillId="0" borderId="0" xfId="0" quotePrefix="1" applyFont="1"/>
    <xf numFmtId="0" fontId="0" fillId="0" borderId="0" xfId="0" quotePrefix="1"/>
    <xf numFmtId="0" fontId="17" fillId="2" borderId="0" xfId="0" applyFont="1" applyFill="1"/>
    <xf numFmtId="0" fontId="18" fillId="2" borderId="0" xfId="0" applyFont="1" applyFill="1"/>
    <xf numFmtId="4" fontId="18" fillId="2" borderId="0" xfId="0" applyNumberFormat="1" applyFont="1" applyFill="1"/>
    <xf numFmtId="0" fontId="17" fillId="2" borderId="0" xfId="0" applyFont="1" applyFill="1" applyAlignment="1">
      <alignment horizontal="right" indent="1"/>
    </xf>
    <xf numFmtId="4" fontId="17" fillId="0" borderId="0" xfId="0" applyNumberFormat="1" applyFont="1"/>
    <xf numFmtId="9" fontId="18" fillId="2" borderId="0" xfId="0" applyNumberFormat="1" applyFont="1" applyFill="1"/>
    <xf numFmtId="3" fontId="18" fillId="2" borderId="0" xfId="0" applyNumberFormat="1" applyFont="1" applyFill="1"/>
    <xf numFmtId="0" fontId="18" fillId="2" borderId="0" xfId="0" quotePrefix="1" applyFont="1" applyFill="1"/>
    <xf numFmtId="0" fontId="19" fillId="2" borderId="0" xfId="0" applyFont="1" applyFill="1"/>
    <xf numFmtId="0" fontId="18" fillId="0" borderId="0" xfId="0" applyFont="1"/>
    <xf numFmtId="0" fontId="17" fillId="0" borderId="0" xfId="0" applyFont="1" applyAlignment="1">
      <alignment horizontal="right" indent="1"/>
    </xf>
    <xf numFmtId="4" fontId="17" fillId="2" borderId="0" xfId="0" applyNumberFormat="1" applyFont="1" applyFill="1"/>
    <xf numFmtId="0" fontId="20" fillId="2" borderId="0" xfId="0" applyFont="1" applyFill="1"/>
    <xf numFmtId="14" fontId="0" fillId="0" borderId="32" xfId="0" applyNumberFormat="1" applyBorder="1" applyAlignment="1">
      <alignment horizontal="left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3" fontId="0" fillId="0" borderId="34" xfId="0" applyNumberFormat="1" applyFill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3" fontId="0" fillId="6" borderId="19" xfId="0" applyNumberFormat="1" applyFill="1" applyBorder="1" applyAlignment="1">
      <alignment horizontal="center"/>
    </xf>
    <xf numFmtId="0" fontId="2" fillId="7" borderId="35" xfId="0" applyFont="1" applyFill="1" applyBorder="1" applyAlignment="1">
      <alignment horizontal="left"/>
    </xf>
    <xf numFmtId="0" fontId="2" fillId="7" borderId="22" xfId="0" applyFont="1" applyFill="1" applyBorder="1" applyAlignment="1">
      <alignment horizontal="left"/>
    </xf>
    <xf numFmtId="166" fontId="2" fillId="7" borderId="36" xfId="0" applyNumberFormat="1" applyFont="1" applyFill="1" applyBorder="1" applyAlignment="1">
      <alignment horizontal="center"/>
    </xf>
    <xf numFmtId="0" fontId="2" fillId="0" borderId="35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166" fontId="2" fillId="6" borderId="36" xfId="0" applyNumberFormat="1" applyFont="1" applyFill="1" applyBorder="1" applyAlignment="1">
      <alignment horizontal="center"/>
    </xf>
    <xf numFmtId="0" fontId="2" fillId="7" borderId="37" xfId="0" applyFont="1" applyFill="1" applyBorder="1" applyAlignment="1">
      <alignment horizontal="left"/>
    </xf>
    <xf numFmtId="0" fontId="2" fillId="7" borderId="38" xfId="0" applyFont="1" applyFill="1" applyBorder="1" applyAlignment="1">
      <alignment horizontal="left"/>
    </xf>
    <xf numFmtId="167" fontId="10" fillId="7" borderId="39" xfId="2" applyNumberFormat="1" applyFont="1" applyFill="1" applyBorder="1" applyAlignment="1">
      <alignment horizontal="center"/>
    </xf>
    <xf numFmtId="0" fontId="2" fillId="0" borderId="37" xfId="0" applyFont="1" applyBorder="1" applyAlignment="1">
      <alignment horizontal="left"/>
    </xf>
    <xf numFmtId="0" fontId="2" fillId="0" borderId="38" xfId="0" applyFont="1" applyBorder="1" applyAlignment="1">
      <alignment horizontal="left"/>
    </xf>
    <xf numFmtId="167" fontId="10" fillId="6" borderId="39" xfId="2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40" xfId="0" applyFill="1" applyBorder="1" applyAlignment="1">
      <alignment horizontal="left"/>
    </xf>
    <xf numFmtId="0" fontId="0" fillId="2" borderId="41" xfId="0" applyFill="1" applyBorder="1"/>
    <xf numFmtId="0" fontId="2" fillId="2" borderId="41" xfId="0" applyFont="1" applyFill="1" applyBorder="1" applyAlignment="1">
      <alignment horizontal="right"/>
    </xf>
    <xf numFmtId="167" fontId="2" fillId="2" borderId="42" xfId="0" applyNumberFormat="1" applyFont="1" applyFill="1" applyBorder="1"/>
    <xf numFmtId="0" fontId="16" fillId="0" borderId="0" xfId="0" applyFont="1"/>
    <xf numFmtId="0" fontId="0" fillId="0" borderId="0" xfId="0" quotePrefix="1" applyAlignment="1"/>
  </cellXfs>
  <cellStyles count="4">
    <cellStyle name="Lien hypertexte" xfId="3" builtinId="8"/>
    <cellStyle name="Milliers" xfId="1" builtinId="3"/>
    <cellStyle name="Monétaire" xfId="2" builtinId="4"/>
    <cellStyle name="Normal" xfId="0" builtinId="0"/>
  </cellStyles>
  <dxfs count="2">
    <dxf>
      <fill>
        <patternFill>
          <bgColor rgb="FFA3FFED"/>
        </patternFill>
      </fill>
    </dxf>
    <dxf>
      <fill>
        <patternFill>
          <bgColor rgb="FFCDDEF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171450</xdr:colOff>
      <xdr:row>46</xdr:row>
      <xdr:rowOff>95250</xdr:rowOff>
    </xdr:from>
    <xdr:ext cx="4648067" cy="2331279"/>
    <xdr:sp macro="" textlink="">
      <xdr:nvSpPr>
        <xdr:cNvPr id="2" name="ZoneTexte 1"/>
        <xdr:cNvSpPr txBox="1"/>
      </xdr:nvSpPr>
      <xdr:spPr>
        <a:xfrm>
          <a:off x="7429500" y="9210675"/>
          <a:ext cx="4648067" cy="233127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Bonjour, </a:t>
          </a:r>
        </a:p>
        <a:p>
          <a:r>
            <a:rPr lang="fr-FR" sz="1100"/>
            <a:t>tableau mensuel, une toupie pour le mois.</a:t>
          </a:r>
        </a:p>
        <a:p>
          <a:r>
            <a:rPr lang="fr-FR" sz="1100"/>
            <a:t>Col B la date du jour, formule</a:t>
          </a:r>
        </a:p>
        <a:p>
          <a:r>
            <a:rPr lang="fr-FR" sz="1100"/>
            <a:t>Col C A pour aller en semaine et SA pour Samedi, saisie en dur</a:t>
          </a:r>
        </a:p>
        <a:p>
          <a:r>
            <a:rPr lang="fr-FR" sz="1100"/>
            <a:t>Col D R pour retour </a:t>
          </a: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en semaine et SR pour Samedi</a:t>
          </a:r>
          <a:r>
            <a:rPr lang="fr-FR" sz="1100"/>
            <a:t>,</a:t>
          </a:r>
          <a:r>
            <a:rPr lang="fr-FR" sz="1100" baseline="0"/>
            <a:t> saisie en dur</a:t>
          </a:r>
        </a:p>
        <a:p>
          <a:r>
            <a:rPr lang="fr-FR" sz="1100" baseline="0"/>
            <a:t>J'ai 2 MFC pour les samedi et dimanche.</a:t>
          </a:r>
        </a:p>
        <a:p>
          <a:r>
            <a:rPr lang="fr-FR" sz="1100" baseline="0"/>
            <a:t>Mais quand je change de mois, je suis obligée de ressaisir les A,SA,R, et SR</a:t>
          </a:r>
          <a:br>
            <a:rPr lang="fr-FR" sz="1100" baseline="0"/>
          </a:br>
          <a:r>
            <a:rPr lang="fr-FR" sz="1100" baseline="0"/>
            <a:t>Je souhaiterais  une formule  pour  que cette saisie se fasse automatiquement</a:t>
          </a:r>
          <a:br>
            <a:rPr lang="fr-FR" sz="1100" baseline="0"/>
          </a:br>
          <a:r>
            <a:rPr lang="fr-FR" sz="1100" baseline="0"/>
            <a:t>en sachant que le </a:t>
          </a:r>
        </a:p>
        <a:p>
          <a:r>
            <a:rPr lang="fr-FR" sz="1100" baseline="0"/>
            <a:t>Mercredi soir pas de retour</a:t>
          </a:r>
        </a:p>
        <a:p>
          <a:r>
            <a:rPr lang="fr-FR" sz="1100"/>
            <a:t>Jeudi matin pas d'aller</a:t>
          </a:r>
        </a:p>
        <a:p>
          <a:r>
            <a:rPr lang="fr-FR" sz="1100"/>
            <a:t>Vendredi matin pas d'aller</a:t>
          </a:r>
        </a:p>
        <a:p>
          <a:endParaRPr lang="fr-FR" sz="1100"/>
        </a:p>
      </xdr:txBody>
    </xdr:sp>
    <xdr:clientData/>
  </xdr:oneCellAnchor>
  <xdr:oneCellAnchor>
    <xdr:from>
      <xdr:col>2</xdr:col>
      <xdr:colOff>104775</xdr:colOff>
      <xdr:row>52</xdr:row>
      <xdr:rowOff>161926</xdr:rowOff>
    </xdr:from>
    <xdr:ext cx="3285387" cy="971550"/>
    <xdr:sp macro="" textlink="">
      <xdr:nvSpPr>
        <xdr:cNvPr id="3" name="ZoneTexte 2"/>
        <xdr:cNvSpPr txBox="1"/>
      </xdr:nvSpPr>
      <xdr:spPr>
        <a:xfrm>
          <a:off x="2028825" y="10448926"/>
          <a:ext cx="3285387" cy="9715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une autre petite question, </a:t>
          </a:r>
        </a:p>
        <a:p>
          <a:r>
            <a:rPr lang="fr-FR" sz="1100"/>
            <a:t>dans la feuille recap, comment je peux </a:t>
          </a:r>
          <a:r>
            <a:rPr lang="fr-FR" sz="1100" baseline="0"/>
            <a:t>recopié toutes les saisies.</a:t>
          </a:r>
        </a:p>
        <a:p>
          <a:r>
            <a:rPr lang="fr-FR" sz="1100" baseline="0"/>
            <a:t>Avec des formules pas simple, puisque  pour</a:t>
          </a:r>
        </a:p>
        <a:p>
          <a:r>
            <a:rPr lang="fr-FR" sz="1100" baseline="0"/>
            <a:t>le mois prochain, je n'aurai pas les mêmes montant. </a:t>
          </a:r>
          <a:endParaRPr lang="fr-FR" sz="1100"/>
        </a:p>
        <a:p>
          <a:endParaRPr lang="fr-FR" sz="1100"/>
        </a:p>
      </xdr:txBody>
    </xdr:sp>
    <xdr:clientData/>
  </xdr:oneCellAnchor>
  <xdr:twoCellAnchor>
    <xdr:from>
      <xdr:col>7</xdr:col>
      <xdr:colOff>66675</xdr:colOff>
      <xdr:row>3</xdr:row>
      <xdr:rowOff>47625</xdr:rowOff>
    </xdr:from>
    <xdr:to>
      <xdr:col>7</xdr:col>
      <xdr:colOff>295275</xdr:colOff>
      <xdr:row>4</xdr:row>
      <xdr:rowOff>117675</xdr:rowOff>
    </xdr:to>
    <xdr:sp macro="" textlink="">
      <xdr:nvSpPr>
        <xdr:cNvPr id="5" name="Accolade ouvrante 4"/>
        <xdr:cNvSpPr/>
      </xdr:nvSpPr>
      <xdr:spPr>
        <a:xfrm>
          <a:off x="6191250" y="647700"/>
          <a:ext cx="228600" cy="432000"/>
        </a:xfrm>
        <a:prstGeom prst="lef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7</xdr:col>
      <xdr:colOff>247650</xdr:colOff>
      <xdr:row>3</xdr:row>
      <xdr:rowOff>142875</xdr:rowOff>
    </xdr:from>
    <xdr:ext cx="647806" cy="264560"/>
    <xdr:sp macro="" textlink="">
      <xdr:nvSpPr>
        <xdr:cNvPr id="6" name="ZoneTexte 5"/>
        <xdr:cNvSpPr txBox="1"/>
      </xdr:nvSpPr>
      <xdr:spPr>
        <a:xfrm>
          <a:off x="6372225" y="742950"/>
          <a:ext cx="647806" cy="26456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Ici NB.SI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01"/>
  <sheetViews>
    <sheetView showGridLines="0" tabSelected="1" topLeftCell="E1" zoomScaleNormal="100" workbookViewId="0">
      <selection activeCell="H8" sqref="H8"/>
    </sheetView>
  </sheetViews>
  <sheetFormatPr baseColWidth="10" defaultColWidth="11.42578125" defaultRowHeight="15"/>
  <cols>
    <col min="2" max="2" width="17.42578125" style="119" bestFit="1" customWidth="1"/>
    <col min="3" max="4" width="11.140625" customWidth="1"/>
    <col min="5" max="5" width="15" customWidth="1"/>
    <col min="6" max="6" width="12.85546875" bestFit="1" customWidth="1"/>
    <col min="7" max="7" width="12.85546875" customWidth="1"/>
    <col min="8" max="8" width="17" customWidth="1"/>
    <col min="9" max="9" width="22.7109375" customWidth="1"/>
    <col min="11" max="11" width="9" customWidth="1"/>
    <col min="12" max="12" width="2" customWidth="1"/>
    <col min="13" max="13" width="12.5703125" customWidth="1"/>
    <col min="14" max="14" width="12.42578125" customWidth="1"/>
    <col min="15" max="15" width="20" style="1" customWidth="1"/>
    <col min="16" max="16" width="13.5703125" style="1" customWidth="1"/>
    <col min="17" max="30" width="11.42578125" style="1"/>
  </cols>
  <sheetData>
    <row r="1" spans="1:30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30" ht="15.75" thickBot="1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30" ht="16.5" thickBot="1">
      <c r="A3" s="1"/>
      <c r="B3" s="2"/>
      <c r="C3" s="1"/>
      <c r="D3" s="1"/>
      <c r="E3" s="3" t="s">
        <v>0</v>
      </c>
      <c r="F3" s="4"/>
      <c r="G3" s="5"/>
      <c r="H3" s="1"/>
      <c r="I3" s="6"/>
      <c r="J3" s="7" t="s">
        <v>1</v>
      </c>
      <c r="K3" s="8"/>
      <c r="L3" s="8"/>
      <c r="M3" s="8"/>
      <c r="N3" s="9"/>
    </row>
    <row r="4" spans="1:30" ht="28.5" customHeight="1" thickBot="1">
      <c r="A4" s="1"/>
      <c r="B4" s="10">
        <v>2019</v>
      </c>
      <c r="C4" s="1"/>
      <c r="D4" s="1"/>
      <c r="E4" s="11" t="s">
        <v>2</v>
      </c>
      <c r="F4" s="12"/>
      <c r="G4" s="13">
        <f>COUNTIF(M,"A")*E11</f>
        <v>253.40000000000003</v>
      </c>
      <c r="H4" s="1"/>
      <c r="I4" s="14" t="s">
        <v>3</v>
      </c>
      <c r="J4" s="15" t="s">
        <v>4</v>
      </c>
      <c r="K4" s="16" t="s">
        <v>5</v>
      </c>
      <c r="L4" s="17"/>
      <c r="M4" s="17"/>
      <c r="N4" s="15" t="s">
        <v>6</v>
      </c>
    </row>
    <row r="5" spans="1:30" ht="15.75">
      <c r="A5" s="1"/>
      <c r="B5" s="18" t="s">
        <v>7</v>
      </c>
      <c r="C5" s="19" t="s">
        <v>56</v>
      </c>
      <c r="D5" s="20"/>
      <c r="E5" s="11" t="s">
        <v>8</v>
      </c>
      <c r="F5" s="12"/>
      <c r="G5" s="13">
        <f>COUNTIF(R_,"R")*F11</f>
        <v>325.8</v>
      </c>
      <c r="H5" s="1"/>
      <c r="I5" s="21" t="s">
        <v>9</v>
      </c>
      <c r="J5" s="22">
        <v>0.45100000000000001</v>
      </c>
      <c r="K5" s="23">
        <v>0.27</v>
      </c>
      <c r="L5" s="24" t="s">
        <v>10</v>
      </c>
      <c r="M5" s="25">
        <v>906</v>
      </c>
      <c r="N5" s="26">
        <v>0.315</v>
      </c>
    </row>
    <row r="6" spans="1:30" ht="15.75">
      <c r="A6" s="1"/>
      <c r="B6" s="27" t="s">
        <v>11</v>
      </c>
      <c r="C6" s="28" t="s">
        <v>57</v>
      </c>
      <c r="D6" s="20"/>
      <c r="E6" s="29" t="s">
        <v>12</v>
      </c>
      <c r="F6" s="30"/>
      <c r="G6" s="31">
        <f>IF(G5="","",G5+G4)</f>
        <v>579.20000000000005</v>
      </c>
      <c r="H6" s="1"/>
      <c r="I6" s="32" t="s">
        <v>13</v>
      </c>
      <c r="J6" s="22">
        <v>0.51800000000000002</v>
      </c>
      <c r="K6" s="22">
        <v>0.29099999999999998</v>
      </c>
      <c r="L6" s="33" t="s">
        <v>10</v>
      </c>
      <c r="M6" s="34">
        <v>1136</v>
      </c>
      <c r="N6" s="26">
        <v>0.34899999999999998</v>
      </c>
    </row>
    <row r="7" spans="1:30" ht="15.75">
      <c r="A7" s="1"/>
      <c r="B7" s="27" t="s">
        <v>14</v>
      </c>
      <c r="C7" s="35" t="s">
        <v>15</v>
      </c>
      <c r="D7" s="36"/>
      <c r="E7" s="11" t="s">
        <v>16</v>
      </c>
      <c r="G7" s="37">
        <f>COUNTIF(M,"SA")*E15+COUNTIF(R_,"SR")*F15</f>
        <v>144.80000000000001</v>
      </c>
      <c r="H7" s="1"/>
      <c r="I7" s="32" t="s">
        <v>15</v>
      </c>
      <c r="J7" s="22">
        <v>0.54300000000000004</v>
      </c>
      <c r="K7" s="22">
        <v>0.30499999999999999</v>
      </c>
      <c r="L7" s="33" t="s">
        <v>10</v>
      </c>
      <c r="M7" s="34">
        <v>1188</v>
      </c>
      <c r="N7" s="26">
        <v>0.36399999999999999</v>
      </c>
    </row>
    <row r="8" spans="1:30" ht="18.75" customHeight="1">
      <c r="A8" s="1"/>
      <c r="B8" s="38" t="s">
        <v>17</v>
      </c>
      <c r="C8" s="35">
        <v>10</v>
      </c>
      <c r="D8" s="39"/>
      <c r="F8" s="40" t="s">
        <v>18</v>
      </c>
      <c r="G8" s="41">
        <f>G6+G7</f>
        <v>724</v>
      </c>
      <c r="H8" s="1"/>
      <c r="I8" s="32" t="s">
        <v>19</v>
      </c>
      <c r="J8" s="22">
        <v>0.56799999999999995</v>
      </c>
      <c r="K8" s="22">
        <v>0.32</v>
      </c>
      <c r="L8" s="33" t="s">
        <v>10</v>
      </c>
      <c r="M8" s="34">
        <v>1244</v>
      </c>
      <c r="N8" s="26">
        <v>0.38200000000000001</v>
      </c>
    </row>
    <row r="9" spans="1:30" ht="15.75" thickBot="1">
      <c r="A9" s="1"/>
      <c r="B9" s="42"/>
      <c r="C9" s="43"/>
      <c r="D9" s="1"/>
      <c r="E9" s="44" t="s">
        <v>20</v>
      </c>
      <c r="F9" s="45"/>
      <c r="G9" s="46">
        <f>IF(G5="","",IF(G8&gt;=20000,G8*VLOOKUP(C7,I5:N9,6,0),IF(G8&gt;5000,G8*VLOOKUP(C7,I5:N9,3,0)+VLOOKUP(C7,I5:N9,5,0),G8*VLOOKUP(C7,I5:N9,2,0))))</f>
        <v>393.13200000000001</v>
      </c>
      <c r="H9" s="1"/>
      <c r="I9" s="47" t="s">
        <v>21</v>
      </c>
      <c r="J9" s="48">
        <v>0.59499999999999997</v>
      </c>
      <c r="K9" s="48">
        <v>0.33700000000000002</v>
      </c>
      <c r="L9" s="49" t="s">
        <v>10</v>
      </c>
      <c r="M9" s="50">
        <v>1288</v>
      </c>
      <c r="N9" s="51">
        <v>0.40100000000000002</v>
      </c>
    </row>
    <row r="10" spans="1:30">
      <c r="A10" s="1"/>
      <c r="B10" s="2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30" ht="15.75" thickBot="1">
      <c r="A11" s="1"/>
      <c r="B11" s="2"/>
      <c r="C11" s="1"/>
      <c r="D11" s="1"/>
      <c r="E11" s="52">
        <v>18.100000000000001</v>
      </c>
      <c r="F11" s="52">
        <v>18.100000000000001</v>
      </c>
      <c r="G11" s="1"/>
      <c r="H11" s="1"/>
      <c r="I11" s="53" t="s">
        <v>22</v>
      </c>
      <c r="J11" s="1"/>
      <c r="K11" s="1"/>
      <c r="L11" s="1"/>
      <c r="M11" s="1"/>
      <c r="N11" s="1"/>
    </row>
    <row r="12" spans="1:30" s="40" customFormat="1">
      <c r="A12" s="54"/>
      <c r="B12" s="55" t="s">
        <v>23</v>
      </c>
      <c r="C12" s="56" t="s">
        <v>24</v>
      </c>
      <c r="D12" s="57"/>
      <c r="E12" s="58" t="s">
        <v>25</v>
      </c>
      <c r="F12" s="58"/>
      <c r="G12" s="59"/>
      <c r="H12" s="1"/>
      <c r="I12" s="53" t="s">
        <v>26</v>
      </c>
      <c r="J12" s="60"/>
      <c r="K12" s="60"/>
      <c r="L12" s="60"/>
      <c r="M12" s="61"/>
      <c r="N12" s="60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</row>
    <row r="13" spans="1:30" ht="15.75">
      <c r="A13" s="1"/>
      <c r="B13" s="62"/>
      <c r="C13" s="63" t="s">
        <v>58</v>
      </c>
      <c r="D13" s="64" t="s">
        <v>31</v>
      </c>
      <c r="E13" s="64" t="s">
        <v>27</v>
      </c>
      <c r="F13" s="65" t="s">
        <v>28</v>
      </c>
      <c r="G13" s="66" t="s">
        <v>29</v>
      </c>
      <c r="H13" s="1"/>
      <c r="I13" s="67" t="s">
        <v>59</v>
      </c>
      <c r="J13" s="68"/>
      <c r="K13" s="60"/>
      <c r="L13" s="60"/>
      <c r="M13" s="60"/>
      <c r="N13" s="60"/>
    </row>
    <row r="14" spans="1:30" ht="15.75">
      <c r="A14" s="1"/>
      <c r="B14" s="69"/>
      <c r="C14" s="70"/>
      <c r="D14" s="71"/>
      <c r="E14" s="72"/>
      <c r="F14" s="73"/>
      <c r="G14" s="74" t="str">
        <f>IF(F14="","",F14-E14)</f>
        <v/>
      </c>
      <c r="H14" s="1"/>
      <c r="J14" s="75"/>
      <c r="K14" s="75"/>
      <c r="L14" s="75"/>
      <c r="M14" s="75"/>
      <c r="N14" s="76"/>
    </row>
    <row r="15" spans="1:30">
      <c r="A15" s="1"/>
      <c r="B15" s="77">
        <f>DATE($B$4,C8,1)</f>
        <v>43739</v>
      </c>
      <c r="C15" s="78" t="s">
        <v>30</v>
      </c>
      <c r="D15" s="79" t="s">
        <v>31</v>
      </c>
      <c r="E15" s="80">
        <f>IF(C15="A",$E$11,IF(C15="SA",$E$11,0))</f>
        <v>18.100000000000001</v>
      </c>
      <c r="F15" s="81">
        <f>IF(D15="R",$F$11,IF(D15="SR",$F$11,0))</f>
        <v>18.100000000000001</v>
      </c>
      <c r="G15" s="82">
        <f>IF(F15="","",F15+E15)</f>
        <v>36.200000000000003</v>
      </c>
      <c r="I15" s="83"/>
      <c r="J15" s="60"/>
      <c r="K15" s="60"/>
      <c r="L15" s="60"/>
      <c r="M15" s="60"/>
      <c r="N15" s="60"/>
    </row>
    <row r="16" spans="1:30" ht="15.75">
      <c r="A16" s="1"/>
      <c r="B16" s="77">
        <f>IF(MONTH(B15+1)=C$8,B15+1,"")</f>
        <v>43740</v>
      </c>
      <c r="C16" s="78" t="s">
        <v>30</v>
      </c>
      <c r="D16" s="79"/>
      <c r="E16" s="80">
        <f>IF(C16="A",$E$11,IF(C16="SA",$E$11,0))</f>
        <v>18.100000000000001</v>
      </c>
      <c r="F16" s="81">
        <f>IF(D16="R",$F$11,IF(D16="SR",$F$11,0))</f>
        <v>0</v>
      </c>
      <c r="G16" s="82">
        <f>IF(F16="","",F16+E16)</f>
        <v>18.100000000000001</v>
      </c>
      <c r="H16" s="83"/>
      <c r="I16" s="83"/>
      <c r="J16" s="68"/>
      <c r="K16" s="60"/>
      <c r="L16" s="60"/>
      <c r="M16" s="60"/>
      <c r="N16" s="60"/>
    </row>
    <row r="17" spans="1:14" ht="15.75">
      <c r="A17" s="1"/>
      <c r="B17" s="77">
        <f t="shared" ref="B17:B45" si="0">IF(MONTH(B16+1)=C$8,B16+1,"")</f>
        <v>43741</v>
      </c>
      <c r="C17" s="78"/>
      <c r="D17" s="79" t="s">
        <v>31</v>
      </c>
      <c r="E17" s="80">
        <f>IF(C17="A",$E$11,IF(C17="SA",$E$11,0))</f>
        <v>0</v>
      </c>
      <c r="F17" s="81">
        <f>IF(D17="R",$F$11,IF(D17="SR",$F$11,0))</f>
        <v>18.100000000000001</v>
      </c>
      <c r="G17" s="82">
        <f>IF(F17="","",F17+E17)</f>
        <v>18.100000000000001</v>
      </c>
      <c r="H17" s="60"/>
      <c r="I17" s="83"/>
      <c r="J17" s="84"/>
      <c r="K17" s="84"/>
      <c r="L17" s="84"/>
      <c r="M17" s="84"/>
      <c r="N17" s="60"/>
    </row>
    <row r="18" spans="1:14" ht="15.75">
      <c r="A18" s="1"/>
      <c r="B18" s="77">
        <f t="shared" si="0"/>
        <v>43742</v>
      </c>
      <c r="C18" s="78"/>
      <c r="D18" s="79" t="s">
        <v>31</v>
      </c>
      <c r="E18" s="80">
        <f>IF(C18="A",$E$11,IF(C18="SA",$E$11,0))</f>
        <v>0</v>
      </c>
      <c r="F18" s="81">
        <f>IF(D18="R",$F$11,IF(D18="SR",$F$11,0))</f>
        <v>18.100000000000001</v>
      </c>
      <c r="G18" s="82">
        <f t="shared" ref="G18:G45" si="1">IF(F18="","",F18+E18)</f>
        <v>18.100000000000001</v>
      </c>
      <c r="H18" s="85"/>
      <c r="I18" s="86"/>
      <c r="J18" s="84"/>
      <c r="K18" s="84"/>
      <c r="L18" s="84"/>
      <c r="M18" s="84"/>
      <c r="N18" s="60"/>
    </row>
    <row r="19" spans="1:14">
      <c r="A19" s="1"/>
      <c r="B19" s="77">
        <f t="shared" si="0"/>
        <v>43743</v>
      </c>
      <c r="C19" s="78" t="s">
        <v>32</v>
      </c>
      <c r="D19" s="79" t="s">
        <v>33</v>
      </c>
      <c r="E19" s="80">
        <f>IF(C19="A",$E$11,IF(C19="SA",$E$11,0))</f>
        <v>18.100000000000001</v>
      </c>
      <c r="F19" s="81">
        <f>IF(D19="R",$F$11,IF(D19="SR",$F$11,0))</f>
        <v>18.100000000000001</v>
      </c>
      <c r="G19" s="82">
        <f>E19+F19</f>
        <v>36.200000000000003</v>
      </c>
      <c r="H19" s="1"/>
      <c r="I19" s="124" t="s">
        <v>76</v>
      </c>
      <c r="J19" s="60"/>
      <c r="K19" s="60"/>
      <c r="L19" s="60"/>
      <c r="M19" s="60"/>
      <c r="N19" s="60"/>
    </row>
    <row r="20" spans="1:14">
      <c r="A20" s="1"/>
      <c r="B20" s="77">
        <f t="shared" si="0"/>
        <v>43744</v>
      </c>
      <c r="C20" s="78"/>
      <c r="D20" s="79"/>
      <c r="E20" s="80">
        <f>IF(C20="A",$E$11,IF(C20="SA",$E$11,0))</f>
        <v>0</v>
      </c>
      <c r="F20" s="81">
        <f>IF(D20="R",$F$11,IF(D20="SR",$F$11,0))</f>
        <v>0</v>
      </c>
      <c r="G20" s="82">
        <f t="shared" si="1"/>
        <v>0</v>
      </c>
      <c r="H20" s="1"/>
      <c r="I20" s="125" t="s">
        <v>77</v>
      </c>
      <c r="K20" s="1"/>
      <c r="L20" s="1"/>
      <c r="M20" s="1"/>
      <c r="N20" s="1"/>
    </row>
    <row r="21" spans="1:14">
      <c r="A21" s="1"/>
      <c r="B21" s="77">
        <f t="shared" si="0"/>
        <v>43745</v>
      </c>
      <c r="C21" s="78" t="s">
        <v>30</v>
      </c>
      <c r="D21" s="79" t="s">
        <v>31</v>
      </c>
      <c r="E21" s="80">
        <f t="shared" ref="E21:E38" si="2">IF(C21="A",$E$11,IF(C21="SA",$E$11,0))</f>
        <v>18.100000000000001</v>
      </c>
      <c r="F21" s="81">
        <f t="shared" ref="F21:F38" si="3">IF(D21="R",$F$11,IF(D21="SR",$F$11,0))</f>
        <v>18.100000000000001</v>
      </c>
      <c r="G21" s="82">
        <f t="shared" si="1"/>
        <v>36.200000000000003</v>
      </c>
      <c r="H21" s="1"/>
      <c r="I21" s="87" t="s">
        <v>78</v>
      </c>
      <c r="J21" s="1"/>
      <c r="K21" s="1"/>
      <c r="L21" s="1"/>
      <c r="M21" s="1"/>
      <c r="N21" s="1"/>
    </row>
    <row r="22" spans="1:14">
      <c r="A22" s="1"/>
      <c r="B22" s="77">
        <f t="shared" si="0"/>
        <v>43746</v>
      </c>
      <c r="C22" s="78" t="s">
        <v>30</v>
      </c>
      <c r="D22" s="79" t="s">
        <v>31</v>
      </c>
      <c r="E22" s="80">
        <f t="shared" si="2"/>
        <v>18.100000000000001</v>
      </c>
      <c r="F22" s="81">
        <f t="shared" si="3"/>
        <v>18.100000000000001</v>
      </c>
      <c r="G22" s="82">
        <f t="shared" si="1"/>
        <v>36.200000000000003</v>
      </c>
      <c r="H22" s="1"/>
      <c r="I22" s="1"/>
      <c r="J22" s="1"/>
      <c r="K22" s="1"/>
      <c r="L22" s="1"/>
      <c r="M22" s="1"/>
      <c r="N22" s="1"/>
    </row>
    <row r="23" spans="1:14">
      <c r="A23" s="1"/>
      <c r="B23" s="77">
        <f t="shared" si="0"/>
        <v>43747</v>
      </c>
      <c r="C23" s="78" t="s">
        <v>30</v>
      </c>
      <c r="D23" s="79"/>
      <c r="E23" s="80">
        <f t="shared" si="2"/>
        <v>18.100000000000001</v>
      </c>
      <c r="F23" s="81">
        <f t="shared" si="3"/>
        <v>0</v>
      </c>
      <c r="G23" s="82">
        <f t="shared" si="1"/>
        <v>18.100000000000001</v>
      </c>
      <c r="H23" s="1"/>
      <c r="I23" s="1"/>
      <c r="J23" s="1"/>
      <c r="K23" s="1"/>
      <c r="L23" s="1"/>
      <c r="M23" s="1"/>
      <c r="N23" s="1"/>
    </row>
    <row r="24" spans="1:14">
      <c r="A24" s="1"/>
      <c r="B24" s="77">
        <f t="shared" si="0"/>
        <v>43748</v>
      </c>
      <c r="C24" s="78"/>
      <c r="D24" s="79" t="s">
        <v>31</v>
      </c>
      <c r="E24" s="80">
        <f t="shared" si="2"/>
        <v>0</v>
      </c>
      <c r="F24" s="81">
        <f t="shared" si="3"/>
        <v>18.100000000000001</v>
      </c>
      <c r="G24" s="82">
        <f t="shared" si="1"/>
        <v>18.100000000000001</v>
      </c>
      <c r="H24" s="1"/>
      <c r="I24" s="88" t="s">
        <v>34</v>
      </c>
      <c r="J24" s="89"/>
      <c r="K24" s="89"/>
      <c r="L24" s="89"/>
      <c r="M24" s="89"/>
      <c r="N24" s="1"/>
    </row>
    <row r="25" spans="1:14">
      <c r="A25" s="1"/>
      <c r="B25" s="77">
        <f t="shared" si="0"/>
        <v>43749</v>
      </c>
      <c r="C25" s="78"/>
      <c r="D25" s="79" t="s">
        <v>31</v>
      </c>
      <c r="E25" s="80">
        <f t="shared" si="2"/>
        <v>0</v>
      </c>
      <c r="F25" s="81">
        <f t="shared" si="3"/>
        <v>18.100000000000001</v>
      </c>
      <c r="G25" s="82">
        <f t="shared" si="1"/>
        <v>18.100000000000001</v>
      </c>
      <c r="H25" s="1"/>
      <c r="I25" s="89" t="s">
        <v>35</v>
      </c>
      <c r="J25" s="90"/>
      <c r="K25" s="89"/>
      <c r="L25" s="89"/>
      <c r="M25" s="89"/>
      <c r="N25" s="1"/>
    </row>
    <row r="26" spans="1:14">
      <c r="A26" s="1"/>
      <c r="B26" s="77">
        <f t="shared" si="0"/>
        <v>43750</v>
      </c>
      <c r="C26" s="78" t="s">
        <v>32</v>
      </c>
      <c r="D26" s="79" t="s">
        <v>33</v>
      </c>
      <c r="E26" s="80">
        <f t="shared" si="2"/>
        <v>18.100000000000001</v>
      </c>
      <c r="F26" s="81">
        <f t="shared" si="3"/>
        <v>18.100000000000001</v>
      </c>
      <c r="G26" s="82">
        <f t="shared" si="1"/>
        <v>36.200000000000003</v>
      </c>
      <c r="H26" s="1"/>
      <c r="I26" s="89" t="s">
        <v>36</v>
      </c>
      <c r="J26" s="90">
        <v>12590</v>
      </c>
      <c r="K26" s="89"/>
      <c r="L26" s="89"/>
      <c r="M26" s="89"/>
      <c r="N26" s="1"/>
    </row>
    <row r="27" spans="1:14">
      <c r="A27" s="1"/>
      <c r="B27" s="77">
        <f t="shared" si="0"/>
        <v>43751</v>
      </c>
      <c r="C27" s="78"/>
      <c r="D27" s="79"/>
      <c r="E27" s="80">
        <f t="shared" si="2"/>
        <v>0</v>
      </c>
      <c r="F27" s="81">
        <f t="shared" si="3"/>
        <v>0</v>
      </c>
      <c r="G27" s="82">
        <f t="shared" si="1"/>
        <v>0</v>
      </c>
      <c r="H27" s="1"/>
      <c r="I27" s="89" t="s">
        <v>37</v>
      </c>
      <c r="J27" s="90">
        <f>J26*12%</f>
        <v>1510.8</v>
      </c>
      <c r="K27" s="89"/>
      <c r="L27" s="89"/>
      <c r="M27" s="89"/>
      <c r="N27" s="1"/>
    </row>
    <row r="28" spans="1:14">
      <c r="A28" s="1"/>
      <c r="B28" s="77">
        <f t="shared" si="0"/>
        <v>43752</v>
      </c>
      <c r="C28" s="78" t="s">
        <v>30</v>
      </c>
      <c r="D28" s="79" t="s">
        <v>31</v>
      </c>
      <c r="E28" s="80">
        <f t="shared" si="2"/>
        <v>18.100000000000001</v>
      </c>
      <c r="F28" s="81">
        <f t="shared" si="3"/>
        <v>18.100000000000001</v>
      </c>
      <c r="G28" s="82">
        <f t="shared" si="1"/>
        <v>36.200000000000003</v>
      </c>
      <c r="H28" s="1"/>
      <c r="I28" s="91" t="s">
        <v>38</v>
      </c>
      <c r="J28" s="92">
        <f>J27/12</f>
        <v>125.89999999999999</v>
      </c>
      <c r="K28" s="89"/>
      <c r="L28" s="89"/>
      <c r="M28" s="89"/>
      <c r="N28" s="1"/>
    </row>
    <row r="29" spans="1:14">
      <c r="A29" s="1"/>
      <c r="B29" s="77">
        <f t="shared" si="0"/>
        <v>43753</v>
      </c>
      <c r="C29" s="78" t="s">
        <v>30</v>
      </c>
      <c r="D29" s="79" t="s">
        <v>31</v>
      </c>
      <c r="E29" s="80">
        <f t="shared" si="2"/>
        <v>18.100000000000001</v>
      </c>
      <c r="F29" s="81">
        <f t="shared" si="3"/>
        <v>18.100000000000001</v>
      </c>
      <c r="G29" s="82">
        <f t="shared" si="1"/>
        <v>36.200000000000003</v>
      </c>
      <c r="H29" s="1"/>
      <c r="I29" s="89"/>
      <c r="J29" s="90"/>
      <c r="K29" s="89"/>
      <c r="L29" s="89"/>
      <c r="M29" s="89"/>
      <c r="N29" s="1"/>
    </row>
    <row r="30" spans="1:14">
      <c r="A30" s="1"/>
      <c r="B30" s="77">
        <f t="shared" si="0"/>
        <v>43754</v>
      </c>
      <c r="C30" s="78" t="s">
        <v>30</v>
      </c>
      <c r="D30" s="79"/>
      <c r="E30" s="80">
        <f t="shared" si="2"/>
        <v>18.100000000000001</v>
      </c>
      <c r="F30" s="81">
        <f t="shared" si="3"/>
        <v>0</v>
      </c>
      <c r="G30" s="82">
        <f t="shared" si="1"/>
        <v>18.100000000000001</v>
      </c>
      <c r="H30" s="1"/>
      <c r="I30" s="89"/>
      <c r="J30" s="90"/>
      <c r="K30" s="89"/>
      <c r="L30" s="89"/>
      <c r="M30" s="89"/>
      <c r="N30" s="1"/>
    </row>
    <row r="31" spans="1:14">
      <c r="A31" s="1"/>
      <c r="B31" s="77">
        <f t="shared" si="0"/>
        <v>43755</v>
      </c>
      <c r="C31" s="78"/>
      <c r="D31" s="79" t="s">
        <v>31</v>
      </c>
      <c r="E31" s="80">
        <f t="shared" si="2"/>
        <v>0</v>
      </c>
      <c r="F31" s="81">
        <f t="shared" si="3"/>
        <v>18.100000000000001</v>
      </c>
      <c r="G31" s="82">
        <f t="shared" si="1"/>
        <v>18.100000000000001</v>
      </c>
      <c r="H31" s="1"/>
      <c r="I31" s="88" t="s">
        <v>39</v>
      </c>
      <c r="J31" s="90"/>
      <c r="K31" s="89"/>
      <c r="L31" s="89"/>
      <c r="M31" s="89"/>
      <c r="N31" s="1"/>
    </row>
    <row r="32" spans="1:14">
      <c r="A32" s="1"/>
      <c r="B32" s="77">
        <f t="shared" si="0"/>
        <v>43756</v>
      </c>
      <c r="C32" s="78"/>
      <c r="D32" s="79" t="s">
        <v>31</v>
      </c>
      <c r="E32" s="80">
        <f t="shared" si="2"/>
        <v>0</v>
      </c>
      <c r="F32" s="81">
        <f t="shared" si="3"/>
        <v>18.100000000000001</v>
      </c>
      <c r="G32" s="82">
        <f t="shared" si="1"/>
        <v>18.100000000000001</v>
      </c>
      <c r="H32" s="1"/>
      <c r="I32" s="89" t="s">
        <v>35</v>
      </c>
      <c r="J32" s="90">
        <v>12590</v>
      </c>
      <c r="K32" s="89"/>
      <c r="L32" s="89"/>
      <c r="M32" s="89"/>
      <c r="N32" s="1"/>
    </row>
    <row r="33" spans="1:16">
      <c r="A33" s="1"/>
      <c r="B33" s="77">
        <f t="shared" si="0"/>
        <v>43757</v>
      </c>
      <c r="C33" s="78" t="s">
        <v>32</v>
      </c>
      <c r="D33" s="79" t="s">
        <v>33</v>
      </c>
      <c r="E33" s="80">
        <f t="shared" si="2"/>
        <v>18.100000000000001</v>
      </c>
      <c r="F33" s="81">
        <f t="shared" si="3"/>
        <v>18.100000000000001</v>
      </c>
      <c r="G33" s="82">
        <f t="shared" si="1"/>
        <v>36.200000000000003</v>
      </c>
      <c r="H33" s="1"/>
      <c r="I33" s="93">
        <v>0.2</v>
      </c>
      <c r="J33" s="92">
        <f>J32*I33</f>
        <v>2518</v>
      </c>
      <c r="K33" s="89"/>
      <c r="L33" s="89"/>
      <c r="M33" s="89"/>
      <c r="N33" s="1"/>
    </row>
    <row r="34" spans="1:16">
      <c r="A34" s="1"/>
      <c r="B34" s="77">
        <f t="shared" si="0"/>
        <v>43758</v>
      </c>
      <c r="C34" s="78"/>
      <c r="D34" s="79"/>
      <c r="E34" s="80">
        <f t="shared" si="2"/>
        <v>0</v>
      </c>
      <c r="F34" s="81">
        <f t="shared" si="3"/>
        <v>0</v>
      </c>
      <c r="G34" s="82">
        <f t="shared" si="1"/>
        <v>0</v>
      </c>
      <c r="H34" s="1"/>
      <c r="I34" s="89" t="s">
        <v>40</v>
      </c>
      <c r="J34" s="90">
        <v>150</v>
      </c>
      <c r="K34" s="89"/>
      <c r="L34" s="89"/>
      <c r="M34" s="89"/>
      <c r="N34" s="1"/>
    </row>
    <row r="35" spans="1:16">
      <c r="A35" s="1"/>
      <c r="B35" s="77">
        <f t="shared" si="0"/>
        <v>43759</v>
      </c>
      <c r="C35" s="78" t="s">
        <v>30</v>
      </c>
      <c r="D35" s="79" t="s">
        <v>31</v>
      </c>
      <c r="E35" s="80">
        <f t="shared" si="2"/>
        <v>18.100000000000001</v>
      </c>
      <c r="F35" s="81">
        <f t="shared" si="3"/>
        <v>18.100000000000001</v>
      </c>
      <c r="G35" s="82">
        <f t="shared" si="1"/>
        <v>36.200000000000003</v>
      </c>
      <c r="H35" s="1"/>
      <c r="I35" s="89" t="s">
        <v>41</v>
      </c>
      <c r="J35" s="90">
        <v>120</v>
      </c>
      <c r="K35" s="89"/>
      <c r="L35" s="89"/>
      <c r="M35" s="89"/>
      <c r="N35" s="1"/>
    </row>
    <row r="36" spans="1:16">
      <c r="A36" s="1"/>
      <c r="B36" s="77">
        <f t="shared" si="0"/>
        <v>43760</v>
      </c>
      <c r="C36" s="78" t="s">
        <v>30</v>
      </c>
      <c r="D36" s="79" t="s">
        <v>31</v>
      </c>
      <c r="E36" s="80">
        <f t="shared" si="2"/>
        <v>18.100000000000001</v>
      </c>
      <c r="F36" s="81">
        <f t="shared" si="3"/>
        <v>18.100000000000001</v>
      </c>
      <c r="G36" s="82">
        <f t="shared" si="1"/>
        <v>36.200000000000003</v>
      </c>
      <c r="H36" s="1"/>
      <c r="I36" s="89" t="s">
        <v>42</v>
      </c>
      <c r="J36" s="90">
        <v>410</v>
      </c>
      <c r="K36" s="89"/>
      <c r="L36" s="89"/>
      <c r="M36" s="89"/>
      <c r="N36" s="1"/>
    </row>
    <row r="37" spans="1:16">
      <c r="A37" s="1"/>
      <c r="B37" s="77">
        <f t="shared" si="0"/>
        <v>43761</v>
      </c>
      <c r="C37" s="78" t="s">
        <v>30</v>
      </c>
      <c r="D37" s="79"/>
      <c r="E37" s="80">
        <f t="shared" si="2"/>
        <v>18.100000000000001</v>
      </c>
      <c r="F37" s="81">
        <f t="shared" si="3"/>
        <v>0</v>
      </c>
      <c r="G37" s="82">
        <f t="shared" si="1"/>
        <v>18.100000000000001</v>
      </c>
      <c r="H37" s="1"/>
      <c r="I37" s="89" t="s">
        <v>43</v>
      </c>
      <c r="J37" s="90">
        <v>2850</v>
      </c>
      <c r="O37" s="89"/>
      <c r="P37" s="89"/>
    </row>
    <row r="38" spans="1:16">
      <c r="A38" s="1"/>
      <c r="B38" s="77">
        <f t="shared" si="0"/>
        <v>43762</v>
      </c>
      <c r="C38" s="78"/>
      <c r="D38" s="79" t="s">
        <v>31</v>
      </c>
      <c r="E38" s="80">
        <f t="shared" si="2"/>
        <v>0</v>
      </c>
      <c r="F38" s="81">
        <f t="shared" si="3"/>
        <v>18.100000000000001</v>
      </c>
      <c r="G38" s="82">
        <f t="shared" si="1"/>
        <v>18.100000000000001</v>
      </c>
      <c r="H38" s="1"/>
      <c r="I38" s="89" t="s">
        <v>44</v>
      </c>
      <c r="J38" s="94">
        <v>43240</v>
      </c>
      <c r="K38" s="95" t="s">
        <v>45</v>
      </c>
      <c r="O38" s="89"/>
      <c r="P38" s="89"/>
    </row>
    <row r="39" spans="1:16">
      <c r="A39" s="1"/>
      <c r="B39" s="77">
        <f t="shared" si="0"/>
        <v>43763</v>
      </c>
      <c r="C39" s="78"/>
      <c r="D39" s="79" t="s">
        <v>31</v>
      </c>
      <c r="E39" s="80">
        <f>IF(C39="A",$E$11,IF(C39="SA",$E$11,0))</f>
        <v>0</v>
      </c>
      <c r="F39" s="81">
        <f>IF(D39="R",$F$11,IF(D39="SR",$F$11,0))</f>
        <v>18.100000000000001</v>
      </c>
      <c r="G39" s="82">
        <f t="shared" si="1"/>
        <v>18.100000000000001</v>
      </c>
      <c r="H39" s="1"/>
      <c r="I39" s="89" t="s">
        <v>46</v>
      </c>
      <c r="J39" s="94">
        <v>29845</v>
      </c>
      <c r="K39" s="89" t="s">
        <v>47</v>
      </c>
      <c r="L39" s="89"/>
      <c r="M39" s="89"/>
      <c r="N39" s="1"/>
    </row>
    <row r="40" spans="1:16">
      <c r="A40" s="1"/>
      <c r="B40" s="77">
        <f t="shared" si="0"/>
        <v>43764</v>
      </c>
      <c r="C40" s="78" t="s">
        <v>32</v>
      </c>
      <c r="D40" s="79" t="s">
        <v>33</v>
      </c>
      <c r="E40" s="80">
        <f t="shared" ref="E40:E45" si="4">IF(C40="A",$E$11,IF(C40="SA",$E$11,0))</f>
        <v>18.100000000000001</v>
      </c>
      <c r="F40" s="81">
        <f t="shared" ref="F40:F45" si="5">IF(D40="R",$F$11,IF(D40="SR",$F$11,0))</f>
        <v>18.100000000000001</v>
      </c>
      <c r="G40" s="82">
        <f t="shared" si="1"/>
        <v>36.200000000000003</v>
      </c>
      <c r="H40" s="1"/>
      <c r="I40" s="96" t="s">
        <v>48</v>
      </c>
      <c r="J40" s="90">
        <f>J33+J34+J35+J36+J37</f>
        <v>6048</v>
      </c>
      <c r="K40" s="1"/>
      <c r="L40" s="1"/>
      <c r="M40" s="1"/>
      <c r="N40" s="1"/>
    </row>
    <row r="41" spans="1:16">
      <c r="A41" s="1"/>
      <c r="B41" s="77">
        <f t="shared" si="0"/>
        <v>43765</v>
      </c>
      <c r="C41" s="78"/>
      <c r="D41" s="79"/>
      <c r="E41" s="80">
        <f t="shared" si="4"/>
        <v>0</v>
      </c>
      <c r="F41" s="81">
        <f t="shared" si="5"/>
        <v>0</v>
      </c>
      <c r="G41" s="82">
        <f t="shared" si="1"/>
        <v>0</v>
      </c>
      <c r="H41" s="1"/>
      <c r="I41" s="97" t="s">
        <v>49</v>
      </c>
      <c r="J41" s="1"/>
      <c r="K41" s="1"/>
      <c r="L41" s="1"/>
      <c r="M41" s="1"/>
      <c r="N41" s="1"/>
    </row>
    <row r="42" spans="1:16">
      <c r="A42" s="1"/>
      <c r="B42" s="77">
        <f t="shared" si="0"/>
        <v>43766</v>
      </c>
      <c r="C42" s="78" t="s">
        <v>30</v>
      </c>
      <c r="D42" s="79" t="s">
        <v>31</v>
      </c>
      <c r="E42" s="80">
        <f t="shared" si="4"/>
        <v>18.100000000000001</v>
      </c>
      <c r="F42" s="81">
        <f t="shared" si="5"/>
        <v>18.100000000000001</v>
      </c>
      <c r="G42" s="82">
        <f t="shared" si="1"/>
        <v>36.200000000000003</v>
      </c>
      <c r="H42" s="1"/>
      <c r="I42" s="1"/>
      <c r="J42" s="1"/>
      <c r="K42" s="1"/>
      <c r="L42" s="1"/>
      <c r="M42" s="1"/>
      <c r="N42" s="1"/>
    </row>
    <row r="43" spans="1:16">
      <c r="A43" s="1"/>
      <c r="B43" s="77">
        <f t="shared" si="0"/>
        <v>43767</v>
      </c>
      <c r="C43" s="78" t="s">
        <v>30</v>
      </c>
      <c r="D43" s="79" t="s">
        <v>31</v>
      </c>
      <c r="E43" s="80">
        <f t="shared" si="4"/>
        <v>18.100000000000001</v>
      </c>
      <c r="F43" s="81">
        <f t="shared" si="5"/>
        <v>18.100000000000001</v>
      </c>
      <c r="G43" s="82">
        <f t="shared" si="1"/>
        <v>36.200000000000003</v>
      </c>
      <c r="H43" s="1"/>
      <c r="I43" s="98" t="s">
        <v>38</v>
      </c>
      <c r="J43" s="99">
        <f>(J40*J39)/J38</f>
        <v>4174.434782608696</v>
      </c>
      <c r="K43" s="89" t="s">
        <v>50</v>
      </c>
      <c r="L43" s="89"/>
      <c r="M43" s="99">
        <f>J43/12</f>
        <v>347.86956521739131</v>
      </c>
      <c r="N43" s="1"/>
    </row>
    <row r="44" spans="1:16">
      <c r="A44" s="1"/>
      <c r="B44" s="77">
        <f t="shared" si="0"/>
        <v>43768</v>
      </c>
      <c r="C44" s="78" t="s">
        <v>30</v>
      </c>
      <c r="D44" s="79"/>
      <c r="E44" s="80">
        <f t="shared" si="4"/>
        <v>18.100000000000001</v>
      </c>
      <c r="F44" s="81">
        <f t="shared" si="5"/>
        <v>0</v>
      </c>
      <c r="G44" s="82">
        <f t="shared" si="1"/>
        <v>18.100000000000001</v>
      </c>
      <c r="H44" s="1"/>
      <c r="I44" s="100" t="s">
        <v>51</v>
      </c>
      <c r="J44" s="1"/>
      <c r="K44" s="1"/>
      <c r="L44" s="1"/>
      <c r="M44" s="1"/>
      <c r="N44" s="1"/>
    </row>
    <row r="45" spans="1:16">
      <c r="A45" s="1"/>
      <c r="B45" s="77">
        <f t="shared" si="0"/>
        <v>43769</v>
      </c>
      <c r="C45" s="78"/>
      <c r="D45" s="79" t="s">
        <v>31</v>
      </c>
      <c r="E45" s="80">
        <f t="shared" si="4"/>
        <v>0</v>
      </c>
      <c r="F45" s="81">
        <f t="shared" si="5"/>
        <v>18.100000000000001</v>
      </c>
      <c r="G45" s="82">
        <f t="shared" si="1"/>
        <v>18.100000000000001</v>
      </c>
      <c r="H45" s="1"/>
      <c r="J45" s="1"/>
      <c r="K45" s="1"/>
      <c r="L45" s="1"/>
      <c r="M45" s="1"/>
      <c r="N45" s="1"/>
    </row>
    <row r="46" spans="1:16" ht="15.75" thickBot="1">
      <c r="A46" s="1"/>
      <c r="B46" s="101"/>
      <c r="C46" s="102"/>
      <c r="D46" s="103"/>
      <c r="E46" s="104" t="str">
        <f t="shared" ref="E46" si="6">IF(F46="","",F45)</f>
        <v/>
      </c>
      <c r="F46" s="105"/>
      <c r="G46" s="106" t="str">
        <f t="shared" ref="G46" si="7">IF(F46="","",F46-E46)</f>
        <v/>
      </c>
      <c r="H46" s="1"/>
      <c r="I46" s="90"/>
      <c r="J46" s="1"/>
      <c r="K46" s="1"/>
      <c r="L46" s="1"/>
      <c r="M46" s="1"/>
      <c r="N46" s="1"/>
    </row>
    <row r="47" spans="1:16" ht="15.75" thickBot="1">
      <c r="A47" s="1"/>
      <c r="B47" s="2"/>
      <c r="C47" s="1"/>
      <c r="D47" s="1"/>
      <c r="H47" s="1"/>
      <c r="I47" s="1"/>
      <c r="J47" s="1"/>
      <c r="K47" s="1"/>
      <c r="L47" s="1"/>
      <c r="M47" s="1"/>
      <c r="N47" s="1"/>
    </row>
    <row r="48" spans="1:16">
      <c r="A48" s="1"/>
      <c r="B48" s="107" t="s">
        <v>52</v>
      </c>
      <c r="C48" s="108"/>
      <c r="D48" s="109">
        <f>G7</f>
        <v>144.80000000000001</v>
      </c>
      <c r="E48" s="110" t="s">
        <v>53</v>
      </c>
      <c r="F48" s="111"/>
      <c r="G48" s="112">
        <f>SUM(G14:G46)-D48</f>
        <v>579.20000000000027</v>
      </c>
      <c r="H48" s="1"/>
      <c r="I48" s="1"/>
      <c r="J48" s="1"/>
      <c r="K48" s="1"/>
      <c r="L48" s="1"/>
      <c r="M48" s="1"/>
      <c r="N48" s="1"/>
    </row>
    <row r="49" spans="2:7" s="1" customFormat="1" ht="16.5" thickBot="1">
      <c r="B49" s="113" t="s">
        <v>54</v>
      </c>
      <c r="C49" s="114"/>
      <c r="D49" s="115">
        <f>IF(D48=0,"",IF(G48&gt;=20000,D48*VLOOKUP(C7,I5:N9,6,0),IF(D48&gt;5000,D48*VLOOKUP(C7,I5:N9,3,0)+VLOOKUP(C7,I5:N9,5,0),D48*VLOOKUP(C7,I5:N9,2,0))))</f>
        <v>78.626400000000018</v>
      </c>
      <c r="E49" s="116" t="s">
        <v>55</v>
      </c>
      <c r="F49" s="117"/>
      <c r="G49" s="118">
        <f>IF(G48=0,"",IF(G48&gt;=20000,G48*VLOOKUP(C7,I5:N9,6,0),IF(G48&gt;5000,G48*VLOOKUP(C7,I5:N9,3,0)+VLOOKUP(C7,I5:N9,5,0),G48*VLOOKUP(C7,I5:N9,2,0))))</f>
        <v>314.50560000000019</v>
      </c>
    </row>
    <row r="50" spans="2:7" s="1" customFormat="1">
      <c r="B50" s="2"/>
    </row>
    <row r="51" spans="2:7" s="1" customFormat="1">
      <c r="B51" s="120"/>
      <c r="C51" s="121"/>
      <c r="D51" s="121"/>
      <c r="E51" s="122" t="str">
        <f>"Montant total Avantage nature pour le mois "&amp;TEXT(B15,"mmmm")</f>
        <v>Montant total Avantage nature pour le mois octobre</v>
      </c>
      <c r="F51" s="123">
        <f>D49+G49</f>
        <v>393.13200000000018</v>
      </c>
    </row>
    <row r="52" spans="2:7" s="1" customFormat="1">
      <c r="B52" s="2"/>
    </row>
    <row r="53" spans="2:7" s="1" customFormat="1">
      <c r="B53" s="2"/>
    </row>
    <row r="54" spans="2:7" s="1" customFormat="1">
      <c r="B54" s="2"/>
    </row>
    <row r="55" spans="2:7" s="1" customFormat="1">
      <c r="B55" s="2"/>
    </row>
    <row r="56" spans="2:7" s="1" customFormat="1">
      <c r="B56" s="2"/>
    </row>
    <row r="57" spans="2:7" s="1" customFormat="1">
      <c r="B57" s="2"/>
    </row>
    <row r="58" spans="2:7" s="1" customFormat="1">
      <c r="B58" s="2"/>
    </row>
    <row r="59" spans="2:7" s="1" customFormat="1">
      <c r="B59" s="2"/>
    </row>
    <row r="60" spans="2:7" s="1" customFormat="1">
      <c r="B60" s="2"/>
    </row>
    <row r="61" spans="2:7" s="1" customFormat="1">
      <c r="B61" s="2"/>
    </row>
    <row r="62" spans="2:7" s="1" customFormat="1">
      <c r="B62" s="2"/>
    </row>
    <row r="63" spans="2:7" s="1" customFormat="1">
      <c r="B63" s="2"/>
    </row>
    <row r="64" spans="2:7" s="1" customFormat="1">
      <c r="B64" s="2"/>
    </row>
    <row r="65" spans="2:2" s="1" customFormat="1">
      <c r="B65" s="2"/>
    </row>
    <row r="66" spans="2:2" s="1" customFormat="1">
      <c r="B66" s="2"/>
    </row>
    <row r="67" spans="2:2" s="1" customFormat="1">
      <c r="B67" s="2"/>
    </row>
    <row r="68" spans="2:2" s="1" customFormat="1">
      <c r="B68" s="2"/>
    </row>
    <row r="69" spans="2:2" s="1" customFormat="1">
      <c r="B69" s="2"/>
    </row>
    <row r="70" spans="2:2" s="1" customFormat="1">
      <c r="B70" s="2"/>
    </row>
    <row r="71" spans="2:2" s="1" customFormat="1">
      <c r="B71" s="2"/>
    </row>
    <row r="72" spans="2:2" s="1" customFormat="1">
      <c r="B72" s="2"/>
    </row>
    <row r="73" spans="2:2" s="1" customFormat="1">
      <c r="B73" s="2"/>
    </row>
    <row r="74" spans="2:2" s="1" customFormat="1">
      <c r="B74" s="2"/>
    </row>
    <row r="75" spans="2:2" s="1" customFormat="1">
      <c r="B75" s="2"/>
    </row>
    <row r="76" spans="2:2" s="1" customFormat="1">
      <c r="B76" s="2"/>
    </row>
    <row r="77" spans="2:2" s="1" customFormat="1">
      <c r="B77" s="2"/>
    </row>
    <row r="78" spans="2:2" s="1" customFormat="1">
      <c r="B78" s="2"/>
    </row>
    <row r="79" spans="2:2" s="1" customFormat="1">
      <c r="B79" s="2"/>
    </row>
    <row r="80" spans="2:2" s="1" customFormat="1">
      <c r="B80" s="2"/>
    </row>
    <row r="81" spans="1:2" s="1" customFormat="1">
      <c r="B81" s="2"/>
    </row>
    <row r="82" spans="1:2" s="1" customFormat="1">
      <c r="B82" s="2"/>
    </row>
    <row r="83" spans="1:2" s="1" customFormat="1">
      <c r="B83" s="2"/>
    </row>
    <row r="84" spans="1:2" s="1" customFormat="1">
      <c r="B84" s="2"/>
    </row>
    <row r="85" spans="1:2" s="1" customFormat="1">
      <c r="B85" s="2"/>
    </row>
    <row r="86" spans="1:2" s="1" customFormat="1">
      <c r="B86" s="2"/>
    </row>
    <row r="87" spans="1:2" s="1" customFormat="1">
      <c r="B87" s="2"/>
    </row>
    <row r="88" spans="1:2" s="1" customFormat="1">
      <c r="B88" s="2"/>
    </row>
    <row r="89" spans="1:2" s="1" customFormat="1">
      <c r="B89" s="2"/>
    </row>
    <row r="90" spans="1:2" s="1" customFormat="1">
      <c r="B90" s="2"/>
    </row>
    <row r="91" spans="1:2" s="1" customFormat="1">
      <c r="B91" s="2"/>
    </row>
    <row r="92" spans="1:2" s="1" customFormat="1">
      <c r="B92" s="2"/>
    </row>
    <row r="93" spans="1:2" s="1" customFormat="1">
      <c r="B93" s="2"/>
    </row>
    <row r="94" spans="1:2">
      <c r="A94" s="1"/>
    </row>
    <row r="95" spans="1:2">
      <c r="A95" s="1"/>
    </row>
    <row r="96" spans="1:2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</sheetData>
  <mergeCells count="9">
    <mergeCell ref="B49:C49"/>
    <mergeCell ref="E49:F49"/>
    <mergeCell ref="J3:N3"/>
    <mergeCell ref="B12:B13"/>
    <mergeCell ref="E12:G12"/>
    <mergeCell ref="J17:M17"/>
    <mergeCell ref="J18:M18"/>
    <mergeCell ref="B48:C48"/>
    <mergeCell ref="E48:F48"/>
  </mergeCells>
  <conditionalFormatting sqref="B15:D45">
    <cfRule type="expression" dxfId="1" priority="1">
      <formula>WEEKDAY($B15)=7</formula>
    </cfRule>
    <cfRule type="expression" dxfId="0" priority="2">
      <formula>WEEKDAY($B15)=1</formula>
    </cfRule>
  </conditionalFormatting>
  <dataValidations count="1">
    <dataValidation type="list" allowBlank="1" showInputMessage="1" showErrorMessage="1" sqref="C7">
      <formula1>$I$5:$I$9</formula1>
    </dataValidation>
  </dataValidation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B1:I2"/>
  <sheetViews>
    <sheetView workbookViewId="0">
      <selection activeCell="B1" sqref="B1"/>
    </sheetView>
  </sheetViews>
  <sheetFormatPr baseColWidth="10" defaultRowHeight="15"/>
  <cols>
    <col min="1" max="1" width="5.140625" customWidth="1"/>
  </cols>
  <sheetData>
    <row r="1" spans="2:9">
      <c r="B1" t="s">
        <v>67</v>
      </c>
      <c r="C1" t="s">
        <v>68</v>
      </c>
      <c r="D1" t="s">
        <v>69</v>
      </c>
      <c r="E1" t="s">
        <v>73</v>
      </c>
      <c r="F1" t="s">
        <v>72</v>
      </c>
      <c r="G1" t="s">
        <v>71</v>
      </c>
      <c r="H1" t="s">
        <v>70</v>
      </c>
      <c r="I1" t="s">
        <v>75</v>
      </c>
    </row>
    <row r="2" spans="2:9">
      <c r="B2" t="s">
        <v>60</v>
      </c>
      <c r="C2" t="s">
        <v>61</v>
      </c>
      <c r="D2" t="s">
        <v>62</v>
      </c>
      <c r="E2" t="s">
        <v>63</v>
      </c>
      <c r="F2" t="s">
        <v>64</v>
      </c>
      <c r="G2" t="s">
        <v>65</v>
      </c>
      <c r="H2" t="s">
        <v>66</v>
      </c>
      <c r="I2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 suivi</vt:lpstr>
      <vt:lpstr>Recap</vt:lpstr>
      <vt:lpstr>M</vt:lpstr>
      <vt:lpstr>R_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2019-10-02T13:24:38Z</dcterms:created>
  <dcterms:modified xsi:type="dcterms:W3CDTF">2019-10-02T14:01:59Z</dcterms:modified>
</cp:coreProperties>
</file>