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255" windowWidth="16275" windowHeight="5925" activeTab="5"/>
  </bookViews>
  <sheets>
    <sheet name="Parametre" sheetId="1" r:id="rId1"/>
    <sheet name="Lune" sheetId="7" r:id="rId2"/>
    <sheet name="Saison" sheetId="2" r:id="rId3"/>
    <sheet name="Saints" sheetId="3" r:id="rId4"/>
    <sheet name="CalendrierAn" sheetId="5" r:id="rId5"/>
    <sheet name="Mensuel" sheetId="6" r:id="rId6"/>
  </sheets>
  <externalReferences>
    <externalReference r:id="rId7"/>
  </externalReferences>
  <definedNames>
    <definedName name="_xlnm._FilterDatabase" localSheetId="3" hidden="1">Saints!$B$1:$C$371</definedName>
    <definedName name="An">Parametre!$C$5</definedName>
    <definedName name="Annee">Parametre!$G$7:$G$17</definedName>
    <definedName name="DebutVac">Parametre!$AA$27:$AA$39</definedName>
    <definedName name="EvtMarie">Parametre!$K$65:$K$70</definedName>
    <definedName name="EvtMichel">Parametre!$K$45:$K$62</definedName>
    <definedName name="FinVac">Parametre!$AB$27:$AB$39</definedName>
    <definedName name="jourferies">Parametre!$C$27:$C$78</definedName>
    <definedName name="Jours_Repos">Parametre!$K$7:$K$13</definedName>
    <definedName name="JoursSem">Parametre!$I$7:$I$13</definedName>
    <definedName name="Mois">Parametre!$H$7:$H$18</definedName>
    <definedName name="No_Semaine">Parametre!$F$27:$F$79</definedName>
    <definedName name="NumMois">Parametre!$H$27:$H$38</definedName>
    <definedName name="Premierjour">Parametre!$B$4</definedName>
    <definedName name="PremierMois">Parametre!$B$5</definedName>
    <definedName name="Saison">Saison!$B$3:$F$8</definedName>
  </definedNames>
  <calcPr calcId="125725"/>
</workbook>
</file>

<file path=xl/calcChain.xml><?xml version="1.0" encoding="utf-8"?>
<calcChain xmlns="http://schemas.openxmlformats.org/spreadsheetml/2006/main">
  <c r="AG40" i="6"/>
  <c r="AF39"/>
  <c r="AI39" l="1"/>
  <c r="E1" i="3"/>
  <c r="H3" i="5"/>
  <c r="C1" i="7" l="1"/>
  <c r="C2" i="6"/>
  <c r="AG5" s="1"/>
  <c r="AI38"/>
  <c r="H5"/>
  <c r="B4" i="5"/>
  <c r="Q5"/>
  <c r="D2"/>
  <c r="C362" i="3"/>
  <c r="C346"/>
  <c r="C330"/>
  <c r="C314"/>
  <c r="C298"/>
  <c r="C282"/>
  <c r="C266"/>
  <c r="C250"/>
  <c r="C234"/>
  <c r="C218"/>
  <c r="C202"/>
  <c r="C186"/>
  <c r="C170"/>
  <c r="C154"/>
  <c r="C138"/>
  <c r="C122"/>
  <c r="C106"/>
  <c r="C90"/>
  <c r="C74"/>
  <c r="C58"/>
  <c r="C42"/>
  <c r="C26"/>
  <c r="C10"/>
  <c r="C368"/>
  <c r="H93" i="1"/>
  <c r="H92"/>
  <c r="H91"/>
  <c r="H90"/>
  <c r="G82"/>
  <c r="G43"/>
  <c r="D3" i="6" l="1"/>
  <c r="D4" s="1"/>
  <c r="D2"/>
  <c r="C6" i="3"/>
  <c r="C22"/>
  <c r="C38"/>
  <c r="C54"/>
  <c r="C70"/>
  <c r="C86"/>
  <c r="C102"/>
  <c r="C118"/>
  <c r="C134"/>
  <c r="C150"/>
  <c r="C166"/>
  <c r="C182"/>
  <c r="C198"/>
  <c r="C214"/>
  <c r="C230"/>
  <c r="C246"/>
  <c r="C262"/>
  <c r="C278"/>
  <c r="C294"/>
  <c r="C310"/>
  <c r="C326"/>
  <c r="C342"/>
  <c r="C358"/>
  <c r="C2"/>
  <c r="C18"/>
  <c r="C34"/>
  <c r="C50"/>
  <c r="C66"/>
  <c r="C82"/>
  <c r="C98"/>
  <c r="C114"/>
  <c r="C130"/>
  <c r="C146"/>
  <c r="C162"/>
  <c r="C178"/>
  <c r="C194"/>
  <c r="C210"/>
  <c r="C226"/>
  <c r="C242"/>
  <c r="C258"/>
  <c r="C274"/>
  <c r="C290"/>
  <c r="C306"/>
  <c r="C322"/>
  <c r="C338"/>
  <c r="C354"/>
  <c r="C370"/>
  <c r="C14"/>
  <c r="C30"/>
  <c r="C46"/>
  <c r="C62"/>
  <c r="C78"/>
  <c r="C94"/>
  <c r="C110"/>
  <c r="C126"/>
  <c r="C142"/>
  <c r="C158"/>
  <c r="C174"/>
  <c r="C190"/>
  <c r="C206"/>
  <c r="C222"/>
  <c r="C238"/>
  <c r="C254"/>
  <c r="C270"/>
  <c r="C286"/>
  <c r="C302"/>
  <c r="C318"/>
  <c r="C334"/>
  <c r="C350"/>
  <c r="C366"/>
  <c r="AZ3" i="5"/>
  <c r="O3"/>
  <c r="C8"/>
  <c r="F8" s="1"/>
  <c r="C3" i="3"/>
  <c r="C7"/>
  <c r="C11"/>
  <c r="C15"/>
  <c r="C19"/>
  <c r="C23"/>
  <c r="C27"/>
  <c r="C31"/>
  <c r="C35"/>
  <c r="C39"/>
  <c r="C43"/>
  <c r="C47"/>
  <c r="C51"/>
  <c r="C55"/>
  <c r="C59"/>
  <c r="C63"/>
  <c r="C67"/>
  <c r="C71"/>
  <c r="C75"/>
  <c r="C79"/>
  <c r="C83"/>
  <c r="C87"/>
  <c r="C91"/>
  <c r="C95"/>
  <c r="C99"/>
  <c r="C103"/>
  <c r="C107"/>
  <c r="C111"/>
  <c r="C115"/>
  <c r="C119"/>
  <c r="C123"/>
  <c r="C127"/>
  <c r="C131"/>
  <c r="C135"/>
  <c r="C139"/>
  <c r="C143"/>
  <c r="C147"/>
  <c r="C151"/>
  <c r="C155"/>
  <c r="C159"/>
  <c r="C163"/>
  <c r="C167"/>
  <c r="C171"/>
  <c r="C175"/>
  <c r="C179"/>
  <c r="C183"/>
  <c r="C187"/>
  <c r="C191"/>
  <c r="C195"/>
  <c r="C199"/>
  <c r="C203"/>
  <c r="C207"/>
  <c r="C211"/>
  <c r="C215"/>
  <c r="C219"/>
  <c r="C223"/>
  <c r="C227"/>
  <c r="C231"/>
  <c r="C235"/>
  <c r="C239"/>
  <c r="C243"/>
  <c r="C247"/>
  <c r="C251"/>
  <c r="C255"/>
  <c r="C259"/>
  <c r="C263"/>
  <c r="C267"/>
  <c r="C271"/>
  <c r="C275"/>
  <c r="C279"/>
  <c r="C283"/>
  <c r="C287"/>
  <c r="C291"/>
  <c r="C295"/>
  <c r="C299"/>
  <c r="C303"/>
  <c r="C307"/>
  <c r="C311"/>
  <c r="C315"/>
  <c r="C319"/>
  <c r="C323"/>
  <c r="C327"/>
  <c r="C331"/>
  <c r="C335"/>
  <c r="C339"/>
  <c r="C343"/>
  <c r="C347"/>
  <c r="C351"/>
  <c r="C355"/>
  <c r="C359"/>
  <c r="C363"/>
  <c r="C367"/>
  <c r="C371"/>
  <c r="C5"/>
  <c r="C9"/>
  <c r="C13"/>
  <c r="C17"/>
  <c r="C21"/>
  <c r="C25"/>
  <c r="C29"/>
  <c r="C33"/>
  <c r="C37"/>
  <c r="C41"/>
  <c r="C45"/>
  <c r="C49"/>
  <c r="C53"/>
  <c r="C57"/>
  <c r="C61"/>
  <c r="C65"/>
  <c r="C69"/>
  <c r="C73"/>
  <c r="C77"/>
  <c r="C81"/>
  <c r="C85"/>
  <c r="C89"/>
  <c r="C93"/>
  <c r="C97"/>
  <c r="C101"/>
  <c r="C105"/>
  <c r="C109"/>
  <c r="C113"/>
  <c r="C117"/>
  <c r="C121"/>
  <c r="C125"/>
  <c r="C129"/>
  <c r="C133"/>
  <c r="C137"/>
  <c r="C141"/>
  <c r="C145"/>
  <c r="C149"/>
  <c r="C153"/>
  <c r="C157"/>
  <c r="C161"/>
  <c r="C165"/>
  <c r="C169"/>
  <c r="C173"/>
  <c r="C177"/>
  <c r="C181"/>
  <c r="C185"/>
  <c r="C189"/>
  <c r="C193"/>
  <c r="C197"/>
  <c r="C201"/>
  <c r="C205"/>
  <c r="C209"/>
  <c r="C213"/>
  <c r="C217"/>
  <c r="C221"/>
  <c r="C225"/>
  <c r="C229"/>
  <c r="C233"/>
  <c r="C237"/>
  <c r="C241"/>
  <c r="C245"/>
  <c r="C249"/>
  <c r="C253"/>
  <c r="C257"/>
  <c r="C261"/>
  <c r="C265"/>
  <c r="C269"/>
  <c r="C273"/>
  <c r="C277"/>
  <c r="C281"/>
  <c r="C285"/>
  <c r="C289"/>
  <c r="C293"/>
  <c r="C297"/>
  <c r="C301"/>
  <c r="C305"/>
  <c r="C309"/>
  <c r="C313"/>
  <c r="C317"/>
  <c r="C321"/>
  <c r="C325"/>
  <c r="C329"/>
  <c r="C333"/>
  <c r="C337"/>
  <c r="C341"/>
  <c r="C345"/>
  <c r="C349"/>
  <c r="C353"/>
  <c r="C357"/>
  <c r="C361"/>
  <c r="C365"/>
  <c r="C369"/>
  <c r="C4"/>
  <c r="C8"/>
  <c r="C12"/>
  <c r="C16"/>
  <c r="C20"/>
  <c r="C24"/>
  <c r="C28"/>
  <c r="C32"/>
  <c r="C36"/>
  <c r="C40"/>
  <c r="C44"/>
  <c r="C48"/>
  <c r="C52"/>
  <c r="C56"/>
  <c r="C60"/>
  <c r="C64"/>
  <c r="C68"/>
  <c r="C72"/>
  <c r="C76"/>
  <c r="C80"/>
  <c r="C84"/>
  <c r="C88"/>
  <c r="C92"/>
  <c r="C96"/>
  <c r="C100"/>
  <c r="C104"/>
  <c r="C108"/>
  <c r="C112"/>
  <c r="C116"/>
  <c r="C120"/>
  <c r="C124"/>
  <c r="C128"/>
  <c r="C132"/>
  <c r="C136"/>
  <c r="C140"/>
  <c r="C144"/>
  <c r="C148"/>
  <c r="C152"/>
  <c r="C156"/>
  <c r="C160"/>
  <c r="C164"/>
  <c r="C168"/>
  <c r="C172"/>
  <c r="C176"/>
  <c r="C180"/>
  <c r="C184"/>
  <c r="C188"/>
  <c r="C192"/>
  <c r="C196"/>
  <c r="C200"/>
  <c r="C204"/>
  <c r="C208"/>
  <c r="C212"/>
  <c r="C216"/>
  <c r="C220"/>
  <c r="C224"/>
  <c r="C228"/>
  <c r="C232"/>
  <c r="C236"/>
  <c r="C240"/>
  <c r="C244"/>
  <c r="C248"/>
  <c r="C252"/>
  <c r="C256"/>
  <c r="C260"/>
  <c r="C264"/>
  <c r="C268"/>
  <c r="C272"/>
  <c r="C276"/>
  <c r="C280"/>
  <c r="C284"/>
  <c r="C288"/>
  <c r="C292"/>
  <c r="C296"/>
  <c r="C300"/>
  <c r="C304"/>
  <c r="C308"/>
  <c r="C312"/>
  <c r="C316"/>
  <c r="C320"/>
  <c r="C324"/>
  <c r="C328"/>
  <c r="C332"/>
  <c r="C336"/>
  <c r="C340"/>
  <c r="C344"/>
  <c r="C348"/>
  <c r="C352"/>
  <c r="C356"/>
  <c r="C360"/>
  <c r="C364"/>
  <c r="H38" i="1"/>
  <c r="H37"/>
  <c r="H36"/>
  <c r="H35"/>
  <c r="H34"/>
  <c r="H33"/>
  <c r="H32"/>
  <c r="H31"/>
  <c r="H30"/>
  <c r="H29"/>
  <c r="H28"/>
  <c r="AA27"/>
  <c r="AA28" s="1"/>
  <c r="AF8" i="6" l="1"/>
  <c r="D5"/>
  <c r="G8" i="5"/>
  <c r="E8"/>
  <c r="G7"/>
  <c r="C9"/>
  <c r="C7"/>
  <c r="J8"/>
  <c r="AA29" i="1"/>
  <c r="AB28"/>
  <c r="AC28" s="1"/>
  <c r="Z28"/>
  <c r="Z27"/>
  <c r="AB27"/>
  <c r="AC27" s="1"/>
  <c r="H27"/>
  <c r="A26"/>
  <c r="I27" s="1"/>
  <c r="AC23"/>
  <c r="K13"/>
  <c r="K12"/>
  <c r="K11"/>
  <c r="K10"/>
  <c r="K9"/>
  <c r="K8"/>
  <c r="K7"/>
  <c r="D7"/>
  <c r="D8" s="1"/>
  <c r="B4"/>
  <c r="B3"/>
  <c r="AI8" i="6" l="1"/>
  <c r="AG10"/>
  <c r="AF9"/>
  <c r="AI9"/>
  <c r="B14"/>
  <c r="C27" i="1"/>
  <c r="AA8" i="6"/>
  <c r="N8" i="5"/>
  <c r="M8"/>
  <c r="F9"/>
  <c r="G9"/>
  <c r="L8"/>
  <c r="Q8"/>
  <c r="J7"/>
  <c r="N7"/>
  <c r="J9"/>
  <c r="C10"/>
  <c r="E9"/>
  <c r="I69" i="1"/>
  <c r="K69" s="1"/>
  <c r="I53"/>
  <c r="K53" s="1"/>
  <c r="C52"/>
  <c r="I45"/>
  <c r="K45" s="1"/>
  <c r="C70"/>
  <c r="C62"/>
  <c r="I59"/>
  <c r="K59" s="1"/>
  <c r="I55"/>
  <c r="K55" s="1"/>
  <c r="C54"/>
  <c r="I51"/>
  <c r="K51" s="1"/>
  <c r="C50"/>
  <c r="I47"/>
  <c r="K47" s="1"/>
  <c r="C41"/>
  <c r="H76"/>
  <c r="I70"/>
  <c r="K70" s="1"/>
  <c r="C69"/>
  <c r="I66"/>
  <c r="K66" s="1"/>
  <c r="C65"/>
  <c r="I62"/>
  <c r="K62" s="1"/>
  <c r="C61"/>
  <c r="I58"/>
  <c r="K58" s="1"/>
  <c r="C57"/>
  <c r="I54"/>
  <c r="K54" s="1"/>
  <c r="C53"/>
  <c r="I50"/>
  <c r="K50" s="1"/>
  <c r="C49"/>
  <c r="I46"/>
  <c r="K46" s="1"/>
  <c r="H85"/>
  <c r="I85" s="1"/>
  <c r="H83"/>
  <c r="I83" s="1"/>
  <c r="H77"/>
  <c r="I77" s="1"/>
  <c r="I76"/>
  <c r="C76"/>
  <c r="C44"/>
  <c r="H78"/>
  <c r="I78" s="1"/>
  <c r="C77"/>
  <c r="C75"/>
  <c r="I68"/>
  <c r="K68" s="1"/>
  <c r="C67"/>
  <c r="C63"/>
  <c r="I60"/>
  <c r="K60" s="1"/>
  <c r="I56"/>
  <c r="K56" s="1"/>
  <c r="I52"/>
  <c r="K52" s="1"/>
  <c r="C51"/>
  <c r="I48"/>
  <c r="C40"/>
  <c r="H84"/>
  <c r="I84" s="1"/>
  <c r="C78"/>
  <c r="C74"/>
  <c r="I65"/>
  <c r="K65" s="1"/>
  <c r="I61"/>
  <c r="K61" s="1"/>
  <c r="I57"/>
  <c r="K57" s="1"/>
  <c r="C56"/>
  <c r="I49"/>
  <c r="K49" s="1"/>
  <c r="C48"/>
  <c r="C43"/>
  <c r="I67"/>
  <c r="C66"/>
  <c r="C64"/>
  <c r="C39"/>
  <c r="I90"/>
  <c r="I92"/>
  <c r="L38"/>
  <c r="I93"/>
  <c r="I38"/>
  <c r="C38"/>
  <c r="I91"/>
  <c r="I37"/>
  <c r="C37"/>
  <c r="L37"/>
  <c r="M37" s="1"/>
  <c r="N37" s="1"/>
  <c r="C36"/>
  <c r="L36"/>
  <c r="M36" s="1"/>
  <c r="N36" s="1"/>
  <c r="I36"/>
  <c r="L35"/>
  <c r="M35" s="1"/>
  <c r="N35" s="1"/>
  <c r="I35"/>
  <c r="C35"/>
  <c r="L34"/>
  <c r="M34" s="1"/>
  <c r="N34" s="1"/>
  <c r="I34"/>
  <c r="L33"/>
  <c r="M33" s="1"/>
  <c r="N33" s="1"/>
  <c r="I33"/>
  <c r="L32"/>
  <c r="M32" s="1"/>
  <c r="N32" s="1"/>
  <c r="I32"/>
  <c r="L31"/>
  <c r="M31" s="1"/>
  <c r="N31" s="1"/>
  <c r="C31"/>
  <c r="I31"/>
  <c r="I30"/>
  <c r="C30"/>
  <c r="L30"/>
  <c r="M30" s="1"/>
  <c r="N30" s="1"/>
  <c r="I29"/>
  <c r="L29"/>
  <c r="M29" s="1"/>
  <c r="N29" s="1"/>
  <c r="L28"/>
  <c r="M28" s="1"/>
  <c r="N28" s="1"/>
  <c r="C28"/>
  <c r="I28"/>
  <c r="AA30"/>
  <c r="AB29"/>
  <c r="AC29" s="1"/>
  <c r="Z29"/>
  <c r="L27"/>
  <c r="Q27" s="1"/>
  <c r="H41" i="5" s="1"/>
  <c r="O27" i="1"/>
  <c r="J27"/>
  <c r="K27" s="1"/>
  <c r="R36"/>
  <c r="S33"/>
  <c r="S35"/>
  <c r="S29"/>
  <c r="S38"/>
  <c r="R28"/>
  <c r="R32"/>
  <c r="R31"/>
  <c r="R29"/>
  <c r="R35"/>
  <c r="R30"/>
  <c r="S37"/>
  <c r="S27"/>
  <c r="S31"/>
  <c r="R33"/>
  <c r="S36"/>
  <c r="S30"/>
  <c r="R38"/>
  <c r="S34"/>
  <c r="R27"/>
  <c r="R34"/>
  <c r="R37"/>
  <c r="S32"/>
  <c r="S28"/>
  <c r="G14" i="6" l="1"/>
  <c r="L14" s="1"/>
  <c r="B15"/>
  <c r="C16"/>
  <c r="AD8"/>
  <c r="AA9"/>
  <c r="AB10"/>
  <c r="E14"/>
  <c r="V8"/>
  <c r="Q8" s="1"/>
  <c r="J15"/>
  <c r="AD9"/>
  <c r="E15"/>
  <c r="E27" i="1"/>
  <c r="D27"/>
  <c r="M9" i="5"/>
  <c r="N9"/>
  <c r="G10"/>
  <c r="F10"/>
  <c r="T8"/>
  <c r="U8"/>
  <c r="CG43"/>
  <c r="CG42"/>
  <c r="BZ43"/>
  <c r="BZ42"/>
  <c r="BS43"/>
  <c r="BS42"/>
  <c r="BL43"/>
  <c r="BL42"/>
  <c r="BE43"/>
  <c r="BE42"/>
  <c r="AX43"/>
  <c r="AX42"/>
  <c r="AQ43"/>
  <c r="AQ42"/>
  <c r="AJ43"/>
  <c r="AJ42"/>
  <c r="AC43"/>
  <c r="AC42"/>
  <c r="V43"/>
  <c r="V42"/>
  <c r="O43"/>
  <c r="O42"/>
  <c r="H43"/>
  <c r="H42"/>
  <c r="K48" i="1"/>
  <c r="K67"/>
  <c r="L9" i="5"/>
  <c r="J10"/>
  <c r="Q9"/>
  <c r="X8"/>
  <c r="Q7"/>
  <c r="U7"/>
  <c r="S8"/>
  <c r="C11"/>
  <c r="E10"/>
  <c r="R39" i="1"/>
  <c r="S39"/>
  <c r="H81"/>
  <c r="I81" s="1"/>
  <c r="H79"/>
  <c r="I79" s="1"/>
  <c r="H80"/>
  <c r="I80" s="1"/>
  <c r="C33"/>
  <c r="C32"/>
  <c r="C29"/>
  <c r="D28"/>
  <c r="E28"/>
  <c r="J33"/>
  <c r="K33" s="1"/>
  <c r="Q33"/>
  <c r="O33"/>
  <c r="D35"/>
  <c r="E35"/>
  <c r="J37"/>
  <c r="K37" s="1"/>
  <c r="O37"/>
  <c r="Q37"/>
  <c r="E75"/>
  <c r="D75"/>
  <c r="V27"/>
  <c r="J28"/>
  <c r="K28" s="1"/>
  <c r="O28"/>
  <c r="Q28"/>
  <c r="J29"/>
  <c r="K29" s="1"/>
  <c r="O29"/>
  <c r="Q29"/>
  <c r="J31"/>
  <c r="K31" s="1"/>
  <c r="Q31"/>
  <c r="O31"/>
  <c r="J36"/>
  <c r="K36" s="1"/>
  <c r="O36"/>
  <c r="Q36"/>
  <c r="D37"/>
  <c r="E37"/>
  <c r="J38"/>
  <c r="K38" s="1"/>
  <c r="O38"/>
  <c r="Q38"/>
  <c r="D56"/>
  <c r="E56"/>
  <c r="D74"/>
  <c r="E74"/>
  <c r="E40"/>
  <c r="D40"/>
  <c r="D76"/>
  <c r="E76"/>
  <c r="D49"/>
  <c r="E49"/>
  <c r="D57"/>
  <c r="E57"/>
  <c r="D65"/>
  <c r="E65"/>
  <c r="E39"/>
  <c r="D39"/>
  <c r="D43"/>
  <c r="E43"/>
  <c r="E50"/>
  <c r="D50"/>
  <c r="D52"/>
  <c r="E52"/>
  <c r="M27"/>
  <c r="N27" s="1"/>
  <c r="AA31"/>
  <c r="AB30"/>
  <c r="AC30" s="1"/>
  <c r="Z30"/>
  <c r="D67"/>
  <c r="E67"/>
  <c r="C71"/>
  <c r="C68"/>
  <c r="C72"/>
  <c r="D44"/>
  <c r="E44"/>
  <c r="C45"/>
  <c r="C42"/>
  <c r="D41"/>
  <c r="E41"/>
  <c r="C46"/>
  <c r="C58"/>
  <c r="C59"/>
  <c r="C55"/>
  <c r="D54"/>
  <c r="E54"/>
  <c r="D70"/>
  <c r="E70"/>
  <c r="D31"/>
  <c r="E31"/>
  <c r="D78"/>
  <c r="E78"/>
  <c r="J30"/>
  <c r="K30" s="1"/>
  <c r="O30"/>
  <c r="Q30"/>
  <c r="J32"/>
  <c r="K32" s="1"/>
  <c r="O32"/>
  <c r="Q32"/>
  <c r="J34"/>
  <c r="K34" s="1"/>
  <c r="O34"/>
  <c r="Q34"/>
  <c r="D38"/>
  <c r="E38"/>
  <c r="D66"/>
  <c r="E66"/>
  <c r="D30"/>
  <c r="E30"/>
  <c r="J35"/>
  <c r="K35" s="1"/>
  <c r="Q35"/>
  <c r="O35"/>
  <c r="D36"/>
  <c r="E36"/>
  <c r="M38"/>
  <c r="N38" s="1"/>
  <c r="D13"/>
  <c r="D64"/>
  <c r="E64"/>
  <c r="D48"/>
  <c r="E48"/>
  <c r="E51"/>
  <c r="D51"/>
  <c r="D63"/>
  <c r="E63"/>
  <c r="D77"/>
  <c r="E77"/>
  <c r="E53"/>
  <c r="D53"/>
  <c r="E61"/>
  <c r="D61"/>
  <c r="D69"/>
  <c r="E69"/>
  <c r="D62"/>
  <c r="E62"/>
  <c r="M16" i="6" l="1"/>
  <c r="L15"/>
  <c r="G15"/>
  <c r="H16"/>
  <c r="Q9"/>
  <c r="R10"/>
  <c r="W10"/>
  <c r="V9"/>
  <c r="J14"/>
  <c r="Y9"/>
  <c r="Y8"/>
  <c r="O15"/>
  <c r="T9"/>
  <c r="O39" i="1"/>
  <c r="N10" i="5"/>
  <c r="M10"/>
  <c r="T9"/>
  <c r="U9"/>
  <c r="G11"/>
  <c r="F11"/>
  <c r="AA8"/>
  <c r="AB8"/>
  <c r="V38" i="1"/>
  <c r="CG41" i="5"/>
  <c r="V37" i="1"/>
  <c r="BZ41" i="5"/>
  <c r="V29" i="1"/>
  <c r="V41" i="5"/>
  <c r="V32" i="1"/>
  <c r="AQ41" i="5"/>
  <c r="V36" i="1"/>
  <c r="BS41" i="5"/>
  <c r="V31" i="1"/>
  <c r="AJ41" i="5"/>
  <c r="V30" i="1"/>
  <c r="AC41" i="5"/>
  <c r="V35" i="1"/>
  <c r="BL41" i="5"/>
  <c r="V34" i="1"/>
  <c r="BE41" i="5"/>
  <c r="V28" i="1"/>
  <c r="O41" i="5"/>
  <c r="V33" i="1"/>
  <c r="AX41" i="5"/>
  <c r="Q14" i="6"/>
  <c r="O14"/>
  <c r="T8"/>
  <c r="L8"/>
  <c r="Q10" i="5"/>
  <c r="S9"/>
  <c r="J11"/>
  <c r="L10"/>
  <c r="C12"/>
  <c r="E11"/>
  <c r="X7"/>
  <c r="X9"/>
  <c r="AB7"/>
  <c r="AE8"/>
  <c r="Z8"/>
  <c r="C47" i="1"/>
  <c r="D46"/>
  <c r="E46"/>
  <c r="D55"/>
  <c r="E55"/>
  <c r="D71"/>
  <c r="E71"/>
  <c r="D45"/>
  <c r="E45"/>
  <c r="D68"/>
  <c r="E68"/>
  <c r="D32"/>
  <c r="E32"/>
  <c r="C34"/>
  <c r="H14" i="6" s="1"/>
  <c r="D33" i="1"/>
  <c r="E33"/>
  <c r="E58"/>
  <c r="D58"/>
  <c r="D42"/>
  <c r="E42"/>
  <c r="C73"/>
  <c r="D72"/>
  <c r="E72"/>
  <c r="C60"/>
  <c r="E59"/>
  <c r="D59"/>
  <c r="AB31"/>
  <c r="AC31" s="1"/>
  <c r="Z31"/>
  <c r="D29"/>
  <c r="E29"/>
  <c r="Q39"/>
  <c r="Q15" i="6" l="1"/>
  <c r="R16"/>
  <c r="M10"/>
  <c r="L9"/>
  <c r="AB8"/>
  <c r="W8"/>
  <c r="R8"/>
  <c r="M8"/>
  <c r="O9"/>
  <c r="AG38"/>
  <c r="M14"/>
  <c r="AG8"/>
  <c r="C14"/>
  <c r="R14"/>
  <c r="T15"/>
  <c r="AI8" i="5"/>
  <c r="AH8"/>
  <c r="N11"/>
  <c r="M11"/>
  <c r="AB9"/>
  <c r="AA9"/>
  <c r="F12"/>
  <c r="G12"/>
  <c r="U10"/>
  <c r="T10"/>
  <c r="P36" i="1"/>
  <c r="P27"/>
  <c r="V14" i="6"/>
  <c r="T14"/>
  <c r="G8"/>
  <c r="O8"/>
  <c r="AL8" i="5"/>
  <c r="AE9"/>
  <c r="AE7"/>
  <c r="AI7"/>
  <c r="AG8"/>
  <c r="S10"/>
  <c r="Q11"/>
  <c r="X10"/>
  <c r="Z9"/>
  <c r="C13"/>
  <c r="E12"/>
  <c r="L11"/>
  <c r="J12"/>
  <c r="H82" i="1"/>
  <c r="I82" s="1"/>
  <c r="D34"/>
  <c r="D10" s="1"/>
  <c r="E34"/>
  <c r="AA32"/>
  <c r="D47"/>
  <c r="E47"/>
  <c r="D11"/>
  <c r="P28"/>
  <c r="P34"/>
  <c r="D9"/>
  <c r="D12"/>
  <c r="P29"/>
  <c r="P30"/>
  <c r="D60"/>
  <c r="E60"/>
  <c r="P37"/>
  <c r="U37" s="1"/>
  <c r="P38"/>
  <c r="D73"/>
  <c r="E73"/>
  <c r="P35"/>
  <c r="P32"/>
  <c r="P33"/>
  <c r="P31"/>
  <c r="G9" i="6" l="1"/>
  <c r="H10"/>
  <c r="W16"/>
  <c r="V15"/>
  <c r="J9"/>
  <c r="H8"/>
  <c r="W14"/>
  <c r="Y15"/>
  <c r="AA10" i="5"/>
  <c r="AB10"/>
  <c r="N12"/>
  <c r="M12"/>
  <c r="AO8"/>
  <c r="AP8"/>
  <c r="F13"/>
  <c r="G13"/>
  <c r="AI9"/>
  <c r="AH9"/>
  <c r="T11"/>
  <c r="U11"/>
  <c r="U32" i="1"/>
  <c r="AQ40" i="5"/>
  <c r="U33" i="1"/>
  <c r="AX40" i="5"/>
  <c r="H13"/>
  <c r="V8"/>
  <c r="H10"/>
  <c r="V11"/>
  <c r="AC8"/>
  <c r="V10"/>
  <c r="AC9"/>
  <c r="U35" i="1"/>
  <c r="BL40" i="5"/>
  <c r="U38" i="1"/>
  <c r="CG40" i="5"/>
  <c r="U30" i="1"/>
  <c r="AC40" i="5"/>
  <c r="U34" i="1"/>
  <c r="BE40" i="5"/>
  <c r="H40"/>
  <c r="BZ40"/>
  <c r="U36" i="1"/>
  <c r="BS40" i="5"/>
  <c r="U31" i="1"/>
  <c r="AJ40" i="5"/>
  <c r="U29" i="1"/>
  <c r="V40" i="5"/>
  <c r="U28" i="1"/>
  <c r="O40" i="5"/>
  <c r="AC10"/>
  <c r="O12"/>
  <c r="AQ8"/>
  <c r="AJ9"/>
  <c r="O11"/>
  <c r="U27" i="1"/>
  <c r="O9" i="5"/>
  <c r="O8"/>
  <c r="H11"/>
  <c r="H9"/>
  <c r="H8"/>
  <c r="O10"/>
  <c r="H12"/>
  <c r="V9"/>
  <c r="AJ8"/>
  <c r="B8" i="6"/>
  <c r="J8"/>
  <c r="Y14"/>
  <c r="AA14"/>
  <c r="X11" i="5"/>
  <c r="AC11" s="1"/>
  <c r="Z10"/>
  <c r="AS8"/>
  <c r="AX8" s="1"/>
  <c r="AN8"/>
  <c r="AL7"/>
  <c r="AP7"/>
  <c r="AL9"/>
  <c r="L12"/>
  <c r="J13"/>
  <c r="O13" s="1"/>
  <c r="C14"/>
  <c r="H14" s="1"/>
  <c r="E13"/>
  <c r="S11"/>
  <c r="Q12"/>
  <c r="AE10"/>
  <c r="AJ10" s="1"/>
  <c r="AG9"/>
  <c r="AA33" i="1"/>
  <c r="AB32"/>
  <c r="AC32" s="1"/>
  <c r="Z32"/>
  <c r="AD27"/>
  <c r="P39"/>
  <c r="B9" i="6" l="1"/>
  <c r="C10"/>
  <c r="AA15"/>
  <c r="AB16"/>
  <c r="E9"/>
  <c r="C8"/>
  <c r="AD15"/>
  <c r="AB14"/>
  <c r="AP9" i="5"/>
  <c r="AO9"/>
  <c r="U12"/>
  <c r="T12"/>
  <c r="M13"/>
  <c r="N13"/>
  <c r="AB11"/>
  <c r="AA11"/>
  <c r="AQ9"/>
  <c r="AW8"/>
  <c r="AV8"/>
  <c r="AH10"/>
  <c r="AI10"/>
  <c r="F14"/>
  <c r="G14"/>
  <c r="V12"/>
  <c r="AD14" i="6"/>
  <c r="AF14"/>
  <c r="E8"/>
  <c r="C15" i="5"/>
  <c r="E14"/>
  <c r="AN9"/>
  <c r="AL10"/>
  <c r="AE11"/>
  <c r="AG10"/>
  <c r="X12"/>
  <c r="Z11"/>
  <c r="S12"/>
  <c r="Q13"/>
  <c r="L13"/>
  <c r="J14"/>
  <c r="AS9"/>
  <c r="AZ8"/>
  <c r="AU8"/>
  <c r="AW7"/>
  <c r="AS7"/>
  <c r="AA34" i="1"/>
  <c r="AB33"/>
  <c r="AC33" s="1"/>
  <c r="Z33"/>
  <c r="AG16" i="6" l="1"/>
  <c r="AF15"/>
  <c r="AI15"/>
  <c r="AG14"/>
  <c r="BC8" i="5"/>
  <c r="BD8"/>
  <c r="BE8"/>
  <c r="T13"/>
  <c r="U13"/>
  <c r="V13"/>
  <c r="AA12"/>
  <c r="AB12"/>
  <c r="AC12"/>
  <c r="M14"/>
  <c r="N14"/>
  <c r="O14"/>
  <c r="AO10"/>
  <c r="AP10"/>
  <c r="AQ10"/>
  <c r="AV9"/>
  <c r="AW9"/>
  <c r="AX9"/>
  <c r="AH11"/>
  <c r="AI11"/>
  <c r="AJ11"/>
  <c r="G15"/>
  <c r="F15"/>
  <c r="H15"/>
  <c r="B20" i="6"/>
  <c r="AI14"/>
  <c r="AU9" i="5"/>
  <c r="AS10"/>
  <c r="AZ7"/>
  <c r="AZ9"/>
  <c r="BD7"/>
  <c r="BG8"/>
  <c r="BB8"/>
  <c r="J15"/>
  <c r="L14"/>
  <c r="C16"/>
  <c r="E15"/>
  <c r="S13"/>
  <c r="Q14"/>
  <c r="X13"/>
  <c r="Z12"/>
  <c r="AE12"/>
  <c r="AG11"/>
  <c r="AN10"/>
  <c r="AL11"/>
  <c r="AA35" i="1"/>
  <c r="AB34"/>
  <c r="AC34" s="1"/>
  <c r="Z34"/>
  <c r="C22" i="6" l="1"/>
  <c r="B21"/>
  <c r="C20"/>
  <c r="E21"/>
  <c r="AP11" i="5"/>
  <c r="AO11"/>
  <c r="AQ11"/>
  <c r="AI12"/>
  <c r="AH12"/>
  <c r="AJ12"/>
  <c r="N15"/>
  <c r="M15"/>
  <c r="O15"/>
  <c r="BD9"/>
  <c r="BC9"/>
  <c r="BE9"/>
  <c r="U14"/>
  <c r="T14"/>
  <c r="V14"/>
  <c r="AB13"/>
  <c r="AA13"/>
  <c r="AC13"/>
  <c r="F16"/>
  <c r="G16"/>
  <c r="H16"/>
  <c r="BJ8"/>
  <c r="BK8"/>
  <c r="BL8"/>
  <c r="AW10"/>
  <c r="AV10"/>
  <c r="AX10"/>
  <c r="G20" i="6"/>
  <c r="E20"/>
  <c r="X14" i="5"/>
  <c r="Z13"/>
  <c r="AL12"/>
  <c r="AN11"/>
  <c r="S14"/>
  <c r="Q15"/>
  <c r="AE13"/>
  <c r="AG12"/>
  <c r="BG9"/>
  <c r="BI8"/>
  <c r="BG7"/>
  <c r="BN8"/>
  <c r="BK7"/>
  <c r="C17"/>
  <c r="E16"/>
  <c r="L15"/>
  <c r="J16"/>
  <c r="AZ10"/>
  <c r="BB9"/>
  <c r="AU10"/>
  <c r="AS11"/>
  <c r="AA36" i="1"/>
  <c r="AB35"/>
  <c r="AC35" s="1"/>
  <c r="Z35"/>
  <c r="G21" i="6" l="1"/>
  <c r="H22"/>
  <c r="H20"/>
  <c r="J21"/>
  <c r="AV11" i="5"/>
  <c r="AW11"/>
  <c r="AX11"/>
  <c r="N16"/>
  <c r="M16"/>
  <c r="O16"/>
  <c r="BK9"/>
  <c r="BJ9"/>
  <c r="BL9"/>
  <c r="AA14"/>
  <c r="AB14"/>
  <c r="AC14"/>
  <c r="BC10"/>
  <c r="BD10"/>
  <c r="BE10"/>
  <c r="F17"/>
  <c r="G17"/>
  <c r="H17"/>
  <c r="T15"/>
  <c r="U15"/>
  <c r="V15"/>
  <c r="BR8"/>
  <c r="BQ8"/>
  <c r="BS8"/>
  <c r="AI13"/>
  <c r="AH13"/>
  <c r="AJ13"/>
  <c r="AO12"/>
  <c r="AP12"/>
  <c r="AQ12"/>
  <c r="L20" i="6"/>
  <c r="J20"/>
  <c r="L16" i="5"/>
  <c r="J17"/>
  <c r="BG10"/>
  <c r="BI9"/>
  <c r="AE14"/>
  <c r="AG13"/>
  <c r="X15"/>
  <c r="Z14"/>
  <c r="AU11"/>
  <c r="AS12"/>
  <c r="C18"/>
  <c r="E17"/>
  <c r="S15"/>
  <c r="Q16"/>
  <c r="AZ11"/>
  <c r="BB10"/>
  <c r="BU8"/>
  <c r="BP8"/>
  <c r="BN7"/>
  <c r="BN9"/>
  <c r="BR7"/>
  <c r="AN12"/>
  <c r="AL13"/>
  <c r="AA37" i="1"/>
  <c r="AB36"/>
  <c r="AC36" s="1"/>
  <c r="Z36"/>
  <c r="L21" i="6" l="1"/>
  <c r="M22"/>
  <c r="O21"/>
  <c r="M20"/>
  <c r="U16" i="5"/>
  <c r="T16"/>
  <c r="V16"/>
  <c r="AW12"/>
  <c r="AV12"/>
  <c r="AX12"/>
  <c r="M17"/>
  <c r="N17"/>
  <c r="O17"/>
  <c r="BD11"/>
  <c r="BC11"/>
  <c r="BE11"/>
  <c r="F18"/>
  <c r="G18"/>
  <c r="H18"/>
  <c r="AB15"/>
  <c r="AA15"/>
  <c r="AC15"/>
  <c r="BK10"/>
  <c r="BJ10"/>
  <c r="BL10"/>
  <c r="BX8"/>
  <c r="BY8"/>
  <c r="BZ8"/>
  <c r="AH14"/>
  <c r="AI14"/>
  <c r="AJ14"/>
  <c r="AP13"/>
  <c r="AO13"/>
  <c r="AQ13"/>
  <c r="BQ9"/>
  <c r="BR9"/>
  <c r="BS9"/>
  <c r="O20" i="6"/>
  <c r="Q20"/>
  <c r="BU9" i="5"/>
  <c r="CB8"/>
  <c r="BW8"/>
  <c r="BU7"/>
  <c r="BY7"/>
  <c r="S16"/>
  <c r="Q17"/>
  <c r="BG11"/>
  <c r="BI10"/>
  <c r="C19"/>
  <c r="E18"/>
  <c r="AL14"/>
  <c r="AN13"/>
  <c r="BN10"/>
  <c r="BP9"/>
  <c r="AZ12"/>
  <c r="BB11"/>
  <c r="AU12"/>
  <c r="AS13"/>
  <c r="X16"/>
  <c r="Z15"/>
  <c r="AE15"/>
  <c r="AG14"/>
  <c r="L17"/>
  <c r="J18"/>
  <c r="AB37" i="1"/>
  <c r="AC37" s="1"/>
  <c r="Z37"/>
  <c r="AD32"/>
  <c r="Q21" i="6" l="1"/>
  <c r="R22"/>
  <c r="T21"/>
  <c r="R20"/>
  <c r="AA16" i="5"/>
  <c r="AB16"/>
  <c r="AC16"/>
  <c r="BC12"/>
  <c r="BD12"/>
  <c r="BE12"/>
  <c r="AO14"/>
  <c r="AP14"/>
  <c r="AQ14"/>
  <c r="BK11"/>
  <c r="BJ11"/>
  <c r="BL11"/>
  <c r="AH15"/>
  <c r="AI15"/>
  <c r="AJ15"/>
  <c r="BR10"/>
  <c r="BQ10"/>
  <c r="BS10"/>
  <c r="G19"/>
  <c r="F19"/>
  <c r="H19"/>
  <c r="CF8"/>
  <c r="CE8"/>
  <c r="CG8"/>
  <c r="AV13"/>
  <c r="AW13"/>
  <c r="AX13"/>
  <c r="T17"/>
  <c r="U17"/>
  <c r="V17"/>
  <c r="N18"/>
  <c r="M18"/>
  <c r="O18"/>
  <c r="BY9"/>
  <c r="BX9"/>
  <c r="BZ9"/>
  <c r="T20" i="6"/>
  <c r="V20"/>
  <c r="L18" i="5"/>
  <c r="J19"/>
  <c r="AU13"/>
  <c r="AS14"/>
  <c r="AE16"/>
  <c r="AG15"/>
  <c r="AZ13"/>
  <c r="BB12"/>
  <c r="AN14"/>
  <c r="AL15"/>
  <c r="BU10"/>
  <c r="BW9"/>
  <c r="BG12"/>
  <c r="BI11"/>
  <c r="CB9"/>
  <c r="CB7"/>
  <c r="CF7"/>
  <c r="CD8"/>
  <c r="BN11"/>
  <c r="BP10"/>
  <c r="X17"/>
  <c r="Z16"/>
  <c r="C20"/>
  <c r="E19"/>
  <c r="S17"/>
  <c r="Q18"/>
  <c r="AA38" i="1"/>
  <c r="W22" i="6" l="1"/>
  <c r="V21"/>
  <c r="W20"/>
  <c r="Y21"/>
  <c r="AB17" i="5"/>
  <c r="AA17"/>
  <c r="AC17"/>
  <c r="BK12"/>
  <c r="BJ12"/>
  <c r="BL12"/>
  <c r="AI16"/>
  <c r="AH16"/>
  <c r="AJ16"/>
  <c r="G20"/>
  <c r="F20"/>
  <c r="H20"/>
  <c r="BQ11"/>
  <c r="BR11"/>
  <c r="BS11"/>
  <c r="CE9"/>
  <c r="CF9"/>
  <c r="CG9"/>
  <c r="BX10"/>
  <c r="BY10"/>
  <c r="BZ10"/>
  <c r="BD13"/>
  <c r="BC13"/>
  <c r="BE13"/>
  <c r="AW14"/>
  <c r="AV14"/>
  <c r="AX14"/>
  <c r="U18"/>
  <c r="T18"/>
  <c r="V18"/>
  <c r="AP15"/>
  <c r="AO15"/>
  <c r="AQ15"/>
  <c r="N19"/>
  <c r="M19"/>
  <c r="O19"/>
  <c r="AA20" i="6"/>
  <c r="Y20"/>
  <c r="AU14" i="5"/>
  <c r="AS15"/>
  <c r="L19"/>
  <c r="J20"/>
  <c r="C21"/>
  <c r="E20"/>
  <c r="BW10"/>
  <c r="BU11"/>
  <c r="BP11"/>
  <c r="BN12"/>
  <c r="S18"/>
  <c r="Q19"/>
  <c r="X18"/>
  <c r="Z17"/>
  <c r="CB10"/>
  <c r="CD9"/>
  <c r="BG13"/>
  <c r="BI12"/>
  <c r="AN15"/>
  <c r="AL16"/>
  <c r="AZ14"/>
  <c r="BB13"/>
  <c r="AE17"/>
  <c r="AG16"/>
  <c r="AA39" i="1"/>
  <c r="Z38"/>
  <c r="AB38"/>
  <c r="AC38" s="1"/>
  <c r="AA21" i="6" l="1"/>
  <c r="AB22"/>
  <c r="AB20"/>
  <c r="AD21"/>
  <c r="BR12" i="5"/>
  <c r="BQ12"/>
  <c r="BS12"/>
  <c r="AI17"/>
  <c r="AH17"/>
  <c r="AJ17"/>
  <c r="CF10"/>
  <c r="CE10"/>
  <c r="CG10"/>
  <c r="AO16"/>
  <c r="AP16"/>
  <c r="AQ16"/>
  <c r="T19"/>
  <c r="U19"/>
  <c r="V19"/>
  <c r="BY11"/>
  <c r="BX11"/>
  <c r="BZ11"/>
  <c r="N20"/>
  <c r="M20"/>
  <c r="O20"/>
  <c r="BC14"/>
  <c r="BD14"/>
  <c r="BE14"/>
  <c r="BK13"/>
  <c r="BJ13"/>
  <c r="BL13"/>
  <c r="AA18"/>
  <c r="AB18"/>
  <c r="AC18"/>
  <c r="G21"/>
  <c r="F21"/>
  <c r="H21"/>
  <c r="AV15"/>
  <c r="AW15"/>
  <c r="AX15"/>
  <c r="AF20" i="6"/>
  <c r="AD20"/>
  <c r="AZ15" i="5"/>
  <c r="BB14"/>
  <c r="AE18"/>
  <c r="AG17"/>
  <c r="S19"/>
  <c r="Q20"/>
  <c r="L20"/>
  <c r="J21"/>
  <c r="AN16"/>
  <c r="AL17"/>
  <c r="BG14"/>
  <c r="BI13"/>
  <c r="X19"/>
  <c r="Z18"/>
  <c r="BW11"/>
  <c r="BU12"/>
  <c r="AU15"/>
  <c r="AS16"/>
  <c r="CB11"/>
  <c r="CD10"/>
  <c r="BP12"/>
  <c r="BN13"/>
  <c r="C22"/>
  <c r="E21"/>
  <c r="AB39" i="1"/>
  <c r="AC39" s="1"/>
  <c r="AA40"/>
  <c r="Z39"/>
  <c r="AG22" i="6" l="1"/>
  <c r="AF21"/>
  <c r="AI21"/>
  <c r="AG20"/>
  <c r="BX12" i="5"/>
  <c r="BY12"/>
  <c r="BZ12"/>
  <c r="M21"/>
  <c r="N21"/>
  <c r="O21"/>
  <c r="F22"/>
  <c r="G22"/>
  <c r="H22"/>
  <c r="CE11"/>
  <c r="CF11"/>
  <c r="CG11"/>
  <c r="BK14"/>
  <c r="BJ14"/>
  <c r="BL14"/>
  <c r="AH18"/>
  <c r="AI18"/>
  <c r="AJ18"/>
  <c r="AB19"/>
  <c r="AA19"/>
  <c r="AC19"/>
  <c r="BD15"/>
  <c r="BC15"/>
  <c r="BE15"/>
  <c r="BQ13"/>
  <c r="BR13"/>
  <c r="BS13"/>
  <c r="AW16"/>
  <c r="AV16"/>
  <c r="AX16"/>
  <c r="AP17"/>
  <c r="AO17"/>
  <c r="AQ17"/>
  <c r="U20"/>
  <c r="T20"/>
  <c r="V20"/>
  <c r="AI20" i="6"/>
  <c r="B26"/>
  <c r="S20" i="5"/>
  <c r="Q21"/>
  <c r="BP13"/>
  <c r="BN14"/>
  <c r="CB12"/>
  <c r="CD11"/>
  <c r="BW12"/>
  <c r="BU13"/>
  <c r="C23"/>
  <c r="E22"/>
  <c r="AZ16"/>
  <c r="BB15"/>
  <c r="X20"/>
  <c r="Z19"/>
  <c r="BG15"/>
  <c r="BI14"/>
  <c r="AE19"/>
  <c r="AG18"/>
  <c r="AU16"/>
  <c r="AS17"/>
  <c r="AL18"/>
  <c r="AN17"/>
  <c r="L21"/>
  <c r="J22"/>
  <c r="AB40" i="1"/>
  <c r="AC40" s="1"/>
  <c r="AA41"/>
  <c r="Z40"/>
  <c r="B27" i="6" l="1"/>
  <c r="C28"/>
  <c r="E27"/>
  <c r="C26"/>
  <c r="M22" i="5"/>
  <c r="N22"/>
  <c r="O22"/>
  <c r="AV17"/>
  <c r="AW17"/>
  <c r="AX17"/>
  <c r="BY13"/>
  <c r="BX13"/>
  <c r="BZ13"/>
  <c r="BR14"/>
  <c r="BQ14"/>
  <c r="BS14"/>
  <c r="BK15"/>
  <c r="BJ15"/>
  <c r="BL15"/>
  <c r="BC16"/>
  <c r="BD16"/>
  <c r="BE16"/>
  <c r="AO18"/>
  <c r="AP18"/>
  <c r="AQ18"/>
  <c r="AI19"/>
  <c r="AH19"/>
  <c r="AJ19"/>
  <c r="AA20"/>
  <c r="AB20"/>
  <c r="AC20"/>
  <c r="F23"/>
  <c r="G23"/>
  <c r="H23"/>
  <c r="CF12"/>
  <c r="CE12"/>
  <c r="CG12"/>
  <c r="T21"/>
  <c r="U21"/>
  <c r="V21"/>
  <c r="E26" i="6"/>
  <c r="G26"/>
  <c r="AN18" i="5"/>
  <c r="AL19"/>
  <c r="BG16"/>
  <c r="BI15"/>
  <c r="C24"/>
  <c r="E23"/>
  <c r="BN15"/>
  <c r="BP14"/>
  <c r="AE20"/>
  <c r="AG19"/>
  <c r="AZ17"/>
  <c r="BB16"/>
  <c r="J23"/>
  <c r="L22"/>
  <c r="CB13"/>
  <c r="CD12"/>
  <c r="X21"/>
  <c r="Z20"/>
  <c r="BW13"/>
  <c r="BU14"/>
  <c r="AU17"/>
  <c r="AS18"/>
  <c r="S21"/>
  <c r="Q22"/>
  <c r="AA42" i="1"/>
  <c r="Z41"/>
  <c r="AB41"/>
  <c r="AC41" s="1"/>
  <c r="G27" i="6" l="1"/>
  <c r="H28"/>
  <c r="J27"/>
  <c r="H26"/>
  <c r="CE13" i="5"/>
  <c r="CF13"/>
  <c r="CG13"/>
  <c r="BD17"/>
  <c r="BC17"/>
  <c r="BE17"/>
  <c r="BQ15"/>
  <c r="BR15"/>
  <c r="BS15"/>
  <c r="BK16"/>
  <c r="BJ16"/>
  <c r="BL16"/>
  <c r="U22"/>
  <c r="T22"/>
  <c r="V22"/>
  <c r="BX14"/>
  <c r="BY14"/>
  <c r="BZ14"/>
  <c r="AB21"/>
  <c r="AA21"/>
  <c r="AC21"/>
  <c r="N23"/>
  <c r="M23"/>
  <c r="O23"/>
  <c r="AI20"/>
  <c r="AH20"/>
  <c r="AJ20"/>
  <c r="G24"/>
  <c r="F24"/>
  <c r="H24"/>
  <c r="AW18"/>
  <c r="AV18"/>
  <c r="AX18"/>
  <c r="AP19"/>
  <c r="AO19"/>
  <c r="AQ19"/>
  <c r="J26" i="6"/>
  <c r="L26"/>
  <c r="X22" i="5"/>
  <c r="Z21"/>
  <c r="Q23"/>
  <c r="S22"/>
  <c r="AU18"/>
  <c r="AS19"/>
  <c r="AZ18"/>
  <c r="BB17"/>
  <c r="AE21"/>
  <c r="AG20"/>
  <c r="BP15"/>
  <c r="BN16"/>
  <c r="J24"/>
  <c r="L23"/>
  <c r="C25"/>
  <c r="E24"/>
  <c r="BG17"/>
  <c r="BI16"/>
  <c r="BW14"/>
  <c r="BU15"/>
  <c r="CB14"/>
  <c r="CD13"/>
  <c r="AL20"/>
  <c r="AN19"/>
  <c r="AB42" i="1"/>
  <c r="AC42" s="1"/>
  <c r="AA43"/>
  <c r="Z42"/>
  <c r="M28" i="6" l="1"/>
  <c r="L27"/>
  <c r="M26"/>
  <c r="O27"/>
  <c r="AO20" i="5"/>
  <c r="AP20"/>
  <c r="AQ20"/>
  <c r="G25"/>
  <c r="F25"/>
  <c r="H25"/>
  <c r="BC18"/>
  <c r="BD18"/>
  <c r="BE18"/>
  <c r="T23"/>
  <c r="U23"/>
  <c r="V23"/>
  <c r="CF14"/>
  <c r="CE14"/>
  <c r="CG14"/>
  <c r="BK17"/>
  <c r="BJ17"/>
  <c r="BL17"/>
  <c r="M24"/>
  <c r="N24"/>
  <c r="O24"/>
  <c r="AH21"/>
  <c r="AI21"/>
  <c r="AJ21"/>
  <c r="AA22"/>
  <c r="AB22"/>
  <c r="AC22"/>
  <c r="BY15"/>
  <c r="BX15"/>
  <c r="BZ15"/>
  <c r="BR16"/>
  <c r="BQ16"/>
  <c r="BS16"/>
  <c r="AV19"/>
  <c r="AW19"/>
  <c r="AX19"/>
  <c r="Q26" i="6"/>
  <c r="O26"/>
  <c r="BW15" i="5"/>
  <c r="BU16"/>
  <c r="BP16"/>
  <c r="BN17"/>
  <c r="AU19"/>
  <c r="AS20"/>
  <c r="X23"/>
  <c r="Z22"/>
  <c r="AN20"/>
  <c r="AL21"/>
  <c r="BG18"/>
  <c r="BI17"/>
  <c r="AE22"/>
  <c r="AG21"/>
  <c r="Q24"/>
  <c r="S23"/>
  <c r="CB15"/>
  <c r="CD14"/>
  <c r="C26"/>
  <c r="E25"/>
  <c r="J25"/>
  <c r="L24"/>
  <c r="AZ19"/>
  <c r="BB18"/>
  <c r="Z43" i="1"/>
  <c r="AD38"/>
  <c r="Q27" i="6" l="1"/>
  <c r="R28"/>
  <c r="R26"/>
  <c r="T27"/>
  <c r="BD19" i="5"/>
  <c r="BC19"/>
  <c r="BE19"/>
  <c r="F26"/>
  <c r="G26"/>
  <c r="H26"/>
  <c r="U24"/>
  <c r="T24"/>
  <c r="V24"/>
  <c r="BK18"/>
  <c r="BJ18"/>
  <c r="BL18"/>
  <c r="AB23"/>
  <c r="AA23"/>
  <c r="AC23"/>
  <c r="M25"/>
  <c r="N25"/>
  <c r="O25"/>
  <c r="CE15"/>
  <c r="CF15"/>
  <c r="CG15"/>
  <c r="AH22"/>
  <c r="AI22"/>
  <c r="AJ22"/>
  <c r="BQ17"/>
  <c r="BR17"/>
  <c r="BS17"/>
  <c r="AP21"/>
  <c r="AO21"/>
  <c r="AQ21"/>
  <c r="AW20"/>
  <c r="AV20"/>
  <c r="AX20"/>
  <c r="BX16"/>
  <c r="BY16"/>
  <c r="BZ16"/>
  <c r="V26" i="6"/>
  <c r="T26"/>
  <c r="CB16" i="5"/>
  <c r="CD15"/>
  <c r="Z23"/>
  <c r="X24"/>
  <c r="BP17"/>
  <c r="BN18"/>
  <c r="C27"/>
  <c r="E26"/>
  <c r="Q25"/>
  <c r="S24"/>
  <c r="AU20"/>
  <c r="AS21"/>
  <c r="BG19"/>
  <c r="BI18"/>
  <c r="BW16"/>
  <c r="BU17"/>
  <c r="AZ20"/>
  <c r="BB19"/>
  <c r="J26"/>
  <c r="L25"/>
  <c r="AE23"/>
  <c r="AG22"/>
  <c r="AL22"/>
  <c r="AN21"/>
  <c r="W28" i="6" l="1"/>
  <c r="V27"/>
  <c r="W26"/>
  <c r="Y27"/>
  <c r="BY17" i="5"/>
  <c r="BX17"/>
  <c r="BZ17"/>
  <c r="AV21"/>
  <c r="AW21"/>
  <c r="AX21"/>
  <c r="AA24"/>
  <c r="AB24"/>
  <c r="AC24"/>
  <c r="AO22"/>
  <c r="AP22"/>
  <c r="AQ22"/>
  <c r="M26"/>
  <c r="N26"/>
  <c r="O26"/>
  <c r="F27"/>
  <c r="G27"/>
  <c r="H27"/>
  <c r="AI23"/>
  <c r="AH23"/>
  <c r="AJ23"/>
  <c r="BC20"/>
  <c r="BD20"/>
  <c r="BE20"/>
  <c r="BK19"/>
  <c r="BJ19"/>
  <c r="BL19"/>
  <c r="T25"/>
  <c r="U25"/>
  <c r="V25"/>
  <c r="CF16"/>
  <c r="CE16"/>
  <c r="CG16"/>
  <c r="BR18"/>
  <c r="BQ18"/>
  <c r="BS18"/>
  <c r="Y26" i="6"/>
  <c r="AA26"/>
  <c r="BG20" i="5"/>
  <c r="BI19"/>
  <c r="AU21"/>
  <c r="AS22"/>
  <c r="AZ21"/>
  <c r="BB20"/>
  <c r="Z24"/>
  <c r="X25"/>
  <c r="CB17"/>
  <c r="CD16"/>
  <c r="AL23"/>
  <c r="AN22"/>
  <c r="BP18"/>
  <c r="BN19"/>
  <c r="AE24"/>
  <c r="AG23"/>
  <c r="J27"/>
  <c r="L26"/>
  <c r="BW17"/>
  <c r="BU18"/>
  <c r="Q26"/>
  <c r="S25"/>
  <c r="C28"/>
  <c r="E27"/>
  <c r="AA27" i="6" l="1"/>
  <c r="AB28"/>
  <c r="AD27"/>
  <c r="AB26"/>
  <c r="G28" i="5"/>
  <c r="F28"/>
  <c r="H28"/>
  <c r="AI24"/>
  <c r="AH24"/>
  <c r="AJ24"/>
  <c r="AP23"/>
  <c r="AO23"/>
  <c r="AQ23"/>
  <c r="BX18"/>
  <c r="BY18"/>
  <c r="BZ18"/>
  <c r="AB25"/>
  <c r="AA25"/>
  <c r="AC25"/>
  <c r="AW22"/>
  <c r="AV22"/>
  <c r="AX22"/>
  <c r="U26"/>
  <c r="T26"/>
  <c r="V26"/>
  <c r="N27"/>
  <c r="M27"/>
  <c r="O27"/>
  <c r="CE17"/>
  <c r="CF17"/>
  <c r="CG17"/>
  <c r="BD21"/>
  <c r="BC21"/>
  <c r="BE21"/>
  <c r="BK20"/>
  <c r="BJ20"/>
  <c r="BL20"/>
  <c r="BQ19"/>
  <c r="BR19"/>
  <c r="BS19"/>
  <c r="AD26" i="6"/>
  <c r="AF26"/>
  <c r="AE25" i="5"/>
  <c r="AG24"/>
  <c r="Q27"/>
  <c r="S26"/>
  <c r="J28"/>
  <c r="L27"/>
  <c r="BP19"/>
  <c r="BN20"/>
  <c r="AL24"/>
  <c r="AN23"/>
  <c r="BG21"/>
  <c r="BI20"/>
  <c r="BW18"/>
  <c r="BU19"/>
  <c r="CB18"/>
  <c r="CD17"/>
  <c r="AS23"/>
  <c r="AU22"/>
  <c r="BB21"/>
  <c r="AZ22"/>
  <c r="C29"/>
  <c r="E28"/>
  <c r="Z25"/>
  <c r="X26"/>
  <c r="AF27" i="6" l="1"/>
  <c r="AG28"/>
  <c r="AI27"/>
  <c r="AG26"/>
  <c r="AA26" i="5"/>
  <c r="AB26"/>
  <c r="AC26"/>
  <c r="BC22"/>
  <c r="BD22"/>
  <c r="BE22"/>
  <c r="BR20"/>
  <c r="BQ20"/>
  <c r="BS20"/>
  <c r="F29"/>
  <c r="G29"/>
  <c r="H29"/>
  <c r="AV23"/>
  <c r="AW23"/>
  <c r="AX23"/>
  <c r="AO24"/>
  <c r="AP24"/>
  <c r="AQ24"/>
  <c r="N28"/>
  <c r="M28"/>
  <c r="O28"/>
  <c r="AH25"/>
  <c r="AI25"/>
  <c r="AJ25"/>
  <c r="BY19"/>
  <c r="BX19"/>
  <c r="BZ19"/>
  <c r="CF18"/>
  <c r="CE18"/>
  <c r="CG18"/>
  <c r="BK21"/>
  <c r="BJ21"/>
  <c r="BL21"/>
  <c r="T27"/>
  <c r="U27"/>
  <c r="V27"/>
  <c r="B32" i="6"/>
  <c r="AI26"/>
  <c r="AE26" i="5"/>
  <c r="AG25"/>
  <c r="BW19"/>
  <c r="BU20"/>
  <c r="AL25"/>
  <c r="AN24"/>
  <c r="BI21"/>
  <c r="BG22"/>
  <c r="AS24"/>
  <c r="AU23"/>
  <c r="C30"/>
  <c r="E29"/>
  <c r="BN21"/>
  <c r="BP20"/>
  <c r="Z26"/>
  <c r="X27"/>
  <c r="BB22"/>
  <c r="AZ23"/>
  <c r="CB19"/>
  <c r="CD18"/>
  <c r="J29"/>
  <c r="L28"/>
  <c r="Q28"/>
  <c r="S27"/>
  <c r="B33" i="6" l="1"/>
  <c r="C34"/>
  <c r="C32"/>
  <c r="E33"/>
  <c r="U28" i="5"/>
  <c r="T28"/>
  <c r="V28"/>
  <c r="CE19"/>
  <c r="CF19"/>
  <c r="CG19"/>
  <c r="F30"/>
  <c r="G30"/>
  <c r="H30"/>
  <c r="AB27"/>
  <c r="AA27"/>
  <c r="AC27"/>
  <c r="BK22"/>
  <c r="BJ22"/>
  <c r="BL22"/>
  <c r="BX20"/>
  <c r="BY20"/>
  <c r="BZ20"/>
  <c r="M29"/>
  <c r="N29"/>
  <c r="O29"/>
  <c r="BQ21"/>
  <c r="BR21"/>
  <c r="BS21"/>
  <c r="AW24"/>
  <c r="AV24"/>
  <c r="AX24"/>
  <c r="AP25"/>
  <c r="AO25"/>
  <c r="AQ25"/>
  <c r="AH26"/>
  <c r="AI26"/>
  <c r="AJ26"/>
  <c r="BD23"/>
  <c r="BC23"/>
  <c r="BE23"/>
  <c r="G32" i="6"/>
  <c r="E32"/>
  <c r="AE27" i="5"/>
  <c r="AG26"/>
  <c r="Q29"/>
  <c r="S28"/>
  <c r="CB20"/>
  <c r="CD19"/>
  <c r="C31"/>
  <c r="E30"/>
  <c r="BB23"/>
  <c r="AZ24"/>
  <c r="Z27"/>
  <c r="X28"/>
  <c r="AS25"/>
  <c r="AU24"/>
  <c r="BG23"/>
  <c r="BI22"/>
  <c r="BN22"/>
  <c r="BP21"/>
  <c r="J30"/>
  <c r="L29"/>
  <c r="AL26"/>
  <c r="AN25"/>
  <c r="BW20"/>
  <c r="BU21"/>
  <c r="G33" i="6" l="1"/>
  <c r="H34"/>
  <c r="H32"/>
  <c r="J33"/>
  <c r="BY21" i="5"/>
  <c r="BX21"/>
  <c r="BZ21"/>
  <c r="AA28"/>
  <c r="AB28"/>
  <c r="AC28"/>
  <c r="AO26"/>
  <c r="AP26"/>
  <c r="AQ26"/>
  <c r="BR22"/>
  <c r="BQ22"/>
  <c r="BS22"/>
  <c r="AV25"/>
  <c r="AW25"/>
  <c r="AX25"/>
  <c r="CF20"/>
  <c r="CE20"/>
  <c r="CG20"/>
  <c r="AI27"/>
  <c r="AH27"/>
  <c r="AJ27"/>
  <c r="N30"/>
  <c r="M30"/>
  <c r="O30"/>
  <c r="BK23"/>
  <c r="BJ23"/>
  <c r="BL23"/>
  <c r="G31"/>
  <c r="F31"/>
  <c r="H31"/>
  <c r="T29"/>
  <c r="U29"/>
  <c r="V29"/>
  <c r="BC24"/>
  <c r="BD24"/>
  <c r="BE24"/>
  <c r="L32" i="6"/>
  <c r="J32"/>
  <c r="J31" i="5"/>
  <c r="L30"/>
  <c r="BN23"/>
  <c r="BP22"/>
  <c r="AS26"/>
  <c r="AU25"/>
  <c r="Z28"/>
  <c r="X29"/>
  <c r="AE28"/>
  <c r="AG27"/>
  <c r="CB21"/>
  <c r="CD20"/>
  <c r="BU22"/>
  <c r="BW21"/>
  <c r="AL27"/>
  <c r="AN26"/>
  <c r="BG24"/>
  <c r="BI23"/>
  <c r="BB24"/>
  <c r="AZ25"/>
  <c r="C32"/>
  <c r="E31"/>
  <c r="Q30"/>
  <c r="S29"/>
  <c r="M34" i="6" l="1"/>
  <c r="L33"/>
  <c r="M32"/>
  <c r="O33"/>
  <c r="G32" i="5"/>
  <c r="F32"/>
  <c r="H32"/>
  <c r="BK24"/>
  <c r="BJ24"/>
  <c r="BL24"/>
  <c r="BX22"/>
  <c r="BY22"/>
  <c r="BZ22"/>
  <c r="AI28"/>
  <c r="AH28"/>
  <c r="AJ28"/>
  <c r="AW26"/>
  <c r="AV26"/>
  <c r="AX26"/>
  <c r="N31"/>
  <c r="M31"/>
  <c r="O31"/>
  <c r="U30"/>
  <c r="T30"/>
  <c r="V30"/>
  <c r="AP27"/>
  <c r="AO27"/>
  <c r="AQ27"/>
  <c r="CE21"/>
  <c r="CF21"/>
  <c r="CG21"/>
  <c r="BQ23"/>
  <c r="BR23"/>
  <c r="BS23"/>
  <c r="BD25"/>
  <c r="BC25"/>
  <c r="BE25"/>
  <c r="AB29"/>
  <c r="AA29"/>
  <c r="AC29"/>
  <c r="O32" i="6"/>
  <c r="Q32"/>
  <c r="BG25" i="5"/>
  <c r="BI24"/>
  <c r="AL28"/>
  <c r="AN27"/>
  <c r="AE29"/>
  <c r="AG28"/>
  <c r="AS27"/>
  <c r="AU26"/>
  <c r="Q31"/>
  <c r="S30"/>
  <c r="CB22"/>
  <c r="CD21"/>
  <c r="BN24"/>
  <c r="BP23"/>
  <c r="J32"/>
  <c r="L31"/>
  <c r="C33"/>
  <c r="E32"/>
  <c r="BU23"/>
  <c r="BW22"/>
  <c r="BB25"/>
  <c r="AZ26"/>
  <c r="Z29"/>
  <c r="X30"/>
  <c r="Q33" i="6" l="1"/>
  <c r="R34"/>
  <c r="T33"/>
  <c r="R32"/>
  <c r="BY23" i="5"/>
  <c r="BX23"/>
  <c r="BZ23"/>
  <c r="N32"/>
  <c r="M32"/>
  <c r="O32"/>
  <c r="CF22"/>
  <c r="CE22"/>
  <c r="CG22"/>
  <c r="AV27"/>
  <c r="AW27"/>
  <c r="AX27"/>
  <c r="AO28"/>
  <c r="AP28"/>
  <c r="AQ28"/>
  <c r="AA30"/>
  <c r="AB30"/>
  <c r="AC30"/>
  <c r="G33"/>
  <c r="F33"/>
  <c r="H33"/>
  <c r="BR24"/>
  <c r="BQ24"/>
  <c r="BS24"/>
  <c r="T31"/>
  <c r="U31"/>
  <c r="V31"/>
  <c r="AI29"/>
  <c r="AH29"/>
  <c r="AJ29"/>
  <c r="BK25"/>
  <c r="BJ25"/>
  <c r="BL25"/>
  <c r="BC26"/>
  <c r="BD26"/>
  <c r="BE26"/>
  <c r="T32" i="6"/>
  <c r="V32"/>
  <c r="C34" i="5"/>
  <c r="E33"/>
  <c r="J33"/>
  <c r="L32"/>
  <c r="CD22"/>
  <c r="CB23"/>
  <c r="AS28"/>
  <c r="AU27"/>
  <c r="BG26"/>
  <c r="BI25"/>
  <c r="BB26"/>
  <c r="AZ27"/>
  <c r="Q32"/>
  <c r="S31"/>
  <c r="AE30"/>
  <c r="AG29"/>
  <c r="AL29"/>
  <c r="AN28"/>
  <c r="Z30"/>
  <c r="X31"/>
  <c r="BU24"/>
  <c r="BW23"/>
  <c r="BN25"/>
  <c r="BP24"/>
  <c r="W34" i="6" l="1"/>
  <c r="V33"/>
  <c r="W32"/>
  <c r="Y33"/>
  <c r="BQ25" i="5"/>
  <c r="BR25"/>
  <c r="BS25"/>
  <c r="AH30"/>
  <c r="AI30"/>
  <c r="AJ30"/>
  <c r="AW28"/>
  <c r="AV28"/>
  <c r="AX28"/>
  <c r="M33"/>
  <c r="N33"/>
  <c r="O33"/>
  <c r="AB31"/>
  <c r="AA31"/>
  <c r="AC31"/>
  <c r="BD27"/>
  <c r="BC27"/>
  <c r="BE27"/>
  <c r="BX24"/>
  <c r="BY24"/>
  <c r="BZ24"/>
  <c r="AP29"/>
  <c r="AO29"/>
  <c r="AQ29"/>
  <c r="U32"/>
  <c r="T32"/>
  <c r="V32"/>
  <c r="BK26"/>
  <c r="BJ26"/>
  <c r="BL26"/>
  <c r="F34"/>
  <c r="G34"/>
  <c r="H34"/>
  <c r="CE23"/>
  <c r="CF23"/>
  <c r="CG23"/>
  <c r="AA32" i="6"/>
  <c r="Y32"/>
  <c r="BN26" i="5"/>
  <c r="BP25"/>
  <c r="BU25"/>
  <c r="BW24"/>
  <c r="Z31"/>
  <c r="X32"/>
  <c r="Q33"/>
  <c r="S32"/>
  <c r="C35"/>
  <c r="E34"/>
  <c r="AL30"/>
  <c r="AN29"/>
  <c r="BB27"/>
  <c r="AZ28"/>
  <c r="AS29"/>
  <c r="AU28"/>
  <c r="BG27"/>
  <c r="BI26"/>
  <c r="CD23"/>
  <c r="CB24"/>
  <c r="J34"/>
  <c r="L33"/>
  <c r="AE31"/>
  <c r="AG30"/>
  <c r="AA33" i="6" l="1"/>
  <c r="AB34"/>
  <c r="AB32"/>
  <c r="AD33"/>
  <c r="CF24" i="5"/>
  <c r="CE24"/>
  <c r="CG24"/>
  <c r="M34"/>
  <c r="N34"/>
  <c r="O34"/>
  <c r="BK27"/>
  <c r="BJ27"/>
  <c r="BL27"/>
  <c r="F35"/>
  <c r="G35"/>
  <c r="H35"/>
  <c r="BR26"/>
  <c r="BQ26"/>
  <c r="BS26"/>
  <c r="AI31"/>
  <c r="AH31"/>
  <c r="AJ31"/>
  <c r="AV29"/>
  <c r="AW29"/>
  <c r="AX29"/>
  <c r="AO30"/>
  <c r="AP30"/>
  <c r="AQ30"/>
  <c r="T33"/>
  <c r="U33"/>
  <c r="V33"/>
  <c r="BY25"/>
  <c r="BX25"/>
  <c r="BZ25"/>
  <c r="BC28"/>
  <c r="BD28"/>
  <c r="BE28"/>
  <c r="AA32"/>
  <c r="AB32"/>
  <c r="AC32"/>
  <c r="AF32" i="6"/>
  <c r="AD32"/>
  <c r="BG28" i="5"/>
  <c r="BI27"/>
  <c r="C36"/>
  <c r="E35"/>
  <c r="CD24"/>
  <c r="CB25"/>
  <c r="AS30"/>
  <c r="AU29"/>
  <c r="BB28"/>
  <c r="AZ29"/>
  <c r="Q34"/>
  <c r="S33"/>
  <c r="Z32"/>
  <c r="X33"/>
  <c r="BN27"/>
  <c r="BP26"/>
  <c r="AL31"/>
  <c r="AN30"/>
  <c r="AE32"/>
  <c r="AG31"/>
  <c r="J35"/>
  <c r="L34"/>
  <c r="BU26"/>
  <c r="BW25"/>
  <c r="AG34" i="6" l="1"/>
  <c r="AF33"/>
  <c r="AG32"/>
  <c r="AI33"/>
  <c r="N35" i="5"/>
  <c r="M35"/>
  <c r="O35"/>
  <c r="AP31"/>
  <c r="AO31"/>
  <c r="AQ31"/>
  <c r="BK28"/>
  <c r="BJ28"/>
  <c r="BL28"/>
  <c r="BX26"/>
  <c r="BY26"/>
  <c r="BZ26"/>
  <c r="AI32"/>
  <c r="AH32"/>
  <c r="AJ32"/>
  <c r="BQ27"/>
  <c r="BR27"/>
  <c r="BS27"/>
  <c r="U34"/>
  <c r="T34"/>
  <c r="V34"/>
  <c r="AW30"/>
  <c r="AV30"/>
  <c r="AX30"/>
  <c r="G36"/>
  <c r="F36"/>
  <c r="H36"/>
  <c r="AB33"/>
  <c r="AA33"/>
  <c r="AC33"/>
  <c r="BD29"/>
  <c r="BC29"/>
  <c r="BE29"/>
  <c r="CE25"/>
  <c r="CF25"/>
  <c r="CG25"/>
  <c r="AI32" i="6"/>
  <c r="B38"/>
  <c r="BN28" i="5"/>
  <c r="BP27"/>
  <c r="BG29"/>
  <c r="BI28"/>
  <c r="BU27"/>
  <c r="BW26"/>
  <c r="AE33"/>
  <c r="AG32"/>
  <c r="AL32"/>
  <c r="AN31"/>
  <c r="AS31"/>
  <c r="AU30"/>
  <c r="CD25"/>
  <c r="CB26"/>
  <c r="C37"/>
  <c r="E36"/>
  <c r="Z33"/>
  <c r="X34"/>
  <c r="J36"/>
  <c r="O36" s="1"/>
  <c r="L35"/>
  <c r="Q35"/>
  <c r="S34"/>
  <c r="BB29"/>
  <c r="AZ30"/>
  <c r="B39" i="6" l="1"/>
  <c r="C40"/>
  <c r="C38"/>
  <c r="E39"/>
  <c r="N36" i="5"/>
  <c r="M36"/>
  <c r="G37"/>
  <c r="F37"/>
  <c r="H37"/>
  <c r="AV31"/>
  <c r="AW31"/>
  <c r="AX31"/>
  <c r="AI33"/>
  <c r="AH33"/>
  <c r="AJ33"/>
  <c r="BK29"/>
  <c r="BJ29"/>
  <c r="BL29"/>
  <c r="BC30"/>
  <c r="BD30"/>
  <c r="BE30"/>
  <c r="T35"/>
  <c r="U35"/>
  <c r="V35"/>
  <c r="AO32"/>
  <c r="AP32"/>
  <c r="AQ32"/>
  <c r="BY27"/>
  <c r="BX27"/>
  <c r="BZ27"/>
  <c r="BR28"/>
  <c r="BQ28"/>
  <c r="BS28"/>
  <c r="AA34"/>
  <c r="AB34"/>
  <c r="AC34"/>
  <c r="CF26"/>
  <c r="CE26"/>
  <c r="CG26"/>
  <c r="E38" i="6"/>
  <c r="G38"/>
  <c r="BU28" i="5"/>
  <c r="BW27"/>
  <c r="CD26"/>
  <c r="CB27"/>
  <c r="AL33"/>
  <c r="AN32"/>
  <c r="BG30"/>
  <c r="BI29"/>
  <c r="BN29"/>
  <c r="BP28"/>
  <c r="Q36"/>
  <c r="S35"/>
  <c r="Z34"/>
  <c r="X35"/>
  <c r="J37"/>
  <c r="L36"/>
  <c r="BB30"/>
  <c r="AZ31"/>
  <c r="C38"/>
  <c r="E37"/>
  <c r="AS32"/>
  <c r="AU31"/>
  <c r="AE34"/>
  <c r="AG33"/>
  <c r="G39" i="6" l="1"/>
  <c r="H40"/>
  <c r="J39"/>
  <c r="H38"/>
  <c r="CE27" i="5"/>
  <c r="CF27"/>
  <c r="CG27"/>
  <c r="AW32"/>
  <c r="AV32"/>
  <c r="AX32"/>
  <c r="BQ29"/>
  <c r="BR29"/>
  <c r="BS29"/>
  <c r="AP33"/>
  <c r="AO33"/>
  <c r="AQ33"/>
  <c r="BX28"/>
  <c r="BY28"/>
  <c r="BZ28"/>
  <c r="AH34"/>
  <c r="AI34"/>
  <c r="AJ34"/>
  <c r="F38"/>
  <c r="G38"/>
  <c r="H38"/>
  <c r="M37"/>
  <c r="N37"/>
  <c r="O37"/>
  <c r="U36"/>
  <c r="T36"/>
  <c r="V36"/>
  <c r="BK30"/>
  <c r="BJ30"/>
  <c r="BL30"/>
  <c r="BD31"/>
  <c r="BC31"/>
  <c r="BE31"/>
  <c r="AB35"/>
  <c r="AA35"/>
  <c r="AC35"/>
  <c r="J38" i="6"/>
  <c r="L38"/>
  <c r="E38" i="5"/>
  <c r="Z35"/>
  <c r="X36"/>
  <c r="BN30"/>
  <c r="BP29"/>
  <c r="CD27"/>
  <c r="CB28"/>
  <c r="AS33"/>
  <c r="AU32"/>
  <c r="BB31"/>
  <c r="AZ32"/>
  <c r="J38"/>
  <c r="L37"/>
  <c r="BU29"/>
  <c r="BW28"/>
  <c r="AE35"/>
  <c r="AG34"/>
  <c r="Q37"/>
  <c r="S36"/>
  <c r="BG31"/>
  <c r="BI30"/>
  <c r="AL34"/>
  <c r="AN33"/>
  <c r="L39" i="6" l="1"/>
  <c r="M40"/>
  <c r="M38"/>
  <c r="O39"/>
  <c r="BC32" i="5"/>
  <c r="BD32"/>
  <c r="BE32"/>
  <c r="CF28"/>
  <c r="CE28"/>
  <c r="CG28"/>
  <c r="AA36"/>
  <c r="AB36"/>
  <c r="AC36"/>
  <c r="BK31"/>
  <c r="BJ31"/>
  <c r="BL31"/>
  <c r="AI35"/>
  <c r="AH35"/>
  <c r="AJ35"/>
  <c r="M38"/>
  <c r="N38"/>
  <c r="O38"/>
  <c r="AV33"/>
  <c r="AW33"/>
  <c r="AX33"/>
  <c r="BR30"/>
  <c r="BQ30"/>
  <c r="BS30"/>
  <c r="AO34"/>
  <c r="AP34"/>
  <c r="AQ34"/>
  <c r="T37"/>
  <c r="U37"/>
  <c r="V37"/>
  <c r="BY29"/>
  <c r="BX29"/>
  <c r="BZ29"/>
  <c r="Q38" i="6"/>
  <c r="O38"/>
  <c r="AL35" i="5"/>
  <c r="AN34"/>
  <c r="AE36"/>
  <c r="AG35"/>
  <c r="BG32"/>
  <c r="BI31"/>
  <c r="AS34"/>
  <c r="AU33"/>
  <c r="BB32"/>
  <c r="AZ33"/>
  <c r="Z36"/>
  <c r="X37"/>
  <c r="BU30"/>
  <c r="BW29"/>
  <c r="Q38"/>
  <c r="S37"/>
  <c r="L38"/>
  <c r="CD28"/>
  <c r="CB29"/>
  <c r="BN31"/>
  <c r="BP30"/>
  <c r="R40" i="6" l="1"/>
  <c r="Q39"/>
  <c r="R38"/>
  <c r="T39"/>
  <c r="CE29" i="5"/>
  <c r="CF29"/>
  <c r="CG29"/>
  <c r="BQ31"/>
  <c r="BR31"/>
  <c r="BS31"/>
  <c r="AB37"/>
  <c r="AA37"/>
  <c r="AC37"/>
  <c r="BD33"/>
  <c r="BC33"/>
  <c r="BE33"/>
  <c r="U38"/>
  <c r="T38"/>
  <c r="V38"/>
  <c r="AW34"/>
  <c r="AV34"/>
  <c r="AX34"/>
  <c r="AI36"/>
  <c r="AH36"/>
  <c r="AJ36"/>
  <c r="BX30"/>
  <c r="BY30"/>
  <c r="BZ30"/>
  <c r="BK32"/>
  <c r="BJ32"/>
  <c r="BL32"/>
  <c r="AP35"/>
  <c r="AO35"/>
  <c r="AQ35"/>
  <c r="V38" i="6"/>
  <c r="T38"/>
  <c r="AE37" i="5"/>
  <c r="AG36"/>
  <c r="AL36"/>
  <c r="AN35"/>
  <c r="BU31"/>
  <c r="BW30"/>
  <c r="BG33"/>
  <c r="BI32"/>
  <c r="S38"/>
  <c r="Z37"/>
  <c r="X38"/>
  <c r="AS35"/>
  <c r="AU34"/>
  <c r="BN32"/>
  <c r="BP31"/>
  <c r="CD29"/>
  <c r="CB30"/>
  <c r="BB33"/>
  <c r="AZ34"/>
  <c r="V39" i="6" l="1"/>
  <c r="W40"/>
  <c r="W38"/>
  <c r="Y39"/>
  <c r="CF30" i="5"/>
  <c r="CE30"/>
  <c r="CG30"/>
  <c r="BY31"/>
  <c r="BX31"/>
  <c r="BZ31"/>
  <c r="AH37"/>
  <c r="AI37"/>
  <c r="AJ37"/>
  <c r="BR32"/>
  <c r="BQ32"/>
  <c r="BS32"/>
  <c r="BC34"/>
  <c r="BD34"/>
  <c r="BE34"/>
  <c r="AA38"/>
  <c r="AB38"/>
  <c r="AC38"/>
  <c r="BK33"/>
  <c r="BJ33"/>
  <c r="BL33"/>
  <c r="AO36"/>
  <c r="AP36"/>
  <c r="AQ36"/>
  <c r="AV35"/>
  <c r="AW35"/>
  <c r="AX35"/>
  <c r="Y38" i="6"/>
  <c r="AA38"/>
  <c r="BG34" i="5"/>
  <c r="BI33"/>
  <c r="BB34"/>
  <c r="AZ35"/>
  <c r="Z38"/>
  <c r="BU32"/>
  <c r="BW31"/>
  <c r="AE38"/>
  <c r="AG37"/>
  <c r="BN33"/>
  <c r="BP32"/>
  <c r="AS36"/>
  <c r="AU35"/>
  <c r="CD30"/>
  <c r="CB31"/>
  <c r="AL37"/>
  <c r="AN36"/>
  <c r="AA39" i="6" l="1"/>
  <c r="AB40"/>
  <c r="AD39"/>
  <c r="AB38"/>
  <c r="BK34" i="5"/>
  <c r="BJ34"/>
  <c r="BL34"/>
  <c r="BQ33"/>
  <c r="BR33"/>
  <c r="BS33"/>
  <c r="BX32"/>
  <c r="BY32"/>
  <c r="BZ32"/>
  <c r="CE31"/>
  <c r="CF31"/>
  <c r="CG31"/>
  <c r="AP37"/>
  <c r="AO37"/>
  <c r="AQ37"/>
  <c r="AW36"/>
  <c r="AV36"/>
  <c r="AX36"/>
  <c r="AH38"/>
  <c r="AI38"/>
  <c r="AJ38"/>
  <c r="BD35"/>
  <c r="BC35"/>
  <c r="BE35"/>
  <c r="AD38" i="6"/>
  <c r="AL38" i="5"/>
  <c r="AN37"/>
  <c r="BU33"/>
  <c r="BW32"/>
  <c r="BG35"/>
  <c r="BI34"/>
  <c r="BN34"/>
  <c r="BP33"/>
  <c r="BB35"/>
  <c r="AZ36"/>
  <c r="CD31"/>
  <c r="CB32"/>
  <c r="AS37"/>
  <c r="AU36"/>
  <c r="AG38"/>
  <c r="AV37" l="1"/>
  <c r="AW37"/>
  <c r="AX37"/>
  <c r="BK35"/>
  <c r="BJ35"/>
  <c r="BL35"/>
  <c r="AO38"/>
  <c r="AP38"/>
  <c r="AQ38"/>
  <c r="BC36"/>
  <c r="BD36"/>
  <c r="BE36"/>
  <c r="BR34"/>
  <c r="BQ34"/>
  <c r="BS34"/>
  <c r="BY33"/>
  <c r="BX33"/>
  <c r="BZ33"/>
  <c r="CF32"/>
  <c r="CE32"/>
  <c r="CG32"/>
  <c r="BB36"/>
  <c r="AZ37"/>
  <c r="AS38"/>
  <c r="AU37"/>
  <c r="BN35"/>
  <c r="BP34"/>
  <c r="CD32"/>
  <c r="CB33"/>
  <c r="AN38"/>
  <c r="BG36"/>
  <c r="BI35"/>
  <c r="BU34"/>
  <c r="BW33"/>
  <c r="BQ35" l="1"/>
  <c r="BR35"/>
  <c r="BS35"/>
  <c r="BK36"/>
  <c r="BJ36"/>
  <c r="BL36"/>
  <c r="BD37"/>
  <c r="BC37"/>
  <c r="BE37"/>
  <c r="AW38"/>
  <c r="AV38"/>
  <c r="AX38"/>
  <c r="BX34"/>
  <c r="BY34"/>
  <c r="BZ34"/>
  <c r="CE33"/>
  <c r="CF33"/>
  <c r="CG33"/>
  <c r="BG37"/>
  <c r="BI36"/>
  <c r="CD33"/>
  <c r="CB34"/>
  <c r="BU35"/>
  <c r="BW34"/>
  <c r="BN36"/>
  <c r="BP35"/>
  <c r="AU38"/>
  <c r="BB37"/>
  <c r="AZ38"/>
  <c r="BY35" l="1"/>
  <c r="BX35"/>
  <c r="BZ35"/>
  <c r="BK37"/>
  <c r="BJ37"/>
  <c r="BL37"/>
  <c r="BC38"/>
  <c r="BD38"/>
  <c r="BE38"/>
  <c r="BR36"/>
  <c r="BQ36"/>
  <c r="BS36"/>
  <c r="CF34"/>
  <c r="CE34"/>
  <c r="CG34"/>
  <c r="BB38"/>
  <c r="BN37"/>
  <c r="BP36"/>
  <c r="BU36"/>
  <c r="BW35"/>
  <c r="CD34"/>
  <c r="CB35"/>
  <c r="BG38"/>
  <c r="BI37"/>
  <c r="BQ37" l="1"/>
  <c r="BR37"/>
  <c r="BS37"/>
  <c r="CE35"/>
  <c r="CF35"/>
  <c r="CG35"/>
  <c r="BK38"/>
  <c r="BJ38"/>
  <c r="BL38"/>
  <c r="BX36"/>
  <c r="BY36"/>
  <c r="BZ36"/>
  <c r="CD35"/>
  <c r="CB36"/>
  <c r="BN38"/>
  <c r="BP37"/>
  <c r="BI38"/>
  <c r="BU37"/>
  <c r="BW36"/>
  <c r="BY37" l="1"/>
  <c r="BX37"/>
  <c r="BZ37"/>
  <c r="CF36"/>
  <c r="CE36"/>
  <c r="CG36"/>
  <c r="BR38"/>
  <c r="BQ38"/>
  <c r="BS38"/>
  <c r="BP38"/>
  <c r="BU38"/>
  <c r="BW37"/>
  <c r="CD36"/>
  <c r="CB37"/>
  <c r="CE37" l="1"/>
  <c r="CF37"/>
  <c r="CG37"/>
  <c r="BX38"/>
  <c r="BY38"/>
  <c r="BZ38"/>
  <c r="CD37"/>
  <c r="CB38"/>
  <c r="BW38"/>
  <c r="CF38" l="1"/>
  <c r="CE38"/>
  <c r="CG38"/>
  <c r="CD38"/>
  <c r="T32" i="1"/>
  <c r="T35"/>
  <c r="T36"/>
  <c r="T31"/>
  <c r="T33"/>
  <c r="T29"/>
  <c r="T38"/>
  <c r="T28"/>
  <c r="T34"/>
  <c r="T37"/>
  <c r="T30"/>
  <c r="T27"/>
  <c r="CG44" i="5" l="1"/>
  <c r="BZ44"/>
  <c r="BS44"/>
  <c r="BL44"/>
  <c r="BE44"/>
  <c r="AX44"/>
  <c r="AQ44"/>
  <c r="AJ44"/>
  <c r="AC44"/>
  <c r="V44"/>
  <c r="O44"/>
  <c r="H44"/>
  <c r="T39" i="1"/>
</calcChain>
</file>

<file path=xl/sharedStrings.xml><?xml version="1.0" encoding="utf-8"?>
<sst xmlns="http://schemas.openxmlformats.org/spreadsheetml/2006/main" count="2967" uniqueCount="2127">
  <si>
    <t>Janvier</t>
  </si>
  <si>
    <t>Généralités de l'année Choisie</t>
  </si>
  <si>
    <t>Annee</t>
  </si>
  <si>
    <t>Mois</t>
  </si>
  <si>
    <t>Repos</t>
  </si>
  <si>
    <t>Jours Repos</t>
  </si>
  <si>
    <t>Année bissextile</t>
  </si>
  <si>
    <t>Lundi</t>
  </si>
  <si>
    <t>Nombre de jours</t>
  </si>
  <si>
    <t>Février</t>
  </si>
  <si>
    <t>Mardi</t>
  </si>
  <si>
    <t>Nombre de jours fériés</t>
  </si>
  <si>
    <t>Mars</t>
  </si>
  <si>
    <t>Mercredi</t>
  </si>
  <si>
    <t>Nombre de jours fériés le samedi</t>
  </si>
  <si>
    <t>Avril</t>
  </si>
  <si>
    <t>Jeudi</t>
  </si>
  <si>
    <t>Nombre de jours fériés le dimanche</t>
  </si>
  <si>
    <t>Mai</t>
  </si>
  <si>
    <t>Vendredi</t>
  </si>
  <si>
    <t>Nombre de jours ouvrables sur l'année</t>
  </si>
  <si>
    <t>Juin</t>
  </si>
  <si>
    <t>Samedi</t>
  </si>
  <si>
    <t>Nombre de jours ouvrés sur l'année</t>
  </si>
  <si>
    <t>Juillet</t>
  </si>
  <si>
    <t>Dimanche</t>
  </si>
  <si>
    <t>Août</t>
  </si>
  <si>
    <t>Septembre</t>
  </si>
  <si>
    <t>Octobre</t>
  </si>
  <si>
    <t>Novembre</t>
  </si>
  <si>
    <t>Décembre</t>
  </si>
  <si>
    <r>
      <rPr>
        <b/>
        <i/>
        <sz val="10"/>
        <color theme="1"/>
        <rFont val="Calibri"/>
        <family val="2"/>
      </rPr>
      <t xml:space="preserve">Pâques </t>
    </r>
    <r>
      <rPr>
        <i/>
        <sz val="10"/>
        <color theme="1"/>
        <rFont val="Calibri"/>
        <family val="2"/>
      </rPr>
      <t>est un calcul.</t>
    </r>
  </si>
  <si>
    <r>
      <rPr>
        <b/>
        <i/>
        <sz val="10"/>
        <color theme="1"/>
        <rFont val="Calibri"/>
        <family val="2"/>
      </rPr>
      <t>Lundi de de Pâques</t>
    </r>
    <r>
      <rPr>
        <i/>
        <sz val="10"/>
        <color theme="1"/>
        <rFont val="Calibri"/>
        <family val="2"/>
      </rPr>
      <t xml:space="preserve"> : c'est 1 jour après Pâques</t>
    </r>
  </si>
  <si>
    <r>
      <rPr>
        <b/>
        <i/>
        <sz val="10"/>
        <color theme="1"/>
        <rFont val="Calibri"/>
        <family val="2"/>
      </rPr>
      <t>Jeudi de l'Ascencion</t>
    </r>
    <r>
      <rPr>
        <i/>
        <sz val="10"/>
        <color theme="1"/>
        <rFont val="Calibri"/>
        <family val="2"/>
      </rPr>
      <t xml:space="preserve"> : c'est 39 jours après Pâques</t>
    </r>
  </si>
  <si>
    <t>Calcul entre 2 dates == &gt;</t>
  </si>
  <si>
    <t>Date départ</t>
  </si>
  <si>
    <t>Date fin</t>
  </si>
  <si>
    <t>Nb Jours</t>
  </si>
  <si>
    <r>
      <rPr>
        <b/>
        <i/>
        <sz val="10"/>
        <color theme="1"/>
        <rFont val="Calibri"/>
        <family val="2"/>
      </rPr>
      <t>Lundi de la Pentecôte</t>
    </r>
    <r>
      <rPr>
        <i/>
        <sz val="10"/>
        <color theme="1"/>
        <rFont val="Calibri"/>
        <family val="2"/>
      </rPr>
      <t xml:space="preserve"> : c'est 50 jours après Pâques</t>
    </r>
  </si>
  <si>
    <r>
      <rPr>
        <b/>
        <i/>
        <sz val="10"/>
        <color theme="1"/>
        <rFont val="Calibri"/>
        <family val="2"/>
        <scheme val="minor"/>
      </rPr>
      <t>Les jours féries</t>
    </r>
    <r>
      <rPr>
        <i/>
        <sz val="10"/>
        <color theme="1"/>
        <rFont val="Calibri"/>
        <family val="2"/>
        <scheme val="minor"/>
      </rPr>
      <t xml:space="preserve"> sont calculer avec l'année en A26, et pour une période de </t>
    </r>
    <r>
      <rPr>
        <b/>
        <i/>
        <sz val="10"/>
        <color theme="1"/>
        <rFont val="Calibri"/>
        <family val="2"/>
        <scheme val="minor"/>
      </rPr>
      <t>4 Ans</t>
    </r>
    <r>
      <rPr>
        <i/>
        <sz val="10"/>
        <color theme="1"/>
        <rFont val="Calibri"/>
        <family val="2"/>
        <scheme val="minor"/>
      </rPr>
      <t>.</t>
    </r>
  </si>
  <si>
    <t>Toutes ces colonnes sont calculées d'après l'année choisie.</t>
  </si>
  <si>
    <t>Nb H mois travaillées</t>
  </si>
  <si>
    <t>https://vacances-scolaires.education/</t>
  </si>
  <si>
    <t>Vacances soclaires</t>
  </si>
  <si>
    <t>Zone A</t>
  </si>
  <si>
    <t>Feries</t>
  </si>
  <si>
    <t>Jours Feries</t>
  </si>
  <si>
    <t>Sam Ferie</t>
  </si>
  <si>
    <t>Dim Ferie</t>
  </si>
  <si>
    <t>No Semaine</t>
  </si>
  <si>
    <t>Num/Mois</t>
  </si>
  <si>
    <t>Deb/mois</t>
  </si>
  <si>
    <t>Jours</t>
  </si>
  <si>
    <t>Fin/mois</t>
  </si>
  <si>
    <t>Nb jours</t>
  </si>
  <si>
    <t>J-ouvrables</t>
  </si>
  <si>
    <t>J-ouvrés</t>
  </si>
  <si>
    <t>Fériés</t>
  </si>
  <si>
    <t>Debut Vac</t>
  </si>
  <si>
    <t>Fin Vac</t>
  </si>
  <si>
    <t>Jour Reprise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</si>
  <si>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</si>
  <si>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</si>
  <si>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</si>
  <si>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</si>
  <si>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</si>
  <si>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</si>
  <si>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</si>
  <si>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 Pent.</t>
  </si>
  <si>
    <t>Fête Nationale</t>
  </si>
  <si>
    <t>Assomption</t>
  </si>
  <si>
    <t>Toussaint</t>
  </si>
  <si>
    <t>Victoire 1918</t>
  </si>
  <si>
    <t>Noël</t>
  </si>
  <si>
    <t>Tous les évènements</t>
  </si>
  <si>
    <t>Date naissance</t>
  </si>
  <si>
    <t>Jours nais.</t>
  </si>
  <si>
    <t>Evenements</t>
  </si>
  <si>
    <t>EvtMichel</t>
  </si>
  <si>
    <t>EvtMarie</t>
  </si>
  <si>
    <t>Fêtes catholiques</t>
  </si>
  <si>
    <t>Ephiphanie</t>
  </si>
  <si>
    <r>
      <t xml:space="preserve"> 2</t>
    </r>
    <r>
      <rPr>
        <i/>
        <vertAlign val="superscript"/>
        <sz val="9"/>
        <color theme="1"/>
        <rFont val="Calibri"/>
        <family val="2"/>
      </rPr>
      <t>èm</t>
    </r>
    <r>
      <rPr>
        <i/>
        <sz val="9"/>
        <color theme="1"/>
        <rFont val="Calibri"/>
        <family val="2"/>
      </rPr>
      <t xml:space="preserve"> dim après Noël. OU moins 49 J de Pâques</t>
    </r>
  </si>
  <si>
    <t>Chandeleur</t>
  </si>
  <si>
    <t xml:space="preserve"> la date est fixe, chaque elle a lieu le 2 février</t>
  </si>
  <si>
    <t>Saint Valentin</t>
  </si>
  <si>
    <t xml:space="preserve"> la date est fixe, chaque elle a lieu le 14 février</t>
  </si>
  <si>
    <t>Mardi gras</t>
  </si>
  <si>
    <t xml:space="preserve"> moins 47 J de Pâques</t>
  </si>
  <si>
    <t>Cendres</t>
  </si>
  <si>
    <t xml:space="preserve"> moins 46 J de Pâques, ce jour correspond au début du Carême</t>
  </si>
  <si>
    <t>Vendredi Saint</t>
  </si>
  <si>
    <t xml:space="preserve"> 2 jours avant Pâques</t>
  </si>
  <si>
    <t>F. des mères</t>
  </si>
  <si>
    <t xml:space="preserve"> Dernier dimanche de mai, sauf si celui-ci est le dimanche de Pentecôte. Dans ce cas, la Fête des mères est reportée au premier dimanche de juin.</t>
  </si>
  <si>
    <t>F. des pères</t>
  </si>
  <si>
    <r>
      <t xml:space="preserve"> 3 </t>
    </r>
    <r>
      <rPr>
        <i/>
        <vertAlign val="superscript"/>
        <sz val="9"/>
        <color theme="1"/>
        <rFont val="Calibri"/>
        <family val="2"/>
      </rPr>
      <t>èm</t>
    </r>
    <r>
      <rPr>
        <i/>
        <sz val="9"/>
        <color theme="1"/>
        <rFont val="Calibri"/>
        <family val="2"/>
      </rPr>
      <t xml:space="preserve"> dimanche de juin</t>
    </r>
  </si>
  <si>
    <t>F. Grds-Mères</t>
  </si>
  <si>
    <r>
      <t xml:space="preserve"> 1</t>
    </r>
    <r>
      <rPr>
        <i/>
        <vertAlign val="superscript"/>
        <sz val="9"/>
        <color theme="1"/>
        <rFont val="Calibri"/>
        <family val="2"/>
      </rPr>
      <t xml:space="preserve">er </t>
    </r>
    <r>
      <rPr>
        <i/>
        <sz val="9"/>
        <color theme="1"/>
        <rFont val="Calibri"/>
        <family val="2"/>
      </rPr>
      <t>dimanche de mars</t>
    </r>
  </si>
  <si>
    <t>F. Grds-Pères</t>
  </si>
  <si>
    <r>
      <t xml:space="preserve"> 1</t>
    </r>
    <r>
      <rPr>
        <i/>
        <vertAlign val="superscript"/>
        <sz val="9"/>
        <color theme="1"/>
        <rFont val="Calibri"/>
        <family val="2"/>
      </rPr>
      <t xml:space="preserve">er </t>
    </r>
    <r>
      <rPr>
        <i/>
        <sz val="9"/>
        <color theme="1"/>
        <rFont val="Calibri"/>
        <family val="2"/>
      </rPr>
      <t>dimanche d'octobre</t>
    </r>
  </si>
  <si>
    <t>Saisons</t>
  </si>
  <si>
    <t>Printemps</t>
  </si>
  <si>
    <t xml:space="preserve"> Calcul jusquà 2025, onglet Saison</t>
  </si>
  <si>
    <t>Été</t>
  </si>
  <si>
    <t>Automne</t>
  </si>
  <si>
    <t>Hiver</t>
  </si>
  <si>
    <t>Année</t>
  </si>
  <si>
    <r>
      <t xml:space="preserve">Équinoxe de mars : </t>
    </r>
    <r>
      <rPr>
        <b/>
        <sz val="11"/>
        <color rgb="FF91283B"/>
        <rFont val="Calibri Light"/>
        <family val="2"/>
      </rPr>
      <t>Printemps</t>
    </r>
  </si>
  <si>
    <r>
      <t xml:space="preserve">Solstice de juin :  </t>
    </r>
    <r>
      <rPr>
        <b/>
        <sz val="11"/>
        <color rgb="FF91283B"/>
        <rFont val="Calibri Light"/>
        <family val="2"/>
      </rPr>
      <t>Eté</t>
    </r>
  </si>
  <si>
    <r>
      <t xml:space="preserve">Équinoxe de septembre : </t>
    </r>
    <r>
      <rPr>
        <b/>
        <sz val="11"/>
        <color rgb="FF91283B"/>
        <rFont val="Calibri Light"/>
        <family val="2"/>
      </rPr>
      <t>Automne</t>
    </r>
  </si>
  <si>
    <r>
      <t xml:space="preserve">Solstice de décembre : </t>
    </r>
    <r>
      <rPr>
        <b/>
        <sz val="11"/>
        <color rgb="FF91283B"/>
        <rFont val="Calibri Light"/>
        <family val="2"/>
      </rPr>
      <t>Hiver</t>
    </r>
  </si>
  <si>
    <t>Prénom</t>
  </si>
  <si>
    <t>Dates</t>
  </si>
  <si>
    <t>Année ==&gt;</t>
  </si>
  <si>
    <t>Calculs Jours</t>
  </si>
  <si>
    <t>Tous les Saints</t>
  </si>
  <si>
    <t>Maria</t>
  </si>
  <si>
    <t>01/01/</t>
  </si>
  <si>
    <t>Basile</t>
  </si>
  <si>
    <t>02/01/</t>
  </si>
  <si>
    <t>Geneviève</t>
  </si>
  <si>
    <t>03/01/</t>
  </si>
  <si>
    <t>Vassili</t>
  </si>
  <si>
    <t>Odilon</t>
  </si>
  <si>
    <t>04/01/</t>
  </si>
  <si>
    <t>Edouard</t>
  </si>
  <si>
    <t>05/01/</t>
  </si>
  <si>
    <t>Ginette</t>
  </si>
  <si>
    <t>Mélaine</t>
  </si>
  <si>
    <t>06/01/</t>
  </si>
  <si>
    <t>Eddie</t>
  </si>
  <si>
    <t>Raymond</t>
  </si>
  <si>
    <t>07/01/</t>
  </si>
  <si>
    <t>Eddy</t>
  </si>
  <si>
    <t>Lucien</t>
  </si>
  <si>
    <t>08/01/</t>
  </si>
  <si>
    <t>Alix</t>
  </si>
  <si>
    <t>09/01/</t>
  </si>
  <si>
    <t>Amélien</t>
  </si>
  <si>
    <t>Guillaume</t>
  </si>
  <si>
    <t>10/01/</t>
  </si>
  <si>
    <t>Édouard</t>
  </si>
  <si>
    <t>Paulin</t>
  </si>
  <si>
    <t>11/01/</t>
  </si>
  <si>
    <t>Édouardine</t>
  </si>
  <si>
    <t>Tatiana</t>
  </si>
  <si>
    <t>12/01/</t>
  </si>
  <si>
    <t>Eduardo</t>
  </si>
  <si>
    <t>Yvette</t>
  </si>
  <si>
    <t>13/01/</t>
  </si>
  <si>
    <t>Edward</t>
  </si>
  <si>
    <t>Nina</t>
  </si>
  <si>
    <t>14/01/</t>
  </si>
  <si>
    <t>Émilienne</t>
  </si>
  <si>
    <t>Rémi</t>
  </si>
  <si>
    <t>15/01/</t>
  </si>
  <si>
    <t>Ted</t>
  </si>
  <si>
    <t>Marcel</t>
  </si>
  <si>
    <t>16/01/</t>
  </si>
  <si>
    <t>Teddy</t>
  </si>
  <si>
    <t>Roseline</t>
  </si>
  <si>
    <t>17/01/</t>
  </si>
  <si>
    <t>Melaine</t>
  </si>
  <si>
    <t>Prisca</t>
  </si>
  <si>
    <t>18/01/</t>
  </si>
  <si>
    <t>Tiphaine</t>
  </si>
  <si>
    <t>Marius</t>
  </si>
  <si>
    <t>19/01/</t>
  </si>
  <si>
    <t>Cédric</t>
  </si>
  <si>
    <t>Sébastien</t>
  </si>
  <si>
    <t>20/01/</t>
  </si>
  <si>
    <t>Lucienne</t>
  </si>
  <si>
    <t>Agnès</t>
  </si>
  <si>
    <t>21/01/</t>
  </si>
  <si>
    <t>Ray</t>
  </si>
  <si>
    <t>Vincent</t>
  </si>
  <si>
    <t>22/01/</t>
  </si>
  <si>
    <t>Barnard</t>
  </si>
  <si>
    <t>23/01/</t>
  </si>
  <si>
    <t>Raymonde</t>
  </si>
  <si>
    <t>François de Sales</t>
  </si>
  <si>
    <t>Paco</t>
  </si>
  <si>
    <t>24/01/</t>
  </si>
  <si>
    <t>Virginie</t>
  </si>
  <si>
    <t>Paul</t>
  </si>
  <si>
    <t>25/01/</t>
  </si>
  <si>
    <t>Paule</t>
  </si>
  <si>
    <t>26/01/</t>
  </si>
  <si>
    <t>Peggy</t>
  </si>
  <si>
    <t>Angèle</t>
  </si>
  <si>
    <t>27/01/</t>
  </si>
  <si>
    <t>Alexia</t>
  </si>
  <si>
    <t>Thérèse</t>
  </si>
  <si>
    <t>28/01/</t>
  </si>
  <si>
    <t>Alicia</t>
  </si>
  <si>
    <t>Gildas</t>
  </si>
  <si>
    <t>29/01/</t>
  </si>
  <si>
    <t>Alison</t>
  </si>
  <si>
    <t>Martine</t>
  </si>
  <si>
    <t>30/01/</t>
  </si>
  <si>
    <t>Alisone</t>
  </si>
  <si>
    <t>Marcelle</t>
  </si>
  <si>
    <t>31/01/</t>
  </si>
  <si>
    <t>Alisson</t>
  </si>
  <si>
    <t>Ella</t>
  </si>
  <si>
    <t>01/02/</t>
  </si>
  <si>
    <t>Alissone</t>
  </si>
  <si>
    <t>Présentation</t>
  </si>
  <si>
    <t>Théophane</t>
  </si>
  <si>
    <t>02/02/</t>
  </si>
  <si>
    <t>Blaise</t>
  </si>
  <si>
    <t>03/02/</t>
  </si>
  <si>
    <t>Allison</t>
  </si>
  <si>
    <t>Véronique</t>
  </si>
  <si>
    <t>04/02/</t>
  </si>
  <si>
    <t>Allisson</t>
  </si>
  <si>
    <t>Agathe</t>
  </si>
  <si>
    <t>05/02/</t>
  </si>
  <si>
    <t>Allyson</t>
  </si>
  <si>
    <t>Gaston</t>
  </si>
  <si>
    <t>06/02/</t>
  </si>
  <si>
    <t>Alyson</t>
  </si>
  <si>
    <t>Eugénie</t>
  </si>
  <si>
    <t>07/02/</t>
  </si>
  <si>
    <t>Alysson</t>
  </si>
  <si>
    <t>Jacqueline</t>
  </si>
  <si>
    <t>08/02/</t>
  </si>
  <si>
    <t>Bill</t>
  </si>
  <si>
    <t>Apolline</t>
  </si>
  <si>
    <t>09/02/</t>
  </si>
  <si>
    <t>Billy</t>
  </si>
  <si>
    <t>Arnaud</t>
  </si>
  <si>
    <t>10/02/</t>
  </si>
  <si>
    <t>Notre Dame de Lourdes</t>
  </si>
  <si>
    <t>ND de Lourdes</t>
  </si>
  <si>
    <t>11/02/</t>
  </si>
  <si>
    <t>Guillaumette</t>
  </si>
  <si>
    <t>Félix</t>
  </si>
  <si>
    <t>12/02/</t>
  </si>
  <si>
    <t>Guillemette</t>
  </si>
  <si>
    <t>Béatrice</t>
  </si>
  <si>
    <t>13/02/</t>
  </si>
  <si>
    <t>Guillermo</t>
  </si>
  <si>
    <t>Valentin</t>
  </si>
  <si>
    <t>14/02/</t>
  </si>
  <si>
    <t>William</t>
  </si>
  <si>
    <t>Claude</t>
  </si>
  <si>
    <t>15/02/</t>
  </si>
  <si>
    <t>Willy</t>
  </si>
  <si>
    <t>Julienne</t>
  </si>
  <si>
    <t>16/02/</t>
  </si>
  <si>
    <t>Alexis</t>
  </si>
  <si>
    <t>17/02/</t>
  </si>
  <si>
    <t>Arcadie</t>
  </si>
  <si>
    <t>Bernadette</t>
  </si>
  <si>
    <t>18/02/</t>
  </si>
  <si>
    <t>Césarine</t>
  </si>
  <si>
    <t>Gabin</t>
  </si>
  <si>
    <t>19/02/</t>
  </si>
  <si>
    <t>Tania</t>
  </si>
  <si>
    <t>Aimée</t>
  </si>
  <si>
    <t>20/02/</t>
  </si>
  <si>
    <t>Tanya</t>
  </si>
  <si>
    <t>Damien</t>
  </si>
  <si>
    <t>21/02/</t>
  </si>
  <si>
    <t>Isabelle</t>
  </si>
  <si>
    <t>22/02/</t>
  </si>
  <si>
    <t>Tatienne</t>
  </si>
  <si>
    <t>Lazare</t>
  </si>
  <si>
    <t>23/02/</t>
  </si>
  <si>
    <t>Tigrane</t>
  </si>
  <si>
    <t>Modeste</t>
  </si>
  <si>
    <t>24/02/</t>
  </si>
  <si>
    <t>Hilaire</t>
  </si>
  <si>
    <t>Roméo</t>
  </si>
  <si>
    <t>25/02/</t>
  </si>
  <si>
    <t>Hilary</t>
  </si>
  <si>
    <t>Nestor</t>
  </si>
  <si>
    <t>26/02/</t>
  </si>
  <si>
    <t>Honorine</t>
  </si>
  <si>
    <t>27/02/</t>
  </si>
  <si>
    <t>Romain</t>
  </si>
  <si>
    <t>28/02/</t>
  </si>
  <si>
    <t>Amalric</t>
  </si>
  <si>
    <t>Auguste</t>
  </si>
  <si>
    <t>29/02/</t>
  </si>
  <si>
    <t>Amaury</t>
  </si>
  <si>
    <t>Aubin</t>
  </si>
  <si>
    <t>01/03/</t>
  </si>
  <si>
    <t>Maur</t>
  </si>
  <si>
    <t>Charles le Bon</t>
  </si>
  <si>
    <t>Joévin</t>
  </si>
  <si>
    <t>02/03/</t>
  </si>
  <si>
    <t>Rachel</t>
  </si>
  <si>
    <t>Guénolé</t>
  </si>
  <si>
    <t>03/03/</t>
  </si>
  <si>
    <t>Rachelle</t>
  </si>
  <si>
    <t>Casimir</t>
  </si>
  <si>
    <t>04/03/</t>
  </si>
  <si>
    <t>Olive</t>
  </si>
  <si>
    <t>05/03/</t>
  </si>
  <si>
    <t>Rémy</t>
  </si>
  <si>
    <t>Colette</t>
  </si>
  <si>
    <t>06/03/</t>
  </si>
  <si>
    <t>Tarsice</t>
  </si>
  <si>
    <t>Félicité</t>
  </si>
  <si>
    <t>07/03/</t>
  </si>
  <si>
    <t>Honorat</t>
  </si>
  <si>
    <t>Jean de Dieu</t>
  </si>
  <si>
    <t>08/03/</t>
  </si>
  <si>
    <t>Marceau</t>
  </si>
  <si>
    <t>Françoise</t>
  </si>
  <si>
    <t>09/03/</t>
  </si>
  <si>
    <t>Vivien</t>
  </si>
  <si>
    <t>10/03/</t>
  </si>
  <si>
    <t>Marcello</t>
  </si>
  <si>
    <t>Rosine</t>
  </si>
  <si>
    <t>11/03/</t>
  </si>
  <si>
    <t>Marcelo</t>
  </si>
  <si>
    <t>Justine</t>
  </si>
  <si>
    <t>12/03/</t>
  </si>
  <si>
    <t>Priscilla</t>
  </si>
  <si>
    <t>Rodrigue</t>
  </si>
  <si>
    <t>13/03/</t>
  </si>
  <si>
    <t>Priscille</t>
  </si>
  <si>
    <t>Mathilde</t>
  </si>
  <si>
    <t>14/03/</t>
  </si>
  <si>
    <t>Anthony</t>
  </si>
  <si>
    <t>Louise</t>
  </si>
  <si>
    <t>15/03/</t>
  </si>
  <si>
    <t>Antoni</t>
  </si>
  <si>
    <t>Bénédicte</t>
  </si>
  <si>
    <t>16/03/</t>
  </si>
  <si>
    <t>Antonio</t>
  </si>
  <si>
    <t>Patrice</t>
  </si>
  <si>
    <t>17/03/</t>
  </si>
  <si>
    <t>Antony</t>
  </si>
  <si>
    <t>Cyrille</t>
  </si>
  <si>
    <t>18/03/</t>
  </si>
  <si>
    <t>Joseph</t>
  </si>
  <si>
    <t>19/03/</t>
  </si>
  <si>
    <t>Roselyne</t>
  </si>
  <si>
    <t>Herbert</t>
  </si>
  <si>
    <t>20/03/</t>
  </si>
  <si>
    <t>Gwendal</t>
  </si>
  <si>
    <t>Clémence</t>
  </si>
  <si>
    <t>21/03/</t>
  </si>
  <si>
    <t>Léa</t>
  </si>
  <si>
    <t>22/03/</t>
  </si>
  <si>
    <t>Mario</t>
  </si>
  <si>
    <t>Victoria</t>
  </si>
  <si>
    <t>23/03/</t>
  </si>
  <si>
    <t>Catherine de Suède</t>
  </si>
  <si>
    <t>Kathy</t>
  </si>
  <si>
    <t>24/03/</t>
  </si>
  <si>
    <t>Bastien</t>
  </si>
  <si>
    <t>Humbert</t>
  </si>
  <si>
    <t>25/03/</t>
  </si>
  <si>
    <t>Bastienne</t>
  </si>
  <si>
    <t>Larissa</t>
  </si>
  <si>
    <t>26/03/</t>
  </si>
  <si>
    <t>Fabien</t>
  </si>
  <si>
    <t>Abib</t>
  </si>
  <si>
    <t>27/03/</t>
  </si>
  <si>
    <t>Fabienne</t>
  </si>
  <si>
    <t>Gontran</t>
  </si>
  <si>
    <t>28/03/</t>
  </si>
  <si>
    <t>Sébastian</t>
  </si>
  <si>
    <t>Gwladys</t>
  </si>
  <si>
    <t>29/03/</t>
  </si>
  <si>
    <t>Amédée</t>
  </si>
  <si>
    <t>30/03/</t>
  </si>
  <si>
    <t>Sébastienne</t>
  </si>
  <si>
    <t>Benjamin</t>
  </si>
  <si>
    <t>31/03/</t>
  </si>
  <si>
    <t>Hugues</t>
  </si>
  <si>
    <t>01/04/</t>
  </si>
  <si>
    <t>Anastase</t>
  </si>
  <si>
    <t>Sandrine</t>
  </si>
  <si>
    <t>02/04/</t>
  </si>
  <si>
    <t>Vince</t>
  </si>
  <si>
    <t>Richard</t>
  </si>
  <si>
    <t>03/04/</t>
  </si>
  <si>
    <t>Isidore</t>
  </si>
  <si>
    <t>04/04/</t>
  </si>
  <si>
    <t>Irène</t>
  </si>
  <si>
    <t>05/04/</t>
  </si>
  <si>
    <t>Fr. de Sales</t>
  </si>
  <si>
    <t>Marcellin</t>
  </si>
  <si>
    <t>06/04/</t>
  </si>
  <si>
    <t>J.Baptiste de la Salle</t>
  </si>
  <si>
    <t>J.B. de la Salle</t>
  </si>
  <si>
    <t>07/04/</t>
  </si>
  <si>
    <t>Paquito</t>
  </si>
  <si>
    <t>Julie</t>
  </si>
  <si>
    <t>08/04/</t>
  </si>
  <si>
    <t>Soizic</t>
  </si>
  <si>
    <t>Gauthier</t>
  </si>
  <si>
    <t>09/04/</t>
  </si>
  <si>
    <t>Tim</t>
  </si>
  <si>
    <t>Fulbert</t>
  </si>
  <si>
    <t>10/04/</t>
  </si>
  <si>
    <t>Apollos</t>
  </si>
  <si>
    <t>Stanislas</t>
  </si>
  <si>
    <t>11/04/</t>
  </si>
  <si>
    <t>Conv. St Paul</t>
  </si>
  <si>
    <t>Jules</t>
  </si>
  <si>
    <t>12/04/</t>
  </si>
  <si>
    <t>Albéric</t>
  </si>
  <si>
    <t>Ida</t>
  </si>
  <si>
    <t>13/04/</t>
  </si>
  <si>
    <t>Paola</t>
  </si>
  <si>
    <t>Maxime</t>
  </si>
  <si>
    <t>14/04/</t>
  </si>
  <si>
    <t>Paula</t>
  </si>
  <si>
    <t>Paterne</t>
  </si>
  <si>
    <t>15/04/</t>
  </si>
  <si>
    <t>Benoît Joseph</t>
  </si>
  <si>
    <t>16/04/</t>
  </si>
  <si>
    <t>Paulette</t>
  </si>
  <si>
    <t>Anicet</t>
  </si>
  <si>
    <t>17/04/</t>
  </si>
  <si>
    <t>Pauline</t>
  </si>
  <si>
    <t>Parfait</t>
  </si>
  <si>
    <t>18/04/</t>
  </si>
  <si>
    <t>Timothée</t>
  </si>
  <si>
    <t>Emma</t>
  </si>
  <si>
    <t>19/04/</t>
  </si>
  <si>
    <t>Odette</t>
  </si>
  <si>
    <t>20/04/</t>
  </si>
  <si>
    <t>Angélie</t>
  </si>
  <si>
    <t>Anselme</t>
  </si>
  <si>
    <t>21/04/</t>
  </si>
  <si>
    <t>Angélina</t>
  </si>
  <si>
    <t>Alexandre</t>
  </si>
  <si>
    <t>22/04/</t>
  </si>
  <si>
    <t>Angéline</t>
  </si>
  <si>
    <t>Georges</t>
  </si>
  <si>
    <t>23/04/</t>
  </si>
  <si>
    <t>Angélique</t>
  </si>
  <si>
    <t>Fidèle</t>
  </si>
  <si>
    <t>24/04/</t>
  </si>
  <si>
    <t>Th. d'Aquin</t>
  </si>
  <si>
    <t>Marc</t>
  </si>
  <si>
    <t>25/04/</t>
  </si>
  <si>
    <t>Alida</t>
  </si>
  <si>
    <t>26/04/</t>
  </si>
  <si>
    <t>Aldegonde</t>
  </si>
  <si>
    <t>Zita</t>
  </si>
  <si>
    <t>27/04/</t>
  </si>
  <si>
    <t>Bathilde</t>
  </si>
  <si>
    <t>Valérie</t>
  </si>
  <si>
    <t>28/04/</t>
  </si>
  <si>
    <t>Bathylle</t>
  </si>
  <si>
    <t>Catherine de Sienne</t>
  </si>
  <si>
    <t>Huguette</t>
  </si>
  <si>
    <t>29/04/</t>
  </si>
  <si>
    <t>Bob</t>
  </si>
  <si>
    <t>Robert</t>
  </si>
  <si>
    <t>30/04/</t>
  </si>
  <si>
    <t>Jacinte</t>
  </si>
  <si>
    <t>Muguet</t>
  </si>
  <si>
    <t>01/05/</t>
  </si>
  <si>
    <t>Jacinthe</t>
  </si>
  <si>
    <t>Boris</t>
  </si>
  <si>
    <t>02/05/</t>
  </si>
  <si>
    <t>Martina</t>
  </si>
  <si>
    <t>Philippe</t>
  </si>
  <si>
    <t>03/05/</t>
  </si>
  <si>
    <t xml:space="preserve">Jacques </t>
  </si>
  <si>
    <t>Sylvain</t>
  </si>
  <si>
    <t>04/05/</t>
  </si>
  <si>
    <t>Nikita</t>
  </si>
  <si>
    <t>Judith</t>
  </si>
  <si>
    <t>05/05/</t>
  </si>
  <si>
    <t>Prudence</t>
  </si>
  <si>
    <t>06/05/</t>
  </si>
  <si>
    <t>Elle</t>
  </si>
  <si>
    <t>Gisèle</t>
  </si>
  <si>
    <t>07/05/</t>
  </si>
  <si>
    <t>Ellenita</t>
  </si>
  <si>
    <t>Désiré</t>
  </si>
  <si>
    <t>08/05/</t>
  </si>
  <si>
    <t>Ellie</t>
  </si>
  <si>
    <t>Pâcome</t>
  </si>
  <si>
    <t>09/05/</t>
  </si>
  <si>
    <t>Viridiana</t>
  </si>
  <si>
    <t>Solange</t>
  </si>
  <si>
    <t>10/05/</t>
  </si>
  <si>
    <t>Estelle</t>
  </si>
  <si>
    <t>11/05/</t>
  </si>
  <si>
    <t>Achille</t>
  </si>
  <si>
    <t>12/05/</t>
  </si>
  <si>
    <t>Rolande</t>
  </si>
  <si>
    <t>13/05/</t>
  </si>
  <si>
    <t>Iadine</t>
  </si>
  <si>
    <t>Mathias</t>
  </si>
  <si>
    <t>14/05/</t>
  </si>
  <si>
    <t>Oscar</t>
  </si>
  <si>
    <t>Denise</t>
  </si>
  <si>
    <t>15/05/</t>
  </si>
  <si>
    <t>Bérénice</t>
  </si>
  <si>
    <t>Honoré</t>
  </si>
  <si>
    <t>16/05/</t>
  </si>
  <si>
    <t>Gilberto</t>
  </si>
  <si>
    <t>Pascal</t>
  </si>
  <si>
    <t>17/05/</t>
  </si>
  <si>
    <t>Vanessa</t>
  </si>
  <si>
    <t>Eric</t>
  </si>
  <si>
    <t>18/05/</t>
  </si>
  <si>
    <t>Vanina</t>
  </si>
  <si>
    <t>Yves</t>
  </si>
  <si>
    <t>19/05/</t>
  </si>
  <si>
    <t>Vannessa</t>
  </si>
  <si>
    <t>Bernardin</t>
  </si>
  <si>
    <t>20/05/</t>
  </si>
  <si>
    <t>Véronica</t>
  </si>
  <si>
    <t>Constantin</t>
  </si>
  <si>
    <t>21/05/</t>
  </si>
  <si>
    <t>Emilie</t>
  </si>
  <si>
    <t>22/05/</t>
  </si>
  <si>
    <t>Agatha</t>
  </si>
  <si>
    <t>Didier</t>
  </si>
  <si>
    <t>23/05/</t>
  </si>
  <si>
    <t>Donatien</t>
  </si>
  <si>
    <t>24/05/</t>
  </si>
  <si>
    <t>Avit</t>
  </si>
  <si>
    <t>Sophie</t>
  </si>
  <si>
    <t>25/05/</t>
  </si>
  <si>
    <t>Amand</t>
  </si>
  <si>
    <t>Bérenger</t>
  </si>
  <si>
    <t>26/05/</t>
  </si>
  <si>
    <t>Amanda</t>
  </si>
  <si>
    <t>Augustin</t>
  </si>
  <si>
    <t>27/05/</t>
  </si>
  <si>
    <t>Amande</t>
  </si>
  <si>
    <t>Germain</t>
  </si>
  <si>
    <t>28/05/</t>
  </si>
  <si>
    <t>Doris</t>
  </si>
  <si>
    <t>Aymar</t>
  </si>
  <si>
    <t>29/05/</t>
  </si>
  <si>
    <t>Dorothée</t>
  </si>
  <si>
    <t>Ferdinand</t>
  </si>
  <si>
    <t>30/05/</t>
  </si>
  <si>
    <t>Péroline</t>
  </si>
  <si>
    <t>31/05/</t>
  </si>
  <si>
    <t>Dorian</t>
  </si>
  <si>
    <t>Justin</t>
  </si>
  <si>
    <t>01/06/</t>
  </si>
  <si>
    <t>Doriane</t>
  </si>
  <si>
    <t>Blandine</t>
  </si>
  <si>
    <t>02/06/</t>
  </si>
  <si>
    <t>Kévin</t>
  </si>
  <si>
    <t>03/06/</t>
  </si>
  <si>
    <t>Théodora</t>
  </si>
  <si>
    <t>Clothilde</t>
  </si>
  <si>
    <t>04/06/</t>
  </si>
  <si>
    <t>Jackie</t>
  </si>
  <si>
    <t>Igor</t>
  </si>
  <si>
    <t>05/06/</t>
  </si>
  <si>
    <t>Jacky</t>
  </si>
  <si>
    <t>Norbert</t>
  </si>
  <si>
    <t>06/06/</t>
  </si>
  <si>
    <t>Gilbert</t>
  </si>
  <si>
    <t>07/06/</t>
  </si>
  <si>
    <t>Jacquette</t>
  </si>
  <si>
    <t>Médard</t>
  </si>
  <si>
    <t>08/06/</t>
  </si>
  <si>
    <t>Jacquotte</t>
  </si>
  <si>
    <t>Diane</t>
  </si>
  <si>
    <t>09/06/</t>
  </si>
  <si>
    <t>Landry</t>
  </si>
  <si>
    <t>10/06/</t>
  </si>
  <si>
    <t>Barnabé</t>
  </si>
  <si>
    <t>11/06/</t>
  </si>
  <si>
    <t>Arnaude</t>
  </si>
  <si>
    <t>Guy</t>
  </si>
  <si>
    <t>12/06/</t>
  </si>
  <si>
    <t>Arnauld</t>
  </si>
  <si>
    <t>Antoine de Padoue</t>
  </si>
  <si>
    <t>Antoine de P.</t>
  </si>
  <si>
    <t>13/06/</t>
  </si>
  <si>
    <t>ND Lourdes</t>
  </si>
  <si>
    <t>Elysée</t>
  </si>
  <si>
    <t>14/06/</t>
  </si>
  <si>
    <t>Eulalie</t>
  </si>
  <si>
    <t>Germaine</t>
  </si>
  <si>
    <t>15/06/</t>
  </si>
  <si>
    <t>Félicienne</t>
  </si>
  <si>
    <t>Jean-François</t>
  </si>
  <si>
    <t>16/06/</t>
  </si>
  <si>
    <t>Hervé</t>
  </si>
  <si>
    <t>17/06/</t>
  </si>
  <si>
    <t>Béa</t>
  </si>
  <si>
    <t>Léonce</t>
  </si>
  <si>
    <t>18/06/</t>
  </si>
  <si>
    <t>Romuald</t>
  </si>
  <si>
    <t>19/06/</t>
  </si>
  <si>
    <t>Jordan</t>
  </si>
  <si>
    <t>Silvère</t>
  </si>
  <si>
    <t>20/06/</t>
  </si>
  <si>
    <t>Jordane</t>
  </si>
  <si>
    <t>Gonzague</t>
  </si>
  <si>
    <t>21/06/</t>
  </si>
  <si>
    <t>Jordanne</t>
  </si>
  <si>
    <t>Alban</t>
  </si>
  <si>
    <t>22/06/</t>
  </si>
  <si>
    <t>Lauriane</t>
  </si>
  <si>
    <t>Audrey</t>
  </si>
  <si>
    <t>23/06/</t>
  </si>
  <si>
    <t>Tino</t>
  </si>
  <si>
    <t>Jean-Baptiste</t>
  </si>
  <si>
    <t>24/06/</t>
  </si>
  <si>
    <t>Prospère</t>
  </si>
  <si>
    <t>25/06/</t>
  </si>
  <si>
    <t>Anthelme</t>
  </si>
  <si>
    <t>26/06/</t>
  </si>
  <si>
    <t>Faustin</t>
  </si>
  <si>
    <t>Fernand</t>
  </si>
  <si>
    <t>27/06/</t>
  </si>
  <si>
    <t>Éliaz</t>
  </si>
  <si>
    <t>Irénée</t>
  </si>
  <si>
    <t>28/06/</t>
  </si>
  <si>
    <t>Pierre &amp; Paul</t>
  </si>
  <si>
    <t>29/06/</t>
  </si>
  <si>
    <t>Lucille</t>
  </si>
  <si>
    <t>Martial</t>
  </si>
  <si>
    <t>30/06/</t>
  </si>
  <si>
    <t>Onésime</t>
  </si>
  <si>
    <t>Thierry</t>
  </si>
  <si>
    <t>01/07/</t>
  </si>
  <si>
    <t>Paméla</t>
  </si>
  <si>
    <t>Martinien</t>
  </si>
  <si>
    <t>02/07/</t>
  </si>
  <si>
    <t>Pamphile</t>
  </si>
  <si>
    <t>Thomas</t>
  </si>
  <si>
    <t>03/07/</t>
  </si>
  <si>
    <t>Alexane</t>
  </si>
  <si>
    <t>Florent</t>
  </si>
  <si>
    <t>04/07/</t>
  </si>
  <si>
    <t>Alexi</t>
  </si>
  <si>
    <t>Antoine</t>
  </si>
  <si>
    <t>05/07/</t>
  </si>
  <si>
    <t>Alexian</t>
  </si>
  <si>
    <t>Mariette</t>
  </si>
  <si>
    <t>06/07/</t>
  </si>
  <si>
    <t>Alexiane</t>
  </si>
  <si>
    <t>Raoul</t>
  </si>
  <si>
    <t>07/07/</t>
  </si>
  <si>
    <t>Alexie</t>
  </si>
  <si>
    <t>Thibaut</t>
  </si>
  <si>
    <t>08/07/</t>
  </si>
  <si>
    <t>Amandine</t>
  </si>
  <si>
    <t>09/07/</t>
  </si>
  <si>
    <t>Alexy</t>
  </si>
  <si>
    <t>Ulrich</t>
  </si>
  <si>
    <t>10/07/</t>
  </si>
  <si>
    <t>Benoît</t>
  </si>
  <si>
    <t>11/07/</t>
  </si>
  <si>
    <t>Flavien</t>
  </si>
  <si>
    <t>Olivier</t>
  </si>
  <si>
    <t>12/07/</t>
  </si>
  <si>
    <t>Nadette</t>
  </si>
  <si>
    <t>Henri</t>
  </si>
  <si>
    <t>13/07/</t>
  </si>
  <si>
    <t>Nadine</t>
  </si>
  <si>
    <t>Camille</t>
  </si>
  <si>
    <t>14/07/</t>
  </si>
  <si>
    <t>Siméon</t>
  </si>
  <si>
    <t>Donald</t>
  </si>
  <si>
    <t>15/07/</t>
  </si>
  <si>
    <t>Carmel</t>
  </si>
  <si>
    <t>16/07/</t>
  </si>
  <si>
    <t>Charlotte</t>
  </si>
  <si>
    <t>17/07/</t>
  </si>
  <si>
    <t>Dinan</t>
  </si>
  <si>
    <t>Frédéric</t>
  </si>
  <si>
    <t>18/07/</t>
  </si>
  <si>
    <t>P. Damien</t>
  </si>
  <si>
    <t>Arsène</t>
  </si>
  <si>
    <t>19/07/</t>
  </si>
  <si>
    <t>Isa</t>
  </si>
  <si>
    <t>Marina</t>
  </si>
  <si>
    <t>20/07/</t>
  </si>
  <si>
    <t>Isabel</t>
  </si>
  <si>
    <t>Victor</t>
  </si>
  <si>
    <t>21/07/</t>
  </si>
  <si>
    <t>Isabella</t>
  </si>
  <si>
    <t>Magalie</t>
  </si>
  <si>
    <t>Marie Madeleine</t>
  </si>
  <si>
    <t>22/07/</t>
  </si>
  <si>
    <t>Appolinaire</t>
  </si>
  <si>
    <t>Brigitte</t>
  </si>
  <si>
    <t>23/07/</t>
  </si>
  <si>
    <t>Terry</t>
  </si>
  <si>
    <t>Christine</t>
  </si>
  <si>
    <t>24/07/</t>
  </si>
  <si>
    <t>25/07/</t>
  </si>
  <si>
    <t>Polycarpe</t>
  </si>
  <si>
    <t>Anne</t>
  </si>
  <si>
    <t>26/07/</t>
  </si>
  <si>
    <t>Nathalie</t>
  </si>
  <si>
    <t>27/07/</t>
  </si>
  <si>
    <t>Samson</t>
  </si>
  <si>
    <t>28/07/</t>
  </si>
  <si>
    <t>Marthe</t>
  </si>
  <si>
    <t>29/07/</t>
  </si>
  <si>
    <t>Juliette</t>
  </si>
  <si>
    <t>30/07/</t>
  </si>
  <si>
    <t>Antoinette</t>
  </si>
  <si>
    <t>Ignace</t>
  </si>
  <si>
    <t>31/07/</t>
  </si>
  <si>
    <t>Alphonse</t>
  </si>
  <si>
    <t>01/08/</t>
  </si>
  <si>
    <t>Roman</t>
  </si>
  <si>
    <t xml:space="preserve">Julien </t>
  </si>
  <si>
    <t>02/08/</t>
  </si>
  <si>
    <t>Romane</t>
  </si>
  <si>
    <t>Lydie</t>
  </si>
  <si>
    <t>03/08/</t>
  </si>
  <si>
    <t>Albin</t>
  </si>
  <si>
    <t>Vianney</t>
  </si>
  <si>
    <t>04/08/</t>
  </si>
  <si>
    <t>Albina</t>
  </si>
  <si>
    <t>Abel</t>
  </si>
  <si>
    <t>05/08/</t>
  </si>
  <si>
    <t>Albine</t>
  </si>
  <si>
    <t>Transfiguration</t>
  </si>
  <si>
    <t>Octavien</t>
  </si>
  <si>
    <t>06/08/</t>
  </si>
  <si>
    <t>Gaétan</t>
  </si>
  <si>
    <t>07/08/</t>
  </si>
  <si>
    <t>Aubine</t>
  </si>
  <si>
    <t>Dominique</t>
  </si>
  <si>
    <t>08/08/</t>
  </si>
  <si>
    <t>Dave</t>
  </si>
  <si>
    <t>Amour</t>
  </si>
  <si>
    <t>09/08/</t>
  </si>
  <si>
    <t>Laurent</t>
  </si>
  <si>
    <t>10/08/</t>
  </si>
  <si>
    <t>Jaouen</t>
  </si>
  <si>
    <t>Claire</t>
  </si>
  <si>
    <t>11/08/</t>
  </si>
  <si>
    <t>Clarisse</t>
  </si>
  <si>
    <t>12/08/</t>
  </si>
  <si>
    <t>Guennolé</t>
  </si>
  <si>
    <t>Hippolyte</t>
  </si>
  <si>
    <t>13/08/</t>
  </si>
  <si>
    <t>Evrard</t>
  </si>
  <si>
    <t>14/08/</t>
  </si>
  <si>
    <t>Gwénola</t>
  </si>
  <si>
    <t>Marie</t>
  </si>
  <si>
    <t>15/08/</t>
  </si>
  <si>
    <t>Gwenolé</t>
  </si>
  <si>
    <t>Armelle</t>
  </si>
  <si>
    <t>16/08/</t>
  </si>
  <si>
    <t>Hyacinthe</t>
  </si>
  <si>
    <t>17/08/</t>
  </si>
  <si>
    <t>Casper</t>
  </si>
  <si>
    <t>Hélène</t>
  </si>
  <si>
    <t>18/08/</t>
  </si>
  <si>
    <t>Jean-Eudes</t>
  </si>
  <si>
    <t>Mylène</t>
  </si>
  <si>
    <t>19/08/</t>
  </si>
  <si>
    <t>Bernard</t>
  </si>
  <si>
    <t>20/08/</t>
  </si>
  <si>
    <t>Olivette</t>
  </si>
  <si>
    <t>Christophe</t>
  </si>
  <si>
    <t>21/08/</t>
  </si>
  <si>
    <t>Olivia</t>
  </si>
  <si>
    <t>Fabrice</t>
  </si>
  <si>
    <t>22/08/</t>
  </si>
  <si>
    <t>Virgil</t>
  </si>
  <si>
    <t>Rose</t>
  </si>
  <si>
    <t>23/08/</t>
  </si>
  <si>
    <t>Virgile</t>
  </si>
  <si>
    <t>Barthélémy</t>
  </si>
  <si>
    <t>24/08/</t>
  </si>
  <si>
    <t>Louis</t>
  </si>
  <si>
    <t>25/08/</t>
  </si>
  <si>
    <t>Nicole</t>
  </si>
  <si>
    <t>Natacha</t>
  </si>
  <si>
    <t>26/08/</t>
  </si>
  <si>
    <t>Nicoletta</t>
  </si>
  <si>
    <t>Monique</t>
  </si>
  <si>
    <t>27/08/</t>
  </si>
  <si>
    <t>28/08/</t>
  </si>
  <si>
    <t>Perpétue</t>
  </si>
  <si>
    <t>Sabine</t>
  </si>
  <si>
    <t>29/08/</t>
  </si>
  <si>
    <t>Jean de D.</t>
  </si>
  <si>
    <t>Fiacre</t>
  </si>
  <si>
    <t>30/08/</t>
  </si>
  <si>
    <t>Fanchon</t>
  </si>
  <si>
    <t>Aristide</t>
  </si>
  <si>
    <t>31/08/</t>
  </si>
  <si>
    <t>Francesca</t>
  </si>
  <si>
    <t>Gilles</t>
  </si>
  <si>
    <t>01/09/</t>
  </si>
  <si>
    <t>Ingrid</t>
  </si>
  <si>
    <t>02/09/</t>
  </si>
  <si>
    <t>Anastasia</t>
  </si>
  <si>
    <t>Grégoire</t>
  </si>
  <si>
    <t>03/09/</t>
  </si>
  <si>
    <t>Anastasie</t>
  </si>
  <si>
    <t>Rosalie</t>
  </si>
  <si>
    <t>04/09/</t>
  </si>
  <si>
    <t>Anasthasia</t>
  </si>
  <si>
    <t>Raïssa</t>
  </si>
  <si>
    <t>05/09/</t>
  </si>
  <si>
    <t>Anasthasie</t>
  </si>
  <si>
    <t>Bertrand</t>
  </si>
  <si>
    <t>06/09/</t>
  </si>
  <si>
    <t>Reine</t>
  </si>
  <si>
    <t>07/09/</t>
  </si>
  <si>
    <t>Vivienne</t>
  </si>
  <si>
    <t>Adrien</t>
  </si>
  <si>
    <t>08/09/</t>
  </si>
  <si>
    <t>Alain</t>
  </si>
  <si>
    <t>09/09/</t>
  </si>
  <si>
    <t>Elphège</t>
  </si>
  <si>
    <t>Inès</t>
  </si>
  <si>
    <t>10/09/</t>
  </si>
  <si>
    <t>Adelphe</t>
  </si>
  <si>
    <t>11/09/</t>
  </si>
  <si>
    <t>Maximilien</t>
  </si>
  <si>
    <t>Apollinaire</t>
  </si>
  <si>
    <t>12/09/</t>
  </si>
  <si>
    <t>Maximilienne</t>
  </si>
  <si>
    <t>Aimé</t>
  </si>
  <si>
    <t>13/09/</t>
  </si>
  <si>
    <t>Maximillien</t>
  </si>
  <si>
    <t>Sainte Croix</t>
  </si>
  <si>
    <t>Materne</t>
  </si>
  <si>
    <t>14/09/</t>
  </si>
  <si>
    <t>Pol</t>
  </si>
  <si>
    <t>Roland</t>
  </si>
  <si>
    <t>15/09/</t>
  </si>
  <si>
    <t>Edith</t>
  </si>
  <si>
    <t>16/09/</t>
  </si>
  <si>
    <t>Renaud</t>
  </si>
  <si>
    <t>17/09/</t>
  </si>
  <si>
    <t>Maud</t>
  </si>
  <si>
    <t>Nadège</t>
  </si>
  <si>
    <t>18/09/</t>
  </si>
  <si>
    <t>Maude</t>
  </si>
  <si>
    <t>19/09/</t>
  </si>
  <si>
    <t>Louisa</t>
  </si>
  <si>
    <t>Davy</t>
  </si>
  <si>
    <t>20/09/</t>
  </si>
  <si>
    <t>Matthieu</t>
  </si>
  <si>
    <t>21/09/</t>
  </si>
  <si>
    <t>Louisette</t>
  </si>
  <si>
    <t>Maurice</t>
  </si>
  <si>
    <t>22/09/</t>
  </si>
  <si>
    <t>Lucrèce</t>
  </si>
  <si>
    <t>Constant</t>
  </si>
  <si>
    <t>23/09/</t>
  </si>
  <si>
    <t>Bénédict</t>
  </si>
  <si>
    <t>Thècle</t>
  </si>
  <si>
    <t>24/09/</t>
  </si>
  <si>
    <t>Hermann</t>
  </si>
  <si>
    <t>25/09/</t>
  </si>
  <si>
    <t>Pat</t>
  </si>
  <si>
    <t>26/09/</t>
  </si>
  <si>
    <t>Vincent de Paul</t>
  </si>
  <si>
    <t>27/09/</t>
  </si>
  <si>
    <t>Patricia</t>
  </si>
  <si>
    <t>Venceslas</t>
  </si>
  <si>
    <t>28/09/</t>
  </si>
  <si>
    <t>Patricio</t>
  </si>
  <si>
    <t>Gabriel</t>
  </si>
  <si>
    <t>29/09/</t>
  </si>
  <si>
    <t>Patrick</t>
  </si>
  <si>
    <t>Michel</t>
  </si>
  <si>
    <t>Patty</t>
  </si>
  <si>
    <t>Jérôme</t>
  </si>
  <si>
    <t>30/09/</t>
  </si>
  <si>
    <t>Cyril</t>
  </si>
  <si>
    <t>01/10/</t>
  </si>
  <si>
    <t>Léger</t>
  </si>
  <si>
    <t>02/10/</t>
  </si>
  <si>
    <t>Salvatore</t>
  </si>
  <si>
    <t>Gérard</t>
  </si>
  <si>
    <t>03/10/</t>
  </si>
  <si>
    <t>José</t>
  </si>
  <si>
    <t>François</t>
  </si>
  <si>
    <t>04/10/</t>
  </si>
  <si>
    <t>Josée</t>
  </si>
  <si>
    <t>Fleur</t>
  </si>
  <si>
    <t>05/10/</t>
  </si>
  <si>
    <t>Joséfina</t>
  </si>
  <si>
    <t>Bruno</t>
  </si>
  <si>
    <t>06/10/</t>
  </si>
  <si>
    <t>Josep</t>
  </si>
  <si>
    <t>Serge</t>
  </si>
  <si>
    <t>07/10/</t>
  </si>
  <si>
    <t>Pélagie</t>
  </si>
  <si>
    <t>08/10/</t>
  </si>
  <si>
    <t>Josèphe</t>
  </si>
  <si>
    <t>Denis</t>
  </si>
  <si>
    <t>09/10/</t>
  </si>
  <si>
    <t>Joséphine</t>
  </si>
  <si>
    <t>Ghislain</t>
  </si>
  <si>
    <t>10/10/</t>
  </si>
  <si>
    <t>Josette</t>
  </si>
  <si>
    <t>Firmin</t>
  </si>
  <si>
    <t>11/10/</t>
  </si>
  <si>
    <t>Josiane</t>
  </si>
  <si>
    <t>Wilfried</t>
  </si>
  <si>
    <t>12/10/</t>
  </si>
  <si>
    <t>Josianne</t>
  </si>
  <si>
    <t>Géraud</t>
  </si>
  <si>
    <t>13/10/</t>
  </si>
  <si>
    <t>Jozef</t>
  </si>
  <si>
    <t>Juste</t>
  </si>
  <si>
    <t>14/10/</t>
  </si>
  <si>
    <t>Alessandra</t>
  </si>
  <si>
    <t>Thérèse d'Avila</t>
  </si>
  <si>
    <t>Aurélie</t>
  </si>
  <si>
    <t>15/10/</t>
  </si>
  <si>
    <t>Edwige</t>
  </si>
  <si>
    <t>16/10/</t>
  </si>
  <si>
    <t>Svetlana</t>
  </si>
  <si>
    <t>Baudoin</t>
  </si>
  <si>
    <t>17/10/</t>
  </si>
  <si>
    <t>Wulfran</t>
  </si>
  <si>
    <t>Luc</t>
  </si>
  <si>
    <t>18/10/</t>
  </si>
  <si>
    <t>Axel</t>
  </si>
  <si>
    <t>René</t>
  </si>
  <si>
    <t>19/10/</t>
  </si>
  <si>
    <t>Adeline</t>
  </si>
  <si>
    <t>20/10/</t>
  </si>
  <si>
    <t>Céline</t>
  </si>
  <si>
    <t>21/10/</t>
  </si>
  <si>
    <t>Leah</t>
  </si>
  <si>
    <t>Elodie</t>
  </si>
  <si>
    <t>22/10/</t>
  </si>
  <si>
    <t>Leïla</t>
  </si>
  <si>
    <t>Jean de Capistran</t>
  </si>
  <si>
    <t>Jean de Cap.</t>
  </si>
  <si>
    <t>23/10/</t>
  </si>
  <si>
    <t>Léïla</t>
  </si>
  <si>
    <t>Florentin</t>
  </si>
  <si>
    <t>24/10/</t>
  </si>
  <si>
    <t>Lélia</t>
  </si>
  <si>
    <t>Crépin</t>
  </si>
  <si>
    <t>25/10/</t>
  </si>
  <si>
    <t>Lia</t>
  </si>
  <si>
    <t>Dimitri</t>
  </si>
  <si>
    <t>26/10/</t>
  </si>
  <si>
    <t>Lila</t>
  </si>
  <si>
    <t>Emeline</t>
  </si>
  <si>
    <t>27/10/</t>
  </si>
  <si>
    <t>Rebecca</t>
  </si>
  <si>
    <t>Simon</t>
  </si>
  <si>
    <t>28/10/</t>
  </si>
  <si>
    <t>Rébecca</t>
  </si>
  <si>
    <t>Narcisse</t>
  </si>
  <si>
    <t>29/10/</t>
  </si>
  <si>
    <t>Victorien</t>
  </si>
  <si>
    <t>Bienvenue</t>
  </si>
  <si>
    <t>30/10/</t>
  </si>
  <si>
    <t>Aldemar</t>
  </si>
  <si>
    <t>Quentin</t>
  </si>
  <si>
    <t>31/10/</t>
  </si>
  <si>
    <t>Cath de Su.</t>
  </si>
  <si>
    <t>Mathurin</t>
  </si>
  <si>
    <t>01/11/</t>
  </si>
  <si>
    <t>Défunts</t>
  </si>
  <si>
    <t>02/11/</t>
  </si>
  <si>
    <t>Katia</t>
  </si>
  <si>
    <t>Gwénaëlle</t>
  </si>
  <si>
    <t>03/11/</t>
  </si>
  <si>
    <t>K</t>
  </si>
  <si>
    <t>Hubert</t>
  </si>
  <si>
    <t>Katie</t>
  </si>
  <si>
    <t>Charles</t>
  </si>
  <si>
    <t>04/11/</t>
  </si>
  <si>
    <t>Katy</t>
  </si>
  <si>
    <t>Sylvie</t>
  </si>
  <si>
    <t>05/11/</t>
  </si>
  <si>
    <t>Ketty</t>
  </si>
  <si>
    <t>Bertille</t>
  </si>
  <si>
    <t>06/11/</t>
  </si>
  <si>
    <t>Kristell</t>
  </si>
  <si>
    <t>Carine</t>
  </si>
  <si>
    <t>07/11/</t>
  </si>
  <si>
    <t>Annonciade</t>
  </si>
  <si>
    <t>Geoffroy</t>
  </si>
  <si>
    <t>08/11/</t>
  </si>
  <si>
    <t>Annonciation</t>
  </si>
  <si>
    <t>Théodore</t>
  </si>
  <si>
    <t>09/11/</t>
  </si>
  <si>
    <t>Lara</t>
  </si>
  <si>
    <t>Léon</t>
  </si>
  <si>
    <t>10/11/</t>
  </si>
  <si>
    <t>Martin</t>
  </si>
  <si>
    <t>Armistice 1918</t>
  </si>
  <si>
    <t>11/11/</t>
  </si>
  <si>
    <t>Habib</t>
  </si>
  <si>
    <t>Christian</t>
  </si>
  <si>
    <t>12/11/</t>
  </si>
  <si>
    <t>Brice</t>
  </si>
  <si>
    <t>13/11/</t>
  </si>
  <si>
    <t>Gladys</t>
  </si>
  <si>
    <t>Sidoine</t>
  </si>
  <si>
    <t>14/11/</t>
  </si>
  <si>
    <t>Albert</t>
  </si>
  <si>
    <t>15/11/</t>
  </si>
  <si>
    <t>Moïra</t>
  </si>
  <si>
    <t>Marguerite</t>
  </si>
  <si>
    <t>16/11/</t>
  </si>
  <si>
    <t>Amédé</t>
  </si>
  <si>
    <t>Elisabeth</t>
  </si>
  <si>
    <t>17/11/</t>
  </si>
  <si>
    <t>Aude</t>
  </si>
  <si>
    <t>18/11/</t>
  </si>
  <si>
    <t>Amos</t>
  </si>
  <si>
    <t>Tanguy</t>
  </si>
  <si>
    <t>19/11/</t>
  </si>
  <si>
    <t>Babine</t>
  </si>
  <si>
    <t>Edmond</t>
  </si>
  <si>
    <t>20/11/</t>
  </si>
  <si>
    <t>Ben</t>
  </si>
  <si>
    <t>Présentation Marie</t>
  </si>
  <si>
    <t>Gélase</t>
  </si>
  <si>
    <t>21/11/</t>
  </si>
  <si>
    <t>Cécile</t>
  </si>
  <si>
    <t>22/11/</t>
  </si>
  <si>
    <t>Benjamine</t>
  </si>
  <si>
    <t>Clément</t>
  </si>
  <si>
    <t>23/11/</t>
  </si>
  <si>
    <t>Benny</t>
  </si>
  <si>
    <t>Flora</t>
  </si>
  <si>
    <t>24/11/</t>
  </si>
  <si>
    <t>Catherine</t>
  </si>
  <si>
    <t>25/11/</t>
  </si>
  <si>
    <t>Valéry</t>
  </si>
  <si>
    <t>Delphine</t>
  </si>
  <si>
    <t>26/11/</t>
  </si>
  <si>
    <t>Sandie</t>
  </si>
  <si>
    <t>Séverin</t>
  </si>
  <si>
    <t>27/11/</t>
  </si>
  <si>
    <t>Sandra</t>
  </si>
  <si>
    <t>Jacques de la Marche</t>
  </si>
  <si>
    <t>Jacq. de la M.</t>
  </si>
  <si>
    <t>28/11/</t>
  </si>
  <si>
    <t>Saturnin</t>
  </si>
  <si>
    <t>29/11/</t>
  </si>
  <si>
    <t>Sandy</t>
  </si>
  <si>
    <t>André</t>
  </si>
  <si>
    <t>30/11/</t>
  </si>
  <si>
    <t>Dick</t>
  </si>
  <si>
    <t>Florence</t>
  </si>
  <si>
    <t>01/12/</t>
  </si>
  <si>
    <t>Irina</t>
  </si>
  <si>
    <t>Viviane</t>
  </si>
  <si>
    <t>02/12/</t>
  </si>
  <si>
    <t>Marie-France</t>
  </si>
  <si>
    <t>Xavier</t>
  </si>
  <si>
    <t>03/12/</t>
  </si>
  <si>
    <t>Ricardo</t>
  </si>
  <si>
    <t>Barbara</t>
  </si>
  <si>
    <t>04/12/</t>
  </si>
  <si>
    <t>Riccardo</t>
  </si>
  <si>
    <t>Gérald</t>
  </si>
  <si>
    <t>05/12/</t>
  </si>
  <si>
    <t>Nicolas</t>
  </si>
  <si>
    <t>06/12/</t>
  </si>
  <si>
    <t>Alèthe</t>
  </si>
  <si>
    <t>Ambroise</t>
  </si>
  <si>
    <t>07/12/</t>
  </si>
  <si>
    <t>Alette</t>
  </si>
  <si>
    <t>Conception</t>
  </si>
  <si>
    <t>08/12/</t>
  </si>
  <si>
    <t>Isidor</t>
  </si>
  <si>
    <t>Pierre Fourier</t>
  </si>
  <si>
    <t>P. Fourier</t>
  </si>
  <si>
    <t>09/12/</t>
  </si>
  <si>
    <t>Romaric</t>
  </si>
  <si>
    <t>10/12/</t>
  </si>
  <si>
    <t>Maya</t>
  </si>
  <si>
    <t>Daniel</t>
  </si>
  <si>
    <t>11/12/</t>
  </si>
  <si>
    <t>Odin</t>
  </si>
  <si>
    <t>Chantal</t>
  </si>
  <si>
    <t>12/12/</t>
  </si>
  <si>
    <t xml:space="preserve">Lucie </t>
  </si>
  <si>
    <t>13/12/</t>
  </si>
  <si>
    <t>Odile</t>
  </si>
  <si>
    <t>14/12/</t>
  </si>
  <si>
    <t>J.B. de la S.</t>
  </si>
  <si>
    <t>Ninon</t>
  </si>
  <si>
    <t>15/12/</t>
  </si>
  <si>
    <t>Constance</t>
  </si>
  <si>
    <t>Alice</t>
  </si>
  <si>
    <t>16/12/</t>
  </si>
  <si>
    <t>Gaël</t>
  </si>
  <si>
    <t>17/12/</t>
  </si>
  <si>
    <t>Gatien</t>
  </si>
  <si>
    <t>18/12/</t>
  </si>
  <si>
    <t>Gautier</t>
  </si>
  <si>
    <t>Urbain</t>
  </si>
  <si>
    <t>19/12/</t>
  </si>
  <si>
    <t>Walter</t>
  </si>
  <si>
    <t>Abraham</t>
  </si>
  <si>
    <t>20/12/</t>
  </si>
  <si>
    <t>Pierre Can.</t>
  </si>
  <si>
    <t>21/12/</t>
  </si>
  <si>
    <t>Fulberte</t>
  </si>
  <si>
    <t>Xavière</t>
  </si>
  <si>
    <t>22/12/</t>
  </si>
  <si>
    <t>Stan</t>
  </si>
  <si>
    <t>Armand</t>
  </si>
  <si>
    <t>23/12/</t>
  </si>
  <si>
    <t>Adèle</t>
  </si>
  <si>
    <t>24/12/</t>
  </si>
  <si>
    <t>25/12/</t>
  </si>
  <si>
    <t>Julio</t>
  </si>
  <si>
    <t>Etienne</t>
  </si>
  <si>
    <t>26/12/</t>
  </si>
  <si>
    <t>Zéno</t>
  </si>
  <si>
    <t>Jean</t>
  </si>
  <si>
    <t>27/12/</t>
  </si>
  <si>
    <t>Innocent</t>
  </si>
  <si>
    <t>28/12/</t>
  </si>
  <si>
    <t>Lidwine</t>
  </si>
  <si>
    <t>David</t>
  </si>
  <si>
    <t>29/12/</t>
  </si>
  <si>
    <t>Pierre</t>
  </si>
  <si>
    <t>Roger</t>
  </si>
  <si>
    <t>30/12/</t>
  </si>
  <si>
    <t>Benoît-Joseph</t>
  </si>
  <si>
    <t>Sylvestre</t>
  </si>
  <si>
    <t>31/12/</t>
  </si>
  <si>
    <t>Greta</t>
  </si>
  <si>
    <t>Werner</t>
  </si>
  <si>
    <t>Giraud</t>
  </si>
  <si>
    <t>Hildegonde</t>
  </si>
  <si>
    <t>Selma</t>
  </si>
  <si>
    <t>Alexandra</t>
  </si>
  <si>
    <t>George</t>
  </si>
  <si>
    <t>Georgette</t>
  </si>
  <si>
    <t>Georgia</t>
  </si>
  <si>
    <t>Georgiane</t>
  </si>
  <si>
    <t>Georgina</t>
  </si>
  <si>
    <t>Georgine</t>
  </si>
  <si>
    <t>Jordi</t>
  </si>
  <si>
    <t>Youri</t>
  </si>
  <si>
    <t>Fidel</t>
  </si>
  <si>
    <t>Fortunat</t>
  </si>
  <si>
    <t>Mark</t>
  </si>
  <si>
    <t>Markus</t>
  </si>
  <si>
    <t>Alda</t>
  </si>
  <si>
    <t>Clet</t>
  </si>
  <si>
    <t>Louis-Marie</t>
  </si>
  <si>
    <t>Ava</t>
  </si>
  <si>
    <t>Cathy</t>
  </si>
  <si>
    <t>Hughes</t>
  </si>
  <si>
    <t>Hugo</t>
  </si>
  <si>
    <t>Kate</t>
  </si>
  <si>
    <t>Katerine</t>
  </si>
  <si>
    <t>Katherine</t>
  </si>
  <si>
    <t>Kathleen</t>
  </si>
  <si>
    <t>Kathryn</t>
  </si>
  <si>
    <t>Katrina</t>
  </si>
  <si>
    <t>Katrine</t>
  </si>
  <si>
    <t>Archibald</t>
  </si>
  <si>
    <t>Marien</t>
  </si>
  <si>
    <t>Roberte</t>
  </si>
  <si>
    <t>Roparz</t>
  </si>
  <si>
    <t>Rosemonde</t>
  </si>
  <si>
    <t>Brieuc</t>
  </si>
  <si>
    <t>Jérémi</t>
  </si>
  <si>
    <t>Jérémie</t>
  </si>
  <si>
    <t>Jeremy</t>
  </si>
  <si>
    <t>Muguette</t>
  </si>
  <si>
    <t>Siegmund</t>
  </si>
  <si>
    <t>Sigismond</t>
  </si>
  <si>
    <t>Tamara</t>
  </si>
  <si>
    <t>Antonin</t>
  </si>
  <si>
    <t>Athanase</t>
  </si>
  <si>
    <t>Borice</t>
  </si>
  <si>
    <t>Flamine</t>
  </si>
  <si>
    <t>Gaubert</t>
  </si>
  <si>
    <t>Zoé</t>
  </si>
  <si>
    <t>Alessandro</t>
  </si>
  <si>
    <t>Alex</t>
  </si>
  <si>
    <t>Alexander</t>
  </si>
  <si>
    <t>Filip</t>
  </si>
  <si>
    <t>Filipe</t>
  </si>
  <si>
    <t>Filippo</t>
  </si>
  <si>
    <t>Juvénal</t>
  </si>
  <si>
    <t>Phil. Jacq.</t>
  </si>
  <si>
    <t>Philip</t>
  </si>
  <si>
    <t>Philipp</t>
  </si>
  <si>
    <t>Philippa</t>
  </si>
  <si>
    <t>Phillip</t>
  </si>
  <si>
    <t>Phillipe</t>
  </si>
  <si>
    <t>Florian</t>
  </si>
  <si>
    <t>Sylvaine</t>
  </si>
  <si>
    <t>Ange</t>
  </si>
  <si>
    <t>Caline</t>
  </si>
  <si>
    <t>Domitille</t>
  </si>
  <si>
    <t>Flavie</t>
  </si>
  <si>
    <t>Désirée</t>
  </si>
  <si>
    <t>Dunvel</t>
  </si>
  <si>
    <t>Jeannine</t>
  </si>
  <si>
    <t>Jenny</t>
  </si>
  <si>
    <t>Juanita</t>
  </si>
  <si>
    <t>Isaïe</t>
  </si>
  <si>
    <t>Pacôme</t>
  </si>
  <si>
    <t>Tudi</t>
  </si>
  <si>
    <t>Simona</t>
  </si>
  <si>
    <t>Simone</t>
  </si>
  <si>
    <t>Étoile</t>
  </si>
  <si>
    <t>Mayeul</t>
  </si>
  <si>
    <t>Stella</t>
  </si>
  <si>
    <t>Waldemar</t>
  </si>
  <si>
    <t>Imelda</t>
  </si>
  <si>
    <t>Maël</t>
  </si>
  <si>
    <t>Maëla</t>
  </si>
  <si>
    <t>Maële</t>
  </si>
  <si>
    <t>Maëlle</t>
  </si>
  <si>
    <t>Matthias</t>
  </si>
  <si>
    <t>Primaël</t>
  </si>
  <si>
    <t>Victorin</t>
  </si>
  <si>
    <t>Weena</t>
  </si>
  <si>
    <t>Pascale</t>
  </si>
  <si>
    <t>Pascaline</t>
  </si>
  <si>
    <t>Pascalle</t>
  </si>
  <si>
    <t>Cora</t>
  </si>
  <si>
    <t>Coralie</t>
  </si>
  <si>
    <t>Corinna</t>
  </si>
  <si>
    <t>Corinne</t>
  </si>
  <si>
    <t>Éric</t>
  </si>
  <si>
    <t>Érica</t>
  </si>
  <si>
    <t>Erich</t>
  </si>
  <si>
    <t>Erick</t>
  </si>
  <si>
    <t>Erik</t>
  </si>
  <si>
    <t>Erika</t>
  </si>
  <si>
    <t>Célestin</t>
  </si>
  <si>
    <t>Célestine</t>
  </si>
  <si>
    <t>Erwan</t>
  </si>
  <si>
    <t>Erwin</t>
  </si>
  <si>
    <t>Yvon</t>
  </si>
  <si>
    <t>Yvonne</t>
  </si>
  <si>
    <t>Roxane</t>
  </si>
  <si>
    <t>Roxanne</t>
  </si>
  <si>
    <t>Émile</t>
  </si>
  <si>
    <t>Emilio</t>
  </si>
  <si>
    <t>Julia</t>
  </si>
  <si>
    <t>Miloud</t>
  </si>
  <si>
    <t>Quitterie</t>
  </si>
  <si>
    <t>Rita</t>
  </si>
  <si>
    <t>Amaël</t>
  </si>
  <si>
    <t>Rogatien</t>
  </si>
  <si>
    <t>Sofia</t>
  </si>
  <si>
    <t>Sophia</t>
  </si>
  <si>
    <t>Béranger</t>
  </si>
  <si>
    <t>Bérengère</t>
  </si>
  <si>
    <t>Hildevert</t>
  </si>
  <si>
    <t>Adhémar</t>
  </si>
  <si>
    <t>Aymard</t>
  </si>
  <si>
    <t>Maximin</t>
  </si>
  <si>
    <t>Janin</t>
  </si>
  <si>
    <t>Janine</t>
  </si>
  <si>
    <t>Janne</t>
  </si>
  <si>
    <t>Jeanine</t>
  </si>
  <si>
    <t>Jeanne</t>
  </si>
  <si>
    <t>Johanna</t>
  </si>
  <si>
    <t>Johanne</t>
  </si>
  <si>
    <t>Loraine</t>
  </si>
  <si>
    <t>Pernelle</t>
  </si>
  <si>
    <t>Perrette</t>
  </si>
  <si>
    <t>Perrine</t>
  </si>
  <si>
    <t>Pétronille</t>
  </si>
  <si>
    <t>Visitation</t>
  </si>
  <si>
    <t>Ronan</t>
  </si>
  <si>
    <t>Clotilde</t>
  </si>
  <si>
    <t>Boniface</t>
  </si>
  <si>
    <t>Claudette</t>
  </si>
  <si>
    <t>Claudia</t>
  </si>
  <si>
    <t>Claudie</t>
  </si>
  <si>
    <t>Claudine</t>
  </si>
  <si>
    <t>Claudio</t>
  </si>
  <si>
    <t>Claudius</t>
  </si>
  <si>
    <t>Maïté</t>
  </si>
  <si>
    <t>Marie-Thérèse</t>
  </si>
  <si>
    <t>Mériadec</t>
  </si>
  <si>
    <t>Armande</t>
  </si>
  <si>
    <t>Armando</t>
  </si>
  <si>
    <t>Médéric</t>
  </si>
  <si>
    <t>Prune</t>
  </si>
  <si>
    <t>Diana</t>
  </si>
  <si>
    <t>Éphrem</t>
  </si>
  <si>
    <t>Félicien</t>
  </si>
  <si>
    <t>Gloria</t>
  </si>
  <si>
    <t>Yolande</t>
  </si>
  <si>
    <t>Candice</t>
  </si>
  <si>
    <t>Élisée</t>
  </si>
  <si>
    <t>Ruffin</t>
  </si>
  <si>
    <t>Rufin</t>
  </si>
  <si>
    <t>Valère</t>
  </si>
  <si>
    <t>Aleyde</t>
  </si>
  <si>
    <t>Argan</t>
  </si>
  <si>
    <t>Aurélien</t>
  </si>
  <si>
    <t>Ferréol</t>
  </si>
  <si>
    <t>J.F. Régis</t>
  </si>
  <si>
    <t>Lutgarde</t>
  </si>
  <si>
    <t>Régis</t>
  </si>
  <si>
    <t>Rainer</t>
  </si>
  <si>
    <t>Rainier</t>
  </si>
  <si>
    <t>Cassandra</t>
  </si>
  <si>
    <t>Cassandre</t>
  </si>
  <si>
    <t>Gervais</t>
  </si>
  <si>
    <t>Gervaise</t>
  </si>
  <si>
    <t>Micheline</t>
  </si>
  <si>
    <t>Aloïs</t>
  </si>
  <si>
    <t>Aloïse</t>
  </si>
  <si>
    <t>Gina</t>
  </si>
  <si>
    <t>Gino</t>
  </si>
  <si>
    <t>Loïs</t>
  </si>
  <si>
    <t>Ralf</t>
  </si>
  <si>
    <t>Ralph</t>
  </si>
  <si>
    <t>Rodolfo</t>
  </si>
  <si>
    <t>Rodolph</t>
  </si>
  <si>
    <t>Rodolphe</t>
  </si>
  <si>
    <t>Rudi</t>
  </si>
  <si>
    <t>Rudolf</t>
  </si>
  <si>
    <t>Rudy</t>
  </si>
  <si>
    <t>Albane</t>
  </si>
  <si>
    <t>Albanie</t>
  </si>
  <si>
    <t>Albanne</t>
  </si>
  <si>
    <t>Albannie</t>
  </si>
  <si>
    <t>Albe</t>
  </si>
  <si>
    <t>Aubaine</t>
  </si>
  <si>
    <t>Auban</t>
  </si>
  <si>
    <t>Baptiste</t>
  </si>
  <si>
    <t>Hans</t>
  </si>
  <si>
    <t>Ivan</t>
  </si>
  <si>
    <t>Joan</t>
  </si>
  <si>
    <t>Joannie</t>
  </si>
  <si>
    <t>Joanny</t>
  </si>
  <si>
    <t>Yann</t>
  </si>
  <si>
    <t>Yannick</t>
  </si>
  <si>
    <t>Yoann</t>
  </si>
  <si>
    <t>Yvan</t>
  </si>
  <si>
    <t>Aliénor</t>
  </si>
  <si>
    <t>Éléonore</t>
  </si>
  <si>
    <t>Lore</t>
  </si>
  <si>
    <t>Nora</t>
  </si>
  <si>
    <t>Prosper</t>
  </si>
  <si>
    <t>Salomon</t>
  </si>
  <si>
    <t>Olympe</t>
  </si>
  <si>
    <t>Fernande</t>
  </si>
  <si>
    <t>Esmeralda</t>
  </si>
  <si>
    <t>Esméralda</t>
  </si>
  <si>
    <t>Judy</t>
  </si>
  <si>
    <t>Pablo</t>
  </si>
  <si>
    <t>Peter</t>
  </si>
  <si>
    <t>Peters</t>
  </si>
  <si>
    <t>Petr</t>
  </si>
  <si>
    <t>Petra</t>
  </si>
  <si>
    <t>Pierrette</t>
  </si>
  <si>
    <t>Pierrick</t>
  </si>
  <si>
    <t>Pierrot</t>
  </si>
  <si>
    <t>Pietro</t>
  </si>
  <si>
    <t>Adolphe</t>
  </si>
  <si>
    <t>Aaron</t>
  </si>
  <si>
    <t>Dietrich</t>
  </si>
  <si>
    <t>Dirck</t>
  </si>
  <si>
    <t>Dirk</t>
  </si>
  <si>
    <t>Élyse</t>
  </si>
  <si>
    <t>Esther</t>
  </si>
  <si>
    <t>Goulven</t>
  </si>
  <si>
    <t>Servan</t>
  </si>
  <si>
    <t>Servane</t>
  </si>
  <si>
    <t>Thiery</t>
  </si>
  <si>
    <t>Anatole</t>
  </si>
  <si>
    <t>Tom</t>
  </si>
  <si>
    <t>Berthe</t>
  </si>
  <si>
    <t>Lilian</t>
  </si>
  <si>
    <t>Liliane</t>
  </si>
  <si>
    <t>Lillianne</t>
  </si>
  <si>
    <t>Toni</t>
  </si>
  <si>
    <t>Tonio</t>
  </si>
  <si>
    <t>Tony</t>
  </si>
  <si>
    <t>Godeliève</t>
  </si>
  <si>
    <t>Macrine</t>
  </si>
  <si>
    <t>Marietta</t>
  </si>
  <si>
    <t>Nolwenn</t>
  </si>
  <si>
    <t>Aubierge</t>
  </si>
  <si>
    <t>Edgar</t>
  </si>
  <si>
    <t>Edgard</t>
  </si>
  <si>
    <t>Thibaud</t>
  </si>
  <si>
    <t>Thibault</t>
  </si>
  <si>
    <t>Thiébaud</t>
  </si>
  <si>
    <t>Thor</t>
  </si>
  <si>
    <t>Blanca</t>
  </si>
  <si>
    <t>Hermine</t>
  </si>
  <si>
    <t>Irma</t>
  </si>
  <si>
    <t>Mariana</t>
  </si>
  <si>
    <t>Mariane</t>
  </si>
  <si>
    <t>Marianne</t>
  </si>
  <si>
    <t>Ulric</t>
  </si>
  <si>
    <t>Benoist</t>
  </si>
  <si>
    <t>Benoîte</t>
  </si>
  <si>
    <t>Olga</t>
  </si>
  <si>
    <t>Oliver</t>
  </si>
  <si>
    <t>Clélia</t>
  </si>
  <si>
    <t>Enrique</t>
  </si>
  <si>
    <t>Eugène</t>
  </si>
  <si>
    <t>Harry</t>
  </si>
  <si>
    <t>Heinrich</t>
  </si>
  <si>
    <t>Henriette</t>
  </si>
  <si>
    <t>Henrik</t>
  </si>
  <si>
    <t>Henry</t>
  </si>
  <si>
    <t>Joël</t>
  </si>
  <si>
    <t>Joëlle</t>
  </si>
  <si>
    <t>Mildred</t>
  </si>
  <si>
    <t>Bonaventure</t>
  </si>
  <si>
    <t>Don</t>
  </si>
  <si>
    <t>Vlad</t>
  </si>
  <si>
    <t>Vladimir</t>
  </si>
  <si>
    <t>Wladimir</t>
  </si>
  <si>
    <t>Carmen</t>
  </si>
  <si>
    <t>Elvire</t>
  </si>
  <si>
    <t>ND Mt Carmel</t>
  </si>
  <si>
    <t>Arlette</t>
  </si>
  <si>
    <t>Carole</t>
  </si>
  <si>
    <t>Caroline</t>
  </si>
  <si>
    <t>Charline</t>
  </si>
  <si>
    <t>Marcelline</t>
  </si>
  <si>
    <t>Arnould</t>
  </si>
  <si>
    <t>Émilien</t>
  </si>
  <si>
    <t>Freddy</t>
  </si>
  <si>
    <t>Frédérick</t>
  </si>
  <si>
    <t>Frédérik</t>
  </si>
  <si>
    <t>Frédérike</t>
  </si>
  <si>
    <t>Frédérique</t>
  </si>
  <si>
    <t>Frida</t>
  </si>
  <si>
    <t>Éliane</t>
  </si>
  <si>
    <t>Élie</t>
  </si>
  <si>
    <t>Éliette</t>
  </si>
  <si>
    <t>Hélyette</t>
  </si>
  <si>
    <t>Marine</t>
  </si>
  <si>
    <t>Marinette</t>
  </si>
  <si>
    <t>Marjorie</t>
  </si>
  <si>
    <t>Domnin</t>
  </si>
  <si>
    <t>Maddy</t>
  </si>
  <si>
    <t>Madeleine</t>
  </si>
  <si>
    <t>Magali</t>
  </si>
  <si>
    <t>Magaly</t>
  </si>
  <si>
    <t>Maggy</t>
  </si>
  <si>
    <t>Marie-Madeleine</t>
  </si>
  <si>
    <t>Appoline</t>
  </si>
  <si>
    <t>Appolos</t>
  </si>
  <si>
    <t>Christel</t>
  </si>
  <si>
    <t>Christelle</t>
  </si>
  <si>
    <t>Christina</t>
  </si>
  <si>
    <t>John</t>
  </si>
  <si>
    <t>Johnny</t>
  </si>
  <si>
    <t>Ségolène</t>
  </si>
  <si>
    <t>Christopher</t>
  </si>
  <si>
    <t>Jack</t>
  </si>
  <si>
    <t>Jacques</t>
  </si>
  <si>
    <t>Jacquine</t>
  </si>
  <si>
    <t>Jacquot</t>
  </si>
  <si>
    <t>Jake</t>
  </si>
  <si>
    <t>Jakob</t>
  </si>
  <si>
    <t>James</t>
  </si>
  <si>
    <t>Jim</t>
  </si>
  <si>
    <t>Jimmy</t>
  </si>
  <si>
    <t>Kristopher</t>
  </si>
  <si>
    <t>Valentine</t>
  </si>
  <si>
    <t>Ana</t>
  </si>
  <si>
    <t>Anaël</t>
  </si>
  <si>
    <t>Anaële</t>
  </si>
  <si>
    <t>Anaelle</t>
  </si>
  <si>
    <t>Anaëlle</t>
  </si>
  <si>
    <t>Anaïs</t>
  </si>
  <si>
    <t>Anick</t>
  </si>
  <si>
    <t>Anita</t>
  </si>
  <si>
    <t>Anna</t>
  </si>
  <si>
    <t>Annabel</t>
  </si>
  <si>
    <t>Annabella</t>
  </si>
  <si>
    <t>Annabelle</t>
  </si>
  <si>
    <t>Annaëlle</t>
  </si>
  <si>
    <t>Annick</t>
  </si>
  <si>
    <t>Annie</t>
  </si>
  <si>
    <t>Annik</t>
  </si>
  <si>
    <t>Annique</t>
  </si>
  <si>
    <t>Anny</t>
  </si>
  <si>
    <t>Anouchka</t>
  </si>
  <si>
    <t>Anouck</t>
  </si>
  <si>
    <t>Anouk</t>
  </si>
  <si>
    <t>Joachim</t>
  </si>
  <si>
    <t>Joris</t>
  </si>
  <si>
    <t>Nancy</t>
  </si>
  <si>
    <t>Viktor</t>
  </si>
  <si>
    <t>Cristina</t>
  </si>
  <si>
    <t>Kristina</t>
  </si>
  <si>
    <t>Béatrix</t>
  </si>
  <si>
    <t>Gaud</t>
  </si>
  <si>
    <t>Loup</t>
  </si>
  <si>
    <t>Olaf</t>
  </si>
  <si>
    <t>Ignace de L.</t>
  </si>
  <si>
    <t>Ignacio</t>
  </si>
  <si>
    <t>Alfonso</t>
  </si>
  <si>
    <t>Alphonsine</t>
  </si>
  <si>
    <t>Arcadius</t>
  </si>
  <si>
    <t>Arcady</t>
  </si>
  <si>
    <t>Éléazar</t>
  </si>
  <si>
    <t>Espérance</t>
  </si>
  <si>
    <t>Eusèbe</t>
  </si>
  <si>
    <t>Julien</t>
  </si>
  <si>
    <t>Julien-Ey.</t>
  </si>
  <si>
    <t>Lydia</t>
  </si>
  <si>
    <t>Lydiane</t>
  </si>
  <si>
    <t>J.M. Vianney</t>
  </si>
  <si>
    <t>Jean-Marie</t>
  </si>
  <si>
    <t>Abélard</t>
  </si>
  <si>
    <t>Abélia</t>
  </si>
  <si>
    <t>Abella</t>
  </si>
  <si>
    <t>Oswald</t>
  </si>
  <si>
    <t>Marlène</t>
  </si>
  <si>
    <t>Gaëtan</t>
  </si>
  <si>
    <t>Gaétane</t>
  </si>
  <si>
    <t>Gaëtane</t>
  </si>
  <si>
    <t>Gaétanne</t>
  </si>
  <si>
    <t>Cyriaque</t>
  </si>
  <si>
    <t>Domenico</t>
  </si>
  <si>
    <t>Dominic</t>
  </si>
  <si>
    <t>Dominick</t>
  </si>
  <si>
    <t>Dominik</t>
  </si>
  <si>
    <t>Dieudonné</t>
  </si>
  <si>
    <t>Larry</t>
  </si>
  <si>
    <t>Laura</t>
  </si>
  <si>
    <t>Lauranne</t>
  </si>
  <si>
    <t>Laure</t>
  </si>
  <si>
    <t>Laurence</t>
  </si>
  <si>
    <t>Laurentine</t>
  </si>
  <si>
    <t>Laurette</t>
  </si>
  <si>
    <t>Laurie</t>
  </si>
  <si>
    <t>Clara</t>
  </si>
  <si>
    <t>Géry</t>
  </si>
  <si>
    <t>Gilberte</t>
  </si>
  <si>
    <t>Susan</t>
  </si>
  <si>
    <t>Susanne</t>
  </si>
  <si>
    <t>Suzane</t>
  </si>
  <si>
    <t>Suzanna</t>
  </si>
  <si>
    <t>Suzanne</t>
  </si>
  <si>
    <t>Suzel</t>
  </si>
  <si>
    <t>Suzette</t>
  </si>
  <si>
    <t>Suzon</t>
  </si>
  <si>
    <t>Suzy</t>
  </si>
  <si>
    <t>Cassien</t>
  </si>
  <si>
    <t>Hyppolite</t>
  </si>
  <si>
    <t>Maxim</t>
  </si>
  <si>
    <t>Radegonde</t>
  </si>
  <si>
    <t>Samantha</t>
  </si>
  <si>
    <t>Arnold</t>
  </si>
  <si>
    <t>Évrard</t>
  </si>
  <si>
    <t>Alfred</t>
  </si>
  <si>
    <t>Anne-Marie</t>
  </si>
  <si>
    <t>Manon</t>
  </si>
  <si>
    <t>Mariam</t>
  </si>
  <si>
    <t>Marie-Laure</t>
  </si>
  <si>
    <t>Marielle</t>
  </si>
  <si>
    <t>Marilyn</t>
  </si>
  <si>
    <t>Marion</t>
  </si>
  <si>
    <t>Marjolaine</t>
  </si>
  <si>
    <t>Marylin</t>
  </si>
  <si>
    <t>Maryline</t>
  </si>
  <si>
    <t>Marylise</t>
  </si>
  <si>
    <t>Maryse</t>
  </si>
  <si>
    <t>Maryvonne</t>
  </si>
  <si>
    <t>Mercédès</t>
  </si>
  <si>
    <t>Mireille</t>
  </si>
  <si>
    <t>Miriam</t>
  </si>
  <si>
    <t>Muriel</t>
  </si>
  <si>
    <t>Murielle</t>
  </si>
  <si>
    <t>Myriam</t>
  </si>
  <si>
    <t>Armel</t>
  </si>
  <si>
    <t>Armele</t>
  </si>
  <si>
    <t>Roch</t>
  </si>
  <si>
    <t>Élen</t>
  </si>
  <si>
    <t>Éline</t>
  </si>
  <si>
    <t>Helen</t>
  </si>
  <si>
    <t>Héléna</t>
  </si>
  <si>
    <t>Laetitia</t>
  </si>
  <si>
    <t>Laétitia</t>
  </si>
  <si>
    <t>Léna</t>
  </si>
  <si>
    <t>Lénaïc</t>
  </si>
  <si>
    <t>Milène</t>
  </si>
  <si>
    <t>Nelly</t>
  </si>
  <si>
    <t>Eudes</t>
  </si>
  <si>
    <t>Jean Eudes</t>
  </si>
  <si>
    <t>Bernhard</t>
  </si>
  <si>
    <t>Philibert</t>
  </si>
  <si>
    <t>Philiberte</t>
  </si>
  <si>
    <t>Sam</t>
  </si>
  <si>
    <t>Sammy</t>
  </si>
  <si>
    <t>Samuel</t>
  </si>
  <si>
    <t>Samy</t>
  </si>
  <si>
    <t>Ahmed</t>
  </si>
  <si>
    <t>Grâce</t>
  </si>
  <si>
    <t>Gracieuse</t>
  </si>
  <si>
    <t>Noémie</t>
  </si>
  <si>
    <t>Ombeline</t>
  </si>
  <si>
    <t>Privat</t>
  </si>
  <si>
    <t>Fabrizio</t>
  </si>
  <si>
    <t>Siegfried</t>
  </si>
  <si>
    <t>Symphorien</t>
  </si>
  <si>
    <t>Églantine</t>
  </si>
  <si>
    <t>Rosa</t>
  </si>
  <si>
    <t>Rose de L.</t>
  </si>
  <si>
    <t>Rosette</t>
  </si>
  <si>
    <t>Rosita</t>
  </si>
  <si>
    <t>Rosy</t>
  </si>
  <si>
    <t>Rozenn</t>
  </si>
  <si>
    <t>Barthélemy</t>
  </si>
  <si>
    <t>Bartholomé</t>
  </si>
  <si>
    <t>Bartolomé</t>
  </si>
  <si>
    <t>Emily</t>
  </si>
  <si>
    <t>Nathan</t>
  </si>
  <si>
    <t>Nathanaëlle</t>
  </si>
  <si>
    <t>Clovis</t>
  </si>
  <si>
    <t>Loïc</t>
  </si>
  <si>
    <t>Ludivine</t>
  </si>
  <si>
    <t>Ludovic</t>
  </si>
  <si>
    <t>Ludwig</t>
  </si>
  <si>
    <t>Luigi</t>
  </si>
  <si>
    <t>Luis</t>
  </si>
  <si>
    <t>Luiz</t>
  </si>
  <si>
    <t>Marcien</t>
  </si>
  <si>
    <t>Césaire</t>
  </si>
  <si>
    <t>César</t>
  </si>
  <si>
    <t>Monica</t>
  </si>
  <si>
    <t>Monika</t>
  </si>
  <si>
    <t>Augustine</t>
  </si>
  <si>
    <t>Hermance</t>
  </si>
  <si>
    <t>Hermès</t>
  </si>
  <si>
    <t>Linda</t>
  </si>
  <si>
    <t>Sabrina</t>
  </si>
  <si>
    <t>Sabryna</t>
  </si>
  <si>
    <t>Sacha</t>
  </si>
  <si>
    <t>Giles</t>
  </si>
  <si>
    <t>Josué</t>
  </si>
  <si>
    <t>Graig</t>
  </si>
  <si>
    <t>Greg</t>
  </si>
  <si>
    <t>Gregor</t>
  </si>
  <si>
    <t>Grégori</t>
  </si>
  <si>
    <t>Grégory</t>
  </si>
  <si>
    <t>Iris</t>
  </si>
  <si>
    <t>Marin</t>
  </si>
  <si>
    <t>Moïse</t>
  </si>
  <si>
    <t>Moshé</t>
  </si>
  <si>
    <t>Raissa</t>
  </si>
  <si>
    <t>Donatienne</t>
  </si>
  <si>
    <t>Eva</t>
  </si>
  <si>
    <t>Éva</t>
  </si>
  <si>
    <t>Ève</t>
  </si>
  <si>
    <t>Évelyne</t>
  </si>
  <si>
    <t>Régina</t>
  </si>
  <si>
    <t>Régine</t>
  </si>
  <si>
    <t>Réjane</t>
  </si>
  <si>
    <t>Adrian</t>
  </si>
  <si>
    <t>Adriana</t>
  </si>
  <si>
    <t>Adriane</t>
  </si>
  <si>
    <t>Adrianna</t>
  </si>
  <si>
    <t>Adrianne</t>
  </si>
  <si>
    <t>Adrienne</t>
  </si>
  <si>
    <t>Nativité ND</t>
  </si>
  <si>
    <t>Alan</t>
  </si>
  <si>
    <t>Allan</t>
  </si>
  <si>
    <t>Allen</t>
  </si>
  <si>
    <t>Glenn</t>
  </si>
  <si>
    <t>Omer</t>
  </si>
  <si>
    <t>Aubert</t>
  </si>
  <si>
    <t>Daphne</t>
  </si>
  <si>
    <t>Daphné</t>
  </si>
  <si>
    <t>Daphnée</t>
  </si>
  <si>
    <t>Daphney</t>
  </si>
  <si>
    <t>Glen</t>
  </si>
  <si>
    <t>Vinciane</t>
  </si>
  <si>
    <t>Vincianne</t>
  </si>
  <si>
    <t>Amé</t>
  </si>
  <si>
    <t>Amy</t>
  </si>
  <si>
    <t>Alfredo</t>
  </si>
  <si>
    <t>Dolores</t>
  </si>
  <si>
    <t>Dolorès</t>
  </si>
  <si>
    <t>Lola</t>
  </si>
  <si>
    <t>Lolita</t>
  </si>
  <si>
    <t>Abondance</t>
  </si>
  <si>
    <t>Cyprien</t>
  </si>
  <si>
    <t>Édith</t>
  </si>
  <si>
    <t>Ludmilla</t>
  </si>
  <si>
    <t>Régnault</t>
  </si>
  <si>
    <t>Hildegarde</t>
  </si>
  <si>
    <t>Lambert</t>
  </si>
  <si>
    <t>Réginald</t>
  </si>
  <si>
    <t>Renald</t>
  </si>
  <si>
    <t>Rénald</t>
  </si>
  <si>
    <t>Renauld</t>
  </si>
  <si>
    <t>Renault</t>
  </si>
  <si>
    <t>Ronald</t>
  </si>
  <si>
    <t>Ariane</t>
  </si>
  <si>
    <t>Arianne</t>
  </si>
  <si>
    <t>Marie-Line</t>
  </si>
  <si>
    <t>Marilyne</t>
  </si>
  <si>
    <t>Nadia</t>
  </si>
  <si>
    <t>Nadja</t>
  </si>
  <si>
    <t>Sonia</t>
  </si>
  <si>
    <t>Vera</t>
  </si>
  <si>
    <t>Véra</t>
  </si>
  <si>
    <t>Amélie</t>
  </si>
  <si>
    <t>Amély</t>
  </si>
  <si>
    <t>Émilie</t>
  </si>
  <si>
    <t>Eustache</t>
  </si>
  <si>
    <t>Kim</t>
  </si>
  <si>
    <t>Déborah</t>
  </si>
  <si>
    <t>Mathew</t>
  </si>
  <si>
    <t>Mathieu</t>
  </si>
  <si>
    <t>Matt</t>
  </si>
  <si>
    <t>Matteo</t>
  </si>
  <si>
    <t>Matthew</t>
  </si>
  <si>
    <t>Mauricette</t>
  </si>
  <si>
    <t>Mauricio</t>
  </si>
  <si>
    <t>Maurizio</t>
  </si>
  <si>
    <t>Morvan</t>
  </si>
  <si>
    <t>Andoche</t>
  </si>
  <si>
    <t>Côme</t>
  </si>
  <si>
    <t>Vincent de P.</t>
  </si>
  <si>
    <t>Wenceslas</t>
  </si>
  <si>
    <t>Gaby</t>
  </si>
  <si>
    <t>Michaël</t>
  </si>
  <si>
    <t>Michal</t>
  </si>
  <si>
    <t>Michèle</t>
  </si>
  <si>
    <t>Michelle</t>
  </si>
  <si>
    <t>Mickaël</t>
  </si>
  <si>
    <t>Miguel</t>
  </si>
  <si>
    <t>Mikaël</t>
  </si>
  <si>
    <t>Mike</t>
  </si>
  <si>
    <t>Rafael</t>
  </si>
  <si>
    <t>Rafaelle</t>
  </si>
  <si>
    <t>Raphaël</t>
  </si>
  <si>
    <t>Raphaële</t>
  </si>
  <si>
    <t>Raphaëlle</t>
  </si>
  <si>
    <t>Géronima</t>
  </si>
  <si>
    <t>Ariel</t>
  </si>
  <si>
    <t>Ariele</t>
  </si>
  <si>
    <t>Arielle</t>
  </si>
  <si>
    <t>Eurielle</t>
  </si>
  <si>
    <t>Thérèse E.J.</t>
  </si>
  <si>
    <t>Uriel</t>
  </si>
  <si>
    <t>Urielle</t>
  </si>
  <si>
    <t>Blanche</t>
  </si>
  <si>
    <t>Candide</t>
  </si>
  <si>
    <t>Gerardo</t>
  </si>
  <si>
    <t>Aure</t>
  </si>
  <si>
    <t>Auriane</t>
  </si>
  <si>
    <t>Aurianne</t>
  </si>
  <si>
    <t>Bianca</t>
  </si>
  <si>
    <t>Fr. d'Assise</t>
  </si>
  <si>
    <t>France</t>
  </si>
  <si>
    <t>Francelin</t>
  </si>
  <si>
    <t>Franceline</t>
  </si>
  <si>
    <t>Francesco</t>
  </si>
  <si>
    <t>Francette</t>
  </si>
  <si>
    <t>Francine</t>
  </si>
  <si>
    <t>Francis</t>
  </si>
  <si>
    <t>Francisco</t>
  </si>
  <si>
    <t>Francisque</t>
  </si>
  <si>
    <t>Franck</t>
  </si>
  <si>
    <t>Frank</t>
  </si>
  <si>
    <t>Frankie</t>
  </si>
  <si>
    <t>Frantz</t>
  </si>
  <si>
    <t>Franz</t>
  </si>
  <si>
    <t>Oriane</t>
  </si>
  <si>
    <t>Orianne</t>
  </si>
  <si>
    <t>Bluette</t>
  </si>
  <si>
    <t>Capucine</t>
  </si>
  <si>
    <t>Cerise</t>
  </si>
  <si>
    <t>Dahlia</t>
  </si>
  <si>
    <t>Hortense</t>
  </si>
  <si>
    <t>Jasmine</t>
  </si>
  <si>
    <t>Myrtille</t>
  </si>
  <si>
    <t>Pâquerette</t>
  </si>
  <si>
    <t>Pervenche</t>
  </si>
  <si>
    <t>Placide</t>
  </si>
  <si>
    <t>Placie</t>
  </si>
  <si>
    <t>Violaine</t>
  </si>
  <si>
    <t>Violette</t>
  </si>
  <si>
    <t>Gustave</t>
  </si>
  <si>
    <t>Sergine</t>
  </si>
  <si>
    <t>Sergio</t>
  </si>
  <si>
    <t>Eduin</t>
  </si>
  <si>
    <t>Pélage</t>
  </si>
  <si>
    <t>Sibylle</t>
  </si>
  <si>
    <t>Dennis</t>
  </si>
  <si>
    <t>Denny</t>
  </si>
  <si>
    <t>Denys</t>
  </si>
  <si>
    <t>Sara</t>
  </si>
  <si>
    <t>Sarah</t>
  </si>
  <si>
    <t>Sibille</t>
  </si>
  <si>
    <t>Elric</t>
  </si>
  <si>
    <t>Ghislaine</t>
  </si>
  <si>
    <t>Soledad</t>
  </si>
  <si>
    <t>Fred</t>
  </si>
  <si>
    <t>Séraphin</t>
  </si>
  <si>
    <t>Séraphine</t>
  </si>
  <si>
    <t>Wilfrid</t>
  </si>
  <si>
    <t>Calliste</t>
  </si>
  <si>
    <t>Céleste</t>
  </si>
  <si>
    <t>Énora</t>
  </si>
  <si>
    <t>Gwendoline</t>
  </si>
  <si>
    <t>Aurèle</t>
  </si>
  <si>
    <t>Aurélia</t>
  </si>
  <si>
    <t>Térésa</t>
  </si>
  <si>
    <t>Gaëla</t>
  </si>
  <si>
    <t>Gaëlla</t>
  </si>
  <si>
    <t>Perlette</t>
  </si>
  <si>
    <t>Baudouin</t>
  </si>
  <si>
    <t>Solenne</t>
  </si>
  <si>
    <t>Soline</t>
  </si>
  <si>
    <t>Aimable</t>
  </si>
  <si>
    <t>Genn</t>
  </si>
  <si>
    <t>Guewen</t>
  </si>
  <si>
    <t>Gwenn</t>
  </si>
  <si>
    <t>Gwennaig</t>
  </si>
  <si>
    <t>Luca</t>
  </si>
  <si>
    <t>Lucas</t>
  </si>
  <si>
    <t>Morgan</t>
  </si>
  <si>
    <t>Morgane</t>
  </si>
  <si>
    <t>Renée</t>
  </si>
  <si>
    <t>Aline</t>
  </si>
  <si>
    <t>Line</t>
  </si>
  <si>
    <t>Ursula</t>
  </si>
  <si>
    <t>Ursule</t>
  </si>
  <si>
    <t>Élodie</t>
  </si>
  <si>
    <t>Salomé</t>
  </si>
  <si>
    <t>Magloire</t>
  </si>
  <si>
    <t>Daria</t>
  </si>
  <si>
    <t>Doria</t>
  </si>
  <si>
    <t>Enguerran</t>
  </si>
  <si>
    <t>Évariste</t>
  </si>
  <si>
    <t>Émeline</t>
  </si>
  <si>
    <t>Jude</t>
  </si>
  <si>
    <t>Mona</t>
  </si>
  <si>
    <t>Thaddée</t>
  </si>
  <si>
    <t>Heidi</t>
  </si>
  <si>
    <t>Wolfgang</t>
  </si>
  <si>
    <t>Drel</t>
  </si>
  <si>
    <t>Harald</t>
  </si>
  <si>
    <t>Harold</t>
  </si>
  <si>
    <t>Toussainte</t>
  </si>
  <si>
    <t>Gwenaël</t>
  </si>
  <si>
    <t>Gwénaël</t>
  </si>
  <si>
    <t>Gwenaëlle</t>
  </si>
  <si>
    <t>Gwennaëlle</t>
  </si>
  <si>
    <t>Huber</t>
  </si>
  <si>
    <t>Huberte</t>
  </si>
  <si>
    <t>Aymeric</t>
  </si>
  <si>
    <t>Carl</t>
  </si>
  <si>
    <t>Carlos</t>
  </si>
  <si>
    <t>Charlette</t>
  </si>
  <si>
    <t>Charley</t>
  </si>
  <si>
    <t>Charlie</t>
  </si>
  <si>
    <t>Charly</t>
  </si>
  <si>
    <t>Emeric</t>
  </si>
  <si>
    <t>Émeric</t>
  </si>
  <si>
    <t>Eméric</t>
  </si>
  <si>
    <t>Emerick</t>
  </si>
  <si>
    <t>Imré</t>
  </si>
  <si>
    <t>Jesse</t>
  </si>
  <si>
    <t>Jessica</t>
  </si>
  <si>
    <t>Jessie</t>
  </si>
  <si>
    <t>Jessika</t>
  </si>
  <si>
    <t>Jessy</t>
  </si>
  <si>
    <t>Jessyca</t>
  </si>
  <si>
    <t>Jessyka</t>
  </si>
  <si>
    <t>Vital</t>
  </si>
  <si>
    <t>Élisa</t>
  </si>
  <si>
    <t>Élise</t>
  </si>
  <si>
    <t>Elissa</t>
  </si>
  <si>
    <t>Élizabeth</t>
  </si>
  <si>
    <t>Silvia</t>
  </si>
  <si>
    <t>Sylvette</t>
  </si>
  <si>
    <t>Sylvia</t>
  </si>
  <si>
    <t>Sylviane</t>
  </si>
  <si>
    <t>Sylvianne</t>
  </si>
  <si>
    <t>Zac</t>
  </si>
  <si>
    <t>Zacharie</t>
  </si>
  <si>
    <t>Zachary</t>
  </si>
  <si>
    <t>Zack</t>
  </si>
  <si>
    <t>Berthille</t>
  </si>
  <si>
    <t>Bertil</t>
  </si>
  <si>
    <t>Léo</t>
  </si>
  <si>
    <t>Léonard</t>
  </si>
  <si>
    <t>Leonardo</t>
  </si>
  <si>
    <t>Winnoc</t>
  </si>
  <si>
    <t>Caren</t>
  </si>
  <si>
    <t>Ernest</t>
  </si>
  <si>
    <t>Ernestine</t>
  </si>
  <si>
    <t>Ernie</t>
  </si>
  <si>
    <t>Karelle</t>
  </si>
  <si>
    <t>Karen</t>
  </si>
  <si>
    <t>Karin</t>
  </si>
  <si>
    <t>Karina</t>
  </si>
  <si>
    <t>Karine</t>
  </si>
  <si>
    <t>Karren</t>
  </si>
  <si>
    <t>Clair</t>
  </si>
  <si>
    <t>Geoffrey</t>
  </si>
  <si>
    <t>Godefroy</t>
  </si>
  <si>
    <t>Dora</t>
  </si>
  <si>
    <t>Sybil</t>
  </si>
  <si>
    <t>Théo</t>
  </si>
  <si>
    <t>Léone</t>
  </si>
  <si>
    <t>Léonilde</t>
  </si>
  <si>
    <t>Léontine</t>
  </si>
  <si>
    <t>Lionel</t>
  </si>
  <si>
    <t>Lionnel</t>
  </si>
  <si>
    <t>Noé</t>
  </si>
  <si>
    <t>Vérane</t>
  </si>
  <si>
    <t>Christin</t>
  </si>
  <si>
    <t>Cristian</t>
  </si>
  <si>
    <t>Tristan</t>
  </si>
  <si>
    <t>Diégo</t>
  </si>
  <si>
    <t>Diègo</t>
  </si>
  <si>
    <t>Killian</t>
  </si>
  <si>
    <t>Sidonie</t>
  </si>
  <si>
    <t>Alberta</t>
  </si>
  <si>
    <t>Alberte</t>
  </si>
  <si>
    <t>Albertine</t>
  </si>
  <si>
    <t>Alberto</t>
  </si>
  <si>
    <t>Arthur</t>
  </si>
  <si>
    <t>Artur</t>
  </si>
  <si>
    <t>Arturo</t>
  </si>
  <si>
    <t>Léopold</t>
  </si>
  <si>
    <t>Léopoldine</t>
  </si>
  <si>
    <t>Malo</t>
  </si>
  <si>
    <t>Victoire</t>
  </si>
  <si>
    <t>Daisy</t>
  </si>
  <si>
    <t>Gertrude</t>
  </si>
  <si>
    <t>Margaret</t>
  </si>
  <si>
    <t>Margarita</t>
  </si>
  <si>
    <t>Margaux</t>
  </si>
  <si>
    <t>Margot</t>
  </si>
  <si>
    <t>Omar</t>
  </si>
  <si>
    <t>Otmar</t>
  </si>
  <si>
    <t>Babette</t>
  </si>
  <si>
    <t>Bettina</t>
  </si>
  <si>
    <t>Betty</t>
  </si>
  <si>
    <t>Élisabeth</t>
  </si>
  <si>
    <t>Elsa</t>
  </si>
  <si>
    <t>Elsy</t>
  </si>
  <si>
    <t>Hilda</t>
  </si>
  <si>
    <t>Leslie</t>
  </si>
  <si>
    <t>Lesly</t>
  </si>
  <si>
    <t>Lily</t>
  </si>
  <si>
    <t>Lisa</t>
  </si>
  <si>
    <t>Lisbeth</t>
  </si>
  <si>
    <t>Lise</t>
  </si>
  <si>
    <t>Lisette</t>
  </si>
  <si>
    <t>Liza</t>
  </si>
  <si>
    <t>Lizzie</t>
  </si>
  <si>
    <t>Edma</t>
  </si>
  <si>
    <t>Edmée</t>
  </si>
  <si>
    <t>Octave</t>
  </si>
  <si>
    <t>Octavie</t>
  </si>
  <si>
    <t>Prés. Marie</t>
  </si>
  <si>
    <t>Cécilia</t>
  </si>
  <si>
    <t>Célia</t>
  </si>
  <si>
    <t>Philémon</t>
  </si>
  <si>
    <t>Sheila</t>
  </si>
  <si>
    <t>Clémentine</t>
  </si>
  <si>
    <t>Félicia</t>
  </si>
  <si>
    <t>Félicie</t>
  </si>
  <si>
    <t>Rachilde</t>
  </si>
  <si>
    <t>Augusta</t>
  </si>
  <si>
    <t>Flore</t>
  </si>
  <si>
    <t>Cathel</t>
  </si>
  <si>
    <t>Katel</t>
  </si>
  <si>
    <t>Conrad</t>
  </si>
  <si>
    <t>Kurt</t>
  </si>
  <si>
    <t>Astrid</t>
  </si>
  <si>
    <t>Séverine</t>
  </si>
  <si>
    <t>Jacq. de M.</t>
  </si>
  <si>
    <t>Andréa</t>
  </si>
  <si>
    <t>Andréane</t>
  </si>
  <si>
    <t>Andréanne</t>
  </si>
  <si>
    <t>Andréas</t>
  </si>
  <si>
    <t>Andrée</t>
  </si>
  <si>
    <t>Andrée-Anne</t>
  </si>
  <si>
    <t>Andrei</t>
  </si>
  <si>
    <t>Andréi</t>
  </si>
  <si>
    <t>Andrés</t>
  </si>
  <si>
    <t>Andrew</t>
  </si>
  <si>
    <t>Andry</t>
  </si>
  <si>
    <t>Alar</t>
  </si>
  <si>
    <t>Alaric</t>
  </si>
  <si>
    <t>Alena</t>
  </si>
  <si>
    <t>Alrick</t>
  </si>
  <si>
    <t>Éloi</t>
  </si>
  <si>
    <t>Éloise</t>
  </si>
  <si>
    <t>Éloïse</t>
  </si>
  <si>
    <t>Nahum</t>
  </si>
  <si>
    <t>Natalie</t>
  </si>
  <si>
    <t>Tudal</t>
  </si>
  <si>
    <t>Tugdual</t>
  </si>
  <si>
    <t>Vivian</t>
  </si>
  <si>
    <t>Viviana</t>
  </si>
  <si>
    <t>Fran. Xavier</t>
  </si>
  <si>
    <t>François-Xavier</t>
  </si>
  <si>
    <t>Ada</t>
  </si>
  <si>
    <t>Adnette</t>
  </si>
  <si>
    <t>Barban</t>
  </si>
  <si>
    <t>Barbe</t>
  </si>
  <si>
    <t>Barberine</t>
  </si>
  <si>
    <t>Barbie</t>
  </si>
  <si>
    <t>Géraldine</t>
  </si>
  <si>
    <t>Colin</t>
  </si>
  <si>
    <t>Nicholas</t>
  </si>
  <si>
    <t>Nick</t>
  </si>
  <si>
    <t>Nickolas</t>
  </si>
  <si>
    <t>Nico</t>
  </si>
  <si>
    <t>Nicola</t>
  </si>
  <si>
    <t>Niko</t>
  </si>
  <si>
    <t>Nikola</t>
  </si>
  <si>
    <t>Nikolas</t>
  </si>
  <si>
    <t>Ambre</t>
  </si>
  <si>
    <t>Elfi</t>
  </si>
  <si>
    <t>Elfried</t>
  </si>
  <si>
    <t>Im. Concept.</t>
  </si>
  <si>
    <t>Daniela</t>
  </si>
  <si>
    <t>Danièle</t>
  </si>
  <si>
    <t>Danielle</t>
  </si>
  <si>
    <t>Danitza</t>
  </si>
  <si>
    <t>Danny</t>
  </si>
  <si>
    <t>Dany</t>
  </si>
  <si>
    <t>Chantale</t>
  </si>
  <si>
    <t>Corentin</t>
  </si>
  <si>
    <t>Jeanne FC</t>
  </si>
  <si>
    <t>Paquita</t>
  </si>
  <si>
    <t>Aurore</t>
  </si>
  <si>
    <t>Joceline</t>
  </si>
  <si>
    <t>Jocelyn</t>
  </si>
  <si>
    <t>Jocelyne</t>
  </si>
  <si>
    <t>Josse</t>
  </si>
  <si>
    <t>Josselin</t>
  </si>
  <si>
    <t>Josseline</t>
  </si>
  <si>
    <t>Luce</t>
  </si>
  <si>
    <t>Lucette</t>
  </si>
  <si>
    <t>Lucia</t>
  </si>
  <si>
    <t>Lucie</t>
  </si>
  <si>
    <t>Lucy</t>
  </si>
  <si>
    <t>Christiane</t>
  </si>
  <si>
    <t>Christianne</t>
  </si>
  <si>
    <t>Adélaïde</t>
  </si>
  <si>
    <t>Alizée</t>
  </si>
  <si>
    <t>Gaële</t>
  </si>
  <si>
    <t>Gaëlle</t>
  </si>
  <si>
    <t>Judicaël</t>
  </si>
  <si>
    <t>Tessa</t>
  </si>
  <si>
    <t>Briac</t>
  </si>
  <si>
    <t>Gratienne</t>
  </si>
  <si>
    <t>Robin</t>
  </si>
  <si>
    <t>Isaac</t>
  </si>
  <si>
    <t>Jacob</t>
  </si>
  <si>
    <t>Joy</t>
  </si>
  <si>
    <t>Théophile</t>
  </si>
  <si>
    <t>Zéphirin</t>
  </si>
  <si>
    <t>Zéphyrin</t>
  </si>
  <si>
    <t>Fra. Xavière</t>
  </si>
  <si>
    <t>Delphin</t>
  </si>
  <si>
    <t>Emanuel</t>
  </si>
  <si>
    <t>Emmanuel</t>
  </si>
  <si>
    <t>Emmanuèle</t>
  </si>
  <si>
    <t>Emmanuelle</t>
  </si>
  <si>
    <t>Manoël</t>
  </si>
  <si>
    <t>Manuel</t>
  </si>
  <si>
    <t>Nello</t>
  </si>
  <si>
    <t>Noëla</t>
  </si>
  <si>
    <t>Noëlle</t>
  </si>
  <si>
    <t>Esteban</t>
  </si>
  <si>
    <t>Étienne</t>
  </si>
  <si>
    <t>Fannie</t>
  </si>
  <si>
    <t>Fanny</t>
  </si>
  <si>
    <t>Stef</t>
  </si>
  <si>
    <t>Stefan</t>
  </si>
  <si>
    <t>Stéfan</t>
  </si>
  <si>
    <t>Stéphane</t>
  </si>
  <si>
    <t>Stéphanie</t>
  </si>
  <si>
    <t>Stéphanne</t>
  </si>
  <si>
    <t>Stéve</t>
  </si>
  <si>
    <t>Fabiola</t>
  </si>
  <si>
    <t>Jean Apôtre</t>
  </si>
  <si>
    <t>Jehan</t>
  </si>
  <si>
    <t>Gaspard</t>
  </si>
  <si>
    <t>Innocents</t>
  </si>
  <si>
    <t>Colombe</t>
  </si>
  <si>
    <t>Mélanie</t>
  </si>
  <si>
    <t>Melina</t>
  </si>
  <si>
    <t>An</t>
  </si>
  <si>
    <t>Date de Pâques</t>
  </si>
  <si>
    <t>J.ouvrables :</t>
  </si>
  <si>
    <t>J.ouvrés :</t>
  </si>
  <si>
    <t>Samedi :</t>
  </si>
  <si>
    <t>Dimanche :</t>
  </si>
  <si>
    <t>J.Fériés :</t>
  </si>
  <si>
    <t>Date</t>
  </si>
  <si>
    <t>lunes</t>
  </si>
  <si>
    <t></t>
  </si>
  <si>
    <t></t>
  </si>
  <si>
    <t></t>
  </si>
  <si>
    <t></t>
  </si>
  <si>
    <t>SI(NB.SI(Parametre!$C$27:$C$39;AS14)=0;"";INDEX(Parametre!$B$27:$B$39;EQUIV(AS14;Parametre!$C$27:$C$39;0)))&amp;""&amp;SI(NB.SI(Parametre!$I$45:$I$94;AS14)=0;"";INDEX(Parametre!$K$45:$K$94;EQUIV(AS14;Parametre!$I$45:$I$94;0)))</t>
  </si>
  <si>
    <t>SI(NB.SI(Parametre!$C$27:$C$39;BN27)=0;"";INDEX(Parametre!$B$27:$B$39;EQUIV(BN27;Parametre!$C$27:$C$39;0)))&amp;" "&amp;SI(NB.SI(Parametre!$I$45:$I$94;BN27)=0;"";INDEX(Parametre!$K$45:$K$94;EQUIV(BN27;Parametre!$I$45:$I$94;0)))</t>
  </si>
  <si>
    <t>lig vac</t>
  </si>
  <si>
    <t>lig Ann</t>
  </si>
  <si>
    <t>lig Sts</t>
  </si>
  <si>
    <r>
      <rPr>
        <sz val="11"/>
        <color rgb="FF91283B"/>
        <rFont val="Wingdings"/>
        <charset val="2"/>
      </rPr>
      <t>á</t>
    </r>
    <r>
      <rPr>
        <sz val="11"/>
        <color rgb="FF91283B"/>
        <rFont val="Calibri"/>
        <family val="2"/>
      </rPr>
      <t xml:space="preserve"> </t>
    </r>
    <r>
      <rPr>
        <i/>
        <sz val="11"/>
        <color rgb="FF91283B"/>
        <rFont val="Calibri"/>
        <family val="2"/>
      </rPr>
      <t>Choisir Mois</t>
    </r>
  </si>
</sst>
</file>

<file path=xl/styles.xml><?xml version="1.0" encoding="utf-8"?>
<styleSheet xmlns="http://schemas.openxmlformats.org/spreadsheetml/2006/main">
  <numFmts count="21">
    <numFmt numFmtId="44" formatCode="_-* #,##0.00\ &quot;€&quot;_-;\-* #,##0.00\ &quot;€&quot;_-;_-* &quot;-&quot;??\ &quot;€&quot;_-;_-@_-"/>
    <numFmt numFmtId="164" formatCode="0&quot; Jours&quot;\ "/>
    <numFmt numFmtId="165" formatCode="0&quot; h/j ouvrab&quot;\ "/>
    <numFmt numFmtId="166" formatCode="0&quot; h/j ouvres&quot;\ "/>
    <numFmt numFmtId="167" formatCode="ddd\ dd\ mmmm\ yyyy;@"/>
    <numFmt numFmtId="168" formatCode="0&quot; h&quot;\ "/>
    <numFmt numFmtId="169" formatCode="dddd\ d\ mmm\ yyyy"/>
    <numFmt numFmtId="170" formatCode="&quot;Année :&quot;\ 0"/>
    <numFmt numFmtId="171" formatCode="ddd\ d\ mmm\ yy;@"/>
    <numFmt numFmtId="172" formatCode="#.##0\.00"/>
    <numFmt numFmtId="173" formatCode="#\.00"/>
    <numFmt numFmtId="174" formatCode="\$#\.00"/>
    <numFmt numFmtId="175" formatCode="dd\ mmm\ yy"/>
    <numFmt numFmtId="176" formatCode="d\ mmmm"/>
    <numFmt numFmtId="177" formatCode="dd/mm"/>
    <numFmt numFmtId="178" formatCode="dddd\ d\ mmmm\ yyyy"/>
    <numFmt numFmtId="179" formatCode="ddd\ dd"/>
    <numFmt numFmtId="180" formatCode="&quot;S &quot;0"/>
    <numFmt numFmtId="181" formatCode="mmmm"/>
    <numFmt numFmtId="182" formatCode="d"/>
    <numFmt numFmtId="183" formatCode="00"/>
  </numFmts>
  <fonts count="76"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color theme="0"/>
      <name val="Calibri"/>
      <family val="2"/>
    </font>
    <font>
      <b/>
      <sz val="18"/>
      <color theme="0"/>
      <name val="Calibri"/>
      <family val="2"/>
    </font>
    <font>
      <b/>
      <i/>
      <sz val="10"/>
      <color theme="1"/>
      <name val="Calibri"/>
      <family val="2"/>
    </font>
    <font>
      <b/>
      <sz val="10"/>
      <color theme="0"/>
      <name val="Calibri"/>
      <family val="2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9"/>
      <name val="Geneva"/>
    </font>
    <font>
      <sz val="10"/>
      <name val="Calibri"/>
      <family val="2"/>
      <scheme val="minor"/>
    </font>
    <font>
      <i/>
      <sz val="10"/>
      <color theme="1"/>
      <name val="Calibri"/>
      <family val="2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u/>
      <sz val="8.8000000000000007"/>
      <color theme="10"/>
      <name val="Calibri"/>
      <family val="2"/>
    </font>
    <font>
      <u/>
      <sz val="10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</font>
    <font>
      <b/>
      <sz val="10"/>
      <name val="Calibri"/>
      <family val="2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sz val="9"/>
      <name val="Calibri"/>
      <family val="2"/>
      <scheme val="minor"/>
    </font>
    <font>
      <sz val="9"/>
      <color indexed="8"/>
      <name val="Calibri"/>
      <family val="2"/>
      <scheme val="minor"/>
    </font>
    <font>
      <sz val="11"/>
      <color rgb="FF0033CC"/>
      <name val="Calibri"/>
      <family val="2"/>
    </font>
    <font>
      <sz val="9"/>
      <color theme="1"/>
      <name val="Calibri"/>
      <family val="2"/>
    </font>
    <font>
      <sz val="11"/>
      <color rgb="FFA82E45"/>
      <name val="Calibri"/>
      <family val="2"/>
    </font>
    <font>
      <b/>
      <sz val="12"/>
      <color rgb="FF902A32"/>
      <name val="Arial"/>
      <family val="2"/>
    </font>
    <font>
      <i/>
      <sz val="9"/>
      <color theme="1"/>
      <name val="Calibri"/>
      <family val="2"/>
    </font>
    <font>
      <i/>
      <vertAlign val="superscript"/>
      <sz val="9"/>
      <color theme="1"/>
      <name val="Calibri"/>
      <family val="2"/>
    </font>
    <font>
      <sz val="8"/>
      <color theme="1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Helvetica Neue"/>
    </font>
    <font>
      <sz val="8"/>
      <name val="Verdana"/>
      <family val="2"/>
    </font>
    <font>
      <b/>
      <sz val="18"/>
      <color rgb="FF91283B"/>
      <name val="Calibri"/>
      <family val="2"/>
    </font>
    <font>
      <sz val="11"/>
      <color rgb="FF91283B"/>
      <name val="Calibri"/>
      <family val="2"/>
    </font>
    <font>
      <sz val="11"/>
      <color rgb="FF91283B"/>
      <name val="Calibri Light"/>
      <family val="2"/>
    </font>
    <font>
      <b/>
      <sz val="11"/>
      <color rgb="FF91283B"/>
      <name val="Calibri Light"/>
      <family val="2"/>
    </font>
    <font>
      <b/>
      <sz val="11"/>
      <color rgb="FF91283B"/>
      <name val="Calibri"/>
      <family val="2"/>
      <scheme val="minor"/>
    </font>
    <font>
      <b/>
      <sz val="14"/>
      <color theme="0"/>
      <name val="Calibri"/>
      <family val="2"/>
    </font>
    <font>
      <sz val="10"/>
      <name val="Calibri"/>
      <family val="2"/>
    </font>
    <font>
      <sz val="11"/>
      <name val="Calibri"/>
      <family val="2"/>
    </font>
    <font>
      <sz val="11"/>
      <color theme="7" tint="-0.249977111117893"/>
      <name val="Calibri"/>
      <family val="2"/>
    </font>
    <font>
      <b/>
      <sz val="11"/>
      <color theme="7" tint="-0.249977111117893"/>
      <name val="Calibri"/>
      <family val="2"/>
    </font>
    <font>
      <b/>
      <sz val="22"/>
      <color rgb="FF1F497D"/>
      <name val="Calibri"/>
      <family val="2"/>
    </font>
    <font>
      <b/>
      <sz val="11"/>
      <color rgb="FF1F497D"/>
      <name val="Calibri"/>
      <family val="2"/>
    </font>
    <font>
      <sz val="11"/>
      <color rgb="FF1F497D"/>
      <name val="Calibri"/>
      <family val="2"/>
    </font>
    <font>
      <sz val="10"/>
      <color rgb="FF1F497D"/>
      <name val="Calibri"/>
      <family val="2"/>
    </font>
    <font>
      <b/>
      <sz val="10"/>
      <color rgb="FF1F497D"/>
      <name val="Calibri"/>
      <family val="2"/>
    </font>
    <font>
      <b/>
      <sz val="10"/>
      <color rgb="FFEC700A"/>
      <name val="Calibri"/>
      <family val="2"/>
    </font>
    <font>
      <b/>
      <sz val="12"/>
      <color rgb="FF3278CC"/>
      <name val="Wingdings 2"/>
      <family val="1"/>
      <charset val="2"/>
    </font>
    <font>
      <i/>
      <sz val="9"/>
      <color theme="1"/>
      <name val="Calibri Light"/>
      <family val="2"/>
    </font>
    <font>
      <b/>
      <sz val="11"/>
      <color rgb="FFEC700A"/>
      <name val="Calibri"/>
      <family val="2"/>
    </font>
    <font>
      <sz val="22"/>
      <color rgb="FF1F497D"/>
      <name val="Calibri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i/>
      <sz val="12"/>
      <color theme="1"/>
      <name val="Calibri"/>
      <family val="2"/>
    </font>
    <font>
      <b/>
      <sz val="14"/>
      <color rgb="FFEC700A"/>
      <name val="Calibri"/>
      <family val="2"/>
    </font>
    <font>
      <sz val="12"/>
      <color theme="1"/>
      <name val="Calibri"/>
      <family val="2"/>
    </font>
    <font>
      <i/>
      <sz val="11"/>
      <color theme="1"/>
      <name val="Calibri"/>
      <family val="2"/>
    </font>
    <font>
      <sz val="16"/>
      <color rgb="FF3278CC"/>
      <name val="Wingdings 2"/>
      <family val="1"/>
      <charset val="2"/>
    </font>
    <font>
      <sz val="16"/>
      <color rgb="FF0066FF"/>
      <name val="Wingdings 2"/>
      <family val="1"/>
      <charset val="2"/>
    </font>
    <font>
      <sz val="10"/>
      <color rgb="FF91283B"/>
      <name val="Calibri"/>
      <family val="2"/>
    </font>
    <font>
      <b/>
      <sz val="12"/>
      <color theme="1"/>
      <name val="Calibri"/>
      <family val="2"/>
    </font>
    <font>
      <sz val="8"/>
      <color rgb="FFAC0808"/>
      <name val="Tahoma"/>
      <family val="2"/>
    </font>
    <font>
      <sz val="10"/>
      <color indexed="62"/>
      <name val="Tahoma"/>
      <family val="2"/>
    </font>
    <font>
      <sz val="10"/>
      <color indexed="62"/>
      <name val="Wingdings 2"/>
      <family val="1"/>
      <charset val="2"/>
    </font>
    <font>
      <sz val="12"/>
      <color indexed="62"/>
      <name val="Wingdings 2"/>
      <family val="1"/>
      <charset val="2"/>
    </font>
    <font>
      <sz val="11"/>
      <color rgb="FF91283B"/>
      <name val="Wingdings"/>
      <charset val="2"/>
    </font>
    <font>
      <i/>
      <sz val="11"/>
      <color rgb="FF91283B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AC0808"/>
        <bgColor indexed="64"/>
      </patternFill>
    </fill>
    <fill>
      <patternFill patternType="solid">
        <fgColor rgb="FFC30909"/>
        <bgColor indexed="64"/>
      </patternFill>
    </fill>
    <fill>
      <patternFill patternType="solid">
        <fgColor rgb="FFD80A0A"/>
        <bgColor indexed="64"/>
      </patternFill>
    </fill>
    <fill>
      <patternFill patternType="solid">
        <fgColor rgb="FFEFF3F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1283B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DCD"/>
        <bgColor indexed="64"/>
      </patternFill>
    </fill>
  </fills>
  <borders count="9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/>
      <right style="hair">
        <color theme="0"/>
      </right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1" tint="0.499984740745262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/>
      <diagonal/>
    </border>
    <border>
      <left style="hair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/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thin">
        <color theme="0" tint="-0.34998626667073579"/>
      </bottom>
      <diagonal/>
    </border>
    <border>
      <left style="hair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/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/>
      <diagonal/>
    </border>
    <border>
      <left style="hair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 style="thin">
        <color theme="0" tint="-0.34998626667073579"/>
      </right>
      <top/>
      <bottom/>
      <diagonal/>
    </border>
    <border>
      <left style="hair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rgb="FFC0C0C0"/>
      </right>
      <top/>
      <bottom/>
      <diagonal/>
    </border>
    <border>
      <left style="hair">
        <color rgb="FF7030A0"/>
      </left>
      <right/>
      <top style="hair">
        <color rgb="FF7030A0"/>
      </top>
      <bottom/>
      <diagonal/>
    </border>
    <border>
      <left/>
      <right/>
      <top style="hair">
        <color rgb="FF7030A0"/>
      </top>
      <bottom/>
      <diagonal/>
    </border>
    <border>
      <left/>
      <right style="thin">
        <color rgb="FF7030A0"/>
      </right>
      <top style="hair">
        <color rgb="FF7030A0"/>
      </top>
      <bottom/>
      <diagonal/>
    </border>
    <border>
      <left style="thin">
        <color rgb="FFA82E45"/>
      </left>
      <right style="hair">
        <color rgb="FFA82E45"/>
      </right>
      <top style="thin">
        <color rgb="FFA82E45"/>
      </top>
      <bottom style="thin">
        <color rgb="FFA82E45"/>
      </bottom>
      <diagonal/>
    </border>
    <border>
      <left style="hair">
        <color rgb="FFA82E45"/>
      </left>
      <right style="hair">
        <color rgb="FFA82E45"/>
      </right>
      <top style="thin">
        <color rgb="FFA82E45"/>
      </top>
      <bottom style="thin">
        <color rgb="FFA82E45"/>
      </bottom>
      <diagonal/>
    </border>
    <border>
      <left style="hair">
        <color rgb="FFA82E45"/>
      </left>
      <right style="thin">
        <color rgb="FFA82E45"/>
      </right>
      <top style="thin">
        <color rgb="FFA82E45"/>
      </top>
      <bottom style="thin">
        <color rgb="FFA82E45"/>
      </bottom>
      <diagonal/>
    </border>
    <border>
      <left style="thin">
        <color rgb="FFA82E45"/>
      </left>
      <right style="hair">
        <color rgb="FFA82E45"/>
      </right>
      <top/>
      <bottom/>
      <diagonal/>
    </border>
    <border>
      <left style="hair">
        <color rgb="FFA82E45"/>
      </left>
      <right style="hair">
        <color rgb="FFA82E45"/>
      </right>
      <top/>
      <bottom/>
      <diagonal/>
    </border>
    <border>
      <left style="hair">
        <color rgb="FFA82E45"/>
      </left>
      <right style="thin">
        <color rgb="FFA82E45"/>
      </right>
      <top/>
      <bottom/>
      <diagonal/>
    </border>
    <border>
      <left style="thin">
        <color rgb="FFA82E45"/>
      </left>
      <right style="hair">
        <color rgb="FFA82E45"/>
      </right>
      <top/>
      <bottom style="thin">
        <color rgb="FFA82E45"/>
      </bottom>
      <diagonal/>
    </border>
    <border>
      <left style="hair">
        <color rgb="FFA82E45"/>
      </left>
      <right style="hair">
        <color rgb="FFA82E45"/>
      </right>
      <top/>
      <bottom style="thin">
        <color rgb="FFA82E45"/>
      </bottom>
      <diagonal/>
    </border>
    <border>
      <left style="hair">
        <color rgb="FFA82E45"/>
      </left>
      <right style="thin">
        <color rgb="FFA82E45"/>
      </right>
      <top/>
      <bottom style="thin">
        <color rgb="FFA82E45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0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32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44" fontId="34" fillId="0" borderId="0" applyFont="0" applyFill="0" applyBorder="0" applyAlignment="0" applyProtection="0"/>
    <xf numFmtId="0" fontId="35" fillId="0" borderId="0"/>
    <xf numFmtId="172" fontId="32" fillId="0" borderId="0">
      <protection locked="0"/>
    </xf>
    <xf numFmtId="173" fontId="32" fillId="0" borderId="0">
      <protection locked="0"/>
    </xf>
    <xf numFmtId="174" fontId="32" fillId="0" borderId="0">
      <protection locked="0"/>
    </xf>
    <xf numFmtId="0" fontId="36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38" fillId="0" borderId="0" applyNumberFormat="0" applyFill="0" applyBorder="0" applyProtection="0">
      <alignment vertical="top"/>
    </xf>
    <xf numFmtId="0" fontId="39" fillId="0" borderId="0"/>
    <xf numFmtId="0" fontId="37" fillId="0" borderId="0"/>
    <xf numFmtId="0" fontId="37" fillId="7" borderId="0"/>
  </cellStyleXfs>
  <cellXfs count="310">
    <xf numFmtId="0" fontId="0" fillId="0" borderId="0" xfId="0"/>
    <xf numFmtId="0" fontId="0" fillId="0" borderId="0" xfId="0" quotePrefix="1"/>
    <xf numFmtId="0" fontId="4" fillId="0" borderId="0" xfId="0" applyFont="1" applyAlignment="1">
      <alignment horizontal="left"/>
    </xf>
    <xf numFmtId="14" fontId="4" fillId="0" borderId="0" xfId="0" applyNumberFormat="1" applyFont="1"/>
    <xf numFmtId="0" fontId="0" fillId="0" borderId="0" xfId="0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0" borderId="0" xfId="0" applyFont="1"/>
    <xf numFmtId="0" fontId="7" fillId="2" borderId="1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4" borderId="2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8" fillId="0" borderId="3" xfId="0" applyFont="1" applyBorder="1"/>
    <xf numFmtId="0" fontId="9" fillId="0" borderId="4" xfId="0" applyFont="1" applyFill="1" applyBorder="1" applyAlignment="1">
      <alignment horizontal="right"/>
    </xf>
    <xf numFmtId="0" fontId="0" fillId="0" borderId="5" xfId="0" quotePrefix="1" applyBorder="1"/>
    <xf numFmtId="0" fontId="8" fillId="0" borderId="6" xfId="0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Fill="1" applyBorder="1"/>
    <xf numFmtId="0" fontId="8" fillId="0" borderId="7" xfId="0" applyFont="1" applyBorder="1"/>
    <xf numFmtId="0" fontId="9" fillId="0" borderId="0" xfId="0" applyFont="1" applyFill="1" applyBorder="1" applyAlignment="1">
      <alignment horizontal="right"/>
    </xf>
    <xf numFmtId="1" fontId="11" fillId="0" borderId="8" xfId="1" quotePrefix="1" applyNumberFormat="1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9" xfId="0" applyFont="1" applyFill="1" applyBorder="1"/>
    <xf numFmtId="0" fontId="0" fillId="0" borderId="8" xfId="0" quotePrefix="1" applyBorder="1" applyAlignment="1">
      <alignment horizontal="center"/>
    </xf>
    <xf numFmtId="1" fontId="0" fillId="0" borderId="8" xfId="0" quotePrefix="1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8" fillId="0" borderId="10" xfId="0" applyFont="1" applyBorder="1"/>
    <xf numFmtId="0" fontId="9" fillId="0" borderId="11" xfId="0" applyFont="1" applyFill="1" applyBorder="1" applyAlignment="1">
      <alignment horizontal="right"/>
    </xf>
    <xf numFmtId="0" fontId="0" fillId="0" borderId="12" xfId="0" applyBorder="1" applyAlignment="1">
      <alignment horizontal="center"/>
    </xf>
    <xf numFmtId="0" fontId="8" fillId="0" borderId="13" xfId="0" applyFont="1" applyFill="1" applyBorder="1"/>
    <xf numFmtId="0" fontId="8" fillId="0" borderId="0" xfId="0" applyFont="1"/>
    <xf numFmtId="0" fontId="8" fillId="0" borderId="14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13" xfId="0" applyFont="1" applyBorder="1"/>
    <xf numFmtId="0" fontId="12" fillId="0" borderId="0" xfId="0" applyFont="1"/>
    <xf numFmtId="0" fontId="0" fillId="0" borderId="0" xfId="0" applyAlignment="1">
      <alignment horizontal="left"/>
    </xf>
    <xf numFmtId="14" fontId="0" fillId="0" borderId="0" xfId="0" applyNumberFormat="1"/>
    <xf numFmtId="14" fontId="8" fillId="0" borderId="4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4" fontId="8" fillId="0" borderId="11" xfId="0" applyNumberFormat="1" applyFont="1" applyBorder="1" applyAlignment="1">
      <alignment horizontal="center"/>
    </xf>
    <xf numFmtId="164" fontId="8" fillId="0" borderId="12" xfId="0" applyNumberFormat="1" applyFont="1" applyBorder="1" applyAlignment="1">
      <alignment horizontal="center"/>
    </xf>
    <xf numFmtId="0" fontId="13" fillId="0" borderId="0" xfId="0" applyFont="1" applyAlignment="1">
      <alignment vertical="center"/>
    </xf>
    <xf numFmtId="0" fontId="12" fillId="0" borderId="0" xfId="0" applyFont="1" applyFill="1" applyBorder="1" applyAlignment="1">
      <alignment horizontal="left"/>
    </xf>
    <xf numFmtId="0" fontId="0" fillId="0" borderId="0" xfId="0" applyBorder="1"/>
    <xf numFmtId="0" fontId="8" fillId="0" borderId="0" xfId="0" quotePrefix="1" applyFont="1" applyBorder="1" applyAlignment="1">
      <alignment horizontal="center"/>
    </xf>
    <xf numFmtId="0" fontId="15" fillId="0" borderId="15" xfId="0" applyFont="1" applyFill="1" applyBorder="1" applyAlignment="1">
      <alignment horizontal="left"/>
    </xf>
    <xf numFmtId="0" fontId="0" fillId="0" borderId="16" xfId="0" applyBorder="1"/>
    <xf numFmtId="0" fontId="17" fillId="0" borderId="0" xfId="2" applyFont="1" applyAlignment="1" applyProtection="1"/>
    <xf numFmtId="0" fontId="18" fillId="0" borderId="0" xfId="0" applyFont="1" applyAlignment="1">
      <alignment vertical="center"/>
    </xf>
    <xf numFmtId="0" fontId="19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Border="1" applyAlignment="1">
      <alignment horizontal="right"/>
    </xf>
    <xf numFmtId="0" fontId="20" fillId="0" borderId="17" xfId="0" applyFont="1" applyFill="1" applyBorder="1" applyAlignment="1">
      <alignment horizontal="center"/>
    </xf>
    <xf numFmtId="0" fontId="20" fillId="0" borderId="18" xfId="0" applyFont="1" applyFill="1" applyBorder="1"/>
    <xf numFmtId="0" fontId="15" fillId="0" borderId="20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165" fontId="15" fillId="0" borderId="22" xfId="0" applyNumberFormat="1" applyFont="1" applyFill="1" applyBorder="1" applyAlignment="1">
      <alignment horizontal="center"/>
    </xf>
    <xf numFmtId="166" fontId="15" fillId="0" borderId="23" xfId="0" applyNumberFormat="1" applyFont="1" applyFill="1" applyBorder="1" applyAlignment="1">
      <alignment horizont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8" fillId="0" borderId="27" xfId="0" applyFont="1" applyFill="1" applyBorder="1" applyAlignment="1">
      <alignment horizontal="right"/>
    </xf>
    <xf numFmtId="167" fontId="22" fillId="0" borderId="28" xfId="0" applyNumberFormat="1" applyFont="1" applyFill="1" applyBorder="1" applyAlignment="1"/>
    <xf numFmtId="1" fontId="23" fillId="0" borderId="28" xfId="1" quotePrefix="1" applyNumberFormat="1" applyFont="1" applyFill="1" applyBorder="1" applyAlignment="1">
      <alignment horizontal="center" vertical="center"/>
    </xf>
    <xf numFmtId="1" fontId="23" fillId="0" borderId="29" xfId="1" quotePrefix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14" fontId="8" fillId="0" borderId="4" xfId="0" applyNumberFormat="1" applyFont="1" applyBorder="1"/>
    <xf numFmtId="14" fontId="8" fillId="0" borderId="4" xfId="0" quotePrefix="1" applyNumberFormat="1" applyFont="1" applyBorder="1" applyAlignment="1">
      <alignment horizontal="center"/>
    </xf>
    <xf numFmtId="168" fontId="8" fillId="0" borderId="3" xfId="0" applyNumberFormat="1" applyFont="1" applyBorder="1" applyAlignment="1">
      <alignment horizontal="center"/>
    </xf>
    <xf numFmtId="168" fontId="8" fillId="0" borderId="5" xfId="0" applyNumberFormat="1" applyFont="1" applyBorder="1" applyAlignment="1">
      <alignment horizontal="center"/>
    </xf>
    <xf numFmtId="0" fontId="24" fillId="0" borderId="30" xfId="0" applyFont="1" applyFill="1" applyBorder="1" applyAlignment="1">
      <alignment horizontal="left" vertical="center"/>
    </xf>
    <xf numFmtId="169" fontId="11" fillId="0" borderId="31" xfId="0" applyNumberFormat="1" applyFont="1" applyFill="1" applyBorder="1" applyAlignment="1">
      <alignment shrinkToFit="1"/>
    </xf>
    <xf numFmtId="169" fontId="11" fillId="0" borderId="32" xfId="0" applyNumberFormat="1" applyFont="1" applyFill="1" applyBorder="1" applyAlignment="1">
      <alignment shrinkToFit="1"/>
    </xf>
    <xf numFmtId="169" fontId="11" fillId="0" borderId="33" xfId="0" applyNumberFormat="1" applyFont="1" applyFill="1" applyBorder="1" applyAlignment="1">
      <alignment shrinkToFit="1"/>
    </xf>
    <xf numFmtId="0" fontId="7" fillId="2" borderId="35" xfId="0" applyFont="1" applyFill="1" applyBorder="1" applyAlignment="1">
      <alignment horizontal="right"/>
    </xf>
    <xf numFmtId="167" fontId="7" fillId="2" borderId="36" xfId="0" applyNumberFormat="1" applyFont="1" applyFill="1" applyBorder="1" applyAlignment="1"/>
    <xf numFmtId="1" fontId="23" fillId="0" borderId="36" xfId="1" quotePrefix="1" applyNumberFormat="1" applyFont="1" applyFill="1" applyBorder="1" applyAlignment="1">
      <alignment horizontal="center" vertical="center"/>
    </xf>
    <xf numFmtId="1" fontId="23" fillId="0" borderId="37" xfId="1" quotePrefix="1" applyNumberFormat="1" applyFont="1" applyFill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/>
    </xf>
    <xf numFmtId="14" fontId="8" fillId="0" borderId="0" xfId="0" applyNumberFormat="1" applyFont="1" applyBorder="1"/>
    <xf numFmtId="14" fontId="8" fillId="0" borderId="0" xfId="0" quotePrefix="1" applyNumberFormat="1" applyFont="1" applyBorder="1" applyAlignment="1">
      <alignment horizontal="center"/>
    </xf>
    <xf numFmtId="168" fontId="8" fillId="0" borderId="7" xfId="0" applyNumberFormat="1" applyFont="1" applyBorder="1" applyAlignment="1">
      <alignment horizontal="center"/>
    </xf>
    <xf numFmtId="168" fontId="8" fillId="0" borderId="8" xfId="0" applyNumberFormat="1" applyFont="1" applyBorder="1" applyAlignment="1">
      <alignment horizontal="center"/>
    </xf>
    <xf numFmtId="0" fontId="24" fillId="0" borderId="38" xfId="0" applyFont="1" applyFill="1" applyBorder="1" applyAlignment="1">
      <alignment horizontal="left" vertical="center"/>
    </xf>
    <xf numFmtId="169" fontId="11" fillId="0" borderId="39" xfId="0" applyNumberFormat="1" applyFont="1" applyFill="1" applyBorder="1" applyAlignment="1">
      <alignment shrinkToFit="1"/>
    </xf>
    <xf numFmtId="169" fontId="11" fillId="0" borderId="40" xfId="0" applyNumberFormat="1" applyFont="1" applyFill="1" applyBorder="1" applyAlignment="1">
      <alignment shrinkToFit="1"/>
    </xf>
    <xf numFmtId="169" fontId="11" fillId="0" borderId="41" xfId="0" applyNumberFormat="1" applyFont="1" applyFill="1" applyBorder="1" applyAlignment="1">
      <alignment shrinkToFit="1"/>
    </xf>
    <xf numFmtId="0" fontId="8" fillId="0" borderId="35" xfId="0" applyFont="1" applyFill="1" applyBorder="1" applyAlignment="1">
      <alignment horizontal="right"/>
    </xf>
    <xf numFmtId="167" fontId="8" fillId="0" borderId="36" xfId="0" applyNumberFormat="1" applyFont="1" applyFill="1" applyBorder="1"/>
    <xf numFmtId="0" fontId="24" fillId="0" borderId="43" xfId="0" applyFont="1" applyFill="1" applyBorder="1" applyAlignment="1">
      <alignment horizontal="left" vertical="center"/>
    </xf>
    <xf numFmtId="169" fontId="11" fillId="0" borderId="44" xfId="0" applyNumberFormat="1" applyFont="1" applyFill="1" applyBorder="1" applyAlignment="1">
      <alignment shrinkToFit="1"/>
    </xf>
    <xf numFmtId="169" fontId="11" fillId="0" borderId="45" xfId="0" applyNumberFormat="1" applyFont="1" applyFill="1" applyBorder="1" applyAlignment="1">
      <alignment shrinkToFit="1"/>
    </xf>
    <xf numFmtId="169" fontId="11" fillId="0" borderId="46" xfId="0" applyNumberFormat="1" applyFont="1" applyFill="1" applyBorder="1" applyAlignment="1">
      <alignment shrinkToFit="1"/>
    </xf>
    <xf numFmtId="169" fontId="11" fillId="0" borderId="47" xfId="0" applyNumberFormat="1" applyFont="1" applyFill="1" applyBorder="1" applyAlignment="1">
      <alignment shrinkToFit="1"/>
    </xf>
    <xf numFmtId="169" fontId="11" fillId="0" borderId="48" xfId="0" applyNumberFormat="1" applyFont="1" applyFill="1" applyBorder="1" applyAlignment="1">
      <alignment shrinkToFit="1"/>
    </xf>
    <xf numFmtId="169" fontId="11" fillId="0" borderId="49" xfId="0" applyNumberFormat="1" applyFont="1" applyFill="1" applyBorder="1" applyAlignment="1">
      <alignment shrinkToFit="1"/>
    </xf>
    <xf numFmtId="169" fontId="11" fillId="0" borderId="50" xfId="0" applyNumberFormat="1" applyFont="1" applyFill="1" applyBorder="1" applyAlignment="1">
      <alignment shrinkToFit="1"/>
    </xf>
    <xf numFmtId="169" fontId="11" fillId="0" borderId="51" xfId="0" applyNumberFormat="1" applyFont="1" applyFill="1" applyBorder="1" applyAlignment="1">
      <alignment shrinkToFit="1"/>
    </xf>
    <xf numFmtId="169" fontId="11" fillId="0" borderId="52" xfId="0" applyNumberFormat="1" applyFont="1" applyFill="1" applyBorder="1" applyAlignment="1">
      <alignment shrinkToFit="1"/>
    </xf>
    <xf numFmtId="169" fontId="11" fillId="0" borderId="53" xfId="0" applyNumberFormat="1" applyFont="1" applyFill="1" applyBorder="1" applyAlignment="1">
      <alignment shrinkToFit="1"/>
    </xf>
    <xf numFmtId="0" fontId="8" fillId="0" borderId="11" xfId="0" quotePrefix="1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14" fontId="8" fillId="0" borderId="11" xfId="0" applyNumberFormat="1" applyFont="1" applyBorder="1"/>
    <xf numFmtId="14" fontId="8" fillId="0" borderId="11" xfId="0" quotePrefix="1" applyNumberFormat="1" applyFont="1" applyBorder="1" applyAlignment="1">
      <alignment horizontal="center"/>
    </xf>
    <xf numFmtId="168" fontId="8" fillId="0" borderId="10" xfId="0" applyNumberFormat="1" applyFont="1" applyBorder="1" applyAlignment="1">
      <alignment horizontal="center"/>
    </xf>
    <xf numFmtId="168" fontId="8" fillId="0" borderId="12" xfId="0" applyNumberFormat="1" applyFont="1" applyBorder="1" applyAlignment="1">
      <alignment horizontal="center"/>
    </xf>
    <xf numFmtId="0" fontId="8" fillId="0" borderId="54" xfId="0" applyFont="1" applyFill="1" applyBorder="1" applyAlignment="1">
      <alignment horizontal="right"/>
    </xf>
    <xf numFmtId="167" fontId="8" fillId="0" borderId="55" xfId="0" applyNumberFormat="1" applyFont="1" applyFill="1" applyBorder="1"/>
    <xf numFmtId="1" fontId="23" fillId="0" borderId="55" xfId="1" quotePrefix="1" applyNumberFormat="1" applyFont="1" applyFill="1" applyBorder="1" applyAlignment="1">
      <alignment horizontal="center" vertical="center"/>
    </xf>
    <xf numFmtId="1" fontId="23" fillId="0" borderId="56" xfId="1" quotePrefix="1" applyNumberFormat="1" applyFont="1" applyFill="1" applyBorder="1" applyAlignment="1">
      <alignment horizontal="center" vertical="center"/>
    </xf>
    <xf numFmtId="0" fontId="15" fillId="0" borderId="57" xfId="0" applyFont="1" applyFill="1" applyBorder="1" applyAlignment="1">
      <alignment horizontal="center"/>
    </xf>
    <xf numFmtId="0" fontId="15" fillId="0" borderId="58" xfId="0" applyFont="1" applyFill="1" applyBorder="1" applyAlignment="1">
      <alignment horizontal="center"/>
    </xf>
    <xf numFmtId="0" fontId="15" fillId="0" borderId="59" xfId="0" applyFont="1" applyFill="1" applyBorder="1" applyAlignment="1">
      <alignment horizontal="center"/>
    </xf>
    <xf numFmtId="168" fontId="8" fillId="0" borderId="0" xfId="0" applyNumberFormat="1" applyFont="1" applyAlignment="1">
      <alignment horizontal="center"/>
    </xf>
    <xf numFmtId="170" fontId="3" fillId="2" borderId="30" xfId="0" applyNumberFormat="1" applyFont="1" applyFill="1" applyBorder="1"/>
    <xf numFmtId="0" fontId="0" fillId="0" borderId="61" xfId="0" applyBorder="1"/>
    <xf numFmtId="0" fontId="0" fillId="0" borderId="62" xfId="0" applyBorder="1"/>
    <xf numFmtId="0" fontId="0" fillId="0" borderId="45" xfId="0" applyBorder="1"/>
    <xf numFmtId="0" fontId="0" fillId="0" borderId="53" xfId="0" applyBorder="1"/>
    <xf numFmtId="0" fontId="0" fillId="0" borderId="38" xfId="0" applyBorder="1"/>
    <xf numFmtId="0" fontId="20" fillId="0" borderId="0" xfId="0" applyFont="1" applyBorder="1" applyAlignment="1">
      <alignment horizontal="center"/>
    </xf>
    <xf numFmtId="0" fontId="15" fillId="0" borderId="0" xfId="0" applyFont="1" applyBorder="1"/>
    <xf numFmtId="0" fontId="20" fillId="0" borderId="63" xfId="0" applyFont="1" applyBorder="1"/>
    <xf numFmtId="14" fontId="26" fillId="0" borderId="0" xfId="0" applyNumberFormat="1" applyFont="1" applyFill="1" applyBorder="1"/>
    <xf numFmtId="171" fontId="8" fillId="0" borderId="0" xfId="0" quotePrefix="1" applyNumberFormat="1" applyFont="1" applyBorder="1"/>
    <xf numFmtId="0" fontId="8" fillId="0" borderId="63" xfId="0" quotePrefix="1" applyFont="1" applyBorder="1"/>
    <xf numFmtId="14" fontId="26" fillId="0" borderId="60" xfId="0" applyNumberFormat="1" applyFont="1" applyFill="1" applyBorder="1"/>
    <xf numFmtId="171" fontId="8" fillId="0" borderId="60" xfId="0" quotePrefix="1" applyNumberFormat="1" applyFont="1" applyBorder="1"/>
    <xf numFmtId="0" fontId="0" fillId="0" borderId="60" xfId="0" applyBorder="1"/>
    <xf numFmtId="0" fontId="8" fillId="0" borderId="65" xfId="0" quotePrefix="1" applyFont="1" applyBorder="1"/>
    <xf numFmtId="14" fontId="26" fillId="0" borderId="61" xfId="0" applyNumberFormat="1" applyFont="1" applyFill="1" applyBorder="1"/>
    <xf numFmtId="171" fontId="8" fillId="0" borderId="61" xfId="0" quotePrefix="1" applyNumberFormat="1" applyFont="1" applyBorder="1"/>
    <xf numFmtId="0" fontId="8" fillId="0" borderId="62" xfId="0" quotePrefix="1" applyFont="1" applyBorder="1"/>
    <xf numFmtId="0" fontId="0" fillId="0" borderId="63" xfId="0" applyBorder="1"/>
    <xf numFmtId="0" fontId="0" fillId="0" borderId="65" xfId="0" applyBorder="1"/>
    <xf numFmtId="0" fontId="28" fillId="0" borderId="0" xfId="0" applyFont="1" applyAlignment="1"/>
    <xf numFmtId="0" fontId="0" fillId="0" borderId="30" xfId="0" applyBorder="1"/>
    <xf numFmtId="0" fontId="8" fillId="0" borderId="62" xfId="0" applyFont="1" applyBorder="1"/>
    <xf numFmtId="0" fontId="29" fillId="0" borderId="66" xfId="0" applyFont="1" applyBorder="1"/>
    <xf numFmtId="0" fontId="8" fillId="0" borderId="63" xfId="0" applyFont="1" applyBorder="1"/>
    <xf numFmtId="14" fontId="31" fillId="0" borderId="38" xfId="0" quotePrefix="1" applyNumberFormat="1" applyFont="1" applyBorder="1"/>
    <xf numFmtId="0" fontId="29" fillId="0" borderId="0" xfId="0" applyFont="1" applyFill="1" applyBorder="1"/>
    <xf numFmtId="0" fontId="0" fillId="0" borderId="64" xfId="0" applyBorder="1"/>
    <xf numFmtId="0" fontId="8" fillId="0" borderId="65" xfId="0" applyFont="1" applyBorder="1"/>
    <xf numFmtId="0" fontId="8" fillId="0" borderId="0" xfId="0" applyFont="1" applyBorder="1"/>
    <xf numFmtId="0" fontId="8" fillId="0" borderId="0" xfId="0" applyFont="1" applyFill="1" applyBorder="1"/>
    <xf numFmtId="22" fontId="8" fillId="0" borderId="30" xfId="0" applyNumberFormat="1" applyFont="1" applyBorder="1"/>
    <xf numFmtId="0" fontId="8" fillId="0" borderId="62" xfId="0" applyFont="1" applyFill="1" applyBorder="1"/>
    <xf numFmtId="22" fontId="8" fillId="0" borderId="38" xfId="0" applyNumberFormat="1" applyFont="1" applyBorder="1"/>
    <xf numFmtId="0" fontId="8" fillId="0" borderId="63" xfId="0" applyFont="1" applyFill="1" applyBorder="1"/>
    <xf numFmtId="0" fontId="41" fillId="0" borderId="70" xfId="0" applyFont="1" applyBorder="1" applyAlignment="1">
      <alignment horizontal="center" vertical="center"/>
    </xf>
    <xf numFmtId="0" fontId="42" fillId="0" borderId="71" xfId="0" applyFont="1" applyBorder="1" applyAlignment="1">
      <alignment horizontal="center" vertical="center" wrapText="1"/>
    </xf>
    <xf numFmtId="0" fontId="42" fillId="0" borderId="71" xfId="0" applyFont="1" applyBorder="1" applyAlignment="1">
      <alignment horizontal="center" wrapText="1"/>
    </xf>
    <xf numFmtId="0" fontId="42" fillId="0" borderId="72" xfId="0" applyFont="1" applyBorder="1" applyAlignment="1">
      <alignment horizontal="center" vertical="center" wrapText="1"/>
    </xf>
    <xf numFmtId="0" fontId="44" fillId="0" borderId="73" xfId="0" applyFont="1" applyBorder="1" applyAlignment="1">
      <alignment horizontal="center"/>
    </xf>
    <xf numFmtId="22" fontId="0" fillId="0" borderId="74" xfId="0" applyNumberFormat="1" applyFont="1" applyBorder="1"/>
    <xf numFmtId="22" fontId="0" fillId="0" borderId="75" xfId="0" applyNumberFormat="1" applyFont="1" applyBorder="1"/>
    <xf numFmtId="22" fontId="0" fillId="0" borderId="74" xfId="0" applyNumberFormat="1" applyBorder="1"/>
    <xf numFmtId="0" fontId="44" fillId="0" borderId="76" xfId="0" applyFont="1" applyBorder="1" applyAlignment="1">
      <alignment horizontal="center"/>
    </xf>
    <xf numFmtId="22" fontId="0" fillId="0" borderId="77" xfId="0" applyNumberFormat="1" applyFont="1" applyBorder="1"/>
    <xf numFmtId="22" fontId="0" fillId="0" borderId="77" xfId="0" applyNumberFormat="1" applyBorder="1"/>
    <xf numFmtId="22" fontId="0" fillId="0" borderId="78" xfId="0" applyNumberFormat="1" applyFont="1" applyBorder="1"/>
    <xf numFmtId="0" fontId="2" fillId="8" borderId="0" xfId="0" applyFont="1" applyFill="1" applyAlignment="1">
      <alignment vertical="center"/>
    </xf>
    <xf numFmtId="0" fontId="2" fillId="9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6" fillId="0" borderId="0" xfId="18" applyFont="1" applyFill="1" applyBorder="1"/>
    <xf numFmtId="175" fontId="8" fillId="0" borderId="0" xfId="0" applyNumberFormat="1" applyFont="1"/>
    <xf numFmtId="176" fontId="8" fillId="9" borderId="17" xfId="0" applyNumberFormat="1" applyFont="1" applyFill="1" applyBorder="1" applyAlignment="1">
      <alignment horizontal="center"/>
    </xf>
    <xf numFmtId="177" fontId="39" fillId="0" borderId="79" xfId="17" applyNumberFormat="1" applyFont="1" applyFill="1" applyBorder="1"/>
    <xf numFmtId="0" fontId="39" fillId="0" borderId="80" xfId="18" applyFont="1" applyFill="1" applyBorder="1"/>
    <xf numFmtId="14" fontId="11" fillId="0" borderId="0" xfId="0" applyNumberFormat="1" applyFont="1"/>
    <xf numFmtId="176" fontId="9" fillId="9" borderId="81" xfId="0" applyNumberFormat="1" applyFont="1" applyFill="1" applyBorder="1" applyAlignment="1">
      <alignment horizontal="center"/>
    </xf>
    <xf numFmtId="177" fontId="39" fillId="0" borderId="82" xfId="17" applyNumberFormat="1" applyFont="1" applyFill="1" applyBorder="1"/>
    <xf numFmtId="0" fontId="39" fillId="0" borderId="83" xfId="18" applyFont="1" applyFill="1" applyBorder="1"/>
    <xf numFmtId="176" fontId="9" fillId="0" borderId="0" xfId="0" applyNumberFormat="1" applyFont="1"/>
    <xf numFmtId="176" fontId="36" fillId="0" borderId="0" xfId="0" applyNumberFormat="1" applyFont="1"/>
    <xf numFmtId="176" fontId="9" fillId="9" borderId="84" xfId="0" applyNumberFormat="1" applyFont="1" applyFill="1" applyBorder="1" applyAlignment="1">
      <alignment horizontal="center"/>
    </xf>
    <xf numFmtId="177" fontId="39" fillId="0" borderId="85" xfId="17" applyNumberFormat="1" applyFont="1" applyFill="1" applyBorder="1"/>
    <xf numFmtId="0" fontId="39" fillId="0" borderId="86" xfId="18" applyFont="1" applyFill="1" applyBorder="1"/>
    <xf numFmtId="0" fontId="45" fillId="10" borderId="0" xfId="0" applyFont="1" applyFill="1" applyAlignment="1">
      <alignment horizontal="center" vertical="center"/>
    </xf>
    <xf numFmtId="0" fontId="47" fillId="0" borderId="0" xfId="0" applyFont="1" applyFill="1"/>
    <xf numFmtId="0" fontId="46" fillId="0" borderId="0" xfId="0" quotePrefix="1" applyFont="1" applyFill="1" applyAlignment="1">
      <alignment vertical="center"/>
    </xf>
    <xf numFmtId="0" fontId="47" fillId="0" borderId="0" xfId="0" applyFont="1"/>
    <xf numFmtId="0" fontId="48" fillId="0" borderId="0" xfId="0" applyFont="1"/>
    <xf numFmtId="0" fontId="8" fillId="0" borderId="0" xfId="0" quotePrefix="1" applyFont="1" applyFill="1" applyAlignment="1">
      <alignment vertical="center"/>
    </xf>
    <xf numFmtId="0" fontId="49" fillId="0" borderId="0" xfId="0" applyFont="1" applyAlignment="1">
      <alignment horizontal="right" vertical="center" indent="1"/>
    </xf>
    <xf numFmtId="0" fontId="5" fillId="11" borderId="17" xfId="0" applyFont="1" applyFill="1" applyBorder="1" applyAlignment="1">
      <alignment horizontal="center" vertical="center"/>
    </xf>
    <xf numFmtId="0" fontId="50" fillId="0" borderId="0" xfId="0" quotePrefix="1" applyFont="1" applyFill="1" applyAlignment="1">
      <alignment vertic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51" fillId="0" borderId="84" xfId="0" applyFont="1" applyBorder="1" applyAlignment="1">
      <alignment horizontal="center"/>
    </xf>
    <xf numFmtId="0" fontId="52" fillId="0" borderId="87" xfId="0" applyFont="1" applyBorder="1"/>
    <xf numFmtId="0" fontId="53" fillId="0" borderId="88" xfId="0" applyFont="1" applyBorder="1" applyAlignment="1">
      <alignment horizontal="right" vertical="center"/>
    </xf>
    <xf numFmtId="0" fontId="48" fillId="0" borderId="0" xfId="0" quotePrefix="1" applyFont="1"/>
    <xf numFmtId="0" fontId="19" fillId="11" borderId="87" xfId="0" applyFont="1" applyFill="1" applyBorder="1" applyAlignment="1">
      <alignment vertical="center"/>
    </xf>
    <xf numFmtId="0" fontId="19" fillId="11" borderId="88" xfId="0" applyFont="1" applyFill="1" applyBorder="1"/>
    <xf numFmtId="0" fontId="19" fillId="11" borderId="88" xfId="0" applyFont="1" applyFill="1" applyBorder="1" applyAlignment="1">
      <alignment vertical="center"/>
    </xf>
    <xf numFmtId="0" fontId="19" fillId="11" borderId="89" xfId="0" applyFont="1" applyFill="1" applyBorder="1" applyAlignment="1">
      <alignment vertical="center"/>
    </xf>
    <xf numFmtId="0" fontId="26" fillId="0" borderId="0" xfId="0" applyFont="1" applyAlignment="1">
      <alignment horizontal="center"/>
    </xf>
    <xf numFmtId="179" fontId="8" fillId="0" borderId="90" xfId="0" applyNumberFormat="1" applyFont="1" applyBorder="1" applyAlignment="1">
      <alignment vertical="center"/>
    </xf>
    <xf numFmtId="180" fontId="55" fillId="0" borderId="0" xfId="0" applyNumberFormat="1" applyFont="1" applyBorder="1" applyAlignment="1">
      <alignment horizontal="center" vertical="center"/>
    </xf>
    <xf numFmtId="0" fontId="56" fillId="0" borderId="0" xfId="0" applyFont="1" applyBorder="1" applyAlignment="1">
      <alignment horizontal="center"/>
    </xf>
    <xf numFmtId="0" fontId="57" fillId="0" borderId="0" xfId="0" applyFont="1" applyBorder="1" applyAlignment="1">
      <alignment vertical="center"/>
    </xf>
    <xf numFmtId="0" fontId="8" fillId="0" borderId="91" xfId="0" applyFont="1" applyBorder="1" applyAlignment="1">
      <alignment vertical="center"/>
    </xf>
    <xf numFmtId="179" fontId="8" fillId="0" borderId="92" xfId="0" applyNumberFormat="1" applyFont="1" applyBorder="1"/>
    <xf numFmtId="0" fontId="8" fillId="0" borderId="93" xfId="0" applyFont="1" applyBorder="1"/>
    <xf numFmtId="180" fontId="55" fillId="0" borderId="93" xfId="0" applyNumberFormat="1" applyFont="1" applyBorder="1" applyAlignment="1">
      <alignment horizontal="left" vertical="center"/>
    </xf>
    <xf numFmtId="0" fontId="26" fillId="0" borderId="91" xfId="0" applyFont="1" applyBorder="1" applyAlignment="1">
      <alignment vertical="center"/>
    </xf>
    <xf numFmtId="179" fontId="8" fillId="0" borderId="90" xfId="0" applyNumberFormat="1" applyFont="1" applyBorder="1"/>
    <xf numFmtId="180" fontId="55" fillId="0" borderId="0" xfId="0" applyNumberFormat="1" applyFont="1" applyBorder="1" applyAlignment="1">
      <alignment horizontal="left" vertical="center"/>
    </xf>
    <xf numFmtId="180" fontId="5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79" fontId="0" fillId="0" borderId="0" xfId="0" applyNumberFormat="1"/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179" fontId="8" fillId="0" borderId="0" xfId="0" applyNumberFormat="1" applyFont="1" applyFill="1" applyBorder="1" applyAlignment="1">
      <alignment horizontal="right"/>
    </xf>
    <xf numFmtId="0" fontId="45" fillId="11" borderId="0" xfId="0" applyFont="1" applyFill="1" applyAlignment="1">
      <alignment horizontal="center"/>
    </xf>
    <xf numFmtId="181" fontId="4" fillId="0" borderId="0" xfId="0" applyNumberFormat="1" applyFont="1" applyFill="1"/>
    <xf numFmtId="0" fontId="3" fillId="11" borderId="0" xfId="0" applyFont="1" applyFill="1" applyAlignment="1">
      <alignment horizontal="center"/>
    </xf>
    <xf numFmtId="14" fontId="1" fillId="0" borderId="0" xfId="0" applyNumberFormat="1" applyFont="1"/>
    <xf numFmtId="0" fontId="59" fillId="0" borderId="0" xfId="0" applyFont="1"/>
    <xf numFmtId="0" fontId="60" fillId="13" borderId="58" xfId="0" applyFont="1" applyFill="1" applyBorder="1" applyAlignment="1">
      <alignment horizontal="center" vertical="center"/>
    </xf>
    <xf numFmtId="182" fontId="61" fillId="0" borderId="3" xfId="0" applyNumberFormat="1" applyFont="1" applyBorder="1" applyAlignment="1">
      <alignment horizontal="center" vertical="center"/>
    </xf>
    <xf numFmtId="0" fontId="62" fillId="0" borderId="4" xfId="0" quotePrefix="1" applyFont="1" applyBorder="1"/>
    <xf numFmtId="0" fontId="0" fillId="0" borderId="4" xfId="0" applyBorder="1"/>
    <xf numFmtId="183" fontId="63" fillId="0" borderId="5" xfId="0" applyNumberFormat="1" applyFont="1" applyBorder="1" applyAlignment="1">
      <alignment horizontal="center"/>
    </xf>
    <xf numFmtId="183" fontId="63" fillId="0" borderId="4" xfId="0" applyNumberFormat="1" applyFont="1" applyBorder="1" applyAlignment="1">
      <alignment horizontal="center"/>
    </xf>
    <xf numFmtId="182" fontId="61" fillId="0" borderId="4" xfId="0" applyNumberFormat="1" applyFont="1" applyBorder="1" applyAlignment="1">
      <alignment horizontal="center" vertical="center"/>
    </xf>
    <xf numFmtId="0" fontId="65" fillId="0" borderId="7" xfId="0" quotePrefix="1" applyFont="1" applyBorder="1"/>
    <xf numFmtId="0" fontId="66" fillId="0" borderId="8" xfId="0" quotePrefix="1" applyFont="1" applyBorder="1" applyAlignment="1">
      <alignment horizontal="center"/>
    </xf>
    <xf numFmtId="0" fontId="66" fillId="0" borderId="0" xfId="0" quotePrefix="1" applyFont="1" applyBorder="1" applyAlignment="1">
      <alignment horizontal="center"/>
    </xf>
    <xf numFmtId="0" fontId="66" fillId="0" borderId="0" xfId="0" quotePrefix="1" applyFont="1" applyBorder="1"/>
    <xf numFmtId="0" fontId="64" fillId="0" borderId="7" xfId="0" applyFont="1" applyBorder="1"/>
    <xf numFmtId="0" fontId="64" fillId="0" borderId="0" xfId="0" quotePrefix="1" applyFont="1" applyBorder="1"/>
    <xf numFmtId="0" fontId="64" fillId="0" borderId="0" xfId="0" applyFont="1" applyBorder="1"/>
    <xf numFmtId="0" fontId="64" fillId="0" borderId="8" xfId="0" applyFont="1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82" fontId="61" fillId="0" borderId="7" xfId="0" applyNumberFormat="1" applyFont="1" applyBorder="1" applyAlignment="1">
      <alignment horizontal="center" vertical="center"/>
    </xf>
    <xf numFmtId="0" fontId="0" fillId="0" borderId="0" xfId="0" quotePrefix="1" applyBorder="1"/>
    <xf numFmtId="183" fontId="63" fillId="0" borderId="0" xfId="0" applyNumberFormat="1" applyFont="1" applyBorder="1" applyAlignment="1">
      <alignment horizontal="center"/>
    </xf>
    <xf numFmtId="182" fontId="61" fillId="0" borderId="0" xfId="0" applyNumberFormat="1" applyFont="1" applyBorder="1" applyAlignment="1">
      <alignment horizontal="center" vertical="center"/>
    </xf>
    <xf numFmtId="0" fontId="67" fillId="0" borderId="0" xfId="0" quotePrefix="1" applyFont="1" applyBorder="1"/>
    <xf numFmtId="182" fontId="61" fillId="0" borderId="7" xfId="0" quotePrefix="1" applyNumberFormat="1" applyFont="1" applyBorder="1" applyAlignment="1">
      <alignment horizontal="center" vertical="center"/>
    </xf>
    <xf numFmtId="183" fontId="63" fillId="0" borderId="8" xfId="0" applyNumberFormat="1" applyFont="1" applyBorder="1" applyAlignment="1">
      <alignment horizontal="center"/>
    </xf>
    <xf numFmtId="14" fontId="68" fillId="0" borderId="0" xfId="0" applyNumberFormat="1" applyFont="1" applyFill="1" applyBorder="1" applyAlignment="1"/>
    <xf numFmtId="0" fontId="41" fillId="0" borderId="0" xfId="0" applyFont="1" applyFill="1" applyBorder="1"/>
    <xf numFmtId="0" fontId="69" fillId="8" borderId="0" xfId="0" applyFont="1" applyFill="1" applyAlignment="1">
      <alignment vertical="center"/>
    </xf>
    <xf numFmtId="0" fontId="69" fillId="8" borderId="0" xfId="0" applyFont="1" applyFill="1" applyBorder="1" applyAlignment="1">
      <alignment vertical="center"/>
    </xf>
    <xf numFmtId="0" fontId="19" fillId="2" borderId="0" xfId="0" applyFont="1" applyFill="1" applyAlignment="1">
      <alignment horizontal="center" vertical="center"/>
    </xf>
    <xf numFmtId="14" fontId="70" fillId="14" borderId="94" xfId="0" applyNumberFormat="1" applyFont="1" applyFill="1" applyBorder="1" applyAlignment="1">
      <alignment horizontal="center"/>
    </xf>
    <xf numFmtId="0" fontId="71" fillId="14" borderId="94" xfId="0" applyFont="1" applyFill="1" applyBorder="1" applyAlignment="1">
      <alignment horizontal="center"/>
    </xf>
    <xf numFmtId="0" fontId="72" fillId="14" borderId="94" xfId="0" applyFont="1" applyFill="1" applyBorder="1" applyAlignment="1">
      <alignment horizontal="center"/>
    </xf>
    <xf numFmtId="0" fontId="73" fillId="14" borderId="94" xfId="0" applyFont="1" applyFill="1" applyBorder="1" applyAlignment="1">
      <alignment horizontal="center"/>
    </xf>
    <xf numFmtId="0" fontId="8" fillId="11" borderId="88" xfId="0" applyFont="1" applyFill="1" applyBorder="1"/>
    <xf numFmtId="182" fontId="61" fillId="0" borderId="4" xfId="0" applyNumberFormat="1" applyFont="1" applyFill="1" applyBorder="1" applyAlignment="1">
      <alignment horizontal="center" vertical="center"/>
    </xf>
    <xf numFmtId="0" fontId="62" fillId="0" borderId="4" xfId="0" quotePrefix="1" applyFont="1" applyFill="1" applyBorder="1"/>
    <xf numFmtId="0" fontId="0" fillId="0" borderId="4" xfId="0" applyFill="1" applyBorder="1"/>
    <xf numFmtId="183" fontId="63" fillId="0" borderId="5" xfId="0" applyNumberFormat="1" applyFont="1" applyFill="1" applyBorder="1" applyAlignment="1">
      <alignment horizontal="center"/>
    </xf>
    <xf numFmtId="0" fontId="65" fillId="0" borderId="7" xfId="0" quotePrefix="1" applyFont="1" applyFill="1" applyBorder="1"/>
    <xf numFmtId="0" fontId="0" fillId="0" borderId="0" xfId="0" applyFill="1" applyBorder="1"/>
    <xf numFmtId="0" fontId="66" fillId="0" borderId="8" xfId="0" quotePrefix="1" applyFont="1" applyFill="1" applyBorder="1" applyAlignment="1">
      <alignment horizontal="center"/>
    </xf>
    <xf numFmtId="0" fontId="64" fillId="0" borderId="7" xfId="0" applyFont="1" applyFill="1" applyBorder="1"/>
    <xf numFmtId="0" fontId="64" fillId="0" borderId="0" xfId="0" quotePrefix="1" applyFont="1" applyFill="1" applyBorder="1"/>
    <xf numFmtId="0" fontId="64" fillId="0" borderId="0" xfId="0" applyFont="1" applyFill="1" applyBorder="1"/>
    <xf numFmtId="0" fontId="64" fillId="0" borderId="8" xfId="0" applyFont="1" applyFill="1" applyBorder="1"/>
    <xf numFmtId="0" fontId="0" fillId="0" borderId="8" xfId="0" applyFill="1" applyBorder="1"/>
    <xf numFmtId="0" fontId="0" fillId="0" borderId="11" xfId="0" applyFill="1" applyBorder="1"/>
    <xf numFmtId="0" fontId="0" fillId="0" borderId="12" xfId="0" applyFill="1" applyBorder="1"/>
    <xf numFmtId="182" fontId="61" fillId="0" borderId="0" xfId="0" applyNumberFormat="1" applyFont="1" applyFill="1" applyBorder="1" applyAlignment="1">
      <alignment horizontal="center" vertical="center"/>
    </xf>
    <xf numFmtId="0" fontId="26" fillId="0" borderId="0" xfId="0" applyFont="1"/>
    <xf numFmtId="0" fontId="41" fillId="0" borderId="0" xfId="0" applyFont="1"/>
    <xf numFmtId="0" fontId="29" fillId="0" borderId="0" xfId="0" applyFont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60" xfId="0" applyBorder="1" applyAlignment="1">
      <alignment horizontal="center"/>
    </xf>
    <xf numFmtId="0" fontId="25" fillId="5" borderId="38" xfId="0" applyFont="1" applyFill="1" applyBorder="1" applyAlignment="1">
      <alignment horizontal="center" vertical="center"/>
    </xf>
    <xf numFmtId="0" fontId="25" fillId="5" borderId="64" xfId="0" applyFont="1" applyFill="1" applyBorder="1" applyAlignment="1">
      <alignment horizontal="center" vertical="center"/>
    </xf>
    <xf numFmtId="0" fontId="27" fillId="6" borderId="30" xfId="0" applyFont="1" applyFill="1" applyBorder="1" applyAlignment="1">
      <alignment horizontal="center" vertical="center"/>
    </xf>
    <xf numFmtId="0" fontId="27" fillId="6" borderId="38" xfId="0" applyFont="1" applyFill="1" applyBorder="1" applyAlignment="1">
      <alignment horizontal="center" vertical="center"/>
    </xf>
    <xf numFmtId="0" fontId="27" fillId="6" borderId="64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/>
    </xf>
    <xf numFmtId="0" fontId="20" fillId="0" borderId="5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0" fontId="40" fillId="0" borderId="67" xfId="0" applyFont="1" applyBorder="1" applyAlignment="1">
      <alignment horizontal="center"/>
    </xf>
    <xf numFmtId="0" fontId="40" fillId="0" borderId="68" xfId="0" applyFont="1" applyBorder="1" applyAlignment="1">
      <alignment horizontal="center"/>
    </xf>
    <xf numFmtId="0" fontId="40" fillId="0" borderId="69" xfId="0" applyFont="1" applyBorder="1" applyAlignment="1">
      <alignment horizontal="center"/>
    </xf>
    <xf numFmtId="0" fontId="19" fillId="11" borderId="88" xfId="0" applyFont="1" applyFill="1" applyBorder="1" applyAlignment="1">
      <alignment horizontal="center"/>
    </xf>
    <xf numFmtId="0" fontId="19" fillId="11" borderId="89" xfId="0" applyFont="1" applyFill="1" applyBorder="1" applyAlignment="1">
      <alignment horizontal="center"/>
    </xf>
    <xf numFmtId="178" fontId="54" fillId="12" borderId="88" xfId="0" quotePrefix="1" applyNumberFormat="1" applyFont="1" applyFill="1" applyBorder="1" applyAlignment="1">
      <alignment horizontal="center" vertical="center"/>
    </xf>
    <xf numFmtId="178" fontId="54" fillId="12" borderId="89" xfId="0" quotePrefix="1" applyNumberFormat="1" applyFont="1" applyFill="1" applyBorder="1" applyAlignment="1">
      <alignment horizontal="center" vertical="center"/>
    </xf>
    <xf numFmtId="0" fontId="19" fillId="11" borderId="88" xfId="0" applyFont="1" applyFill="1" applyBorder="1" applyAlignment="1">
      <alignment horizontal="center" vertical="center"/>
    </xf>
    <xf numFmtId="0" fontId="19" fillId="11" borderId="89" xfId="0" applyFont="1" applyFill="1" applyBorder="1" applyAlignment="1">
      <alignment horizontal="center" vertical="center"/>
    </xf>
    <xf numFmtId="0" fontId="60" fillId="13" borderId="57" xfId="0" applyFont="1" applyFill="1" applyBorder="1" applyAlignment="1">
      <alignment horizontal="center" vertical="center"/>
    </xf>
    <xf numFmtId="0" fontId="60" fillId="13" borderId="58" xfId="0" applyFont="1" applyFill="1" applyBorder="1" applyAlignment="1">
      <alignment horizontal="center" vertical="center"/>
    </xf>
    <xf numFmtId="0" fontId="60" fillId="13" borderId="59" xfId="0" applyFont="1" applyFill="1" applyBorder="1" applyAlignment="1">
      <alignment horizontal="center" vertical="center"/>
    </xf>
    <xf numFmtId="0" fontId="60" fillId="11" borderId="57" xfId="0" applyFont="1" applyFill="1" applyBorder="1" applyAlignment="1">
      <alignment horizontal="center" vertical="center"/>
    </xf>
    <xf numFmtId="0" fontId="60" fillId="11" borderId="58" xfId="0" applyFont="1" applyFill="1" applyBorder="1" applyAlignment="1">
      <alignment horizontal="center" vertical="center"/>
    </xf>
  </cellXfs>
  <cellStyles count="20">
    <cellStyle name="Date" xfId="3"/>
    <cellStyle name="En-tete1" xfId="4"/>
    <cellStyle name="En-tete2" xfId="5"/>
    <cellStyle name="Euro" xfId="6"/>
    <cellStyle name="Excel Built-in Normal" xfId="7"/>
    <cellStyle name="Financier" xfId="8"/>
    <cellStyle name="Fixe" xfId="9"/>
    <cellStyle name="Lien hypertexte" xfId="2" builtinId="8"/>
    <cellStyle name="Monetaire" xfId="10"/>
    <cellStyle name="Normal" xfId="0" builtinId="0"/>
    <cellStyle name="Normal 2" xfId="11"/>
    <cellStyle name="Normal 3" xfId="12"/>
    <cellStyle name="Normal 3 2" xfId="13"/>
    <cellStyle name="Normal 3 2 2" xfId="14"/>
    <cellStyle name="Normal 3 3" xfId="15"/>
    <cellStyle name="Normal 4" xfId="16"/>
    <cellStyle name="Normal_Calendrier" xfId="1"/>
    <cellStyle name="Normal_FeteJour" xfId="17"/>
    <cellStyle name="Normal_Prenoms" xfId="18"/>
    <cellStyle name="YELLOW" xfId="19"/>
  </cellStyles>
  <dxfs count="89">
    <dxf>
      <fill>
        <patternFill>
          <bgColor rgb="FFFFCC00"/>
        </patternFill>
      </fill>
    </dxf>
    <dxf>
      <font>
        <color rgb="FF008200"/>
      </font>
      <fill>
        <patternFill>
          <bgColor rgb="FFCCFFCC"/>
        </patternFill>
      </fill>
    </dxf>
    <dxf>
      <font>
        <color rgb="FF008200"/>
      </font>
      <fill>
        <patternFill>
          <bgColor rgb="FFCCFFCC"/>
        </patternFill>
      </fill>
    </dxf>
    <dxf>
      <font>
        <color rgb="FF008200"/>
      </font>
      <fill>
        <patternFill>
          <bgColor rgb="FFCCFFCC"/>
        </patternFill>
      </fill>
    </dxf>
    <dxf>
      <font>
        <color rgb="FF008200"/>
      </font>
      <fill>
        <patternFill>
          <bgColor rgb="FFCCFFCC"/>
        </patternFill>
      </fill>
    </dxf>
    <dxf>
      <font>
        <color rgb="FF008200"/>
      </font>
      <fill>
        <patternFill>
          <bgColor rgb="FFCCFFCC"/>
        </patternFill>
      </fill>
    </dxf>
    <dxf>
      <font>
        <color rgb="FF008200"/>
      </font>
      <fill>
        <patternFill>
          <bgColor rgb="FFCCFFCC"/>
        </patternFill>
      </fill>
    </dxf>
    <dxf>
      <font>
        <color rgb="FF008200"/>
      </font>
      <fill>
        <patternFill>
          <bgColor rgb="FFCCFFCC"/>
        </patternFill>
      </fill>
    </dxf>
    <dxf>
      <font>
        <color rgb="FF0033CC"/>
      </font>
    </dxf>
    <dxf>
      <font>
        <color rgb="FF007600"/>
      </font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ont>
        <color rgb="FF0033CC"/>
      </font>
    </dxf>
    <dxf>
      <fill>
        <patternFill>
          <bgColor rgb="FFCCFFCC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ont>
        <color rgb="FFAC0808"/>
      </font>
      <fill>
        <patternFill patternType="none">
          <bgColor auto="1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CCFFCC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rgb="FFCCFFCC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CCFFCC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92E285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91283B"/>
      <color rgb="FFF2CED5"/>
      <color rgb="FFFF7C80"/>
      <color rgb="FFFFCC00"/>
      <color rgb="FFB8CCE4"/>
      <color rgb="FF0033CC"/>
      <color rgb="FF33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714376</xdr:colOff>
      <xdr:row>89</xdr:row>
      <xdr:rowOff>9525</xdr:rowOff>
    </xdr:from>
    <xdr:to>
      <xdr:col>7</xdr:col>
      <xdr:colOff>114301</xdr:colOff>
      <xdr:row>94</xdr:row>
      <xdr:rowOff>9975</xdr:rowOff>
    </xdr:to>
    <xdr:pic>
      <xdr:nvPicPr>
        <xdr:cNvPr id="2" name="Image 46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accent6">
              <a:shade val="45000"/>
              <a:satMod val="135000"/>
            </a:schemeClr>
            <a:prstClr val="white"/>
          </a:duotone>
        </a:blip>
        <a:srcRect t="13787"/>
        <a:stretch>
          <a:fillRect/>
        </a:stretch>
      </xdr:blipFill>
      <xdr:spPr bwMode="auto">
        <a:xfrm>
          <a:off x="5362576" y="17097375"/>
          <a:ext cx="990600" cy="95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35</xdr:col>
      <xdr:colOff>0</xdr:colOff>
      <xdr:row>20</xdr:row>
      <xdr:rowOff>0</xdr:rowOff>
    </xdr:from>
    <xdr:to>
      <xdr:col>37</xdr:col>
      <xdr:colOff>285750</xdr:colOff>
      <xdr:row>35</xdr:row>
      <xdr:rowOff>95250</xdr:rowOff>
    </xdr:to>
    <xdr:sp macro="" textlink="">
      <xdr:nvSpPr>
        <xdr:cNvPr id="3" name="Rectangle 2"/>
        <xdr:cNvSpPr/>
      </xdr:nvSpPr>
      <xdr:spPr>
        <a:xfrm>
          <a:off x="28689300" y="3914775"/>
          <a:ext cx="1809750" cy="29622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Jours fériés calculés automatiquement en fonction de l'année indiquée en cellule A4, ainsi que le mois de début de planning indiqué en cellule A2.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Ne rien modifier, la mise en forme des weekend et jours fériés sur les feuilles est automatique.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</a:rPr>
            <a:t>Les jours fériés sont "doublés" afin de gérer les jours fériés sur le treizième mois du planning.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  <xdr:twoCellAnchor>
    <xdr:from>
      <xdr:col>26</xdr:col>
      <xdr:colOff>466725</xdr:colOff>
      <xdr:row>15</xdr:row>
      <xdr:rowOff>57150</xdr:rowOff>
    </xdr:from>
    <xdr:to>
      <xdr:col>28</xdr:col>
      <xdr:colOff>847374</xdr:colOff>
      <xdr:row>26</xdr:row>
      <xdr:rowOff>66675</xdr:rowOff>
    </xdr:to>
    <xdr:grpSp>
      <xdr:nvGrpSpPr>
        <xdr:cNvPr id="8" name="Groupe 7"/>
        <xdr:cNvGrpSpPr/>
      </xdr:nvGrpSpPr>
      <xdr:grpSpPr>
        <a:xfrm>
          <a:off x="20612100" y="3019425"/>
          <a:ext cx="3180999" cy="2114550"/>
          <a:chOff x="20612100" y="3019425"/>
          <a:chExt cx="3180999" cy="2114550"/>
        </a:xfrm>
      </xdr:grpSpPr>
      <xdr:sp macro="" textlink="">
        <xdr:nvSpPr>
          <xdr:cNvPr id="4" name="ZoneTexte 3"/>
          <xdr:cNvSpPr txBox="1"/>
        </xdr:nvSpPr>
        <xdr:spPr>
          <a:xfrm>
            <a:off x="20612100" y="3019425"/>
            <a:ext cx="3180999" cy="812530"/>
          </a:xfrm>
          <a:prstGeom prst="rect">
            <a:avLst/>
          </a:prstGeom>
          <a:solidFill>
            <a:srgbClr val="FFFF00"/>
          </a:solidFill>
          <a:ln w="19050">
            <a:solidFill>
              <a:srgbClr val="91283B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none" rtlCol="0" anchor="t">
            <a:spAutoFit/>
          </a:bodyPr>
          <a:lstStyle/>
          <a:p>
            <a:r>
              <a:rPr lang="fr-FR" sz="1100"/>
              <a:t>Ici je pars de la cellule</a:t>
            </a:r>
            <a:r>
              <a:rPr lang="fr-FR" sz="1100" baseline="0"/>
              <a:t> </a:t>
            </a:r>
            <a:r>
              <a:rPr lang="fr-FR" sz="1200" b="1" baseline="0"/>
              <a:t>C5</a:t>
            </a:r>
            <a:r>
              <a:rPr lang="fr-FR" sz="1100" baseline="0"/>
              <a:t>, mais je me demande si</a:t>
            </a:r>
          </a:p>
          <a:p>
            <a:r>
              <a:rPr lang="fr-FR" sz="1100" baseline="0"/>
              <a:t>je ne devrais pas  </a:t>
            </a:r>
            <a:r>
              <a:rPr lang="fr-FR" sz="1100" i="1" baseline="0">
                <a:solidFill>
                  <a:srgbClr val="FF0000"/>
                </a:solidFill>
              </a:rPr>
              <a:t>mettre mes dates de vacances</a:t>
            </a:r>
          </a:p>
          <a:p>
            <a:r>
              <a:rPr lang="fr-FR" sz="1100" i="1" baseline="0">
                <a:solidFill>
                  <a:srgbClr val="FF0000"/>
                </a:solidFill>
              </a:rPr>
              <a:t>en dur !! , parce </a:t>
            </a:r>
            <a:r>
              <a:rPr lang="fr-FR" sz="1200" i="1" u="sng" baseline="0">
                <a:solidFill>
                  <a:srgbClr val="FF0000"/>
                </a:solidFill>
              </a:rPr>
              <a:t>que ce calcul </a:t>
            </a:r>
            <a:r>
              <a:rPr lang="fr-FR" sz="1100" i="1" baseline="0">
                <a:solidFill>
                  <a:srgbClr val="FF0000"/>
                </a:solidFill>
              </a:rPr>
              <a:t>fonctionne pour 2020</a:t>
            </a:r>
          </a:p>
          <a:p>
            <a:r>
              <a:rPr lang="fr-FR" sz="1100" i="1" baseline="0">
                <a:solidFill>
                  <a:srgbClr val="FF0000"/>
                </a:solidFill>
              </a:rPr>
              <a:t>MAIS PAS POUR 2021 ?</a:t>
            </a:r>
            <a:endParaRPr lang="fr-FR" sz="1100" i="1">
              <a:solidFill>
                <a:srgbClr val="FF0000"/>
              </a:solidFill>
            </a:endParaRPr>
          </a:p>
        </xdr:txBody>
      </xdr:sp>
      <xdr:cxnSp macro="">
        <xdr:nvCxnSpPr>
          <xdr:cNvPr id="6" name="Connecteur droit avec flèche 5"/>
          <xdr:cNvCxnSpPr>
            <a:stCxn id="4" idx="2"/>
          </xdr:cNvCxnSpPr>
        </xdr:nvCxnSpPr>
        <xdr:spPr>
          <a:xfrm flipH="1">
            <a:off x="21297901" y="3831955"/>
            <a:ext cx="904699" cy="1302020"/>
          </a:xfrm>
          <a:prstGeom prst="straightConnector1">
            <a:avLst/>
          </a:prstGeom>
          <a:ln w="19050">
            <a:solidFill>
              <a:srgbClr val="91283B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</xdr:colOff>
      <xdr:row>0</xdr:row>
      <xdr:rowOff>114300</xdr:rowOff>
    </xdr:from>
    <xdr:to>
      <xdr:col>20</xdr:col>
      <xdr:colOff>228600</xdr:colOff>
      <xdr:row>2</xdr:row>
      <xdr:rowOff>76200</xdr:rowOff>
    </xdr:to>
    <xdr:grpSp>
      <xdr:nvGrpSpPr>
        <xdr:cNvPr id="10" name="Groupe 9"/>
        <xdr:cNvGrpSpPr/>
      </xdr:nvGrpSpPr>
      <xdr:grpSpPr>
        <a:xfrm>
          <a:off x="2647951" y="114300"/>
          <a:ext cx="3514724" cy="342900"/>
          <a:chOff x="2647951" y="114300"/>
          <a:chExt cx="3514724" cy="342900"/>
        </a:xfrm>
      </xdr:grpSpPr>
      <xdr:sp macro="" textlink="">
        <xdr:nvSpPr>
          <xdr:cNvPr id="4" name="ZoneTexte 3"/>
          <xdr:cNvSpPr txBox="1"/>
        </xdr:nvSpPr>
        <xdr:spPr>
          <a:xfrm>
            <a:off x="3182249" y="114300"/>
            <a:ext cx="2980426" cy="285750"/>
          </a:xfrm>
          <a:prstGeom prst="rect">
            <a:avLst/>
          </a:prstGeom>
          <a:solidFill>
            <a:srgbClr val="FFFF00"/>
          </a:solidFill>
          <a:ln w="19050">
            <a:solidFill>
              <a:srgbClr val="91283B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none" rtlCol="0" anchor="t">
            <a:noAutofit/>
          </a:bodyPr>
          <a:lstStyle/>
          <a:p>
            <a:r>
              <a:rPr lang="fr-FR" sz="1100"/>
              <a:t>Ici je pars de la cellule</a:t>
            </a:r>
            <a:r>
              <a:rPr lang="fr-FR" sz="1100" baseline="0"/>
              <a:t> </a:t>
            </a:r>
            <a:r>
              <a:rPr lang="fr-FR" sz="1200" b="1" baseline="0"/>
              <a:t>C5</a:t>
            </a:r>
            <a:r>
              <a:rPr lang="fr-FR" sz="1100" b="0" baseline="0"/>
              <a:t> de l'onglet parametre </a:t>
            </a:r>
            <a:endParaRPr lang="fr-FR" sz="1100" i="1">
              <a:solidFill>
                <a:srgbClr val="FF0000"/>
              </a:solidFill>
            </a:endParaRPr>
          </a:p>
        </xdr:txBody>
      </xdr:sp>
      <xdr:cxnSp macro="">
        <xdr:nvCxnSpPr>
          <xdr:cNvPr id="5" name="Connecteur droit avec flèche 4"/>
          <xdr:cNvCxnSpPr>
            <a:stCxn id="4" idx="1"/>
          </xdr:cNvCxnSpPr>
        </xdr:nvCxnSpPr>
        <xdr:spPr>
          <a:xfrm flipH="1">
            <a:off x="2647951" y="257175"/>
            <a:ext cx="534298" cy="200025"/>
          </a:xfrm>
          <a:prstGeom prst="straightConnector1">
            <a:avLst/>
          </a:prstGeom>
          <a:ln w="19050">
            <a:solidFill>
              <a:srgbClr val="91283B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95250</xdr:rowOff>
    </xdr:from>
    <xdr:to>
      <xdr:col>12</xdr:col>
      <xdr:colOff>152401</xdr:colOff>
      <xdr:row>1</xdr:row>
      <xdr:rowOff>219075</xdr:rowOff>
    </xdr:to>
    <xdr:grpSp>
      <xdr:nvGrpSpPr>
        <xdr:cNvPr id="11" name="Groupe 10"/>
        <xdr:cNvGrpSpPr/>
      </xdr:nvGrpSpPr>
      <xdr:grpSpPr>
        <a:xfrm>
          <a:off x="1409700" y="95250"/>
          <a:ext cx="4105276" cy="314325"/>
          <a:chOff x="1409700" y="95250"/>
          <a:chExt cx="4105276" cy="314325"/>
        </a:xfrm>
      </xdr:grpSpPr>
      <xdr:sp macro="" textlink="">
        <xdr:nvSpPr>
          <xdr:cNvPr id="3" name="ZoneTexte 2"/>
          <xdr:cNvSpPr txBox="1"/>
        </xdr:nvSpPr>
        <xdr:spPr>
          <a:xfrm>
            <a:off x="2562226" y="95250"/>
            <a:ext cx="2952750" cy="314325"/>
          </a:xfrm>
          <a:prstGeom prst="rect">
            <a:avLst/>
          </a:prstGeom>
          <a:solidFill>
            <a:srgbClr val="FFFF00"/>
          </a:solidFill>
          <a:ln w="19050">
            <a:solidFill>
              <a:srgbClr val="91283B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none" rtlCol="0" anchor="t">
            <a:noAutofit/>
          </a:bodyPr>
          <a:lstStyle/>
          <a:p>
            <a:r>
              <a:rPr lang="fr-FR" sz="1100"/>
              <a:t>Ici je pars de la cellule</a:t>
            </a:r>
            <a:r>
              <a:rPr lang="fr-FR" sz="1100" baseline="0"/>
              <a:t> </a:t>
            </a:r>
            <a:r>
              <a:rPr lang="fr-FR" sz="1200" b="1" baseline="0"/>
              <a:t>C5</a:t>
            </a:r>
            <a:r>
              <a:rPr lang="fr-FR" sz="1100" b="0" baseline="0"/>
              <a:t> de l'onglet parametre </a:t>
            </a:r>
            <a:endParaRPr lang="fr-FR" sz="1100" i="1">
              <a:solidFill>
                <a:srgbClr val="FF0000"/>
              </a:solidFill>
            </a:endParaRPr>
          </a:p>
        </xdr:txBody>
      </xdr:sp>
      <xdr:cxnSp macro="">
        <xdr:nvCxnSpPr>
          <xdr:cNvPr id="4" name="Connecteur droit avec flèche 3"/>
          <xdr:cNvCxnSpPr>
            <a:stCxn id="3" idx="1"/>
          </xdr:cNvCxnSpPr>
        </xdr:nvCxnSpPr>
        <xdr:spPr>
          <a:xfrm flipH="1">
            <a:off x="1409700" y="252413"/>
            <a:ext cx="1152526" cy="61912"/>
          </a:xfrm>
          <a:prstGeom prst="straightConnector1">
            <a:avLst/>
          </a:prstGeom>
          <a:ln w="19050">
            <a:solidFill>
              <a:srgbClr val="91283B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12</xdr:col>
      <xdr:colOff>76200</xdr:colOff>
      <xdr:row>9</xdr:row>
      <xdr:rowOff>57150</xdr:rowOff>
    </xdr:from>
    <xdr:to>
      <xdr:col>14</xdr:col>
      <xdr:colOff>590550</xdr:colOff>
      <xdr:row>11</xdr:row>
      <xdr:rowOff>125840</xdr:rowOff>
    </xdr:to>
    <xdr:sp macro="" textlink="">
      <xdr:nvSpPr>
        <xdr:cNvPr id="8" name="Ellipse 7"/>
        <xdr:cNvSpPr>
          <a:spLocks noChangeAspect="1"/>
        </xdr:cNvSpPr>
      </xdr:nvSpPr>
      <xdr:spPr>
        <a:xfrm>
          <a:off x="5438775" y="2105025"/>
          <a:ext cx="1809750" cy="383015"/>
        </a:xfrm>
        <a:prstGeom prst="ellipse">
          <a:avLst/>
        </a:prstGeom>
        <a:noFill/>
        <a:ln w="3175">
          <a:solidFill>
            <a:srgbClr val="91283B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13</xdr:col>
      <xdr:colOff>171450</xdr:colOff>
      <xdr:row>1</xdr:row>
      <xdr:rowOff>47625</xdr:rowOff>
    </xdr:from>
    <xdr:ext cx="4550861" cy="436786"/>
    <xdr:sp macro="" textlink="">
      <xdr:nvSpPr>
        <xdr:cNvPr id="15" name="ZoneTexte 14"/>
        <xdr:cNvSpPr txBox="1"/>
      </xdr:nvSpPr>
      <xdr:spPr>
        <a:xfrm>
          <a:off x="6181725" y="238125"/>
          <a:ext cx="4550861" cy="436786"/>
        </a:xfrm>
        <a:prstGeom prst="rect">
          <a:avLst/>
        </a:prstGeom>
        <a:solidFill>
          <a:srgbClr val="F2CED5"/>
        </a:solidFill>
        <a:ln>
          <a:solidFill>
            <a:srgbClr val="91283B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fr-FR" sz="1100">
              <a:solidFill>
                <a:sysClr val="windowText" lastClr="000000"/>
              </a:solidFill>
            </a:rPr>
            <a:t>Pourquoi la MFC des Vacances ne fonctionne pas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pour les journées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>
              <a:solidFill>
                <a:sysClr val="windowText" lastClr="000000"/>
              </a:solidFill>
            </a:rPr>
            <a:t>entières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du  1, 02, 03, 04 et 05 janvier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14</xdr:col>
      <xdr:colOff>590550</xdr:colOff>
      <xdr:row>3</xdr:row>
      <xdr:rowOff>55786</xdr:rowOff>
    </xdr:from>
    <xdr:to>
      <xdr:col>18</xdr:col>
      <xdr:colOff>227556</xdr:colOff>
      <xdr:row>10</xdr:row>
      <xdr:rowOff>48633</xdr:rowOff>
    </xdr:to>
    <xdr:cxnSp macro="">
      <xdr:nvCxnSpPr>
        <xdr:cNvPr id="26" name="Connecteur droit avec flèche 25"/>
        <xdr:cNvCxnSpPr>
          <a:stCxn id="15" idx="2"/>
          <a:endCxn id="8" idx="6"/>
        </xdr:cNvCxnSpPr>
      </xdr:nvCxnSpPr>
      <xdr:spPr>
        <a:xfrm flipH="1">
          <a:off x="7248525" y="674911"/>
          <a:ext cx="1208631" cy="1621622"/>
        </a:xfrm>
        <a:prstGeom prst="straightConnector1">
          <a:avLst/>
        </a:prstGeom>
        <a:ln>
          <a:solidFill>
            <a:srgbClr val="91283B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561978</xdr:colOff>
      <xdr:row>3</xdr:row>
      <xdr:rowOff>55786</xdr:rowOff>
    </xdr:from>
    <xdr:to>
      <xdr:col>18</xdr:col>
      <xdr:colOff>227556</xdr:colOff>
      <xdr:row>10</xdr:row>
      <xdr:rowOff>9525</xdr:rowOff>
    </xdr:to>
    <xdr:cxnSp macro="">
      <xdr:nvCxnSpPr>
        <xdr:cNvPr id="29" name="Connecteur droit avec flèche 28"/>
        <xdr:cNvCxnSpPr>
          <a:stCxn id="15" idx="2"/>
        </xdr:cNvCxnSpPr>
      </xdr:nvCxnSpPr>
      <xdr:spPr>
        <a:xfrm flipH="1">
          <a:off x="8143878" y="674911"/>
          <a:ext cx="313278" cy="1582514"/>
        </a:xfrm>
        <a:prstGeom prst="straightConnector1">
          <a:avLst/>
        </a:prstGeom>
        <a:ln>
          <a:solidFill>
            <a:srgbClr val="91283B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227556</xdr:colOff>
      <xdr:row>3</xdr:row>
      <xdr:rowOff>55786</xdr:rowOff>
    </xdr:from>
    <xdr:to>
      <xdr:col>22</xdr:col>
      <xdr:colOff>533400</xdr:colOff>
      <xdr:row>10</xdr:row>
      <xdr:rowOff>38100</xdr:rowOff>
    </xdr:to>
    <xdr:cxnSp macro="">
      <xdr:nvCxnSpPr>
        <xdr:cNvPr id="32" name="Connecteur droit avec flèche 31"/>
        <xdr:cNvCxnSpPr>
          <a:stCxn id="15" idx="2"/>
        </xdr:cNvCxnSpPr>
      </xdr:nvCxnSpPr>
      <xdr:spPr>
        <a:xfrm>
          <a:off x="8457156" y="674911"/>
          <a:ext cx="1877469" cy="1611089"/>
        </a:xfrm>
        <a:prstGeom prst="straightConnector1">
          <a:avLst/>
        </a:prstGeom>
        <a:ln>
          <a:solidFill>
            <a:srgbClr val="91283B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227556</xdr:colOff>
      <xdr:row>3</xdr:row>
      <xdr:rowOff>55786</xdr:rowOff>
    </xdr:from>
    <xdr:to>
      <xdr:col>26</xdr:col>
      <xdr:colOff>228600</xdr:colOff>
      <xdr:row>10</xdr:row>
      <xdr:rowOff>28575</xdr:rowOff>
    </xdr:to>
    <xdr:cxnSp macro="">
      <xdr:nvCxnSpPr>
        <xdr:cNvPr id="35" name="Connecteur droit avec flèche 34"/>
        <xdr:cNvCxnSpPr>
          <a:stCxn id="15" idx="2"/>
        </xdr:cNvCxnSpPr>
      </xdr:nvCxnSpPr>
      <xdr:spPr>
        <a:xfrm>
          <a:off x="8457156" y="674911"/>
          <a:ext cx="3515769" cy="1601564"/>
        </a:xfrm>
        <a:prstGeom prst="straightConnector1">
          <a:avLst/>
        </a:prstGeom>
        <a:ln>
          <a:solidFill>
            <a:srgbClr val="91283B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227556</xdr:colOff>
      <xdr:row>3</xdr:row>
      <xdr:rowOff>55786</xdr:rowOff>
    </xdr:from>
    <xdr:to>
      <xdr:col>31</xdr:col>
      <xdr:colOff>219075</xdr:colOff>
      <xdr:row>10</xdr:row>
      <xdr:rowOff>47625</xdr:rowOff>
    </xdr:to>
    <xdr:cxnSp macro="">
      <xdr:nvCxnSpPr>
        <xdr:cNvPr id="38" name="Connecteur droit avec flèche 37"/>
        <xdr:cNvCxnSpPr>
          <a:stCxn id="15" idx="2"/>
        </xdr:cNvCxnSpPr>
      </xdr:nvCxnSpPr>
      <xdr:spPr>
        <a:xfrm>
          <a:off x="8457156" y="674911"/>
          <a:ext cx="5725569" cy="1620614"/>
        </a:xfrm>
        <a:prstGeom prst="straightConnector1">
          <a:avLst/>
        </a:prstGeom>
        <a:ln>
          <a:solidFill>
            <a:srgbClr val="91283B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s/Calendrier%20Perpetuel%20Marie(5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tice"/>
      <sheetName val="Parametre"/>
      <sheetName val="Saisons"/>
      <sheetName val="Lune"/>
      <sheetName val="Saints"/>
      <sheetName val="CalendrierAn"/>
      <sheetName val="Mensuel"/>
      <sheetName val="Agenda"/>
      <sheetName val="Annee Cadre"/>
    </sheetNames>
    <sheetDataSet>
      <sheetData sheetId="0"/>
      <sheetData sheetId="1"/>
      <sheetData sheetId="2"/>
      <sheetData sheetId="3">
        <row r="2">
          <cell r="A2">
            <v>43825</v>
          </cell>
          <cell r="B2"/>
        </row>
        <row r="3">
          <cell r="A3">
            <v>43833</v>
          </cell>
          <cell r="B3" t="str">
            <v></v>
          </cell>
        </row>
        <row r="4">
          <cell r="A4">
            <v>43840</v>
          </cell>
          <cell r="B4" t="str">
            <v></v>
          </cell>
        </row>
        <row r="5">
          <cell r="A5">
            <v>43847</v>
          </cell>
          <cell r="B5" t="str">
            <v></v>
          </cell>
        </row>
        <row r="6">
          <cell r="A6">
            <v>43854</v>
          </cell>
          <cell r="B6" t="str">
            <v></v>
          </cell>
        </row>
        <row r="7">
          <cell r="A7">
            <v>43862</v>
          </cell>
          <cell r="B7" t="str">
            <v></v>
          </cell>
        </row>
        <row r="8">
          <cell r="A8">
            <v>43870</v>
          </cell>
          <cell r="B8" t="str">
            <v></v>
          </cell>
        </row>
        <row r="9">
          <cell r="A9">
            <v>43877</v>
          </cell>
          <cell r="B9" t="str">
            <v></v>
          </cell>
        </row>
        <row r="10">
          <cell r="A10">
            <v>43884</v>
          </cell>
          <cell r="B10" t="str">
            <v></v>
          </cell>
        </row>
        <row r="11">
          <cell r="A11">
            <v>43892</v>
          </cell>
          <cell r="B11" t="str">
            <v></v>
          </cell>
        </row>
        <row r="12">
          <cell r="A12">
            <v>43899</v>
          </cell>
          <cell r="B12" t="str">
            <v></v>
          </cell>
        </row>
        <row r="13">
          <cell r="A13">
            <v>43906</v>
          </cell>
          <cell r="B13" t="str">
            <v></v>
          </cell>
        </row>
        <row r="14">
          <cell r="A14">
            <v>43914</v>
          </cell>
          <cell r="B14" t="str">
            <v></v>
          </cell>
        </row>
        <row r="15">
          <cell r="A15">
            <v>43922</v>
          </cell>
          <cell r="B15" t="str">
            <v></v>
          </cell>
        </row>
        <row r="16">
          <cell r="A16">
            <v>43929</v>
          </cell>
          <cell r="B16" t="str">
            <v></v>
          </cell>
        </row>
        <row r="17">
          <cell r="A17">
            <v>43936</v>
          </cell>
          <cell r="B17" t="str">
            <v></v>
          </cell>
        </row>
        <row r="18">
          <cell r="A18">
            <v>43944</v>
          </cell>
          <cell r="B18" t="str">
            <v></v>
          </cell>
        </row>
        <row r="19">
          <cell r="A19">
            <v>43951</v>
          </cell>
          <cell r="B19" t="str">
            <v></v>
          </cell>
        </row>
        <row r="20">
          <cell r="A20">
            <v>43958</v>
          </cell>
          <cell r="B20" t="str">
            <v></v>
          </cell>
        </row>
        <row r="21">
          <cell r="A21">
            <v>43965</v>
          </cell>
          <cell r="B21" t="str">
            <v></v>
          </cell>
        </row>
        <row r="22">
          <cell r="A22">
            <v>43973</v>
          </cell>
          <cell r="B22" t="str">
            <v></v>
          </cell>
        </row>
        <row r="23">
          <cell r="A23">
            <v>43981</v>
          </cell>
          <cell r="B23" t="str">
            <v></v>
          </cell>
        </row>
        <row r="24">
          <cell r="A24">
            <v>43987</v>
          </cell>
          <cell r="B24" t="str">
            <v></v>
          </cell>
        </row>
        <row r="25">
          <cell r="A25">
            <v>43995</v>
          </cell>
          <cell r="B25" t="str">
            <v></v>
          </cell>
        </row>
        <row r="26">
          <cell r="A26">
            <v>44003</v>
          </cell>
          <cell r="B26" t="str">
            <v></v>
          </cell>
        </row>
        <row r="27">
          <cell r="A27">
            <v>44010</v>
          </cell>
          <cell r="B27" t="str">
            <v></v>
          </cell>
        </row>
        <row r="28">
          <cell r="A28">
            <v>44017</v>
          </cell>
          <cell r="B28" t="str">
            <v></v>
          </cell>
        </row>
        <row r="29">
          <cell r="A29">
            <v>44024</v>
          </cell>
          <cell r="B29" t="str">
            <v></v>
          </cell>
        </row>
        <row r="30">
          <cell r="A30">
            <v>44032</v>
          </cell>
          <cell r="B30" t="str">
            <v></v>
          </cell>
        </row>
        <row r="31">
          <cell r="A31">
            <v>44039</v>
          </cell>
          <cell r="B31" t="str">
            <v></v>
          </cell>
        </row>
        <row r="32">
          <cell r="A32">
            <v>44046</v>
          </cell>
          <cell r="B32" t="str">
            <v></v>
          </cell>
        </row>
        <row r="33">
          <cell r="A33">
            <v>44054</v>
          </cell>
          <cell r="B33" t="str">
            <v></v>
          </cell>
        </row>
        <row r="34">
          <cell r="A34">
            <v>44062</v>
          </cell>
          <cell r="B34" t="str">
            <v></v>
          </cell>
        </row>
        <row r="35">
          <cell r="A35">
            <v>44068</v>
          </cell>
          <cell r="B35" t="str">
            <v></v>
          </cell>
        </row>
        <row r="36">
          <cell r="A36">
            <v>44076</v>
          </cell>
          <cell r="B36" t="str">
            <v></v>
          </cell>
        </row>
        <row r="37">
          <cell r="A37">
            <v>44084</v>
          </cell>
          <cell r="B37" t="str">
            <v></v>
          </cell>
        </row>
        <row r="38">
          <cell r="A38">
            <v>44091</v>
          </cell>
          <cell r="B38" t="str">
            <v></v>
          </cell>
        </row>
        <row r="39">
          <cell r="A39">
            <v>44098</v>
          </cell>
          <cell r="B39" t="str">
            <v></v>
          </cell>
        </row>
        <row r="40">
          <cell r="A40">
            <v>44105</v>
          </cell>
          <cell r="B40" t="str">
            <v></v>
          </cell>
        </row>
        <row r="41">
          <cell r="A41">
            <v>44113</v>
          </cell>
          <cell r="B41" t="str">
            <v></v>
          </cell>
        </row>
        <row r="42">
          <cell r="A42">
            <v>44120</v>
          </cell>
          <cell r="B42" t="str">
            <v></v>
          </cell>
        </row>
        <row r="43">
          <cell r="A43">
            <v>44127</v>
          </cell>
          <cell r="B43" t="str">
            <v></v>
          </cell>
        </row>
        <row r="44">
          <cell r="A44">
            <v>44135</v>
          </cell>
          <cell r="B44" t="str">
            <v></v>
          </cell>
        </row>
        <row r="45">
          <cell r="A45">
            <v>44143</v>
          </cell>
          <cell r="B45" t="str">
            <v></v>
          </cell>
        </row>
        <row r="46">
          <cell r="A46">
            <v>44150</v>
          </cell>
          <cell r="B46" t="str">
            <v></v>
          </cell>
        </row>
        <row r="47">
          <cell r="A47">
            <v>44157</v>
          </cell>
          <cell r="B47" t="str">
            <v></v>
          </cell>
        </row>
        <row r="48">
          <cell r="A48">
            <v>44165</v>
          </cell>
          <cell r="B48" t="str">
            <v></v>
          </cell>
        </row>
        <row r="49">
          <cell r="A49">
            <v>44172</v>
          </cell>
          <cell r="B49" t="str">
            <v></v>
          </cell>
        </row>
        <row r="50">
          <cell r="A50">
            <v>44179</v>
          </cell>
          <cell r="B50" t="str">
            <v></v>
          </cell>
        </row>
        <row r="51">
          <cell r="A51">
            <v>44187</v>
          </cell>
          <cell r="B51" t="str">
            <v></v>
          </cell>
        </row>
        <row r="52">
          <cell r="A52">
            <v>44195</v>
          </cell>
          <cell r="B52" t="str">
            <v></v>
          </cell>
        </row>
        <row r="53">
          <cell r="A53">
            <v>44202</v>
          </cell>
          <cell r="B53" t="str">
            <v></v>
          </cell>
        </row>
        <row r="54">
          <cell r="A54">
            <v>44209</v>
          </cell>
          <cell r="B54" t="str">
            <v></v>
          </cell>
        </row>
        <row r="55">
          <cell r="A55">
            <v>44216</v>
          </cell>
          <cell r="B55" t="str">
            <v>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acances-scolaires.education/" TargetMode="Externa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D94"/>
  <sheetViews>
    <sheetView showGridLines="0" zoomScaleNormal="100" workbookViewId="0">
      <selection activeCell="C5" sqref="C5"/>
    </sheetView>
  </sheetViews>
  <sheetFormatPr baseColWidth="10" defaultRowHeight="15"/>
  <cols>
    <col min="1" max="1" width="11.5703125" bestFit="1" customWidth="1"/>
    <col min="2" max="2" width="13.85546875" customWidth="1"/>
    <col min="3" max="3" width="21.140625" bestFit="1" customWidth="1"/>
    <col min="4" max="5" width="11.5703125" bestFit="1" customWidth="1"/>
    <col min="7" max="7" width="12.42578125" bestFit="1" customWidth="1"/>
    <col min="8" max="8" width="18.42578125" bestFit="1" customWidth="1"/>
    <col min="9" max="9" width="13.5703125" customWidth="1"/>
    <col min="10" max="10" width="8" customWidth="1"/>
    <col min="11" max="11" width="15.28515625" bestFit="1" customWidth="1"/>
    <col min="12" max="12" width="13.7109375" bestFit="1" customWidth="1"/>
    <col min="13" max="13" width="8.7109375" customWidth="1"/>
    <col min="15" max="16" width="11.5703125" bestFit="1" customWidth="1"/>
    <col min="21" max="21" width="14" bestFit="1" customWidth="1"/>
    <col min="23" max="23" width="2.140625" customWidth="1"/>
    <col min="24" max="24" width="2.42578125" customWidth="1"/>
    <col min="25" max="25" width="3.85546875" customWidth="1"/>
    <col min="26" max="26" width="16.7109375" customWidth="1"/>
    <col min="27" max="28" width="21" customWidth="1"/>
    <col min="29" max="29" width="17.5703125" customWidth="1"/>
    <col min="40" max="40" width="6.5703125" customWidth="1"/>
  </cols>
  <sheetData>
    <row r="2" spans="2:11">
      <c r="E2" s="1"/>
    </row>
    <row r="3" spans="2:11">
      <c r="B3" s="2">
        <f>MONTH(1&amp;B5)</f>
        <v>1</v>
      </c>
    </row>
    <row r="4" spans="2:11">
      <c r="B4" s="3">
        <f>DATE($C$5,B3,1)</f>
        <v>43831</v>
      </c>
      <c r="E4" s="1"/>
    </row>
    <row r="5" spans="2:11" ht="23.25">
      <c r="B5" s="4" t="s">
        <v>0</v>
      </c>
      <c r="C5" s="5">
        <v>2020</v>
      </c>
      <c r="E5" s="1"/>
    </row>
    <row r="6" spans="2:11">
      <c r="B6" s="6" t="s">
        <v>1</v>
      </c>
      <c r="G6" s="7" t="s">
        <v>2</v>
      </c>
      <c r="H6" s="8" t="s">
        <v>3</v>
      </c>
      <c r="I6" s="9" t="s">
        <v>3</v>
      </c>
      <c r="J6" s="10" t="s">
        <v>4</v>
      </c>
      <c r="K6" s="10" t="s">
        <v>5</v>
      </c>
    </row>
    <row r="7" spans="2:11" ht="15" customHeight="1">
      <c r="B7" s="11"/>
      <c r="C7" s="12" t="s">
        <v>6</v>
      </c>
      <c r="D7" s="13" t="b">
        <f>IF(OR(MOD(C5,400)=0,AND(MOD(C5,4)=0,MOD(C5,100)&gt;0)),TRUE,FALSE)</f>
        <v>1</v>
      </c>
      <c r="G7" s="14">
        <v>2020</v>
      </c>
      <c r="H7" s="15" t="s">
        <v>0</v>
      </c>
      <c r="I7" s="16" t="s">
        <v>7</v>
      </c>
      <c r="J7" s="29" t="b">
        <v>0</v>
      </c>
      <c r="K7" s="29" t="str">
        <f>IF(J7,I7,"")</f>
        <v/>
      </c>
    </row>
    <row r="8" spans="2:11" ht="15" customHeight="1">
      <c r="B8" s="17"/>
      <c r="C8" s="18" t="s">
        <v>8</v>
      </c>
      <c r="D8" s="19">
        <f>IF(D7,366,365)</f>
        <v>366</v>
      </c>
      <c r="G8" s="14">
        <v>2021</v>
      </c>
      <c r="H8" s="20" t="s">
        <v>9</v>
      </c>
      <c r="I8" s="21" t="s">
        <v>10</v>
      </c>
      <c r="J8" s="29" t="b">
        <v>0</v>
      </c>
      <c r="K8" s="29" t="str">
        <f t="shared" ref="K8:K13" si="0">IF(J8,I8,"")</f>
        <v/>
      </c>
    </row>
    <row r="9" spans="2:11" ht="15" customHeight="1">
      <c r="B9" s="17"/>
      <c r="C9" s="18" t="s">
        <v>11</v>
      </c>
      <c r="D9" s="22">
        <f>COUNTA(C27:C39)</f>
        <v>13</v>
      </c>
      <c r="G9" s="14">
        <v>2022</v>
      </c>
      <c r="H9" s="20" t="s">
        <v>12</v>
      </c>
      <c r="I9" s="21" t="s">
        <v>13</v>
      </c>
      <c r="J9" s="29" t="b">
        <v>0</v>
      </c>
      <c r="K9" s="29" t="str">
        <f t="shared" si="0"/>
        <v/>
      </c>
    </row>
    <row r="10" spans="2:11" ht="15" customHeight="1">
      <c r="B10" s="17"/>
      <c r="C10" s="18" t="s">
        <v>14</v>
      </c>
      <c r="D10" s="23">
        <f>SUM(D27:D39)</f>
        <v>1</v>
      </c>
      <c r="G10" s="14">
        <v>2023</v>
      </c>
      <c r="H10" s="20" t="s">
        <v>15</v>
      </c>
      <c r="I10" s="21" t="s">
        <v>16</v>
      </c>
      <c r="J10" s="29" t="b">
        <v>0</v>
      </c>
      <c r="K10" s="29" t="str">
        <f t="shared" si="0"/>
        <v/>
      </c>
    </row>
    <row r="11" spans="2:11" ht="15" customHeight="1">
      <c r="B11" s="17"/>
      <c r="C11" s="18" t="s">
        <v>17</v>
      </c>
      <c r="D11" s="23">
        <f>SUM(E27:E37)</f>
        <v>3</v>
      </c>
      <c r="G11" s="14">
        <v>2024</v>
      </c>
      <c r="H11" s="20" t="s">
        <v>18</v>
      </c>
      <c r="I11" s="21" t="s">
        <v>19</v>
      </c>
      <c r="J11" s="29" t="b">
        <v>0</v>
      </c>
      <c r="K11" s="29" t="str">
        <f t="shared" si="0"/>
        <v/>
      </c>
    </row>
    <row r="12" spans="2:11" ht="15" customHeight="1">
      <c r="B12" s="17"/>
      <c r="C12" s="18" t="s">
        <v>20</v>
      </c>
      <c r="D12" s="24">
        <f>NETWORKDAYS(I27,L38,jourferies)</f>
        <v>253</v>
      </c>
      <c r="G12" s="14">
        <v>2025</v>
      </c>
      <c r="H12" s="20" t="s">
        <v>21</v>
      </c>
      <c r="I12" s="21" t="s">
        <v>22</v>
      </c>
      <c r="J12" s="29" t="b">
        <v>0</v>
      </c>
      <c r="K12" s="29" t="str">
        <f t="shared" si="0"/>
        <v/>
      </c>
    </row>
    <row r="13" spans="2:11" ht="15" customHeight="1">
      <c r="B13" s="25"/>
      <c r="C13" s="26" t="s">
        <v>23</v>
      </c>
      <c r="D13" s="27">
        <f>NETWORKDAYS(I27,L38)</f>
        <v>262</v>
      </c>
      <c r="G13" s="14">
        <v>2026</v>
      </c>
      <c r="H13" s="20" t="s">
        <v>24</v>
      </c>
      <c r="I13" s="28" t="s">
        <v>25</v>
      </c>
      <c r="J13" s="29" t="b">
        <v>1</v>
      </c>
      <c r="K13" s="29" t="str">
        <f t="shared" si="0"/>
        <v>Dimanche</v>
      </c>
    </row>
    <row r="14" spans="2:11">
      <c r="G14" s="14">
        <v>2027</v>
      </c>
      <c r="H14" s="20" t="s">
        <v>26</v>
      </c>
      <c r="I14" s="29"/>
    </row>
    <row r="15" spans="2:11">
      <c r="G15" s="14">
        <v>2028</v>
      </c>
      <c r="H15" s="20" t="s">
        <v>27</v>
      </c>
      <c r="I15" s="29"/>
    </row>
    <row r="16" spans="2:11">
      <c r="G16" s="14">
        <v>2029</v>
      </c>
      <c r="H16" s="20" t="s">
        <v>28</v>
      </c>
      <c r="I16" s="29"/>
    </row>
    <row r="17" spans="1:30">
      <c r="G17" s="30">
        <v>2030</v>
      </c>
      <c r="H17" s="20" t="s">
        <v>29</v>
      </c>
      <c r="I17" s="29"/>
    </row>
    <row r="18" spans="1:30">
      <c r="G18" s="31"/>
      <c r="H18" s="32" t="s">
        <v>30</v>
      </c>
      <c r="I18" s="29"/>
    </row>
    <row r="19" spans="1:30">
      <c r="B19" s="33"/>
      <c r="G19" s="34"/>
      <c r="AA19" s="35"/>
    </row>
    <row r="20" spans="1:30">
      <c r="B20" s="33" t="s">
        <v>31</v>
      </c>
      <c r="G20" s="34"/>
    </row>
    <row r="21" spans="1:30">
      <c r="B21" s="33" t="s">
        <v>32</v>
      </c>
      <c r="G21" s="34"/>
      <c r="AB21" s="35"/>
    </row>
    <row r="22" spans="1:30">
      <c r="B22" s="33" t="s">
        <v>33</v>
      </c>
      <c r="G22" s="34"/>
      <c r="Z22" s="290" t="s">
        <v>34</v>
      </c>
      <c r="AA22" s="36" t="s">
        <v>35</v>
      </c>
      <c r="AB22" s="37" t="s">
        <v>36</v>
      </c>
      <c r="AC22" s="38" t="s">
        <v>37</v>
      </c>
    </row>
    <row r="23" spans="1:30">
      <c r="B23" s="33" t="s">
        <v>38</v>
      </c>
      <c r="G23" s="34"/>
      <c r="Z23" s="291"/>
      <c r="AA23" s="39">
        <v>44605</v>
      </c>
      <c r="AB23" s="39">
        <v>44660</v>
      </c>
      <c r="AC23" s="40">
        <f>AB23-AA23</f>
        <v>55</v>
      </c>
    </row>
    <row r="24" spans="1:30">
      <c r="B24" s="41" t="s">
        <v>39</v>
      </c>
      <c r="I24" s="42" t="s">
        <v>40</v>
      </c>
      <c r="U24" s="43"/>
      <c r="V24" s="43"/>
    </row>
    <row r="25" spans="1:30">
      <c r="I25" s="44"/>
      <c r="J25" s="43"/>
      <c r="K25" s="43"/>
      <c r="L25" s="43"/>
      <c r="M25" s="43"/>
      <c r="N25" s="43"/>
      <c r="O25" s="43"/>
      <c r="U25" s="45" t="s">
        <v>41</v>
      </c>
      <c r="V25" s="46"/>
      <c r="Z25" s="47" t="s">
        <v>42</v>
      </c>
      <c r="AA25" s="48" t="s">
        <v>43</v>
      </c>
      <c r="AB25" s="48" t="s">
        <v>44</v>
      </c>
      <c r="AC25" s="48"/>
    </row>
    <row r="26" spans="1:30" ht="15.75">
      <c r="A26" s="49">
        <f>C5</f>
        <v>2020</v>
      </c>
      <c r="B26" s="50" t="s">
        <v>45</v>
      </c>
      <c r="C26" s="50" t="s">
        <v>46</v>
      </c>
      <c r="D26" s="50" t="s">
        <v>47</v>
      </c>
      <c r="E26" s="50" t="s">
        <v>48</v>
      </c>
      <c r="F26" s="51" t="s">
        <v>49</v>
      </c>
      <c r="G26" s="52" t="s">
        <v>3</v>
      </c>
      <c r="H26" s="52" t="s">
        <v>50</v>
      </c>
      <c r="I26" s="52" t="s">
        <v>51</v>
      </c>
      <c r="J26" s="292" t="s">
        <v>52</v>
      </c>
      <c r="K26" s="293"/>
      <c r="L26" s="53" t="s">
        <v>53</v>
      </c>
      <c r="M26" s="294" t="s">
        <v>52</v>
      </c>
      <c r="N26" s="295"/>
      <c r="O26" s="54" t="s">
        <v>54</v>
      </c>
      <c r="P26" s="54" t="s">
        <v>55</v>
      </c>
      <c r="Q26" s="54" t="s">
        <v>56</v>
      </c>
      <c r="R26" s="54" t="s">
        <v>22</v>
      </c>
      <c r="S26" s="54" t="s">
        <v>25</v>
      </c>
      <c r="T26" s="55" t="s">
        <v>57</v>
      </c>
      <c r="U26" s="56">
        <v>7</v>
      </c>
      <c r="V26" s="57">
        <v>7</v>
      </c>
      <c r="AA26" s="58" t="s">
        <v>58</v>
      </c>
      <c r="AB26" s="59" t="s">
        <v>59</v>
      </c>
      <c r="AC26" s="60" t="s">
        <v>60</v>
      </c>
    </row>
    <row r="27" spans="1:30">
      <c r="B27" s="61" t="s">
        <v>61</v>
      </c>
      <c r="C27" s="62">
        <f>DATE($A$26,1,1)</f>
        <v>43831</v>
      </c>
      <c r="D27" s="63">
        <f>IF(WEEKDAY(C27,2)=6,1,0)</f>
        <v>0</v>
      </c>
      <c r="E27" s="64">
        <f>IF(WEEKDAY(C27,2)=7,1,0)</f>
        <v>0</v>
      </c>
      <c r="F27" s="65">
        <v>1</v>
      </c>
      <c r="G27" s="11" t="s">
        <v>0</v>
      </c>
      <c r="H27" s="66">
        <f>MONTH(1&amp;G27)</f>
        <v>1</v>
      </c>
      <c r="I27" s="36">
        <f>DATE($A$26,H27,1)</f>
        <v>43831</v>
      </c>
      <c r="J27" s="37">
        <f>WEEKDAY(I27,2)</f>
        <v>3</v>
      </c>
      <c r="K27" s="67" t="str">
        <f t="shared" ref="K27:K38" si="1">INDEX(JoursSem,J27,1)</f>
        <v>Mercredi</v>
      </c>
      <c r="L27" s="68">
        <f>DATE($A$26,MONTH(DATE($A$26,H27,1))+1,0)</f>
        <v>43861</v>
      </c>
      <c r="M27" s="37">
        <f>WEEKDAY(L27,2)</f>
        <v>5</v>
      </c>
      <c r="N27" s="67" t="str">
        <f t="shared" ref="N27:N38" si="2">INDEX(JoursSem,M27,1)</f>
        <v>Vendredi</v>
      </c>
      <c r="O27" s="66">
        <f>DATE(YEAR(I27),MONTH(I27)+1,1)-I27</f>
        <v>31</v>
      </c>
      <c r="P27" s="66">
        <f t="shared" ref="P27:P38" si="3">NETWORKDAYS($I27,$L27,jourferies)</f>
        <v>22</v>
      </c>
      <c r="Q27" s="66">
        <f>NETWORKDAYS($I27,$L27)</f>
        <v>23</v>
      </c>
      <c r="R27" s="66">
        <f ca="1">SUMPRODUCT((WEEKDAY(ROW(INDIRECT("A"&amp;I27&amp;":"&amp;"A"&amp;L27)),2)=6)*1)</f>
        <v>4</v>
      </c>
      <c r="S27" s="66">
        <f ca="1">SUMPRODUCT((WEEKDAY(ROW(INDIRECT("A"&amp;I27&amp;":"&amp;"A"&amp;L27)),2)=7)*1)</f>
        <v>4</v>
      </c>
      <c r="T27" s="66">
        <f t="shared" ref="T27:T38" ca="1" si="4">SUMPRODUCT(COUNTIF(jourferies,(ROW(INDIRECT(I27&amp;":"&amp;L27)))))</f>
        <v>1</v>
      </c>
      <c r="U27" s="69">
        <f>P27*$U$26</f>
        <v>154</v>
      </c>
      <c r="V27" s="70">
        <f>Q27*$U$26</f>
        <v>161</v>
      </c>
      <c r="Z27" s="71" t="str">
        <f>"Noël "&amp;CHAR(10)&amp;TEXT(AA27,"""(""mmm aaaa"")""")</f>
        <v>Noël 
(déc 2019)</v>
      </c>
      <c r="AA27" s="72">
        <f>DATE(C5-1,12,20)</f>
        <v>43819</v>
      </c>
      <c r="AB27" s="73">
        <f>AA27+14</f>
        <v>43833</v>
      </c>
      <c r="AC27" s="74">
        <f t="shared" ref="AC27:AC42" si="5">AB27+1</f>
        <v>43834</v>
      </c>
      <c r="AD27" s="281" t="str">
        <f>"Année scolaire "&amp;YEAR(AA27)&amp;"-"&amp;YEAR(AA32)</f>
        <v>Année scolaire 2019-2020</v>
      </c>
    </row>
    <row r="28" spans="1:30">
      <c r="B28" s="75" t="s">
        <v>62</v>
      </c>
      <c r="C28" s="76">
        <f>DATE($A$26,3,29.56+0.979*MOD(204-11*MOD($A$26,19),30)-WEEKDAY(DATE($A$26,3,28.56+0.979*MOD(204-11*MOD($A$26,19),30))))</f>
        <v>43933</v>
      </c>
      <c r="D28" s="77">
        <f>IF(WEEKDAY(C28,2)=6,1,0)</f>
        <v>0</v>
      </c>
      <c r="E28" s="78">
        <f>IF(WEEKDAY(C28,2)=7,1,0)</f>
        <v>1</v>
      </c>
      <c r="F28" s="65">
        <v>2</v>
      </c>
      <c r="G28" s="17" t="s">
        <v>9</v>
      </c>
      <c r="H28" s="44">
        <f>MONTH(1&amp;G28)</f>
        <v>2</v>
      </c>
      <c r="I28" s="79">
        <f>DATE($A$26,H28,1)</f>
        <v>43862</v>
      </c>
      <c r="J28" s="65">
        <f>WEEKDAY(I28,2)</f>
        <v>6</v>
      </c>
      <c r="K28" s="80" t="str">
        <f t="shared" si="1"/>
        <v>Samedi</v>
      </c>
      <c r="L28" s="81">
        <f>DATE($A$26,MONTH(DATE($A$26,H28,1))+1,0)</f>
        <v>43890</v>
      </c>
      <c r="M28" s="65">
        <f>WEEKDAY(L28,2)</f>
        <v>6</v>
      </c>
      <c r="N28" s="80" t="str">
        <f t="shared" si="2"/>
        <v>Samedi</v>
      </c>
      <c r="O28" s="44">
        <f t="shared" ref="O28:O38" si="6">DATE(YEAR(I28),MONTH(I28)+1,1)-I28</f>
        <v>29</v>
      </c>
      <c r="P28" s="44">
        <f t="shared" si="3"/>
        <v>20</v>
      </c>
      <c r="Q28" s="44">
        <f t="shared" ref="Q28:Q38" si="7">NETWORKDAYS($I28,$L28)</f>
        <v>20</v>
      </c>
      <c r="R28" s="44">
        <f t="shared" ref="R28:R38" ca="1" si="8">SUMPRODUCT((WEEKDAY(ROW(INDIRECT("A"&amp;I28&amp;":"&amp;"A"&amp;L28)),2)=6)*1)</f>
        <v>5</v>
      </c>
      <c r="S28" s="44">
        <f t="shared" ref="S28:S38" ca="1" si="9">SUMPRODUCT((WEEKDAY(ROW(INDIRECT("A"&amp;I28&amp;":"&amp;"A"&amp;L28)),2)=7)*1)</f>
        <v>4</v>
      </c>
      <c r="T28" s="44">
        <f t="shared" ca="1" si="4"/>
        <v>0</v>
      </c>
      <c r="U28" s="82">
        <f t="shared" ref="U28:V38" si="10">P28*$U$26</f>
        <v>140</v>
      </c>
      <c r="V28" s="83">
        <f t="shared" si="10"/>
        <v>140</v>
      </c>
      <c r="Z28" s="84" t="str">
        <f>"Hiver "&amp;CHAR(10)&amp;TEXT(AA28,"""(""mmm aaaa"")""")</f>
        <v>Hiver 
(févr 2020)</v>
      </c>
      <c r="AA28" s="85">
        <f>AA27+65</f>
        <v>43884</v>
      </c>
      <c r="AB28" s="86">
        <f>AA28+14</f>
        <v>43898</v>
      </c>
      <c r="AC28" s="87">
        <f t="shared" si="5"/>
        <v>43899</v>
      </c>
      <c r="AD28" s="282"/>
    </row>
    <row r="29" spans="1:30">
      <c r="B29" s="88" t="s">
        <v>63</v>
      </c>
      <c r="C29" s="89">
        <f>C28+1</f>
        <v>43934</v>
      </c>
      <c r="D29" s="77">
        <f t="shared" ref="D29:D39" si="11">IF(WEEKDAY(C29,2)=6,1,0)</f>
        <v>0</v>
      </c>
      <c r="E29" s="78">
        <f t="shared" ref="E29:E39" si="12">IF(WEEKDAY(C29,2)=7,1,0)</f>
        <v>0</v>
      </c>
      <c r="F29" s="65">
        <v>3</v>
      </c>
      <c r="G29" s="17" t="s">
        <v>12</v>
      </c>
      <c r="H29" s="44">
        <f t="shared" ref="H29:H38" si="13">MONTH(1&amp;G29)</f>
        <v>3</v>
      </c>
      <c r="I29" s="79">
        <f t="shared" ref="I29:I34" si="14">DATE($A$26,H29,1)</f>
        <v>43891</v>
      </c>
      <c r="J29" s="65">
        <f t="shared" ref="J29:J34" si="15">WEEKDAY(I29,2)</f>
        <v>7</v>
      </c>
      <c r="K29" s="80" t="str">
        <f t="shared" si="1"/>
        <v>Dimanche</v>
      </c>
      <c r="L29" s="81">
        <f t="shared" ref="L29:L34" si="16">DATE($A$26,MONTH(DATE($A$26,H29,1))+1,0)</f>
        <v>43921</v>
      </c>
      <c r="M29" s="65">
        <f t="shared" ref="M29:M34" si="17">WEEKDAY(L29,2)</f>
        <v>2</v>
      </c>
      <c r="N29" s="80" t="str">
        <f t="shared" si="2"/>
        <v>Mardi</v>
      </c>
      <c r="O29" s="44">
        <f t="shared" si="6"/>
        <v>31</v>
      </c>
      <c r="P29" s="44">
        <f t="shared" si="3"/>
        <v>22</v>
      </c>
      <c r="Q29" s="44">
        <f t="shared" si="7"/>
        <v>22</v>
      </c>
      <c r="R29" s="44">
        <f t="shared" ca="1" si="8"/>
        <v>4</v>
      </c>
      <c r="S29" s="44">
        <f t="shared" ca="1" si="9"/>
        <v>5</v>
      </c>
      <c r="T29" s="44">
        <f t="shared" ca="1" si="4"/>
        <v>0</v>
      </c>
      <c r="U29" s="82">
        <f t="shared" si="10"/>
        <v>154</v>
      </c>
      <c r="V29" s="83">
        <f t="shared" si="10"/>
        <v>154</v>
      </c>
      <c r="Z29" s="84" t="str">
        <f>"Printemps "&amp;CHAR(10)&amp;TEXT(AA29,"""(""mmm aaaa"")""")</f>
        <v>Printemps 
(avr 2020)</v>
      </c>
      <c r="AA29" s="85">
        <f>AA28+56</f>
        <v>43940</v>
      </c>
      <c r="AB29" s="86">
        <f>AA29+14</f>
        <v>43954</v>
      </c>
      <c r="AC29" s="87">
        <f t="shared" si="5"/>
        <v>43955</v>
      </c>
      <c r="AD29" s="282"/>
    </row>
    <row r="30" spans="1:30">
      <c r="B30" s="88" t="s">
        <v>64</v>
      </c>
      <c r="C30" s="89">
        <f>DATE($A$26,5,1)</f>
        <v>43952</v>
      </c>
      <c r="D30" s="77">
        <f t="shared" si="11"/>
        <v>0</v>
      </c>
      <c r="E30" s="78">
        <f t="shared" si="12"/>
        <v>0</v>
      </c>
      <c r="F30" s="65">
        <v>4</v>
      </c>
      <c r="G30" s="17" t="s">
        <v>15</v>
      </c>
      <c r="H30" s="44">
        <f t="shared" si="13"/>
        <v>4</v>
      </c>
      <c r="I30" s="79">
        <f t="shared" si="14"/>
        <v>43922</v>
      </c>
      <c r="J30" s="65">
        <f t="shared" si="15"/>
        <v>3</v>
      </c>
      <c r="K30" s="80" t="str">
        <f t="shared" si="1"/>
        <v>Mercredi</v>
      </c>
      <c r="L30" s="81">
        <f t="shared" si="16"/>
        <v>43951</v>
      </c>
      <c r="M30" s="65">
        <f t="shared" si="17"/>
        <v>4</v>
      </c>
      <c r="N30" s="80" t="str">
        <f t="shared" si="2"/>
        <v>Jeudi</v>
      </c>
      <c r="O30" s="44">
        <f t="shared" si="6"/>
        <v>30</v>
      </c>
      <c r="P30" s="44">
        <f t="shared" si="3"/>
        <v>21</v>
      </c>
      <c r="Q30" s="44">
        <f t="shared" si="7"/>
        <v>22</v>
      </c>
      <c r="R30" s="44">
        <f t="shared" ca="1" si="8"/>
        <v>4</v>
      </c>
      <c r="S30" s="44">
        <f t="shared" ca="1" si="9"/>
        <v>4</v>
      </c>
      <c r="T30" s="44">
        <f t="shared" ca="1" si="4"/>
        <v>2</v>
      </c>
      <c r="U30" s="82">
        <f t="shared" si="10"/>
        <v>147</v>
      </c>
      <c r="V30" s="83">
        <f t="shared" si="10"/>
        <v>154</v>
      </c>
      <c r="Z30" s="84" t="str">
        <f>"Ascension "&amp;CHAR(10)&amp;TEXT(AA30,"""(""mmm aaaa"")""")</f>
        <v>Ascension 
(mai 2020)</v>
      </c>
      <c r="AA30" s="85">
        <f>AA29+32</f>
        <v>43972</v>
      </c>
      <c r="AB30" s="86">
        <f>AA30+3</f>
        <v>43975</v>
      </c>
      <c r="AC30" s="87">
        <f t="shared" si="5"/>
        <v>43976</v>
      </c>
      <c r="AD30" s="282"/>
    </row>
    <row r="31" spans="1:30">
      <c r="B31" s="88" t="s">
        <v>65</v>
      </c>
      <c r="C31" s="89">
        <f>DATE($A$26,5,8)</f>
        <v>43959</v>
      </c>
      <c r="D31" s="77">
        <f t="shared" si="11"/>
        <v>0</v>
      </c>
      <c r="E31" s="78">
        <f t="shared" si="12"/>
        <v>0</v>
      </c>
      <c r="F31" s="65">
        <v>5</v>
      </c>
      <c r="G31" s="17" t="s">
        <v>18</v>
      </c>
      <c r="H31" s="44">
        <f t="shared" si="13"/>
        <v>5</v>
      </c>
      <c r="I31" s="79">
        <f t="shared" si="14"/>
        <v>43952</v>
      </c>
      <c r="J31" s="65">
        <f t="shared" si="15"/>
        <v>5</v>
      </c>
      <c r="K31" s="80" t="str">
        <f t="shared" si="1"/>
        <v>Vendredi</v>
      </c>
      <c r="L31" s="81">
        <f t="shared" si="16"/>
        <v>43982</v>
      </c>
      <c r="M31" s="65">
        <f t="shared" si="17"/>
        <v>7</v>
      </c>
      <c r="N31" s="80" t="str">
        <f t="shared" si="2"/>
        <v>Dimanche</v>
      </c>
      <c r="O31" s="44">
        <f t="shared" si="6"/>
        <v>31</v>
      </c>
      <c r="P31" s="44">
        <f t="shared" si="3"/>
        <v>18</v>
      </c>
      <c r="Q31" s="44">
        <f t="shared" si="7"/>
        <v>21</v>
      </c>
      <c r="R31" s="44">
        <f t="shared" ca="1" si="8"/>
        <v>5</v>
      </c>
      <c r="S31" s="44">
        <f t="shared" ca="1" si="9"/>
        <v>5</v>
      </c>
      <c r="T31" s="44">
        <f t="shared" ca="1" si="4"/>
        <v>4</v>
      </c>
      <c r="U31" s="82">
        <f t="shared" si="10"/>
        <v>126</v>
      </c>
      <c r="V31" s="83">
        <f t="shared" si="10"/>
        <v>147</v>
      </c>
      <c r="Z31" s="90" t="str">
        <f>"Eté "&amp;CHAR(10)&amp;TEXT(AA31,"""(""mmm aaaa"")""")</f>
        <v>Eté 
(juil 2020)</v>
      </c>
      <c r="AA31" s="91">
        <f>AA30+45</f>
        <v>44017</v>
      </c>
      <c r="AB31" s="92">
        <f>AA31+57</f>
        <v>44074</v>
      </c>
      <c r="AC31" s="93">
        <f t="shared" si="5"/>
        <v>44075</v>
      </c>
      <c r="AD31" s="283"/>
    </row>
    <row r="32" spans="1:30" ht="15" customHeight="1">
      <c r="B32" s="88" t="s">
        <v>66</v>
      </c>
      <c r="C32" s="89">
        <f>C28+39</f>
        <v>43972</v>
      </c>
      <c r="D32" s="77">
        <f t="shared" si="11"/>
        <v>0</v>
      </c>
      <c r="E32" s="78">
        <f t="shared" si="12"/>
        <v>0</v>
      </c>
      <c r="F32" s="65">
        <v>6</v>
      </c>
      <c r="G32" s="17" t="s">
        <v>21</v>
      </c>
      <c r="H32" s="44">
        <f t="shared" si="13"/>
        <v>6</v>
      </c>
      <c r="I32" s="79">
        <f t="shared" si="14"/>
        <v>43983</v>
      </c>
      <c r="J32" s="65">
        <f t="shared" si="15"/>
        <v>1</v>
      </c>
      <c r="K32" s="80" t="str">
        <f t="shared" si="1"/>
        <v>Lundi</v>
      </c>
      <c r="L32" s="81">
        <f t="shared" si="16"/>
        <v>44012</v>
      </c>
      <c r="M32" s="65">
        <f t="shared" si="17"/>
        <v>2</v>
      </c>
      <c r="N32" s="80" t="str">
        <f t="shared" si="2"/>
        <v>Mardi</v>
      </c>
      <c r="O32" s="44">
        <f t="shared" si="6"/>
        <v>30</v>
      </c>
      <c r="P32" s="44">
        <f t="shared" si="3"/>
        <v>21</v>
      </c>
      <c r="Q32" s="44">
        <f t="shared" si="7"/>
        <v>22</v>
      </c>
      <c r="R32" s="44">
        <f t="shared" ca="1" si="8"/>
        <v>4</v>
      </c>
      <c r="S32" s="44">
        <f t="shared" ca="1" si="9"/>
        <v>4</v>
      </c>
      <c r="T32" s="44">
        <f t="shared" ca="1" si="4"/>
        <v>1</v>
      </c>
      <c r="U32" s="82">
        <f t="shared" si="10"/>
        <v>147</v>
      </c>
      <c r="V32" s="83">
        <f t="shared" si="10"/>
        <v>154</v>
      </c>
      <c r="Z32" s="84" t="str">
        <f>"Toussaint "&amp;CHAR(10)&amp;TEXT(AA32,"""(""mmm aaaa"")""")</f>
        <v>Toussaint 
(oct 2020)</v>
      </c>
      <c r="AA32" s="94">
        <f>AC31+47</f>
        <v>44122</v>
      </c>
      <c r="AB32" s="95">
        <f>AA32+14</f>
        <v>44136</v>
      </c>
      <c r="AC32" s="96">
        <f t="shared" si="5"/>
        <v>44137</v>
      </c>
      <c r="AD32" s="281" t="str">
        <f>"Année scolaire "&amp;YEAR(AC31)&amp;"-"&amp;YEAR(AA37)</f>
        <v>Année scolaire 2020-2021</v>
      </c>
    </row>
    <row r="33" spans="2:30">
      <c r="B33" s="88" t="s">
        <v>67</v>
      </c>
      <c r="C33" s="89">
        <f>C28+49</f>
        <v>43982</v>
      </c>
      <c r="D33" s="77">
        <f t="shared" si="11"/>
        <v>0</v>
      </c>
      <c r="E33" s="78">
        <f t="shared" si="12"/>
        <v>1</v>
      </c>
      <c r="F33" s="65">
        <v>7</v>
      </c>
      <c r="G33" s="17" t="s">
        <v>24</v>
      </c>
      <c r="H33" s="44">
        <f t="shared" si="13"/>
        <v>7</v>
      </c>
      <c r="I33" s="79">
        <f t="shared" si="14"/>
        <v>44013</v>
      </c>
      <c r="J33" s="65">
        <f t="shared" si="15"/>
        <v>3</v>
      </c>
      <c r="K33" s="80" t="str">
        <f t="shared" si="1"/>
        <v>Mercredi</v>
      </c>
      <c r="L33" s="81">
        <f t="shared" si="16"/>
        <v>44043</v>
      </c>
      <c r="M33" s="65">
        <f t="shared" si="17"/>
        <v>5</v>
      </c>
      <c r="N33" s="80" t="str">
        <f t="shared" si="2"/>
        <v>Vendredi</v>
      </c>
      <c r="O33" s="44">
        <f t="shared" si="6"/>
        <v>31</v>
      </c>
      <c r="P33" s="44">
        <f t="shared" si="3"/>
        <v>22</v>
      </c>
      <c r="Q33" s="44">
        <f t="shared" si="7"/>
        <v>23</v>
      </c>
      <c r="R33" s="44">
        <f t="shared" ca="1" si="8"/>
        <v>4</v>
      </c>
      <c r="S33" s="44">
        <f t="shared" ca="1" si="9"/>
        <v>4</v>
      </c>
      <c r="T33" s="44">
        <f t="shared" ca="1" si="4"/>
        <v>1</v>
      </c>
      <c r="U33" s="82">
        <f t="shared" si="10"/>
        <v>154</v>
      </c>
      <c r="V33" s="83">
        <f t="shared" si="10"/>
        <v>161</v>
      </c>
      <c r="Z33" s="84" t="str">
        <f>"Noël "&amp;CHAR(10)&amp;TEXT(AA33,"""(""mmm aaaa"")""")</f>
        <v>Noël 
(déc 2020)</v>
      </c>
      <c r="AA33" s="97">
        <f>AA32+63</f>
        <v>44185</v>
      </c>
      <c r="AB33" s="98">
        <f>AA33+14</f>
        <v>44199</v>
      </c>
      <c r="AC33" s="99">
        <f t="shared" si="5"/>
        <v>44200</v>
      </c>
      <c r="AD33" s="282"/>
    </row>
    <row r="34" spans="2:30">
      <c r="B34" s="88" t="s">
        <v>68</v>
      </c>
      <c r="C34" s="89">
        <f>C33+1</f>
        <v>43983</v>
      </c>
      <c r="D34" s="77">
        <f t="shared" si="11"/>
        <v>0</v>
      </c>
      <c r="E34" s="78">
        <f t="shared" si="12"/>
        <v>0</v>
      </c>
      <c r="F34" s="65">
        <v>8</v>
      </c>
      <c r="G34" s="17" t="s">
        <v>26</v>
      </c>
      <c r="H34" s="44">
        <f t="shared" si="13"/>
        <v>8</v>
      </c>
      <c r="I34" s="79">
        <f t="shared" si="14"/>
        <v>44044</v>
      </c>
      <c r="J34" s="65">
        <f t="shared" si="15"/>
        <v>6</v>
      </c>
      <c r="K34" s="80" t="str">
        <f t="shared" si="1"/>
        <v>Samedi</v>
      </c>
      <c r="L34" s="81">
        <f t="shared" si="16"/>
        <v>44074</v>
      </c>
      <c r="M34" s="65">
        <f t="shared" si="17"/>
        <v>1</v>
      </c>
      <c r="N34" s="80" t="str">
        <f t="shared" si="2"/>
        <v>Lundi</v>
      </c>
      <c r="O34" s="44">
        <f t="shared" si="6"/>
        <v>31</v>
      </c>
      <c r="P34" s="44">
        <f t="shared" si="3"/>
        <v>21</v>
      </c>
      <c r="Q34" s="44">
        <f t="shared" si="7"/>
        <v>21</v>
      </c>
      <c r="R34" s="44">
        <f t="shared" ca="1" si="8"/>
        <v>5</v>
      </c>
      <c r="S34" s="44">
        <f t="shared" ca="1" si="9"/>
        <v>5</v>
      </c>
      <c r="T34" s="44">
        <f t="shared" ca="1" si="4"/>
        <v>1</v>
      </c>
      <c r="U34" s="82">
        <f t="shared" si="10"/>
        <v>147</v>
      </c>
      <c r="V34" s="83">
        <f t="shared" si="10"/>
        <v>147</v>
      </c>
      <c r="Z34" s="84" t="str">
        <f>"Hiver "&amp;CHAR(10)&amp;TEXT(AA34,"""(""mmm aaaa"")""")</f>
        <v>Hiver 
(févr 2021)</v>
      </c>
      <c r="AA34" s="97">
        <f>AA33+49</f>
        <v>44234</v>
      </c>
      <c r="AB34" s="98">
        <f>AA34+14</f>
        <v>44248</v>
      </c>
      <c r="AC34" s="99">
        <f t="shared" si="5"/>
        <v>44249</v>
      </c>
      <c r="AD34" s="282"/>
    </row>
    <row r="35" spans="2:30">
      <c r="B35" s="88" t="s">
        <v>69</v>
      </c>
      <c r="C35" s="89">
        <f>DATE($A$26,7,14)</f>
        <v>44026</v>
      </c>
      <c r="D35" s="77">
        <f t="shared" si="11"/>
        <v>0</v>
      </c>
      <c r="E35" s="78">
        <f t="shared" si="12"/>
        <v>0</v>
      </c>
      <c r="F35" s="65">
        <v>9</v>
      </c>
      <c r="G35" s="17" t="s">
        <v>27</v>
      </c>
      <c r="H35" s="44">
        <f t="shared" si="13"/>
        <v>9</v>
      </c>
      <c r="I35" s="79">
        <f>DATE($A$26,H35,1)</f>
        <v>44075</v>
      </c>
      <c r="J35" s="65">
        <f>WEEKDAY(I35,2)</f>
        <v>2</v>
      </c>
      <c r="K35" s="80" t="str">
        <f t="shared" si="1"/>
        <v>Mardi</v>
      </c>
      <c r="L35" s="81">
        <f>DATE($A$26,MONTH(DATE($A$26,H35,1))+1,0)</f>
        <v>44104</v>
      </c>
      <c r="M35" s="65">
        <f>WEEKDAY(L35,2)</f>
        <v>3</v>
      </c>
      <c r="N35" s="80" t="str">
        <f t="shared" si="2"/>
        <v>Mercredi</v>
      </c>
      <c r="O35" s="44">
        <f t="shared" si="6"/>
        <v>30</v>
      </c>
      <c r="P35" s="44">
        <f t="shared" si="3"/>
        <v>22</v>
      </c>
      <c r="Q35" s="44">
        <f t="shared" si="7"/>
        <v>22</v>
      </c>
      <c r="R35" s="44">
        <f t="shared" ca="1" si="8"/>
        <v>4</v>
      </c>
      <c r="S35" s="44">
        <f t="shared" ca="1" si="9"/>
        <v>4</v>
      </c>
      <c r="T35" s="44">
        <f t="shared" ca="1" si="4"/>
        <v>0</v>
      </c>
      <c r="U35" s="82">
        <f t="shared" si="10"/>
        <v>154</v>
      </c>
      <c r="V35" s="83">
        <f t="shared" si="10"/>
        <v>154</v>
      </c>
      <c r="Z35" s="84" t="str">
        <f>"Printemps "&amp;CHAR(10)&amp;TEXT(AA35,"""(""mmm aaaa"")""")</f>
        <v>Printemps 
(avr 2021)</v>
      </c>
      <c r="AA35" s="97">
        <f>AA34+63</f>
        <v>44297</v>
      </c>
      <c r="AB35" s="98">
        <f>AA35+14</f>
        <v>44311</v>
      </c>
      <c r="AC35" s="99">
        <f t="shared" si="5"/>
        <v>44312</v>
      </c>
      <c r="AD35" s="282"/>
    </row>
    <row r="36" spans="2:30">
      <c r="B36" s="88" t="s">
        <v>70</v>
      </c>
      <c r="C36" s="89">
        <f>DATE($A$26,8,15)</f>
        <v>44058</v>
      </c>
      <c r="D36" s="77">
        <f t="shared" si="11"/>
        <v>1</v>
      </c>
      <c r="E36" s="78">
        <f t="shared" si="12"/>
        <v>0</v>
      </c>
      <c r="F36" s="65">
        <v>10</v>
      </c>
      <c r="G36" s="17" t="s">
        <v>28</v>
      </c>
      <c r="H36" s="44">
        <f t="shared" si="13"/>
        <v>10</v>
      </c>
      <c r="I36" s="79">
        <f>DATE($A$26,H36,1)</f>
        <v>44105</v>
      </c>
      <c r="J36" s="65">
        <f>WEEKDAY(I36,2)</f>
        <v>4</v>
      </c>
      <c r="K36" s="80" t="str">
        <f t="shared" si="1"/>
        <v>Jeudi</v>
      </c>
      <c r="L36" s="81">
        <f>DATE($A$26,MONTH(DATE($A$26,H36,1))+1,0)</f>
        <v>44135</v>
      </c>
      <c r="M36" s="65">
        <f>WEEKDAY(L36,2)</f>
        <v>6</v>
      </c>
      <c r="N36" s="80" t="str">
        <f t="shared" si="2"/>
        <v>Samedi</v>
      </c>
      <c r="O36" s="44">
        <f t="shared" si="6"/>
        <v>31</v>
      </c>
      <c r="P36" s="44">
        <f t="shared" si="3"/>
        <v>22</v>
      </c>
      <c r="Q36" s="44">
        <f t="shared" si="7"/>
        <v>22</v>
      </c>
      <c r="R36" s="44">
        <f t="shared" ca="1" si="8"/>
        <v>5</v>
      </c>
      <c r="S36" s="44">
        <f t="shared" ca="1" si="9"/>
        <v>4</v>
      </c>
      <c r="T36" s="44">
        <f t="shared" ca="1" si="4"/>
        <v>0</v>
      </c>
      <c r="U36" s="82">
        <f t="shared" si="10"/>
        <v>154</v>
      </c>
      <c r="V36" s="83">
        <f t="shared" si="10"/>
        <v>154</v>
      </c>
      <c r="Z36" s="84" t="str">
        <f>"Ascension "&amp;CHAR(10)&amp;TEXT(AA36,"""(""mmm aaaa"")""")</f>
        <v>Ascension 
(mai 2021)</v>
      </c>
      <c r="AA36" s="97">
        <f>AA35+32</f>
        <v>44329</v>
      </c>
      <c r="AB36" s="98">
        <f>AA36+3</f>
        <v>44332</v>
      </c>
      <c r="AC36" s="99">
        <f t="shared" si="5"/>
        <v>44333</v>
      </c>
      <c r="AD36" s="282"/>
    </row>
    <row r="37" spans="2:30">
      <c r="B37" s="88" t="s">
        <v>71</v>
      </c>
      <c r="C37" s="89">
        <f>DATE($A$26,11,1)</f>
        <v>44136</v>
      </c>
      <c r="D37" s="77">
        <f t="shared" si="11"/>
        <v>0</v>
      </c>
      <c r="E37" s="78">
        <f t="shared" si="12"/>
        <v>1</v>
      </c>
      <c r="F37" s="65">
        <v>11</v>
      </c>
      <c r="G37" s="17" t="s">
        <v>29</v>
      </c>
      <c r="H37" s="44">
        <f t="shared" si="13"/>
        <v>11</v>
      </c>
      <c r="I37" s="79">
        <f>DATE($A$26,H37,1)</f>
        <v>44136</v>
      </c>
      <c r="J37" s="65">
        <f>WEEKDAY(I37,2)</f>
        <v>7</v>
      </c>
      <c r="K37" s="80" t="str">
        <f t="shared" si="1"/>
        <v>Dimanche</v>
      </c>
      <c r="L37" s="81">
        <f>DATE($A$26,MONTH(DATE($A$26,H37,1))+1,0)</f>
        <v>44165</v>
      </c>
      <c r="M37" s="65">
        <f>WEEKDAY(L37,2)</f>
        <v>1</v>
      </c>
      <c r="N37" s="80" t="str">
        <f t="shared" si="2"/>
        <v>Lundi</v>
      </c>
      <c r="O37" s="44">
        <f t="shared" si="6"/>
        <v>30</v>
      </c>
      <c r="P37" s="44">
        <f t="shared" si="3"/>
        <v>20</v>
      </c>
      <c r="Q37" s="44">
        <f t="shared" si="7"/>
        <v>21</v>
      </c>
      <c r="R37" s="44">
        <f t="shared" ca="1" si="8"/>
        <v>4</v>
      </c>
      <c r="S37" s="44">
        <f t="shared" ca="1" si="9"/>
        <v>5</v>
      </c>
      <c r="T37" s="44">
        <f t="shared" ca="1" si="4"/>
        <v>2</v>
      </c>
      <c r="U37" s="82">
        <f t="shared" si="10"/>
        <v>140</v>
      </c>
      <c r="V37" s="83">
        <f t="shared" si="10"/>
        <v>147</v>
      </c>
      <c r="Z37" s="90" t="str">
        <f>"Eté "&amp;CHAR(10)&amp;TEXT(AA37,"""(""mmm aaaa"")""")</f>
        <v>Eté 
(juil 2021)</v>
      </c>
      <c r="AA37" s="91">
        <f>AA36+54</f>
        <v>44383</v>
      </c>
      <c r="AB37" s="92">
        <f>AA37+56</f>
        <v>44439</v>
      </c>
      <c r="AC37" s="100">
        <f t="shared" si="5"/>
        <v>44440</v>
      </c>
      <c r="AD37" s="283"/>
    </row>
    <row r="38" spans="2:30">
      <c r="B38" s="88" t="s">
        <v>72</v>
      </c>
      <c r="C38" s="89">
        <f>DATE($A$26,11,11)</f>
        <v>44146</v>
      </c>
      <c r="D38" s="77">
        <f t="shared" si="11"/>
        <v>0</v>
      </c>
      <c r="E38" s="78">
        <f t="shared" si="12"/>
        <v>0</v>
      </c>
      <c r="F38" s="65">
        <v>12</v>
      </c>
      <c r="G38" s="25" t="s">
        <v>30</v>
      </c>
      <c r="H38" s="101">
        <f t="shared" si="13"/>
        <v>12</v>
      </c>
      <c r="I38" s="39">
        <f>DATE($A$26,H38,1)</f>
        <v>44166</v>
      </c>
      <c r="J38" s="102">
        <f>WEEKDAY(I38,2)</f>
        <v>2</v>
      </c>
      <c r="K38" s="103" t="str">
        <f t="shared" si="1"/>
        <v>Mardi</v>
      </c>
      <c r="L38" s="104">
        <f>DATE($A$26,MONTH(DATE($A$26,H38,1))+1,0)</f>
        <v>44196</v>
      </c>
      <c r="M38" s="102">
        <f>WEEKDAY(L38,2)</f>
        <v>4</v>
      </c>
      <c r="N38" s="103" t="str">
        <f t="shared" si="2"/>
        <v>Jeudi</v>
      </c>
      <c r="O38" s="101">
        <f t="shared" si="6"/>
        <v>31</v>
      </c>
      <c r="P38" s="101">
        <f t="shared" si="3"/>
        <v>22</v>
      </c>
      <c r="Q38" s="101">
        <f t="shared" si="7"/>
        <v>23</v>
      </c>
      <c r="R38" s="101">
        <f t="shared" ca="1" si="8"/>
        <v>4</v>
      </c>
      <c r="S38" s="101">
        <f t="shared" ca="1" si="9"/>
        <v>4</v>
      </c>
      <c r="T38" s="101">
        <f t="shared" ca="1" si="4"/>
        <v>1</v>
      </c>
      <c r="U38" s="105">
        <f t="shared" si="10"/>
        <v>154</v>
      </c>
      <c r="V38" s="106">
        <f t="shared" si="10"/>
        <v>161</v>
      </c>
      <c r="Z38" s="84" t="str">
        <f>"Toussaint "&amp;CHAR(10)&amp;TEXT(AA38,"""(""mmm aaaa"")""")</f>
        <v>Toussaint 
(oct 2021)</v>
      </c>
      <c r="AA38" s="94">
        <f>AC37+46</f>
        <v>44486</v>
      </c>
      <c r="AB38" s="95">
        <f>AA38+15</f>
        <v>44501</v>
      </c>
      <c r="AC38" s="96">
        <f t="shared" si="5"/>
        <v>44502</v>
      </c>
      <c r="AD38" s="281" t="str">
        <f>"Année scolaire "&amp;YEAR(AC37)&amp;"-"&amp;YEAR(AA43)</f>
        <v>Année scolaire 2021-2022</v>
      </c>
    </row>
    <row r="39" spans="2:30">
      <c r="B39" s="107" t="s">
        <v>73</v>
      </c>
      <c r="C39" s="108">
        <f>DATE($A$26,12,25)</f>
        <v>44190</v>
      </c>
      <c r="D39" s="109">
        <f t="shared" si="11"/>
        <v>0</v>
      </c>
      <c r="E39" s="110">
        <f t="shared" si="12"/>
        <v>0</v>
      </c>
      <c r="F39" s="65">
        <v>13</v>
      </c>
      <c r="G39" s="29"/>
      <c r="H39" s="29"/>
      <c r="I39" s="29"/>
      <c r="J39" s="29"/>
      <c r="K39" s="29"/>
      <c r="L39" s="29"/>
      <c r="M39" s="29"/>
      <c r="N39" s="29"/>
      <c r="O39" s="111">
        <f t="shared" ref="O39:T39" si="18">SUM(O27:O38)</f>
        <v>366</v>
      </c>
      <c r="P39" s="112">
        <f t="shared" si="18"/>
        <v>253</v>
      </c>
      <c r="Q39" s="112">
        <f t="shared" si="18"/>
        <v>262</v>
      </c>
      <c r="R39" s="112">
        <f t="shared" ca="1" si="18"/>
        <v>52</v>
      </c>
      <c r="S39" s="112">
        <f t="shared" ca="1" si="18"/>
        <v>52</v>
      </c>
      <c r="T39" s="113">
        <f t="shared" ca="1" si="18"/>
        <v>13</v>
      </c>
      <c r="U39" s="114"/>
      <c r="V39" s="114"/>
      <c r="Z39" s="84" t="str">
        <f>"Noël "&amp;CHAR(10)&amp;TEXT(AA39,"""(""mmm aaaa"")""")</f>
        <v>Noël 
(déc 2021)</v>
      </c>
      <c r="AA39" s="97">
        <f>AA38+63</f>
        <v>44549</v>
      </c>
      <c r="AB39" s="98">
        <f>AA39+14</f>
        <v>44563</v>
      </c>
      <c r="AC39" s="99">
        <f t="shared" si="5"/>
        <v>44564</v>
      </c>
      <c r="AD39" s="282"/>
    </row>
    <row r="40" spans="2:30">
      <c r="B40" s="61" t="s">
        <v>61</v>
      </c>
      <c r="C40" s="62">
        <f>DATE($A$26+1,1,1)</f>
        <v>44197</v>
      </c>
      <c r="D40" s="63">
        <f>IF(WEEKDAY(C40,2)=6,1,0)</f>
        <v>0</v>
      </c>
      <c r="E40" s="64">
        <f>IF(WEEKDAY(C40,2)=7,1,0)</f>
        <v>0</v>
      </c>
      <c r="F40" s="65">
        <v>14</v>
      </c>
      <c r="Z40" s="84" t="str">
        <f>"Hiver "&amp;CHAR(10)&amp;TEXT(AA40,"""(""mmm aaaa"")""")</f>
        <v>Hiver 
(févr 2022)</v>
      </c>
      <c r="AA40" s="97">
        <f>AA39+56</f>
        <v>44605</v>
      </c>
      <c r="AB40" s="98">
        <f>AA40+14</f>
        <v>44619</v>
      </c>
      <c r="AC40" s="99">
        <f t="shared" si="5"/>
        <v>44620</v>
      </c>
      <c r="AD40" s="282"/>
    </row>
    <row r="41" spans="2:30">
      <c r="B41" s="75" t="s">
        <v>62</v>
      </c>
      <c r="C41" s="76">
        <f>DATE($A$26+1,3,29.56+0.979*MOD(204-11*MOD($A$26+1,19),30)-WEEKDAY(DATE($A$26+1,3,28.56+0.979*MOD(204-11*MOD($A$26+1,19),30))))</f>
        <v>44290</v>
      </c>
      <c r="D41" s="77">
        <f>IF(WEEKDAY(C41,2)=6,1,0)</f>
        <v>0</v>
      </c>
      <c r="E41" s="78">
        <f>IF(WEEKDAY(C41,2)=7,1,0)</f>
        <v>1</v>
      </c>
      <c r="F41" s="65">
        <v>15</v>
      </c>
      <c r="Z41" s="84" t="str">
        <f>"Printemps "&amp;CHAR(10)&amp;TEXT(AA41,"""(""mmm aaaa"")""")</f>
        <v>Printemps 
(avr 2022)</v>
      </c>
      <c r="AA41" s="97">
        <f>AA40+56</f>
        <v>44661</v>
      </c>
      <c r="AB41" s="98">
        <f>AA41+14</f>
        <v>44675</v>
      </c>
      <c r="AC41" s="99">
        <f t="shared" si="5"/>
        <v>44676</v>
      </c>
      <c r="AD41" s="282"/>
    </row>
    <row r="42" spans="2:30">
      <c r="B42" s="88" t="s">
        <v>63</v>
      </c>
      <c r="C42" s="89">
        <f>C41+1</f>
        <v>44291</v>
      </c>
      <c r="D42" s="77">
        <f t="shared" ref="D42:D52" si="19">IF(WEEKDAY(C42,2)=6,1,0)</f>
        <v>0</v>
      </c>
      <c r="E42" s="78">
        <f t="shared" ref="E42:E52" si="20">IF(WEEKDAY(C42,2)=7,1,0)</f>
        <v>0</v>
      </c>
      <c r="F42" s="65">
        <v>16</v>
      </c>
      <c r="H42" s="284" t="s">
        <v>74</v>
      </c>
      <c r="I42" s="284"/>
      <c r="J42" s="284"/>
      <c r="K42" s="284"/>
      <c r="Z42" s="84" t="str">
        <f>"Ascension "&amp;CHAR(10)&amp;TEXT(AA42,"""(""mmm aaaa"")""")</f>
        <v>Ascension 
(mai 2022)</v>
      </c>
      <c r="AA42" s="97">
        <f>AA41+46</f>
        <v>44707</v>
      </c>
      <c r="AB42" s="98">
        <f>AA42+3</f>
        <v>44710</v>
      </c>
      <c r="AC42" s="99">
        <f t="shared" si="5"/>
        <v>44711</v>
      </c>
      <c r="AD42" s="282"/>
    </row>
    <row r="43" spans="2:30">
      <c r="B43" s="88" t="s">
        <v>64</v>
      </c>
      <c r="C43" s="89">
        <f>DATE($A$26+1,5,1)</f>
        <v>44317</v>
      </c>
      <c r="D43" s="77">
        <f t="shared" si="19"/>
        <v>1</v>
      </c>
      <c r="E43" s="78">
        <f t="shared" si="20"/>
        <v>0</v>
      </c>
      <c r="F43" s="65">
        <v>17</v>
      </c>
      <c r="G43" s="115">
        <f>C5</f>
        <v>2020</v>
      </c>
      <c r="H43" s="116"/>
      <c r="I43" s="116"/>
      <c r="J43" s="116"/>
      <c r="K43" s="117"/>
      <c r="Z43" s="90" t="str">
        <f>"Eté "&amp;CHAR(10)&amp;TEXT(AA43,"""(""mmm aaaa"")""")</f>
        <v>Eté 
(juil 2022)</v>
      </c>
      <c r="AA43" s="91">
        <f>AA42+38</f>
        <v>44745</v>
      </c>
      <c r="AB43" s="118"/>
      <c r="AC43" s="119"/>
      <c r="AD43" s="283"/>
    </row>
    <row r="44" spans="2:30">
      <c r="B44" s="88" t="s">
        <v>65</v>
      </c>
      <c r="C44" s="89">
        <f>DATE($A$26+1,5,8)</f>
        <v>44324</v>
      </c>
      <c r="D44" s="77">
        <f t="shared" si="19"/>
        <v>1</v>
      </c>
      <c r="E44" s="78">
        <f t="shared" si="20"/>
        <v>0</v>
      </c>
      <c r="F44" s="65">
        <v>18</v>
      </c>
      <c r="G44" s="120"/>
      <c r="H44" s="121" t="s">
        <v>75</v>
      </c>
      <c r="I44" s="121" t="s">
        <v>76</v>
      </c>
      <c r="J44" s="122"/>
      <c r="K44" s="123" t="s">
        <v>77</v>
      </c>
    </row>
    <row r="45" spans="2:30">
      <c r="B45" s="88" t="s">
        <v>66</v>
      </c>
      <c r="C45" s="89">
        <f>C41+39</f>
        <v>44329</v>
      </c>
      <c r="D45" s="77">
        <f t="shared" si="19"/>
        <v>0</v>
      </c>
      <c r="E45" s="78">
        <f t="shared" si="20"/>
        <v>0</v>
      </c>
      <c r="F45" s="65">
        <v>19</v>
      </c>
      <c r="G45" s="285" t="s">
        <v>78</v>
      </c>
      <c r="H45" s="124">
        <v>18975</v>
      </c>
      <c r="I45" s="125">
        <f>DATE($A$26,MONTH(H45),DAY(H45))</f>
        <v>44178</v>
      </c>
      <c r="J45" s="43"/>
      <c r="K45" s="126" t="str">
        <f>YEAR(I45)-YEAR(H45)&amp;" an Michel"</f>
        <v>69 an Michel</v>
      </c>
    </row>
    <row r="46" spans="2:30">
      <c r="B46" s="88" t="s">
        <v>67</v>
      </c>
      <c r="C46" s="89">
        <f>C41+49</f>
        <v>44339</v>
      </c>
      <c r="D46" s="77">
        <f t="shared" si="19"/>
        <v>0</v>
      </c>
      <c r="E46" s="78">
        <f t="shared" si="20"/>
        <v>1</v>
      </c>
      <c r="F46" s="65">
        <v>20</v>
      </c>
      <c r="G46" s="285"/>
      <c r="H46" s="124">
        <v>18147</v>
      </c>
      <c r="I46" s="125">
        <f>DATE($A$26,MONTH(H46),DAY(H46))</f>
        <v>44080</v>
      </c>
      <c r="J46" s="43"/>
      <c r="K46" s="126" t="str">
        <f>YEAR(I46)-YEAR(H46)&amp;" an J. Marie"</f>
        <v>71 an J. Marie</v>
      </c>
    </row>
    <row r="47" spans="2:30">
      <c r="B47" s="88" t="s">
        <v>68</v>
      </c>
      <c r="C47" s="89">
        <f>C46+1</f>
        <v>44340</v>
      </c>
      <c r="D47" s="77">
        <f t="shared" si="19"/>
        <v>0</v>
      </c>
      <c r="E47" s="78">
        <f t="shared" si="20"/>
        <v>0</v>
      </c>
      <c r="F47" s="65">
        <v>21</v>
      </c>
      <c r="G47" s="285"/>
      <c r="H47" s="124">
        <v>19652</v>
      </c>
      <c r="I47" s="125">
        <f>DATE($A$26,MONTH(H47),DAY(H47))</f>
        <v>44124</v>
      </c>
      <c r="J47" s="43"/>
      <c r="K47" s="126" t="str">
        <f>YEAR(I47)-YEAR(H47)&amp;" an Didier"</f>
        <v>67 an Didier</v>
      </c>
    </row>
    <row r="48" spans="2:30">
      <c r="B48" s="88" t="s">
        <v>69</v>
      </c>
      <c r="C48" s="89">
        <f>DATE($A$26+1,7,14)</f>
        <v>44391</v>
      </c>
      <c r="D48" s="77">
        <f t="shared" si="19"/>
        <v>0</v>
      </c>
      <c r="E48" s="78">
        <f t="shared" si="20"/>
        <v>0</v>
      </c>
      <c r="F48" s="65">
        <v>22</v>
      </c>
      <c r="G48" s="285"/>
      <c r="H48" s="124">
        <v>21702</v>
      </c>
      <c r="I48" s="125">
        <f t="shared" ref="I48:I62" si="21">DATE($A$26,MONTH(H48),DAY(H48))</f>
        <v>43983</v>
      </c>
      <c r="J48" s="43"/>
      <c r="K48" s="126" t="str">
        <f>YEAR(I48)-YEAR(H48)&amp;" an M. Claire"</f>
        <v>61 an M. Claire</v>
      </c>
    </row>
    <row r="49" spans="2:11">
      <c r="B49" s="88" t="s">
        <v>70</v>
      </c>
      <c r="C49" s="89">
        <f>DATE($A$26+1,8,15)</f>
        <v>44423</v>
      </c>
      <c r="D49" s="77">
        <f t="shared" si="19"/>
        <v>0</v>
      </c>
      <c r="E49" s="78">
        <f t="shared" si="20"/>
        <v>1</v>
      </c>
      <c r="F49" s="65">
        <v>23</v>
      </c>
      <c r="G49" s="285"/>
      <c r="H49" s="124">
        <v>28635</v>
      </c>
      <c r="I49" s="125">
        <f t="shared" si="21"/>
        <v>43976</v>
      </c>
      <c r="J49" s="43"/>
      <c r="K49" s="126" t="str">
        <f>YEAR(I49)-YEAR(H49)&amp;" an Carole"</f>
        <v>42 an Carole</v>
      </c>
    </row>
    <row r="50" spans="2:11">
      <c r="B50" s="88" t="s">
        <v>71</v>
      </c>
      <c r="C50" s="89">
        <f>DATE($A$26+1,11,1)</f>
        <v>44501</v>
      </c>
      <c r="D50" s="77">
        <f t="shared" si="19"/>
        <v>0</v>
      </c>
      <c r="E50" s="78">
        <f t="shared" si="20"/>
        <v>0</v>
      </c>
      <c r="F50" s="65">
        <v>24</v>
      </c>
      <c r="G50" s="285"/>
      <c r="H50" s="124">
        <v>29171</v>
      </c>
      <c r="I50" s="125">
        <f t="shared" si="21"/>
        <v>44147</v>
      </c>
      <c r="J50" s="43"/>
      <c r="K50" s="126" t="str">
        <f>YEAR(I50)-YEAR(H50)&amp;" an Albane"</f>
        <v>41 an Albane</v>
      </c>
    </row>
    <row r="51" spans="2:11">
      <c r="B51" s="88" t="s">
        <v>72</v>
      </c>
      <c r="C51" s="89">
        <f>DATE($A$26+1,11,11)</f>
        <v>44511</v>
      </c>
      <c r="D51" s="77">
        <f t="shared" si="19"/>
        <v>0</v>
      </c>
      <c r="E51" s="78">
        <f t="shared" si="20"/>
        <v>0</v>
      </c>
      <c r="F51" s="65">
        <v>25</v>
      </c>
      <c r="G51" s="285"/>
      <c r="H51" s="124">
        <v>29171</v>
      </c>
      <c r="I51" s="125">
        <f t="shared" si="21"/>
        <v>44147</v>
      </c>
      <c r="J51" s="43"/>
      <c r="K51" s="126" t="str">
        <f>YEAR(I51)-YEAR(H51)&amp;" an Simon"</f>
        <v>41 an Simon</v>
      </c>
    </row>
    <row r="52" spans="2:11">
      <c r="B52" s="107" t="s">
        <v>73</v>
      </c>
      <c r="C52" s="108">
        <f>DATE($A$26+1,12,25)</f>
        <v>44555</v>
      </c>
      <c r="D52" s="109">
        <f t="shared" si="19"/>
        <v>1</v>
      </c>
      <c r="E52" s="110">
        <f t="shared" si="20"/>
        <v>0</v>
      </c>
      <c r="F52" s="65">
        <v>26</v>
      </c>
      <c r="G52" s="285"/>
      <c r="H52" s="124">
        <v>29197</v>
      </c>
      <c r="I52" s="125">
        <f t="shared" si="21"/>
        <v>44173</v>
      </c>
      <c r="J52" s="43"/>
      <c r="K52" s="126" t="str">
        <f>YEAR(I52)-YEAR(H52)&amp;" an Maud"</f>
        <v>41 an Maud</v>
      </c>
    </row>
    <row r="53" spans="2:11">
      <c r="B53" s="61" t="s">
        <v>61</v>
      </c>
      <c r="C53" s="62">
        <f>DATE($A$26+2,1,1)</f>
        <v>44562</v>
      </c>
      <c r="D53" s="63">
        <f>IF(WEEKDAY(C53,2)=6,1,0)</f>
        <v>1</v>
      </c>
      <c r="E53" s="64">
        <f>IF(WEEKDAY(C53,2)=7,1,0)</f>
        <v>0</v>
      </c>
      <c r="F53" s="65">
        <v>27</v>
      </c>
      <c r="G53" s="285"/>
      <c r="H53" s="124">
        <v>29465</v>
      </c>
      <c r="I53" s="125">
        <f t="shared" si="21"/>
        <v>44075</v>
      </c>
      <c r="J53" s="43"/>
      <c r="K53" s="126" t="str">
        <f>YEAR(I53)-YEAR(H53)&amp;" an Gwénaëlle"</f>
        <v>40 an Gwénaëlle</v>
      </c>
    </row>
    <row r="54" spans="2:11">
      <c r="B54" s="75" t="s">
        <v>62</v>
      </c>
      <c r="C54" s="76">
        <f>DATE($A$26+2,3,29.56+0.979*MOD(204-11*MOD($A$26+2,19),30)-WEEKDAY(DATE($A$26+2,3,28.56+0.979*MOD(204-11*MOD($A$26+2,19),30))))</f>
        <v>44668</v>
      </c>
      <c r="D54" s="77">
        <f>IF(WEEKDAY(C54,2)=6,1,0)</f>
        <v>0</v>
      </c>
      <c r="E54" s="78">
        <f>IF(WEEKDAY(C54,2)=7,1,0)</f>
        <v>1</v>
      </c>
      <c r="F54" s="65">
        <v>28</v>
      </c>
      <c r="G54" s="285"/>
      <c r="H54" s="124">
        <v>31158</v>
      </c>
      <c r="I54" s="125">
        <f t="shared" si="21"/>
        <v>43942</v>
      </c>
      <c r="J54" s="43"/>
      <c r="K54" s="126" t="str">
        <f>YEAR(I54)-YEAR(H54)&amp;" an Orane"</f>
        <v>35 an Orane</v>
      </c>
    </row>
    <row r="55" spans="2:11">
      <c r="B55" s="88" t="s">
        <v>63</v>
      </c>
      <c r="C55" s="89">
        <f>C54+1</f>
        <v>44669</v>
      </c>
      <c r="D55" s="77">
        <f t="shared" ref="D55:D65" si="22">IF(WEEKDAY(C55,2)=6,1,0)</f>
        <v>0</v>
      </c>
      <c r="E55" s="78">
        <f t="shared" ref="E55:E65" si="23">IF(WEEKDAY(C55,2)=7,1,0)</f>
        <v>0</v>
      </c>
      <c r="F55" s="65">
        <v>29</v>
      </c>
      <c r="G55" s="285"/>
      <c r="H55" s="124">
        <v>32472</v>
      </c>
      <c r="I55" s="125">
        <f t="shared" si="21"/>
        <v>44160</v>
      </c>
      <c r="J55" s="43"/>
      <c r="K55" s="126" t="str">
        <f>YEAR(I55)-YEAR(H55)&amp;" an Emeline"</f>
        <v>32 an Emeline</v>
      </c>
    </row>
    <row r="56" spans="2:11">
      <c r="B56" s="88" t="s">
        <v>64</v>
      </c>
      <c r="C56" s="89">
        <f>DATE($A$26+2,5,1)</f>
        <v>44682</v>
      </c>
      <c r="D56" s="77">
        <f t="shared" si="22"/>
        <v>0</v>
      </c>
      <c r="E56" s="78">
        <f t="shared" si="23"/>
        <v>1</v>
      </c>
      <c r="F56" s="65">
        <v>30</v>
      </c>
      <c r="G56" s="285"/>
      <c r="H56" s="124">
        <v>32613</v>
      </c>
      <c r="I56" s="125">
        <f t="shared" si="21"/>
        <v>43936</v>
      </c>
      <c r="J56" s="43"/>
      <c r="K56" s="126" t="str">
        <f>YEAR(I56)-YEAR(H56)&amp;" an Mathieu"</f>
        <v>31 an Mathieu</v>
      </c>
    </row>
    <row r="57" spans="2:11">
      <c r="B57" s="88" t="s">
        <v>65</v>
      </c>
      <c r="C57" s="89">
        <f>DATE($A$26+2,5,8)</f>
        <v>44689</v>
      </c>
      <c r="D57" s="77">
        <f t="shared" si="22"/>
        <v>0</v>
      </c>
      <c r="E57" s="78">
        <f t="shared" si="23"/>
        <v>1</v>
      </c>
      <c r="F57" s="65">
        <v>31</v>
      </c>
      <c r="G57" s="285"/>
      <c r="H57" s="124">
        <v>36299</v>
      </c>
      <c r="I57" s="125">
        <f t="shared" si="21"/>
        <v>43970</v>
      </c>
      <c r="J57" s="43"/>
      <c r="K57" s="126" t="str">
        <f>YEAR(I57)-YEAR(H57)&amp;" an Émilie"</f>
        <v>21 an Émilie</v>
      </c>
    </row>
    <row r="58" spans="2:11">
      <c r="B58" s="88" t="s">
        <v>66</v>
      </c>
      <c r="C58" s="89">
        <f>C54+39</f>
        <v>44707</v>
      </c>
      <c r="D58" s="77">
        <f t="shared" si="22"/>
        <v>0</v>
      </c>
      <c r="E58" s="78">
        <f t="shared" si="23"/>
        <v>0</v>
      </c>
      <c r="F58" s="65">
        <v>32</v>
      </c>
      <c r="G58" s="285"/>
      <c r="H58" s="124">
        <v>36868</v>
      </c>
      <c r="I58" s="125">
        <f t="shared" si="21"/>
        <v>44173</v>
      </c>
      <c r="J58" s="43"/>
      <c r="K58" s="126" t="str">
        <f>YEAR(I58)-YEAR(H58)&amp;" an Hugo"</f>
        <v>20 an Hugo</v>
      </c>
    </row>
    <row r="59" spans="2:11">
      <c r="B59" s="88" t="s">
        <v>67</v>
      </c>
      <c r="C59" s="89">
        <f>C54+49</f>
        <v>44717</v>
      </c>
      <c r="D59" s="77">
        <f t="shared" si="22"/>
        <v>0</v>
      </c>
      <c r="E59" s="78">
        <f t="shared" si="23"/>
        <v>1</v>
      </c>
      <c r="F59" s="65">
        <v>33</v>
      </c>
      <c r="G59" s="285"/>
      <c r="H59" s="124">
        <v>37699</v>
      </c>
      <c r="I59" s="125">
        <f t="shared" si="21"/>
        <v>43909</v>
      </c>
      <c r="J59" s="43"/>
      <c r="K59" s="126" t="str">
        <f>YEAR(I59)-YEAR(H59)&amp;" an Rémi"</f>
        <v>17 an Rémi</v>
      </c>
    </row>
    <row r="60" spans="2:11">
      <c r="B60" s="88" t="s">
        <v>68</v>
      </c>
      <c r="C60" s="89">
        <f>C59+1</f>
        <v>44718</v>
      </c>
      <c r="D60" s="77">
        <f t="shared" si="22"/>
        <v>0</v>
      </c>
      <c r="E60" s="78">
        <f t="shared" si="23"/>
        <v>0</v>
      </c>
      <c r="F60" s="65">
        <v>34</v>
      </c>
      <c r="G60" s="285"/>
      <c r="H60" s="124">
        <v>38078</v>
      </c>
      <c r="I60" s="125">
        <f t="shared" si="21"/>
        <v>43922</v>
      </c>
      <c r="J60" s="43"/>
      <c r="K60" s="126" t="str">
        <f>YEAR(I60)-YEAR(H60)&amp;" an Kelyan"</f>
        <v>16 an Kelyan</v>
      </c>
    </row>
    <row r="61" spans="2:11">
      <c r="B61" s="88" t="s">
        <v>69</v>
      </c>
      <c r="C61" s="89">
        <f>DATE($A$26+2,7,14)</f>
        <v>44756</v>
      </c>
      <c r="D61" s="77">
        <f t="shared" si="22"/>
        <v>0</v>
      </c>
      <c r="E61" s="78">
        <f t="shared" si="23"/>
        <v>0</v>
      </c>
      <c r="F61" s="65">
        <v>35</v>
      </c>
      <c r="G61" s="285"/>
      <c r="H61" s="124">
        <v>39607</v>
      </c>
      <c r="I61" s="125">
        <f t="shared" si="21"/>
        <v>43990</v>
      </c>
      <c r="J61" s="43"/>
      <c r="K61" s="126" t="str">
        <f>YEAR(I61)-YEAR(H61)&amp;" an Clara"</f>
        <v>12 an Clara</v>
      </c>
    </row>
    <row r="62" spans="2:11">
      <c r="B62" s="88" t="s">
        <v>70</v>
      </c>
      <c r="C62" s="89">
        <f>DATE($A$26+2,8,15)</f>
        <v>44788</v>
      </c>
      <c r="D62" s="77">
        <f t="shared" si="22"/>
        <v>0</v>
      </c>
      <c r="E62" s="78">
        <f t="shared" si="23"/>
        <v>0</v>
      </c>
      <c r="F62" s="65">
        <v>36</v>
      </c>
      <c r="G62" s="285"/>
      <c r="H62" s="124">
        <v>39636</v>
      </c>
      <c r="I62" s="125">
        <f t="shared" si="21"/>
        <v>44019</v>
      </c>
      <c r="J62" s="43"/>
      <c r="K62" s="126" t="str">
        <f>YEAR(I62)-YEAR(H62)&amp;" an Mathéo"</f>
        <v>12 an Mathéo</v>
      </c>
    </row>
    <row r="63" spans="2:11">
      <c r="B63" s="88" t="s">
        <v>71</v>
      </c>
      <c r="C63" s="89">
        <f>DATE($A$26+2,11,1)</f>
        <v>44866</v>
      </c>
      <c r="D63" s="77">
        <f t="shared" si="22"/>
        <v>0</v>
      </c>
      <c r="E63" s="78">
        <f t="shared" si="23"/>
        <v>0</v>
      </c>
      <c r="F63" s="65">
        <v>37</v>
      </c>
      <c r="G63" s="285"/>
      <c r="H63" s="124"/>
      <c r="I63" s="125"/>
      <c r="J63" s="43"/>
      <c r="K63" s="126"/>
    </row>
    <row r="64" spans="2:11">
      <c r="B64" s="88" t="s">
        <v>72</v>
      </c>
      <c r="C64" s="89">
        <f>DATE($A$26+2,11,11)</f>
        <v>44876</v>
      </c>
      <c r="D64" s="77">
        <f t="shared" si="22"/>
        <v>0</v>
      </c>
      <c r="E64" s="78">
        <f t="shared" si="23"/>
        <v>0</v>
      </c>
      <c r="F64" s="65">
        <v>38</v>
      </c>
      <c r="G64" s="286"/>
      <c r="H64" s="127"/>
      <c r="I64" s="128"/>
      <c r="J64" s="129"/>
      <c r="K64" s="130"/>
    </row>
    <row r="65" spans="2:12">
      <c r="B65" s="107" t="s">
        <v>73</v>
      </c>
      <c r="C65" s="108">
        <f>DATE($A$26+2,12,25)</f>
        <v>44920</v>
      </c>
      <c r="D65" s="109">
        <f t="shared" si="22"/>
        <v>0</v>
      </c>
      <c r="E65" s="110">
        <f t="shared" si="23"/>
        <v>1</v>
      </c>
      <c r="F65" s="65">
        <v>39</v>
      </c>
      <c r="G65" s="287" t="s">
        <v>79</v>
      </c>
      <c r="H65" s="131">
        <v>19310</v>
      </c>
      <c r="I65" s="132">
        <f t="shared" ref="I65:I68" si="24">DATE($A$26,MONTH(H65),DAY(H65))</f>
        <v>44147</v>
      </c>
      <c r="J65" s="116"/>
      <c r="K65" s="133" t="str">
        <f>YEAR(I65)-YEAR(H65)&amp;" an Marie"</f>
        <v>68 an Marie</v>
      </c>
    </row>
    <row r="66" spans="2:12">
      <c r="B66" s="61" t="s">
        <v>61</v>
      </c>
      <c r="C66" s="62">
        <f>DATE($A$26+3,1,1)</f>
        <v>44927</v>
      </c>
      <c r="D66" s="63">
        <f>IF(WEEKDAY(C66,2)=6,1,0)</f>
        <v>0</v>
      </c>
      <c r="E66" s="64">
        <f>IF(WEEKDAY(C66,2)=7,1,0)</f>
        <v>1</v>
      </c>
      <c r="F66" s="65">
        <v>40</v>
      </c>
      <c r="G66" s="288"/>
      <c r="H66" s="124">
        <v>27864</v>
      </c>
      <c r="I66" s="125">
        <f t="shared" si="24"/>
        <v>43935</v>
      </c>
      <c r="J66" s="43"/>
      <c r="K66" s="126" t="str">
        <f>YEAR(I66)-YEAR(H66)&amp;" an Jérôme"</f>
        <v>44 an Jérôme</v>
      </c>
    </row>
    <row r="67" spans="2:12">
      <c r="B67" s="75" t="s">
        <v>62</v>
      </c>
      <c r="C67" s="76">
        <f>DATE($A$26+3,3,29.56+0.979*MOD(204-11*MOD($A$26+3,19),30)-WEEKDAY(DATE($A$26+3,3,28.56+0.979*MOD(204-11*MOD($A$26+3,19),30))))</f>
        <v>45025</v>
      </c>
      <c r="D67" s="77">
        <f>IF(WEEKDAY(C67,2)=6,1,0)</f>
        <v>0</v>
      </c>
      <c r="E67" s="78">
        <f>IF(WEEKDAY(C67,2)=7,1,0)</f>
        <v>1</v>
      </c>
      <c r="F67" s="65">
        <v>41</v>
      </c>
      <c r="G67" s="288"/>
      <c r="H67" s="124">
        <v>28622</v>
      </c>
      <c r="I67" s="125">
        <f t="shared" si="24"/>
        <v>43963</v>
      </c>
      <c r="J67" s="43"/>
      <c r="K67" s="126" t="str">
        <f>YEAR(I67)-YEAR(H67)&amp;" an Sabrina"</f>
        <v>42 an Sabrina</v>
      </c>
    </row>
    <row r="68" spans="2:12">
      <c r="B68" s="88" t="s">
        <v>63</v>
      </c>
      <c r="C68" s="89">
        <f>C67+1</f>
        <v>45026</v>
      </c>
      <c r="D68" s="77">
        <f t="shared" ref="D68:D78" si="25">IF(WEEKDAY(C68,2)=6,1,0)</f>
        <v>0</v>
      </c>
      <c r="E68" s="78">
        <f t="shared" ref="E68:E78" si="26">IF(WEEKDAY(C68,2)=7,1,0)</f>
        <v>0</v>
      </c>
      <c r="F68" s="65">
        <v>42</v>
      </c>
      <c r="G68" s="288"/>
      <c r="H68" s="124">
        <v>39561</v>
      </c>
      <c r="I68" s="125">
        <f t="shared" si="24"/>
        <v>43944</v>
      </c>
      <c r="J68" s="43"/>
      <c r="K68" s="126" t="str">
        <f>YEAR(I68)-YEAR(H68)&amp;" an Émma"</f>
        <v>12 an Émma</v>
      </c>
    </row>
    <row r="69" spans="2:12">
      <c r="B69" s="88" t="s">
        <v>64</v>
      </c>
      <c r="C69" s="89">
        <f>DATE($A$26+3,5,1)</f>
        <v>45047</v>
      </c>
      <c r="D69" s="77">
        <f t="shared" si="25"/>
        <v>0</v>
      </c>
      <c r="E69" s="78">
        <f t="shared" si="26"/>
        <v>0</v>
      </c>
      <c r="F69" s="65">
        <v>43</v>
      </c>
      <c r="G69" s="288"/>
      <c r="H69" s="124">
        <v>40583</v>
      </c>
      <c r="I69" s="125">
        <f>DATE($A$26,MONTH(H69),DAY(H69))</f>
        <v>43870</v>
      </c>
      <c r="J69" s="43"/>
      <c r="K69" s="126" t="str">
        <f>YEAR(I69)-YEAR(H69)&amp;" an Maxence"</f>
        <v>9 an Maxence</v>
      </c>
    </row>
    <row r="70" spans="2:12">
      <c r="B70" s="88" t="s">
        <v>65</v>
      </c>
      <c r="C70" s="89">
        <f>DATE($A$26+3,5,8)</f>
        <v>45054</v>
      </c>
      <c r="D70" s="77">
        <f t="shared" si="25"/>
        <v>0</v>
      </c>
      <c r="E70" s="78">
        <f t="shared" si="26"/>
        <v>0</v>
      </c>
      <c r="F70" s="65">
        <v>44</v>
      </c>
      <c r="G70" s="288"/>
      <c r="H70" s="124">
        <v>41085</v>
      </c>
      <c r="I70" s="125">
        <f>DATE($A$26,MONTH(H70),DAY(H70))</f>
        <v>44007</v>
      </c>
      <c r="J70" s="43"/>
      <c r="K70" s="126" t="str">
        <f>YEAR(I70)-YEAR(H70)&amp;" an Justine"</f>
        <v>8 an Justine</v>
      </c>
    </row>
    <row r="71" spans="2:12">
      <c r="B71" s="88" t="s">
        <v>66</v>
      </c>
      <c r="C71" s="89">
        <f>C67+39</f>
        <v>45064</v>
      </c>
      <c r="D71" s="77">
        <f t="shared" si="25"/>
        <v>0</v>
      </c>
      <c r="E71" s="78">
        <f t="shared" si="26"/>
        <v>0</v>
      </c>
      <c r="F71" s="65">
        <v>45</v>
      </c>
      <c r="G71" s="288"/>
      <c r="H71" s="43"/>
      <c r="I71" s="43"/>
      <c r="J71" s="43"/>
      <c r="K71" s="134"/>
    </row>
    <row r="72" spans="2:12">
      <c r="B72" s="88" t="s">
        <v>67</v>
      </c>
      <c r="C72" s="89">
        <f>C67+49</f>
        <v>45074</v>
      </c>
      <c r="D72" s="77">
        <f t="shared" si="25"/>
        <v>0</v>
      </c>
      <c r="E72" s="78">
        <f t="shared" si="26"/>
        <v>1</v>
      </c>
      <c r="F72" s="65">
        <v>46</v>
      </c>
      <c r="G72" s="289"/>
      <c r="H72" s="129"/>
      <c r="I72" s="129"/>
      <c r="J72" s="129"/>
      <c r="K72" s="135"/>
    </row>
    <row r="73" spans="2:12">
      <c r="B73" s="88" t="s">
        <v>68</v>
      </c>
      <c r="C73" s="89">
        <f>C72+1</f>
        <v>45075</v>
      </c>
      <c r="D73" s="77">
        <f t="shared" si="25"/>
        <v>0</v>
      </c>
      <c r="E73" s="78">
        <f t="shared" si="26"/>
        <v>0</v>
      </c>
      <c r="F73" s="65">
        <v>47</v>
      </c>
      <c r="G73" s="116"/>
      <c r="H73" s="43"/>
      <c r="I73" s="43"/>
      <c r="J73" s="43"/>
      <c r="K73" s="134"/>
    </row>
    <row r="74" spans="2:12">
      <c r="B74" s="88" t="s">
        <v>69</v>
      </c>
      <c r="C74" s="89">
        <f>DATE($A$26+3,7,14)</f>
        <v>45121</v>
      </c>
      <c r="D74" s="77">
        <f t="shared" si="25"/>
        <v>0</v>
      </c>
      <c r="E74" s="78">
        <f t="shared" si="26"/>
        <v>0</v>
      </c>
      <c r="F74" s="65">
        <v>48</v>
      </c>
      <c r="G74" s="43"/>
      <c r="H74" s="43"/>
      <c r="I74" s="43"/>
      <c r="J74" s="43"/>
      <c r="K74" s="134"/>
    </row>
    <row r="75" spans="2:12" ht="15.75">
      <c r="B75" s="88" t="s">
        <v>70</v>
      </c>
      <c r="C75" s="89">
        <f>DATE($A$26+3,8,15)</f>
        <v>45153</v>
      </c>
      <c r="D75" s="77">
        <f t="shared" si="25"/>
        <v>0</v>
      </c>
      <c r="E75" s="78">
        <f t="shared" si="26"/>
        <v>0</v>
      </c>
      <c r="F75" s="65">
        <v>49</v>
      </c>
      <c r="G75" s="43"/>
      <c r="H75" s="43"/>
      <c r="I75" s="43"/>
      <c r="J75" s="43"/>
      <c r="K75" s="134"/>
      <c r="L75" s="136" t="s">
        <v>80</v>
      </c>
    </row>
    <row r="76" spans="2:12">
      <c r="B76" s="88" t="s">
        <v>71</v>
      </c>
      <c r="C76" s="89">
        <f>DATE($A$26+3,11,1)</f>
        <v>45231</v>
      </c>
      <c r="D76" s="77">
        <f t="shared" si="25"/>
        <v>0</v>
      </c>
      <c r="E76" s="78">
        <f t="shared" si="26"/>
        <v>0</v>
      </c>
      <c r="F76" s="65">
        <v>50</v>
      </c>
      <c r="G76" s="137"/>
      <c r="H76" s="131">
        <f>DATE($A$26,1,6)</f>
        <v>43836</v>
      </c>
      <c r="I76" s="132">
        <f>DATE($A$26,1,9)-WEEKDAY(DATE(A26,1,8))</f>
        <v>43835</v>
      </c>
      <c r="J76" s="116"/>
      <c r="K76" s="138" t="s">
        <v>81</v>
      </c>
      <c r="L76" s="139" t="s">
        <v>82</v>
      </c>
    </row>
    <row r="77" spans="2:12">
      <c r="B77" s="88" t="s">
        <v>72</v>
      </c>
      <c r="C77" s="89">
        <f>DATE($A$26+3,11,11)</f>
        <v>45241</v>
      </c>
      <c r="D77" s="77">
        <f t="shared" si="25"/>
        <v>1</v>
      </c>
      <c r="E77" s="78">
        <f t="shared" si="26"/>
        <v>0</v>
      </c>
      <c r="F77" s="65">
        <v>51</v>
      </c>
      <c r="G77" s="120"/>
      <c r="H77" s="124">
        <f>DATE($A$26,2,2)</f>
        <v>43863</v>
      </c>
      <c r="I77" s="125">
        <f t="shared" ref="I77:I82" si="27">DATE($A$26,MONTH(H77),DAY(H77))</f>
        <v>43863</v>
      </c>
      <c r="J77" s="43"/>
      <c r="K77" s="140" t="s">
        <v>83</v>
      </c>
      <c r="L77" s="139" t="s">
        <v>84</v>
      </c>
    </row>
    <row r="78" spans="2:12">
      <c r="B78" s="107" t="s">
        <v>73</v>
      </c>
      <c r="C78" s="108">
        <f>DATE($A$26+3,12,25)</f>
        <v>45285</v>
      </c>
      <c r="D78" s="109">
        <f t="shared" si="25"/>
        <v>0</v>
      </c>
      <c r="E78" s="110">
        <f t="shared" si="26"/>
        <v>0</v>
      </c>
      <c r="F78" s="65">
        <v>52</v>
      </c>
      <c r="G78" s="120"/>
      <c r="H78" s="124">
        <f>DATE($A$26,2,14)</f>
        <v>43875</v>
      </c>
      <c r="I78" s="125">
        <f t="shared" si="27"/>
        <v>43875</v>
      </c>
      <c r="J78" s="43"/>
      <c r="K78" s="140" t="s">
        <v>85</v>
      </c>
      <c r="L78" s="139" t="s">
        <v>86</v>
      </c>
    </row>
    <row r="79" spans="2:12">
      <c r="F79" s="65">
        <v>53</v>
      </c>
      <c r="G79" s="120"/>
      <c r="H79" s="124">
        <f>$C$28-47</f>
        <v>43886</v>
      </c>
      <c r="I79" s="125">
        <f t="shared" si="27"/>
        <v>43886</v>
      </c>
      <c r="J79" s="43"/>
      <c r="K79" s="140" t="s">
        <v>87</v>
      </c>
      <c r="L79" s="139" t="s">
        <v>88</v>
      </c>
    </row>
    <row r="80" spans="2:12">
      <c r="G80" s="120"/>
      <c r="H80" s="124">
        <f>$C$28-46</f>
        <v>43887</v>
      </c>
      <c r="I80" s="125">
        <f t="shared" si="27"/>
        <v>43887</v>
      </c>
      <c r="J80" s="43"/>
      <c r="K80" s="140" t="s">
        <v>89</v>
      </c>
      <c r="L80" s="139" t="s">
        <v>90</v>
      </c>
    </row>
    <row r="81" spans="7:12">
      <c r="G81" s="120"/>
      <c r="H81" s="124">
        <f>$C$28-2</f>
        <v>43931</v>
      </c>
      <c r="I81" s="125">
        <f t="shared" si="27"/>
        <v>43931</v>
      </c>
      <c r="J81" s="43"/>
      <c r="K81" s="140" t="s">
        <v>91</v>
      </c>
      <c r="L81" s="139" t="s">
        <v>92</v>
      </c>
    </row>
    <row r="82" spans="7:12">
      <c r="G82" s="141">
        <f>DATE($C$5,6,1)-WEEKDAY(DATE($C$5,5,31))</f>
        <v>43982</v>
      </c>
      <c r="H82" s="124">
        <f>IF(G82=C34,"",G82+7)</f>
        <v>43989</v>
      </c>
      <c r="I82" s="125">
        <f t="shared" si="27"/>
        <v>43989</v>
      </c>
      <c r="J82" s="43"/>
      <c r="K82" s="140" t="s">
        <v>93</v>
      </c>
      <c r="L82" s="142" t="s">
        <v>94</v>
      </c>
    </row>
    <row r="83" spans="7:12">
      <c r="G83" s="120"/>
      <c r="H83" s="124">
        <f>DATE($A$26,6,22)-WEEKDAY(DATE($A$26,6,7))</f>
        <v>44003</v>
      </c>
      <c r="I83" s="125">
        <f>DATE($A$26,MONTH(H83),DAY(H83))</f>
        <v>44003</v>
      </c>
      <c r="J83" s="43"/>
      <c r="K83" s="140" t="s">
        <v>95</v>
      </c>
      <c r="L83" s="142" t="s">
        <v>96</v>
      </c>
    </row>
    <row r="84" spans="7:12">
      <c r="G84" s="120"/>
      <c r="H84" s="124">
        <f>DATE($A$26,3,8)-WEEKDAY(DATE($A$26,3,7))</f>
        <v>43891</v>
      </c>
      <c r="I84" s="125">
        <f>DATE($A$26,MONTH(H84),DAY(H84))</f>
        <v>43891</v>
      </c>
      <c r="J84" s="43"/>
      <c r="K84" s="140" t="s">
        <v>97</v>
      </c>
      <c r="L84" s="142" t="s">
        <v>98</v>
      </c>
    </row>
    <row r="85" spans="7:12">
      <c r="G85" s="143"/>
      <c r="H85" s="127">
        <f>DATE($A$26,10,8)-WEEKDAY(DATE($A$26,10,7))</f>
        <v>44108</v>
      </c>
      <c r="I85" s="128">
        <f>DATE($A$26,MONTH(H85),DAY(H85))</f>
        <v>44108</v>
      </c>
      <c r="J85" s="129"/>
      <c r="K85" s="144" t="s">
        <v>99</v>
      </c>
      <c r="L85" s="142" t="s">
        <v>100</v>
      </c>
    </row>
    <row r="86" spans="7:12">
      <c r="G86" s="43"/>
      <c r="H86" s="145"/>
      <c r="I86" s="145"/>
      <c r="J86" s="43"/>
      <c r="K86" s="140"/>
    </row>
    <row r="87" spans="7:12">
      <c r="G87" s="43"/>
      <c r="H87" s="145"/>
      <c r="I87" s="145"/>
      <c r="J87" s="146"/>
      <c r="K87" s="140"/>
    </row>
    <row r="88" spans="7:12">
      <c r="G88" s="43"/>
      <c r="H88" s="145"/>
      <c r="I88" s="145"/>
      <c r="J88" s="145"/>
      <c r="K88" s="140"/>
    </row>
    <row r="89" spans="7:12" ht="15.75">
      <c r="G89" s="43"/>
      <c r="H89" s="145"/>
      <c r="I89" s="145"/>
      <c r="J89" s="145"/>
      <c r="K89" s="140"/>
      <c r="L89" s="136" t="s">
        <v>101</v>
      </c>
    </row>
    <row r="90" spans="7:12">
      <c r="G90" s="43"/>
      <c r="H90" s="147">
        <f>VLOOKUP($C$5,Saison,2)</f>
        <v>43910.200694444444</v>
      </c>
      <c r="I90" s="132">
        <f>IF($C$5&lt;=H90,DATE($A$26,MONTH(H90),DAY(H90)))</f>
        <v>43910</v>
      </c>
      <c r="J90" s="116"/>
      <c r="K90" s="148" t="s">
        <v>102</v>
      </c>
      <c r="L90" s="33" t="s">
        <v>103</v>
      </c>
    </row>
    <row r="91" spans="7:12">
      <c r="G91" s="43"/>
      <c r="H91" s="149">
        <f>VLOOKUP($C$5,Saison,3)</f>
        <v>44002.988194444442</v>
      </c>
      <c r="I91" s="125">
        <f t="shared" ref="I91:I93" si="28">IF($C$5&lt;=H91,DATE($A$26,MONTH(H91),DAY(H91)))</f>
        <v>44002</v>
      </c>
      <c r="J91" s="43"/>
      <c r="K91" s="150" t="s">
        <v>104</v>
      </c>
    </row>
    <row r="92" spans="7:12">
      <c r="G92" s="43"/>
      <c r="H92" s="149">
        <f>VLOOKUP($C$5,Saison,4)</f>
        <v>44096.645833333336</v>
      </c>
      <c r="I92" s="125">
        <f t="shared" si="28"/>
        <v>44096</v>
      </c>
      <c r="J92" s="43"/>
      <c r="K92" s="150" t="s">
        <v>105</v>
      </c>
    </row>
    <row r="93" spans="7:12">
      <c r="G93" s="43"/>
      <c r="H93" s="149">
        <f>VLOOKUP($C$5,Saison,5)</f>
        <v>44186.459722222222</v>
      </c>
      <c r="I93" s="125">
        <f t="shared" si="28"/>
        <v>44186</v>
      </c>
      <c r="J93" s="43"/>
      <c r="K93" s="150" t="s">
        <v>106</v>
      </c>
    </row>
    <row r="94" spans="7:12">
      <c r="G94" s="43"/>
      <c r="H94" s="143"/>
      <c r="I94" s="129"/>
      <c r="J94" s="129"/>
      <c r="K94" s="135"/>
    </row>
  </sheetData>
  <mergeCells count="9">
    <mergeCell ref="G65:G72"/>
    <mergeCell ref="Z22:Z23"/>
    <mergeCell ref="J26:K26"/>
    <mergeCell ref="M26:N26"/>
    <mergeCell ref="AD27:AD31"/>
    <mergeCell ref="AD32:AD37"/>
    <mergeCell ref="AD38:AD43"/>
    <mergeCell ref="H42:K42"/>
    <mergeCell ref="G45:G64"/>
  </mergeCells>
  <conditionalFormatting sqref="D27:E78">
    <cfRule type="expression" dxfId="88" priority="1">
      <formula>(D27=0)</formula>
    </cfRule>
  </conditionalFormatting>
  <dataValidations count="2">
    <dataValidation type="list" allowBlank="1" showInputMessage="1" showErrorMessage="1" sqref="B5">
      <formula1>Mois</formula1>
    </dataValidation>
    <dataValidation type="list" allowBlank="1" showInputMessage="1" showErrorMessage="1" sqref="C5">
      <formula1>Annee</formula1>
    </dataValidation>
  </dataValidations>
  <hyperlinks>
    <hyperlink ref="Z25" r:id="rId1"/>
  </hyperlinks>
  <pageMargins left="0" right="0" top="0" bottom="0" header="0.31496062992125984" footer="0.31496062992125984"/>
  <pageSetup paperSize="9" pageOrder="overThenDown" orientation="portrait" r:id="rId2"/>
  <colBreaks count="1" manualBreakCount="1">
    <brk id="6" max="1048575" man="1"/>
  </colBreak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C55"/>
  <sheetViews>
    <sheetView showGridLines="0" workbookViewId="0"/>
  </sheetViews>
  <sheetFormatPr baseColWidth="10" defaultRowHeight="15"/>
  <cols>
    <col min="2" max="2" width="6.140625" customWidth="1"/>
  </cols>
  <sheetData>
    <row r="1" spans="1:3" ht="15.75">
      <c r="A1" s="255" t="s">
        <v>2115</v>
      </c>
      <c r="B1" s="256" t="s">
        <v>2116</v>
      </c>
      <c r="C1" s="257">
        <f>Parametre!C5</f>
        <v>2020</v>
      </c>
    </row>
    <row r="2" spans="1:3">
      <c r="A2" s="258">
        <v>43825</v>
      </c>
      <c r="B2" s="259"/>
    </row>
    <row r="3" spans="1:3">
      <c r="A3" s="258">
        <v>43833</v>
      </c>
      <c r="B3" s="260" t="s">
        <v>2117</v>
      </c>
    </row>
    <row r="4" spans="1:3">
      <c r="A4" s="258">
        <v>43840</v>
      </c>
      <c r="B4" s="260" t="s">
        <v>2118</v>
      </c>
    </row>
    <row r="5" spans="1:3">
      <c r="A5" s="258">
        <v>43847</v>
      </c>
      <c r="B5" s="260" t="s">
        <v>2119</v>
      </c>
    </row>
    <row r="6" spans="1:3">
      <c r="A6" s="258">
        <v>43854</v>
      </c>
      <c r="B6" s="260" t="s">
        <v>2120</v>
      </c>
    </row>
    <row r="7" spans="1:3">
      <c r="A7" s="258">
        <v>43862</v>
      </c>
      <c r="B7" s="260" t="s">
        <v>2117</v>
      </c>
    </row>
    <row r="8" spans="1:3">
      <c r="A8" s="258">
        <v>43870</v>
      </c>
      <c r="B8" s="260" t="s">
        <v>2118</v>
      </c>
    </row>
    <row r="9" spans="1:3">
      <c r="A9" s="258">
        <v>43877</v>
      </c>
      <c r="B9" s="260" t="s">
        <v>2119</v>
      </c>
    </row>
    <row r="10" spans="1:3">
      <c r="A10" s="258">
        <v>43884</v>
      </c>
      <c r="B10" s="260" t="s">
        <v>2120</v>
      </c>
    </row>
    <row r="11" spans="1:3">
      <c r="A11" s="258">
        <v>43892</v>
      </c>
      <c r="B11" s="260" t="s">
        <v>2117</v>
      </c>
    </row>
    <row r="12" spans="1:3">
      <c r="A12" s="258">
        <v>43899</v>
      </c>
      <c r="B12" s="260" t="s">
        <v>2118</v>
      </c>
    </row>
    <row r="13" spans="1:3">
      <c r="A13" s="258">
        <v>43906</v>
      </c>
      <c r="B13" s="260" t="s">
        <v>2119</v>
      </c>
    </row>
    <row r="14" spans="1:3">
      <c r="A14" s="258">
        <v>43914</v>
      </c>
      <c r="B14" s="260" t="s">
        <v>2120</v>
      </c>
    </row>
    <row r="15" spans="1:3">
      <c r="A15" s="258">
        <v>43922</v>
      </c>
      <c r="B15" s="260" t="s">
        <v>2117</v>
      </c>
    </row>
    <row r="16" spans="1:3">
      <c r="A16" s="258">
        <v>43929</v>
      </c>
      <c r="B16" s="260" t="s">
        <v>2118</v>
      </c>
    </row>
    <row r="17" spans="1:2" ht="15.75">
      <c r="A17" s="258">
        <v>43936</v>
      </c>
      <c r="B17" s="261" t="s">
        <v>2119</v>
      </c>
    </row>
    <row r="18" spans="1:2">
      <c r="A18" s="258">
        <v>43944</v>
      </c>
      <c r="B18" s="260" t="s">
        <v>2120</v>
      </c>
    </row>
    <row r="19" spans="1:2">
      <c r="A19" s="258">
        <v>43951</v>
      </c>
      <c r="B19" s="260" t="s">
        <v>2117</v>
      </c>
    </row>
    <row r="20" spans="1:2">
      <c r="A20" s="258">
        <v>43958</v>
      </c>
      <c r="B20" s="260" t="s">
        <v>2118</v>
      </c>
    </row>
    <row r="21" spans="1:2">
      <c r="A21" s="258">
        <v>43965</v>
      </c>
      <c r="B21" s="260" t="s">
        <v>2119</v>
      </c>
    </row>
    <row r="22" spans="1:2">
      <c r="A22" s="258">
        <v>43973</v>
      </c>
      <c r="B22" s="260" t="s">
        <v>2120</v>
      </c>
    </row>
    <row r="23" spans="1:2">
      <c r="A23" s="258">
        <v>43981</v>
      </c>
      <c r="B23" s="260" t="s">
        <v>2117</v>
      </c>
    </row>
    <row r="24" spans="1:2">
      <c r="A24" s="258">
        <v>43987</v>
      </c>
      <c r="B24" s="260" t="s">
        <v>2118</v>
      </c>
    </row>
    <row r="25" spans="1:2">
      <c r="A25" s="258">
        <v>43995</v>
      </c>
      <c r="B25" s="260" t="s">
        <v>2119</v>
      </c>
    </row>
    <row r="26" spans="1:2">
      <c r="A26" s="258">
        <v>44003</v>
      </c>
      <c r="B26" s="260" t="s">
        <v>2120</v>
      </c>
    </row>
    <row r="27" spans="1:2">
      <c r="A27" s="258">
        <v>44010</v>
      </c>
      <c r="B27" s="260" t="s">
        <v>2117</v>
      </c>
    </row>
    <row r="28" spans="1:2">
      <c r="A28" s="258">
        <v>44017</v>
      </c>
      <c r="B28" s="260" t="s">
        <v>2118</v>
      </c>
    </row>
    <row r="29" spans="1:2">
      <c r="A29" s="258">
        <v>44024</v>
      </c>
      <c r="B29" s="260" t="s">
        <v>2119</v>
      </c>
    </row>
    <row r="30" spans="1:2">
      <c r="A30" s="258">
        <v>44032</v>
      </c>
      <c r="B30" s="260" t="s">
        <v>2120</v>
      </c>
    </row>
    <row r="31" spans="1:2">
      <c r="A31" s="258">
        <v>44039</v>
      </c>
      <c r="B31" s="260" t="s">
        <v>2117</v>
      </c>
    </row>
    <row r="32" spans="1:2">
      <c r="A32" s="258">
        <v>44046</v>
      </c>
      <c r="B32" s="260" t="s">
        <v>2118</v>
      </c>
    </row>
    <row r="33" spans="1:2">
      <c r="A33" s="258">
        <v>44054</v>
      </c>
      <c r="B33" s="260" t="s">
        <v>2119</v>
      </c>
    </row>
    <row r="34" spans="1:2">
      <c r="A34" s="258">
        <v>44062</v>
      </c>
      <c r="B34" s="260" t="s">
        <v>2120</v>
      </c>
    </row>
    <row r="35" spans="1:2">
      <c r="A35" s="258">
        <v>44068</v>
      </c>
      <c r="B35" s="260" t="s">
        <v>2117</v>
      </c>
    </row>
    <row r="36" spans="1:2">
      <c r="A36" s="258">
        <v>44076</v>
      </c>
      <c r="B36" s="260" t="s">
        <v>2118</v>
      </c>
    </row>
    <row r="37" spans="1:2">
      <c r="A37" s="258">
        <v>44084</v>
      </c>
      <c r="B37" s="260" t="s">
        <v>2119</v>
      </c>
    </row>
    <row r="38" spans="1:2">
      <c r="A38" s="258">
        <v>44091</v>
      </c>
      <c r="B38" s="260" t="s">
        <v>2120</v>
      </c>
    </row>
    <row r="39" spans="1:2">
      <c r="A39" s="258">
        <v>44098</v>
      </c>
      <c r="B39" s="260" t="s">
        <v>2117</v>
      </c>
    </row>
    <row r="40" spans="1:2">
      <c r="A40" s="258">
        <v>44105</v>
      </c>
      <c r="B40" s="260" t="s">
        <v>2118</v>
      </c>
    </row>
    <row r="41" spans="1:2">
      <c r="A41" s="258">
        <v>44113</v>
      </c>
      <c r="B41" s="260" t="s">
        <v>2119</v>
      </c>
    </row>
    <row r="42" spans="1:2">
      <c r="A42" s="258">
        <v>44120</v>
      </c>
      <c r="B42" s="260" t="s">
        <v>2120</v>
      </c>
    </row>
    <row r="43" spans="1:2">
      <c r="A43" s="258">
        <v>44127</v>
      </c>
      <c r="B43" s="260" t="s">
        <v>2117</v>
      </c>
    </row>
    <row r="44" spans="1:2">
      <c r="A44" s="258">
        <v>44135</v>
      </c>
      <c r="B44" s="260" t="s">
        <v>2118</v>
      </c>
    </row>
    <row r="45" spans="1:2">
      <c r="A45" s="258">
        <v>44143</v>
      </c>
      <c r="B45" s="260" t="s">
        <v>2119</v>
      </c>
    </row>
    <row r="46" spans="1:2">
      <c r="A46" s="258">
        <v>44150</v>
      </c>
      <c r="B46" s="260" t="s">
        <v>2120</v>
      </c>
    </row>
    <row r="47" spans="1:2">
      <c r="A47" s="258">
        <v>44157</v>
      </c>
      <c r="B47" s="260" t="s">
        <v>2117</v>
      </c>
    </row>
    <row r="48" spans="1:2">
      <c r="A48" s="258">
        <v>44165</v>
      </c>
      <c r="B48" s="260" t="s">
        <v>2118</v>
      </c>
    </row>
    <row r="49" spans="1:2">
      <c r="A49" s="258">
        <v>44172</v>
      </c>
      <c r="B49" s="260" t="s">
        <v>2119</v>
      </c>
    </row>
    <row r="50" spans="1:2">
      <c r="A50" s="258">
        <v>44179</v>
      </c>
      <c r="B50" s="260" t="s">
        <v>2120</v>
      </c>
    </row>
    <row r="51" spans="1:2">
      <c r="A51" s="258">
        <v>44187</v>
      </c>
      <c r="B51" s="260" t="s">
        <v>2117</v>
      </c>
    </row>
    <row r="52" spans="1:2">
      <c r="A52" s="258">
        <v>44195</v>
      </c>
      <c r="B52" s="260" t="s">
        <v>2118</v>
      </c>
    </row>
    <row r="53" spans="1:2">
      <c r="A53" s="258">
        <v>44202</v>
      </c>
      <c r="B53" s="260" t="s">
        <v>2119</v>
      </c>
    </row>
    <row r="54" spans="1:2">
      <c r="A54" s="258">
        <v>44209</v>
      </c>
      <c r="B54" s="260" t="s">
        <v>2120</v>
      </c>
    </row>
    <row r="55" spans="1:2">
      <c r="A55" s="258">
        <v>44216</v>
      </c>
      <c r="B55" s="260" t="s">
        <v>2117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F8"/>
  <sheetViews>
    <sheetView workbookViewId="0"/>
  </sheetViews>
  <sheetFormatPr baseColWidth="10" defaultRowHeight="15"/>
  <cols>
    <col min="1" max="1" width="7.5703125" customWidth="1"/>
    <col min="2" max="2" width="7.7109375" customWidth="1"/>
    <col min="3" max="4" width="15.7109375" bestFit="1" customWidth="1"/>
    <col min="5" max="6" width="15.7109375" customWidth="1"/>
  </cols>
  <sheetData>
    <row r="1" spans="2:6" ht="23.25">
      <c r="B1" s="296" t="s">
        <v>101</v>
      </c>
      <c r="C1" s="297"/>
      <c r="D1" s="297"/>
      <c r="E1" s="297"/>
      <c r="F1" s="298"/>
    </row>
    <row r="2" spans="2:6" ht="45">
      <c r="B2" s="151" t="s">
        <v>107</v>
      </c>
      <c r="C2" s="152" t="s">
        <v>108</v>
      </c>
      <c r="D2" s="152" t="s">
        <v>109</v>
      </c>
      <c r="E2" s="153" t="s">
        <v>110</v>
      </c>
      <c r="F2" s="154" t="s">
        <v>111</v>
      </c>
    </row>
    <row r="3" spans="2:6">
      <c r="B3" s="155">
        <v>2020</v>
      </c>
      <c r="C3" s="156">
        <v>43910.200694444444</v>
      </c>
      <c r="D3" s="156">
        <v>44002.988194444442</v>
      </c>
      <c r="E3" s="156">
        <v>44096.645833333336</v>
      </c>
      <c r="F3" s="157">
        <v>44186.459722222222</v>
      </c>
    </row>
    <row r="4" spans="2:6">
      <c r="B4" s="155">
        <v>2021</v>
      </c>
      <c r="C4" s="156">
        <v>44275.442361111112</v>
      </c>
      <c r="D4" s="156">
        <v>44368.230555555558</v>
      </c>
      <c r="E4" s="156">
        <v>44461.88958333333</v>
      </c>
      <c r="F4" s="157">
        <v>44551.707638888889</v>
      </c>
    </row>
    <row r="5" spans="2:6">
      <c r="B5" s="155">
        <v>2022</v>
      </c>
      <c r="C5" s="156">
        <v>44640.689583333333</v>
      </c>
      <c r="D5" s="156">
        <v>44733.467361111114</v>
      </c>
      <c r="E5" s="156">
        <v>44827.127083333333</v>
      </c>
      <c r="F5" s="157">
        <v>44916.95</v>
      </c>
    </row>
    <row r="6" spans="2:6">
      <c r="B6" s="155">
        <v>2023</v>
      </c>
      <c r="C6" s="156">
        <v>45005.933333333334</v>
      </c>
      <c r="D6" s="156">
        <v>45098.706250000003</v>
      </c>
      <c r="E6" s="158">
        <v>45192.367361111108</v>
      </c>
      <c r="F6" s="157">
        <v>45282.185416666667</v>
      </c>
    </row>
    <row r="7" spans="2:6">
      <c r="B7" s="155">
        <v>2024</v>
      </c>
      <c r="C7" s="156">
        <v>45371.17083333333</v>
      </c>
      <c r="D7" s="156">
        <v>45463.951388888891</v>
      </c>
      <c r="E7" s="158">
        <v>45557.613194444442</v>
      </c>
      <c r="F7" s="157">
        <v>45647.430555555555</v>
      </c>
    </row>
    <row r="8" spans="2:6">
      <c r="B8" s="159">
        <v>2025</v>
      </c>
      <c r="C8" s="160">
        <v>45736.417361111111</v>
      </c>
      <c r="D8" s="160">
        <v>45829.195833333331</v>
      </c>
      <c r="E8" s="161">
        <v>45922.84652777778</v>
      </c>
      <c r="F8" s="162">
        <v>46012.668749999997</v>
      </c>
    </row>
  </sheetData>
  <mergeCells count="1">
    <mergeCell ref="B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J1590"/>
  <sheetViews>
    <sheetView showGridLines="0" workbookViewId="0">
      <selection activeCell="B1" sqref="B1"/>
    </sheetView>
  </sheetViews>
  <sheetFormatPr baseColWidth="10" defaultRowHeight="15"/>
  <cols>
    <col min="1" max="1" width="1.85546875" customWidth="1"/>
    <col min="5" max="5" width="9.42578125" customWidth="1"/>
    <col min="6" max="6" width="1.85546875" customWidth="1"/>
    <col min="7" max="7" width="8.85546875" customWidth="1"/>
    <col min="8" max="8" width="1.7109375" customWidth="1"/>
  </cols>
  <sheetData>
    <row r="1" spans="2:10" ht="24.75" customHeight="1">
      <c r="B1" s="163" t="s">
        <v>112</v>
      </c>
      <c r="C1" s="164" t="s">
        <v>113</v>
      </c>
      <c r="D1" s="165" t="s">
        <v>114</v>
      </c>
      <c r="E1" s="183">
        <f>Parametre!C5</f>
        <v>2020</v>
      </c>
      <c r="F1" s="29"/>
      <c r="G1" s="166" t="s">
        <v>115</v>
      </c>
      <c r="I1" s="167" t="s">
        <v>113</v>
      </c>
      <c r="J1" s="168" t="s">
        <v>116</v>
      </c>
    </row>
    <row r="2" spans="2:10">
      <c r="B2" s="169" t="s">
        <v>117</v>
      </c>
      <c r="C2" s="170">
        <f t="shared" ref="C2:C65" si="0">DATEVALUE(G2&amp;$E$1)</f>
        <v>43831</v>
      </c>
      <c r="D2" s="169" t="s">
        <v>117</v>
      </c>
      <c r="F2" s="29"/>
      <c r="G2" s="171" t="s">
        <v>118</v>
      </c>
      <c r="I2" s="172">
        <v>43831</v>
      </c>
      <c r="J2" s="173" t="s">
        <v>117</v>
      </c>
    </row>
    <row r="3" spans="2:10">
      <c r="B3" s="174" t="s">
        <v>119</v>
      </c>
      <c r="C3" s="170">
        <f t="shared" si="0"/>
        <v>43832</v>
      </c>
      <c r="D3" s="174" t="s">
        <v>119</v>
      </c>
      <c r="F3" s="29"/>
      <c r="G3" s="175" t="s">
        <v>120</v>
      </c>
      <c r="I3" s="176">
        <v>43832</v>
      </c>
      <c r="J3" s="177" t="s">
        <v>119</v>
      </c>
    </row>
    <row r="4" spans="2:10">
      <c r="B4" s="174" t="s">
        <v>121</v>
      </c>
      <c r="C4" s="170">
        <f t="shared" si="0"/>
        <v>43833</v>
      </c>
      <c r="D4" s="174" t="s">
        <v>121</v>
      </c>
      <c r="F4" s="29"/>
      <c r="G4" s="175" t="s">
        <v>122</v>
      </c>
      <c r="I4" s="176">
        <v>43832</v>
      </c>
      <c r="J4" s="177" t="s">
        <v>123</v>
      </c>
    </row>
    <row r="5" spans="2:10">
      <c r="B5" s="174" t="s">
        <v>124</v>
      </c>
      <c r="C5" s="170">
        <f t="shared" si="0"/>
        <v>43834</v>
      </c>
      <c r="D5" s="174" t="s">
        <v>124</v>
      </c>
      <c r="F5" s="29"/>
      <c r="G5" s="175" t="s">
        <v>125</v>
      </c>
      <c r="I5" s="176">
        <v>43833</v>
      </c>
      <c r="J5" s="177" t="s">
        <v>121</v>
      </c>
    </row>
    <row r="6" spans="2:10">
      <c r="B6" s="174" t="s">
        <v>126</v>
      </c>
      <c r="C6" s="170">
        <f t="shared" si="0"/>
        <v>43835</v>
      </c>
      <c r="D6" s="174" t="s">
        <v>126</v>
      </c>
      <c r="F6" s="29"/>
      <c r="G6" s="175" t="s">
        <v>127</v>
      </c>
      <c r="I6" s="176">
        <v>43833</v>
      </c>
      <c r="J6" s="177" t="s">
        <v>128</v>
      </c>
    </row>
    <row r="7" spans="2:10">
      <c r="B7" s="174" t="s">
        <v>129</v>
      </c>
      <c r="C7" s="170">
        <f t="shared" si="0"/>
        <v>43836</v>
      </c>
      <c r="D7" s="174" t="s">
        <v>129</v>
      </c>
      <c r="F7" s="29"/>
      <c r="G7" s="175" t="s">
        <v>130</v>
      </c>
      <c r="I7" s="176">
        <v>43834</v>
      </c>
      <c r="J7" s="177" t="s">
        <v>131</v>
      </c>
    </row>
    <row r="8" spans="2:10">
      <c r="B8" s="174" t="s">
        <v>132</v>
      </c>
      <c r="C8" s="170">
        <f t="shared" si="0"/>
        <v>43837</v>
      </c>
      <c r="D8" s="174" t="s">
        <v>132</v>
      </c>
      <c r="F8" s="29"/>
      <c r="G8" s="175" t="s">
        <v>133</v>
      </c>
      <c r="I8" s="176">
        <v>43834</v>
      </c>
      <c r="J8" s="177" t="s">
        <v>134</v>
      </c>
    </row>
    <row r="9" spans="2:10">
      <c r="B9" s="174" t="s">
        <v>135</v>
      </c>
      <c r="C9" s="170">
        <f t="shared" si="0"/>
        <v>43838</v>
      </c>
      <c r="D9" s="174" t="s">
        <v>135</v>
      </c>
      <c r="F9" s="29"/>
      <c r="G9" s="175" t="s">
        <v>136</v>
      </c>
      <c r="I9" s="176">
        <v>43834</v>
      </c>
      <c r="J9" s="177" t="s">
        <v>124</v>
      </c>
    </row>
    <row r="10" spans="2:10">
      <c r="B10" s="174" t="s">
        <v>137</v>
      </c>
      <c r="C10" s="170">
        <f t="shared" si="0"/>
        <v>43839</v>
      </c>
      <c r="D10" s="174" t="s">
        <v>137</v>
      </c>
      <c r="F10" s="29"/>
      <c r="G10" s="175" t="s">
        <v>138</v>
      </c>
      <c r="I10" s="176">
        <v>43835</v>
      </c>
      <c r="J10" s="177" t="s">
        <v>139</v>
      </c>
    </row>
    <row r="11" spans="2:10">
      <c r="B11" s="174" t="s">
        <v>140</v>
      </c>
      <c r="C11" s="170">
        <f t="shared" si="0"/>
        <v>43840</v>
      </c>
      <c r="D11" s="174" t="s">
        <v>140</v>
      </c>
      <c r="F11" s="29"/>
      <c r="G11" s="175" t="s">
        <v>141</v>
      </c>
      <c r="I11" s="176">
        <v>43835</v>
      </c>
      <c r="J11" s="177" t="s">
        <v>142</v>
      </c>
    </row>
    <row r="12" spans="2:10">
      <c r="B12" s="174" t="s">
        <v>143</v>
      </c>
      <c r="C12" s="170">
        <f t="shared" si="0"/>
        <v>43841</v>
      </c>
      <c r="D12" s="174" t="s">
        <v>143</v>
      </c>
      <c r="F12" s="29"/>
      <c r="G12" s="175" t="s">
        <v>144</v>
      </c>
      <c r="I12" s="176">
        <v>43835</v>
      </c>
      <c r="J12" s="177" t="s">
        <v>145</v>
      </c>
    </row>
    <row r="13" spans="2:10">
      <c r="B13" s="174" t="s">
        <v>146</v>
      </c>
      <c r="C13" s="170">
        <f t="shared" si="0"/>
        <v>43842</v>
      </c>
      <c r="D13" s="174" t="s">
        <v>146</v>
      </c>
      <c r="F13" s="29"/>
      <c r="G13" s="175" t="s">
        <v>147</v>
      </c>
      <c r="I13" s="176">
        <v>43835</v>
      </c>
      <c r="J13" s="177" t="s">
        <v>148</v>
      </c>
    </row>
    <row r="14" spans="2:10">
      <c r="B14" s="174" t="s">
        <v>149</v>
      </c>
      <c r="C14" s="170">
        <f t="shared" si="0"/>
        <v>43843</v>
      </c>
      <c r="D14" s="174" t="s">
        <v>149</v>
      </c>
      <c r="F14" s="29"/>
      <c r="G14" s="175" t="s">
        <v>150</v>
      </c>
      <c r="I14" s="176">
        <v>43835</v>
      </c>
      <c r="J14" s="177" t="s">
        <v>151</v>
      </c>
    </row>
    <row r="15" spans="2:10">
      <c r="B15" s="174" t="s">
        <v>152</v>
      </c>
      <c r="C15" s="170">
        <f t="shared" si="0"/>
        <v>43844</v>
      </c>
      <c r="D15" s="174" t="s">
        <v>152</v>
      </c>
      <c r="F15" s="29"/>
      <c r="G15" s="175" t="s">
        <v>153</v>
      </c>
      <c r="I15" s="176">
        <v>43835</v>
      </c>
      <c r="J15" s="177" t="s">
        <v>154</v>
      </c>
    </row>
    <row r="16" spans="2:10">
      <c r="B16" s="174" t="s">
        <v>155</v>
      </c>
      <c r="C16" s="170">
        <f t="shared" si="0"/>
        <v>43845</v>
      </c>
      <c r="D16" s="174" t="s">
        <v>155</v>
      </c>
      <c r="F16" s="29"/>
      <c r="G16" s="175" t="s">
        <v>156</v>
      </c>
      <c r="I16" s="176">
        <v>43835</v>
      </c>
      <c r="J16" s="177" t="s">
        <v>157</v>
      </c>
    </row>
    <row r="17" spans="2:10">
      <c r="B17" s="174" t="s">
        <v>158</v>
      </c>
      <c r="C17" s="170">
        <f t="shared" si="0"/>
        <v>43846</v>
      </c>
      <c r="D17" s="174" t="s">
        <v>158</v>
      </c>
      <c r="F17" s="29"/>
      <c r="G17" s="175" t="s">
        <v>159</v>
      </c>
      <c r="I17" s="176">
        <v>43835</v>
      </c>
      <c r="J17" s="177" t="s">
        <v>160</v>
      </c>
    </row>
    <row r="18" spans="2:10">
      <c r="B18" s="174" t="s">
        <v>161</v>
      </c>
      <c r="C18" s="170">
        <f t="shared" si="0"/>
        <v>43847</v>
      </c>
      <c r="D18" s="174" t="s">
        <v>161</v>
      </c>
      <c r="F18" s="29"/>
      <c r="G18" s="175" t="s">
        <v>162</v>
      </c>
      <c r="I18" s="176">
        <v>43836</v>
      </c>
      <c r="J18" s="177" t="s">
        <v>163</v>
      </c>
    </row>
    <row r="19" spans="2:10">
      <c r="B19" s="174" t="s">
        <v>164</v>
      </c>
      <c r="C19" s="170">
        <f t="shared" si="0"/>
        <v>43848</v>
      </c>
      <c r="D19" s="174" t="s">
        <v>164</v>
      </c>
      <c r="F19" s="29"/>
      <c r="G19" s="175" t="s">
        <v>165</v>
      </c>
      <c r="I19" s="176">
        <v>43836</v>
      </c>
      <c r="J19" s="177" t="s">
        <v>166</v>
      </c>
    </row>
    <row r="20" spans="2:10">
      <c r="B20" s="174" t="s">
        <v>167</v>
      </c>
      <c r="C20" s="170">
        <f t="shared" si="0"/>
        <v>43849</v>
      </c>
      <c r="D20" s="174" t="s">
        <v>167</v>
      </c>
      <c r="F20" s="29"/>
      <c r="G20" s="175" t="s">
        <v>168</v>
      </c>
      <c r="I20" s="176">
        <v>43837</v>
      </c>
      <c r="J20" s="177" t="s">
        <v>169</v>
      </c>
    </row>
    <row r="21" spans="2:10">
      <c r="B21" s="174" t="s">
        <v>170</v>
      </c>
      <c r="C21" s="170">
        <f t="shared" si="0"/>
        <v>43850</v>
      </c>
      <c r="D21" s="174" t="s">
        <v>170</v>
      </c>
      <c r="F21" s="29"/>
      <c r="G21" s="175" t="s">
        <v>171</v>
      </c>
      <c r="I21" s="176">
        <v>43837</v>
      </c>
      <c r="J21" s="177" t="s">
        <v>172</v>
      </c>
    </row>
    <row r="22" spans="2:10">
      <c r="B22" s="174" t="s">
        <v>173</v>
      </c>
      <c r="C22" s="170">
        <f t="shared" si="0"/>
        <v>43851</v>
      </c>
      <c r="D22" s="174" t="s">
        <v>173</v>
      </c>
      <c r="F22" s="29"/>
      <c r="G22" s="175" t="s">
        <v>174</v>
      </c>
      <c r="I22" s="176">
        <v>43837</v>
      </c>
      <c r="J22" s="177" t="s">
        <v>175</v>
      </c>
    </row>
    <row r="23" spans="2:10">
      <c r="B23" s="174" t="s">
        <v>176</v>
      </c>
      <c r="C23" s="170">
        <f t="shared" si="0"/>
        <v>43852</v>
      </c>
      <c r="D23" s="174" t="s">
        <v>176</v>
      </c>
      <c r="F23" s="29"/>
      <c r="G23" s="175" t="s">
        <v>177</v>
      </c>
      <c r="I23" s="176">
        <v>43837</v>
      </c>
      <c r="J23" s="177" t="s">
        <v>132</v>
      </c>
    </row>
    <row r="24" spans="2:10">
      <c r="B24" s="174" t="s">
        <v>178</v>
      </c>
      <c r="C24" s="170">
        <f t="shared" si="0"/>
        <v>43853</v>
      </c>
      <c r="D24" s="174" t="s">
        <v>178</v>
      </c>
      <c r="F24" s="29"/>
      <c r="G24" s="175" t="s">
        <v>179</v>
      </c>
      <c r="I24" s="176">
        <v>43837</v>
      </c>
      <c r="J24" s="177" t="s">
        <v>180</v>
      </c>
    </row>
    <row r="25" spans="2:10">
      <c r="B25" s="174" t="s">
        <v>181</v>
      </c>
      <c r="C25" s="170">
        <f t="shared" si="0"/>
        <v>43854</v>
      </c>
      <c r="D25" s="174" t="s">
        <v>182</v>
      </c>
      <c r="F25" s="29"/>
      <c r="G25" s="175" t="s">
        <v>183</v>
      </c>
      <c r="I25" s="176">
        <v>43837</v>
      </c>
      <c r="J25" s="177" t="s">
        <v>184</v>
      </c>
    </row>
    <row r="26" spans="2:10">
      <c r="B26" s="174" t="s">
        <v>185</v>
      </c>
      <c r="C26" s="170">
        <f t="shared" si="0"/>
        <v>43855</v>
      </c>
      <c r="D26" s="174" t="s">
        <v>185</v>
      </c>
      <c r="F26" s="29"/>
      <c r="G26" s="175" t="s">
        <v>186</v>
      </c>
      <c r="I26" s="176">
        <v>43838</v>
      </c>
      <c r="J26" s="177" t="s">
        <v>135</v>
      </c>
    </row>
    <row r="27" spans="2:10">
      <c r="B27" s="174" t="s">
        <v>187</v>
      </c>
      <c r="C27" s="170">
        <f t="shared" si="0"/>
        <v>43856</v>
      </c>
      <c r="D27" s="174" t="s">
        <v>187</v>
      </c>
      <c r="F27" s="29"/>
      <c r="G27" s="175" t="s">
        <v>188</v>
      </c>
      <c r="I27" s="176">
        <v>43838</v>
      </c>
      <c r="J27" s="177" t="s">
        <v>189</v>
      </c>
    </row>
    <row r="28" spans="2:10">
      <c r="B28" s="174" t="s">
        <v>190</v>
      </c>
      <c r="C28" s="170">
        <f t="shared" si="0"/>
        <v>43857</v>
      </c>
      <c r="D28" s="174" t="s">
        <v>190</v>
      </c>
      <c r="F28" s="29"/>
      <c r="G28" s="175" t="s">
        <v>191</v>
      </c>
      <c r="I28" s="176">
        <v>43839</v>
      </c>
      <c r="J28" s="177" t="s">
        <v>192</v>
      </c>
    </row>
    <row r="29" spans="2:10">
      <c r="B29" s="174" t="s">
        <v>193</v>
      </c>
      <c r="C29" s="170">
        <f t="shared" si="0"/>
        <v>43858</v>
      </c>
      <c r="D29" s="174" t="s">
        <v>193</v>
      </c>
      <c r="F29" s="29"/>
      <c r="G29" s="175" t="s">
        <v>194</v>
      </c>
      <c r="I29" s="176">
        <v>43839</v>
      </c>
      <c r="J29" s="177" t="s">
        <v>195</v>
      </c>
    </row>
    <row r="30" spans="2:10">
      <c r="B30" s="174" t="s">
        <v>196</v>
      </c>
      <c r="C30" s="170">
        <f t="shared" si="0"/>
        <v>43859</v>
      </c>
      <c r="D30" s="174" t="s">
        <v>196</v>
      </c>
      <c r="F30" s="29"/>
      <c r="G30" s="175" t="s">
        <v>197</v>
      </c>
      <c r="I30" s="176">
        <v>43839</v>
      </c>
      <c r="J30" s="177" t="s">
        <v>198</v>
      </c>
    </row>
    <row r="31" spans="2:10">
      <c r="B31" s="174" t="s">
        <v>199</v>
      </c>
      <c r="C31" s="170">
        <f t="shared" si="0"/>
        <v>43860</v>
      </c>
      <c r="D31" s="174" t="s">
        <v>199</v>
      </c>
      <c r="F31" s="29"/>
      <c r="G31" s="175" t="s">
        <v>200</v>
      </c>
      <c r="I31" s="176">
        <v>43839</v>
      </c>
      <c r="J31" s="177" t="s">
        <v>201</v>
      </c>
    </row>
    <row r="32" spans="2:10">
      <c r="B32" s="174" t="s">
        <v>202</v>
      </c>
      <c r="C32" s="170">
        <f t="shared" si="0"/>
        <v>43861</v>
      </c>
      <c r="D32" s="174" t="s">
        <v>202</v>
      </c>
      <c r="F32" s="29"/>
      <c r="G32" s="175" t="s">
        <v>203</v>
      </c>
      <c r="I32" s="176">
        <v>43839</v>
      </c>
      <c r="J32" s="177" t="s">
        <v>204</v>
      </c>
    </row>
    <row r="33" spans="2:10">
      <c r="B33" s="174" t="s">
        <v>205</v>
      </c>
      <c r="C33" s="170">
        <f t="shared" si="0"/>
        <v>43862</v>
      </c>
      <c r="D33" s="174" t="s">
        <v>205</v>
      </c>
      <c r="F33" s="29"/>
      <c r="G33" s="175" t="s">
        <v>206</v>
      </c>
      <c r="I33" s="176">
        <v>43839</v>
      </c>
      <c r="J33" s="177" t="s">
        <v>207</v>
      </c>
    </row>
    <row r="34" spans="2:10">
      <c r="B34" s="174" t="s">
        <v>208</v>
      </c>
      <c r="C34" s="170">
        <f t="shared" si="0"/>
        <v>43863</v>
      </c>
      <c r="D34" s="178" t="s">
        <v>209</v>
      </c>
      <c r="F34" s="29"/>
      <c r="G34" s="175" t="s">
        <v>210</v>
      </c>
      <c r="I34" s="176">
        <v>43839</v>
      </c>
      <c r="J34" s="177" t="s">
        <v>137</v>
      </c>
    </row>
    <row r="35" spans="2:10">
      <c r="B35" s="174" t="s">
        <v>211</v>
      </c>
      <c r="C35" s="170">
        <f t="shared" si="0"/>
        <v>43864</v>
      </c>
      <c r="D35" s="174" t="s">
        <v>211</v>
      </c>
      <c r="F35" s="29"/>
      <c r="G35" s="175" t="s">
        <v>212</v>
      </c>
      <c r="I35" s="176">
        <v>43839</v>
      </c>
      <c r="J35" s="177" t="s">
        <v>213</v>
      </c>
    </row>
    <row r="36" spans="2:10">
      <c r="B36" s="174" t="s">
        <v>214</v>
      </c>
      <c r="C36" s="170">
        <f t="shared" si="0"/>
        <v>43865</v>
      </c>
      <c r="D36" s="174" t="s">
        <v>214</v>
      </c>
      <c r="F36" s="29"/>
      <c r="G36" s="175" t="s">
        <v>215</v>
      </c>
      <c r="I36" s="176">
        <v>43839</v>
      </c>
      <c r="J36" s="177" t="s">
        <v>216</v>
      </c>
    </row>
    <row r="37" spans="2:10">
      <c r="B37" s="174" t="s">
        <v>217</v>
      </c>
      <c r="C37" s="170">
        <f t="shared" si="0"/>
        <v>43866</v>
      </c>
      <c r="D37" s="174" t="s">
        <v>217</v>
      </c>
      <c r="F37" s="29"/>
      <c r="G37" s="175" t="s">
        <v>218</v>
      </c>
      <c r="I37" s="176">
        <v>43839</v>
      </c>
      <c r="J37" s="177" t="s">
        <v>219</v>
      </c>
    </row>
    <row r="38" spans="2:10">
      <c r="B38" s="174" t="s">
        <v>220</v>
      </c>
      <c r="C38" s="170">
        <f t="shared" si="0"/>
        <v>43867</v>
      </c>
      <c r="D38" s="174" t="s">
        <v>220</v>
      </c>
      <c r="F38" s="29"/>
      <c r="G38" s="175" t="s">
        <v>221</v>
      </c>
      <c r="I38" s="176">
        <v>43839</v>
      </c>
      <c r="J38" s="177" t="s">
        <v>222</v>
      </c>
    </row>
    <row r="39" spans="2:10">
      <c r="B39" s="174" t="s">
        <v>223</v>
      </c>
      <c r="C39" s="170">
        <f t="shared" si="0"/>
        <v>43868</v>
      </c>
      <c r="D39" s="174" t="s">
        <v>223</v>
      </c>
      <c r="F39" s="29"/>
      <c r="G39" s="175" t="s">
        <v>224</v>
      </c>
      <c r="I39" s="176">
        <v>43839</v>
      </c>
      <c r="J39" s="177" t="s">
        <v>225</v>
      </c>
    </row>
    <row r="40" spans="2:10">
      <c r="B40" s="174" t="s">
        <v>226</v>
      </c>
      <c r="C40" s="170">
        <f t="shared" si="0"/>
        <v>43869</v>
      </c>
      <c r="D40" s="174" t="s">
        <v>226</v>
      </c>
      <c r="F40" s="29"/>
      <c r="G40" s="175" t="s">
        <v>227</v>
      </c>
      <c r="I40" s="176">
        <v>43840</v>
      </c>
      <c r="J40" s="177" t="s">
        <v>228</v>
      </c>
    </row>
    <row r="41" spans="2:10">
      <c r="B41" s="174" t="s">
        <v>229</v>
      </c>
      <c r="C41" s="170">
        <f t="shared" si="0"/>
        <v>43870</v>
      </c>
      <c r="D41" s="174" t="s">
        <v>229</v>
      </c>
      <c r="F41" s="29"/>
      <c r="G41" s="175" t="s">
        <v>230</v>
      </c>
      <c r="I41" s="176">
        <v>43840</v>
      </c>
      <c r="J41" s="177" t="s">
        <v>231</v>
      </c>
    </row>
    <row r="42" spans="2:10">
      <c r="B42" s="174" t="s">
        <v>232</v>
      </c>
      <c r="C42" s="170">
        <f t="shared" si="0"/>
        <v>43871</v>
      </c>
      <c r="D42" s="174" t="s">
        <v>232</v>
      </c>
      <c r="F42" s="29"/>
      <c r="G42" s="175" t="s">
        <v>233</v>
      </c>
      <c r="I42" s="176">
        <v>43840</v>
      </c>
      <c r="J42" s="177" t="s">
        <v>140</v>
      </c>
    </row>
    <row r="43" spans="2:10">
      <c r="B43" s="174" t="s">
        <v>234</v>
      </c>
      <c r="C43" s="170">
        <f t="shared" si="0"/>
        <v>43872</v>
      </c>
      <c r="D43" s="174" t="s">
        <v>235</v>
      </c>
      <c r="F43" s="29"/>
      <c r="G43" s="175" t="s">
        <v>236</v>
      </c>
      <c r="I43" s="176">
        <v>43840</v>
      </c>
      <c r="J43" s="177" t="s">
        <v>237</v>
      </c>
    </row>
    <row r="44" spans="2:10">
      <c r="B44" s="174" t="s">
        <v>238</v>
      </c>
      <c r="C44" s="170">
        <f t="shared" si="0"/>
        <v>43873</v>
      </c>
      <c r="D44" s="174" t="s">
        <v>238</v>
      </c>
      <c r="F44" s="29"/>
      <c r="G44" s="175" t="s">
        <v>239</v>
      </c>
      <c r="I44" s="176">
        <v>43840</v>
      </c>
      <c r="J44" s="177" t="s">
        <v>240</v>
      </c>
    </row>
    <row r="45" spans="2:10">
      <c r="B45" s="174" t="s">
        <v>241</v>
      </c>
      <c r="C45" s="170">
        <f t="shared" si="0"/>
        <v>43874</v>
      </c>
      <c r="D45" s="174" t="s">
        <v>241</v>
      </c>
      <c r="F45" s="29"/>
      <c r="G45" s="175" t="s">
        <v>242</v>
      </c>
      <c r="I45" s="176">
        <v>43840</v>
      </c>
      <c r="J45" s="177" t="s">
        <v>243</v>
      </c>
    </row>
    <row r="46" spans="2:10">
      <c r="B46" s="174" t="s">
        <v>244</v>
      </c>
      <c r="C46" s="170">
        <f t="shared" si="0"/>
        <v>43875</v>
      </c>
      <c r="D46" s="174" t="s">
        <v>244</v>
      </c>
      <c r="F46" s="29"/>
      <c r="G46" s="175" t="s">
        <v>245</v>
      </c>
      <c r="I46" s="176">
        <v>43840</v>
      </c>
      <c r="J46" s="177" t="s">
        <v>246</v>
      </c>
    </row>
    <row r="47" spans="2:10">
      <c r="B47" s="174" t="s">
        <v>247</v>
      </c>
      <c r="C47" s="170">
        <f t="shared" si="0"/>
        <v>43876</v>
      </c>
      <c r="D47" s="174" t="s">
        <v>247</v>
      </c>
      <c r="F47" s="29"/>
      <c r="G47" s="175" t="s">
        <v>248</v>
      </c>
      <c r="I47" s="176">
        <v>43840</v>
      </c>
      <c r="J47" s="177" t="s">
        <v>249</v>
      </c>
    </row>
    <row r="48" spans="2:10">
      <c r="B48" s="174" t="s">
        <v>250</v>
      </c>
      <c r="C48" s="170">
        <f t="shared" si="0"/>
        <v>43877</v>
      </c>
      <c r="D48" s="174" t="s">
        <v>250</v>
      </c>
      <c r="F48" s="29"/>
      <c r="G48" s="175" t="s">
        <v>251</v>
      </c>
      <c r="I48" s="176">
        <v>43841</v>
      </c>
      <c r="J48" s="177" t="s">
        <v>143</v>
      </c>
    </row>
    <row r="49" spans="2:10">
      <c r="B49" s="174" t="s">
        <v>252</v>
      </c>
      <c r="C49" s="170">
        <f t="shared" si="0"/>
        <v>43878</v>
      </c>
      <c r="D49" s="174" t="s">
        <v>252</v>
      </c>
      <c r="F49" s="29"/>
      <c r="G49" s="175" t="s">
        <v>253</v>
      </c>
      <c r="I49" s="176">
        <v>43842</v>
      </c>
      <c r="J49" s="177" t="s">
        <v>254</v>
      </c>
    </row>
    <row r="50" spans="2:10">
      <c r="B50" s="174" t="s">
        <v>255</v>
      </c>
      <c r="C50" s="170">
        <f t="shared" si="0"/>
        <v>43879</v>
      </c>
      <c r="D50" s="174" t="s">
        <v>255</v>
      </c>
      <c r="F50" s="29"/>
      <c r="G50" s="175" t="s">
        <v>256</v>
      </c>
      <c r="I50" s="176">
        <v>43842</v>
      </c>
      <c r="J50" s="177" t="s">
        <v>257</v>
      </c>
    </row>
    <row r="51" spans="2:10">
      <c r="B51" s="174" t="s">
        <v>258</v>
      </c>
      <c r="C51" s="170">
        <f t="shared" si="0"/>
        <v>43880</v>
      </c>
      <c r="D51" s="174" t="s">
        <v>258</v>
      </c>
      <c r="F51" s="29"/>
      <c r="G51" s="175" t="s">
        <v>259</v>
      </c>
      <c r="I51" s="176">
        <v>43842</v>
      </c>
      <c r="J51" s="177" t="s">
        <v>260</v>
      </c>
    </row>
    <row r="52" spans="2:10">
      <c r="B52" s="174" t="s">
        <v>261</v>
      </c>
      <c r="C52" s="170">
        <f t="shared" si="0"/>
        <v>43881</v>
      </c>
      <c r="D52" s="174" t="s">
        <v>261</v>
      </c>
      <c r="F52" s="29"/>
      <c r="G52" s="175" t="s">
        <v>262</v>
      </c>
      <c r="I52" s="176">
        <v>43842</v>
      </c>
      <c r="J52" s="177" t="s">
        <v>263</v>
      </c>
    </row>
    <row r="53" spans="2:10">
      <c r="B53" s="174" t="s">
        <v>264</v>
      </c>
      <c r="C53" s="170">
        <f t="shared" si="0"/>
        <v>43882</v>
      </c>
      <c r="D53" s="174" t="s">
        <v>264</v>
      </c>
      <c r="F53" s="29"/>
      <c r="G53" s="175" t="s">
        <v>265</v>
      </c>
      <c r="I53" s="176">
        <v>43842</v>
      </c>
      <c r="J53" s="177" t="s">
        <v>146</v>
      </c>
    </row>
    <row r="54" spans="2:10">
      <c r="B54" s="174" t="s">
        <v>266</v>
      </c>
      <c r="C54" s="170">
        <f t="shared" si="0"/>
        <v>43883</v>
      </c>
      <c r="D54" s="174" t="s">
        <v>266</v>
      </c>
      <c r="F54" s="29"/>
      <c r="G54" s="175" t="s">
        <v>267</v>
      </c>
      <c r="I54" s="176">
        <v>43842</v>
      </c>
      <c r="J54" s="177" t="s">
        <v>268</v>
      </c>
    </row>
    <row r="55" spans="2:10">
      <c r="B55" s="174" t="s">
        <v>269</v>
      </c>
      <c r="C55" s="170">
        <f t="shared" si="0"/>
        <v>43884</v>
      </c>
      <c r="D55" s="174" t="s">
        <v>269</v>
      </c>
      <c r="F55" s="29"/>
      <c r="G55" s="175" t="s">
        <v>270</v>
      </c>
      <c r="I55" s="176">
        <v>43842</v>
      </c>
      <c r="J55" s="177" t="s">
        <v>271</v>
      </c>
    </row>
    <row r="56" spans="2:10">
      <c r="B56" s="174" t="s">
        <v>272</v>
      </c>
      <c r="C56" s="170">
        <f t="shared" si="0"/>
        <v>43885</v>
      </c>
      <c r="D56" s="174" t="s">
        <v>272</v>
      </c>
      <c r="F56" s="29"/>
      <c r="G56" s="175" t="s">
        <v>273</v>
      </c>
      <c r="I56" s="176">
        <v>43843</v>
      </c>
      <c r="J56" s="177" t="s">
        <v>274</v>
      </c>
    </row>
    <row r="57" spans="2:10">
      <c r="B57" s="174" t="s">
        <v>275</v>
      </c>
      <c r="C57" s="170">
        <f t="shared" si="0"/>
        <v>43886</v>
      </c>
      <c r="D57" s="174" t="s">
        <v>275</v>
      </c>
      <c r="F57" s="29"/>
      <c r="G57" s="175" t="s">
        <v>276</v>
      </c>
      <c r="I57" s="176">
        <v>43843</v>
      </c>
      <c r="J57" s="177" t="s">
        <v>277</v>
      </c>
    </row>
    <row r="58" spans="2:10">
      <c r="B58" s="174" t="s">
        <v>278</v>
      </c>
      <c r="C58" s="170">
        <f t="shared" si="0"/>
        <v>43887</v>
      </c>
      <c r="D58" s="174" t="s">
        <v>278</v>
      </c>
      <c r="F58" s="29"/>
      <c r="G58" s="175" t="s">
        <v>279</v>
      </c>
      <c r="I58" s="176">
        <v>43843</v>
      </c>
      <c r="J58" s="177" t="s">
        <v>149</v>
      </c>
    </row>
    <row r="59" spans="2:10">
      <c r="B59" s="174" t="s">
        <v>280</v>
      </c>
      <c r="C59" s="170">
        <f t="shared" si="0"/>
        <v>43888</v>
      </c>
      <c r="D59" s="174" t="s">
        <v>280</v>
      </c>
      <c r="F59" s="29"/>
      <c r="G59" s="175" t="s">
        <v>281</v>
      </c>
      <c r="I59" s="176">
        <v>43844</v>
      </c>
      <c r="J59" s="177" t="s">
        <v>152</v>
      </c>
    </row>
    <row r="60" spans="2:10">
      <c r="B60" s="174" t="s">
        <v>282</v>
      </c>
      <c r="C60" s="170">
        <f t="shared" si="0"/>
        <v>43889</v>
      </c>
      <c r="D60" s="174" t="s">
        <v>282</v>
      </c>
      <c r="F60" s="29"/>
      <c r="G60" s="175" t="s">
        <v>283</v>
      </c>
      <c r="I60" s="176">
        <v>43845</v>
      </c>
      <c r="J60" s="177" t="s">
        <v>284</v>
      </c>
    </row>
    <row r="61" spans="2:10">
      <c r="B61" s="174" t="s">
        <v>285</v>
      </c>
      <c r="C61" s="170">
        <f t="shared" si="0"/>
        <v>43890</v>
      </c>
      <c r="D61" s="174" t="s">
        <v>285</v>
      </c>
      <c r="F61" s="29"/>
      <c r="G61" s="175" t="s">
        <v>286</v>
      </c>
      <c r="I61" s="176">
        <v>43845</v>
      </c>
      <c r="J61" s="177" t="s">
        <v>287</v>
      </c>
    </row>
    <row r="62" spans="2:10">
      <c r="B62" s="174" t="s">
        <v>288</v>
      </c>
      <c r="C62" s="170">
        <f t="shared" si="0"/>
        <v>43891</v>
      </c>
      <c r="D62" s="174" t="s">
        <v>288</v>
      </c>
      <c r="F62" s="29"/>
      <c r="G62" s="175" t="s">
        <v>289</v>
      </c>
      <c r="I62" s="176">
        <v>43845</v>
      </c>
      <c r="J62" s="177" t="s">
        <v>290</v>
      </c>
    </row>
    <row r="63" spans="2:10">
      <c r="B63" s="174" t="s">
        <v>291</v>
      </c>
      <c r="C63" s="170">
        <f t="shared" si="0"/>
        <v>43892</v>
      </c>
      <c r="D63" s="174" t="s">
        <v>292</v>
      </c>
      <c r="F63" s="29"/>
      <c r="G63" s="175" t="s">
        <v>293</v>
      </c>
      <c r="I63" s="176">
        <v>43845</v>
      </c>
      <c r="J63" s="177" t="s">
        <v>294</v>
      </c>
    </row>
    <row r="64" spans="2:10">
      <c r="B64" s="174" t="s">
        <v>295</v>
      </c>
      <c r="C64" s="170">
        <f t="shared" si="0"/>
        <v>43893</v>
      </c>
      <c r="D64" s="174" t="s">
        <v>295</v>
      </c>
      <c r="F64" s="29"/>
      <c r="G64" s="175" t="s">
        <v>296</v>
      </c>
      <c r="I64" s="176">
        <v>43845</v>
      </c>
      <c r="J64" s="177" t="s">
        <v>297</v>
      </c>
    </row>
    <row r="65" spans="2:10">
      <c r="B65" s="174" t="s">
        <v>298</v>
      </c>
      <c r="C65" s="170">
        <f t="shared" si="0"/>
        <v>43894</v>
      </c>
      <c r="D65" s="174" t="s">
        <v>298</v>
      </c>
      <c r="F65" s="29"/>
      <c r="G65" s="175" t="s">
        <v>299</v>
      </c>
      <c r="I65" s="176">
        <v>43845</v>
      </c>
      <c r="J65" s="177" t="s">
        <v>155</v>
      </c>
    </row>
    <row r="66" spans="2:10">
      <c r="B66" s="174" t="s">
        <v>300</v>
      </c>
      <c r="C66" s="170">
        <f t="shared" ref="C66:C129" si="1">DATEVALUE(G66&amp;$E$1)</f>
        <v>43895</v>
      </c>
      <c r="D66" s="174" t="s">
        <v>300</v>
      </c>
      <c r="F66" s="29"/>
      <c r="G66" s="175" t="s">
        <v>301</v>
      </c>
      <c r="I66" s="176">
        <v>43845</v>
      </c>
      <c r="J66" s="177" t="s">
        <v>302</v>
      </c>
    </row>
    <row r="67" spans="2:10">
      <c r="B67" s="174" t="s">
        <v>303</v>
      </c>
      <c r="C67" s="170">
        <f t="shared" si="1"/>
        <v>43896</v>
      </c>
      <c r="D67" s="174" t="s">
        <v>303</v>
      </c>
      <c r="F67" s="29"/>
      <c r="G67" s="175" t="s">
        <v>304</v>
      </c>
      <c r="I67" s="176">
        <v>43845</v>
      </c>
      <c r="J67" s="177" t="s">
        <v>305</v>
      </c>
    </row>
    <row r="68" spans="2:10">
      <c r="B68" s="174" t="s">
        <v>306</v>
      </c>
      <c r="C68" s="170">
        <f t="shared" si="1"/>
        <v>43897</v>
      </c>
      <c r="D68" s="174" t="s">
        <v>306</v>
      </c>
      <c r="F68" s="29"/>
      <c r="G68" s="175" t="s">
        <v>307</v>
      </c>
      <c r="I68" s="176">
        <v>43846</v>
      </c>
      <c r="J68" s="177" t="s">
        <v>308</v>
      </c>
    </row>
    <row r="69" spans="2:10">
      <c r="B69" s="174" t="s">
        <v>309</v>
      </c>
      <c r="C69" s="170">
        <f t="shared" si="1"/>
        <v>43898</v>
      </c>
      <c r="D69" s="174" t="s">
        <v>309</v>
      </c>
      <c r="F69" s="29"/>
      <c r="G69" s="175" t="s">
        <v>310</v>
      </c>
      <c r="I69" s="176">
        <v>43846</v>
      </c>
      <c r="J69" s="177" t="s">
        <v>311</v>
      </c>
    </row>
    <row r="70" spans="2:10">
      <c r="B70" s="174" t="s">
        <v>312</v>
      </c>
      <c r="C70" s="170">
        <f t="shared" si="1"/>
        <v>43899</v>
      </c>
      <c r="D70" s="174" t="s">
        <v>312</v>
      </c>
      <c r="F70" s="29"/>
      <c r="G70" s="175" t="s">
        <v>313</v>
      </c>
      <c r="I70" s="176">
        <v>43846</v>
      </c>
      <c r="J70" s="177" t="s">
        <v>158</v>
      </c>
    </row>
    <row r="71" spans="2:10">
      <c r="B71" s="174" t="s">
        <v>314</v>
      </c>
      <c r="C71" s="170">
        <f t="shared" si="1"/>
        <v>43900</v>
      </c>
      <c r="D71" s="174" t="s">
        <v>314</v>
      </c>
      <c r="F71" s="29"/>
      <c r="G71" s="175" t="s">
        <v>315</v>
      </c>
      <c r="I71" s="176">
        <v>43846</v>
      </c>
      <c r="J71" s="177" t="s">
        <v>316</v>
      </c>
    </row>
    <row r="72" spans="2:10">
      <c r="B72" s="174" t="s">
        <v>317</v>
      </c>
      <c r="C72" s="170">
        <f t="shared" si="1"/>
        <v>43901</v>
      </c>
      <c r="D72" s="174" t="s">
        <v>317</v>
      </c>
      <c r="F72" s="29"/>
      <c r="G72" s="175" t="s">
        <v>318</v>
      </c>
      <c r="I72" s="176">
        <v>43846</v>
      </c>
      <c r="J72" s="177" t="s">
        <v>319</v>
      </c>
    </row>
    <row r="73" spans="2:10">
      <c r="B73" s="174" t="s">
        <v>320</v>
      </c>
      <c r="C73" s="170">
        <f t="shared" si="1"/>
        <v>43902</v>
      </c>
      <c r="D73" s="174" t="s">
        <v>320</v>
      </c>
      <c r="F73" s="29"/>
      <c r="G73" s="175" t="s">
        <v>321</v>
      </c>
      <c r="I73" s="176">
        <v>43846</v>
      </c>
      <c r="J73" s="177" t="s">
        <v>322</v>
      </c>
    </row>
    <row r="74" spans="2:10">
      <c r="B74" s="174" t="s">
        <v>323</v>
      </c>
      <c r="C74" s="170">
        <f t="shared" si="1"/>
        <v>43903</v>
      </c>
      <c r="D74" s="174" t="s">
        <v>323</v>
      </c>
      <c r="F74" s="29"/>
      <c r="G74" s="175" t="s">
        <v>324</v>
      </c>
      <c r="I74" s="176">
        <v>43846</v>
      </c>
      <c r="J74" s="177" t="s">
        <v>325</v>
      </c>
    </row>
    <row r="75" spans="2:10">
      <c r="B75" s="174" t="s">
        <v>326</v>
      </c>
      <c r="C75" s="170">
        <f t="shared" si="1"/>
        <v>43904</v>
      </c>
      <c r="D75" s="174" t="s">
        <v>326</v>
      </c>
      <c r="F75" s="29"/>
      <c r="G75" s="175" t="s">
        <v>327</v>
      </c>
      <c r="I75" s="176">
        <v>43847</v>
      </c>
      <c r="J75" s="177" t="s">
        <v>328</v>
      </c>
    </row>
    <row r="76" spans="2:10">
      <c r="B76" s="174" t="s">
        <v>329</v>
      </c>
      <c r="C76" s="170">
        <f t="shared" si="1"/>
        <v>43905</v>
      </c>
      <c r="D76" s="174" t="s">
        <v>329</v>
      </c>
      <c r="F76" s="29"/>
      <c r="G76" s="175" t="s">
        <v>330</v>
      </c>
      <c r="I76" s="176">
        <v>43847</v>
      </c>
      <c r="J76" s="177" t="s">
        <v>331</v>
      </c>
    </row>
    <row r="77" spans="2:10">
      <c r="B77" s="174" t="s">
        <v>332</v>
      </c>
      <c r="C77" s="170">
        <f t="shared" si="1"/>
        <v>43906</v>
      </c>
      <c r="D77" s="174" t="s">
        <v>332</v>
      </c>
      <c r="F77" s="29"/>
      <c r="G77" s="175" t="s">
        <v>333</v>
      </c>
      <c r="I77" s="176">
        <v>43847</v>
      </c>
      <c r="J77" s="177" t="s">
        <v>334</v>
      </c>
    </row>
    <row r="78" spans="2:10">
      <c r="B78" s="174" t="s">
        <v>335</v>
      </c>
      <c r="C78" s="170">
        <f t="shared" si="1"/>
        <v>43907</v>
      </c>
      <c r="D78" s="174" t="s">
        <v>335</v>
      </c>
      <c r="F78" s="29"/>
      <c r="G78" s="175" t="s">
        <v>336</v>
      </c>
      <c r="I78" s="176">
        <v>43847</v>
      </c>
      <c r="J78" s="177" t="s">
        <v>337</v>
      </c>
    </row>
    <row r="79" spans="2:10">
      <c r="B79" s="174" t="s">
        <v>338</v>
      </c>
      <c r="C79" s="170">
        <f t="shared" si="1"/>
        <v>43908</v>
      </c>
      <c r="D79" s="174" t="s">
        <v>338</v>
      </c>
      <c r="F79" s="29"/>
      <c r="G79" s="175" t="s">
        <v>339</v>
      </c>
      <c r="I79" s="176">
        <v>43847</v>
      </c>
      <c r="J79" s="177" t="s">
        <v>161</v>
      </c>
    </row>
    <row r="80" spans="2:10">
      <c r="B80" s="174" t="s">
        <v>340</v>
      </c>
      <c r="C80" s="170">
        <f t="shared" si="1"/>
        <v>43909</v>
      </c>
      <c r="D80" s="174" t="s">
        <v>340</v>
      </c>
      <c r="F80" s="29"/>
      <c r="G80" s="175" t="s">
        <v>341</v>
      </c>
      <c r="I80" s="176">
        <v>43847</v>
      </c>
      <c r="J80" s="177" t="s">
        <v>342</v>
      </c>
    </row>
    <row r="81" spans="2:10">
      <c r="B81" s="174" t="s">
        <v>343</v>
      </c>
      <c r="C81" s="170">
        <f t="shared" si="1"/>
        <v>43910</v>
      </c>
      <c r="D81" s="174" t="s">
        <v>343</v>
      </c>
      <c r="F81" s="29"/>
      <c r="G81" s="175" t="s">
        <v>344</v>
      </c>
      <c r="I81" s="176">
        <v>43848</v>
      </c>
      <c r="J81" s="177" t="s">
        <v>345</v>
      </c>
    </row>
    <row r="82" spans="2:10">
      <c r="B82" s="174" t="s">
        <v>346</v>
      </c>
      <c r="C82" s="170">
        <f t="shared" si="1"/>
        <v>43911</v>
      </c>
      <c r="D82" s="174" t="s">
        <v>346</v>
      </c>
      <c r="F82" s="29"/>
      <c r="G82" s="175" t="s">
        <v>347</v>
      </c>
      <c r="I82" s="176">
        <v>43848</v>
      </c>
      <c r="J82" s="177" t="s">
        <v>164</v>
      </c>
    </row>
    <row r="83" spans="2:10">
      <c r="B83" s="174" t="s">
        <v>348</v>
      </c>
      <c r="C83" s="170">
        <f t="shared" si="1"/>
        <v>43912</v>
      </c>
      <c r="D83" s="174" t="s">
        <v>348</v>
      </c>
      <c r="F83" s="29"/>
      <c r="G83" s="175" t="s">
        <v>349</v>
      </c>
      <c r="I83" s="176">
        <v>43849</v>
      </c>
      <c r="J83" s="177" t="s">
        <v>350</v>
      </c>
    </row>
    <row r="84" spans="2:10">
      <c r="B84" s="174" t="s">
        <v>351</v>
      </c>
      <c r="C84" s="170">
        <f t="shared" si="1"/>
        <v>43913</v>
      </c>
      <c r="D84" s="174" t="s">
        <v>351</v>
      </c>
      <c r="F84" s="29"/>
      <c r="G84" s="175" t="s">
        <v>352</v>
      </c>
      <c r="I84" s="176">
        <v>43849</v>
      </c>
      <c r="J84" s="177" t="s">
        <v>167</v>
      </c>
    </row>
    <row r="85" spans="2:10">
      <c r="B85" s="174" t="s">
        <v>353</v>
      </c>
      <c r="C85" s="170">
        <f t="shared" si="1"/>
        <v>43914</v>
      </c>
      <c r="D85" s="174" t="s">
        <v>354</v>
      </c>
      <c r="F85" s="29"/>
      <c r="G85" s="175" t="s">
        <v>355</v>
      </c>
      <c r="I85" s="176">
        <v>43850</v>
      </c>
      <c r="J85" s="177" t="s">
        <v>356</v>
      </c>
    </row>
    <row r="86" spans="2:10">
      <c r="B86" s="174" t="s">
        <v>357</v>
      </c>
      <c r="C86" s="170">
        <f t="shared" si="1"/>
        <v>43915</v>
      </c>
      <c r="D86" s="174" t="s">
        <v>357</v>
      </c>
      <c r="F86" s="29"/>
      <c r="G86" s="175" t="s">
        <v>358</v>
      </c>
      <c r="I86" s="176">
        <v>43850</v>
      </c>
      <c r="J86" s="177" t="s">
        <v>359</v>
      </c>
    </row>
    <row r="87" spans="2:10">
      <c r="B87" s="174" t="s">
        <v>360</v>
      </c>
      <c r="C87" s="170">
        <f t="shared" si="1"/>
        <v>43916</v>
      </c>
      <c r="D87" s="174" t="s">
        <v>360</v>
      </c>
      <c r="F87" s="29"/>
      <c r="G87" s="175" t="s">
        <v>361</v>
      </c>
      <c r="I87" s="176">
        <v>43850</v>
      </c>
      <c r="J87" s="177" t="s">
        <v>362</v>
      </c>
    </row>
    <row r="88" spans="2:10">
      <c r="B88" s="174" t="s">
        <v>363</v>
      </c>
      <c r="C88" s="170">
        <f t="shared" si="1"/>
        <v>43917</v>
      </c>
      <c r="D88" s="174" t="s">
        <v>363</v>
      </c>
      <c r="F88" s="29"/>
      <c r="G88" s="175" t="s">
        <v>364</v>
      </c>
      <c r="I88" s="176">
        <v>43850</v>
      </c>
      <c r="J88" s="177" t="s">
        <v>365</v>
      </c>
    </row>
    <row r="89" spans="2:10">
      <c r="B89" s="174" t="s">
        <v>366</v>
      </c>
      <c r="C89" s="170">
        <f t="shared" si="1"/>
        <v>43918</v>
      </c>
      <c r="D89" s="174" t="s">
        <v>366</v>
      </c>
      <c r="E89" s="29"/>
      <c r="F89" s="29"/>
      <c r="G89" s="175" t="s">
        <v>367</v>
      </c>
      <c r="I89" s="176">
        <v>43850</v>
      </c>
      <c r="J89" s="177" t="s">
        <v>368</v>
      </c>
    </row>
    <row r="90" spans="2:10">
      <c r="B90" s="174" t="s">
        <v>369</v>
      </c>
      <c r="C90" s="170">
        <f t="shared" si="1"/>
        <v>43919</v>
      </c>
      <c r="D90" s="174" t="s">
        <v>369</v>
      </c>
      <c r="E90" s="29"/>
      <c r="F90" s="29"/>
      <c r="G90" s="175" t="s">
        <v>370</v>
      </c>
      <c r="I90" s="176">
        <v>43850</v>
      </c>
      <c r="J90" s="177" t="s">
        <v>170</v>
      </c>
    </row>
    <row r="91" spans="2:10">
      <c r="B91" s="174" t="s">
        <v>371</v>
      </c>
      <c r="C91" s="170">
        <f t="shared" si="1"/>
        <v>43920</v>
      </c>
      <c r="D91" s="174" t="s">
        <v>371</v>
      </c>
      <c r="E91" s="29"/>
      <c r="F91" s="29"/>
      <c r="G91" s="175" t="s">
        <v>372</v>
      </c>
      <c r="I91" s="176">
        <v>43850</v>
      </c>
      <c r="J91" s="177" t="s">
        <v>373</v>
      </c>
    </row>
    <row r="92" spans="2:10">
      <c r="B92" s="174" t="s">
        <v>374</v>
      </c>
      <c r="C92" s="170">
        <f t="shared" si="1"/>
        <v>43921</v>
      </c>
      <c r="D92" s="174" t="s">
        <v>374</v>
      </c>
      <c r="E92" s="29"/>
      <c r="F92" s="29"/>
      <c r="G92" s="175" t="s">
        <v>375</v>
      </c>
      <c r="I92" s="176">
        <v>43851</v>
      </c>
      <c r="J92" s="177" t="s">
        <v>173</v>
      </c>
    </row>
    <row r="93" spans="2:10">
      <c r="B93" s="174" t="s">
        <v>376</v>
      </c>
      <c r="C93" s="170">
        <f t="shared" si="1"/>
        <v>43922</v>
      </c>
      <c r="D93" s="174" t="s">
        <v>376</v>
      </c>
      <c r="E93" s="29"/>
      <c r="F93" s="29"/>
      <c r="G93" s="175" t="s">
        <v>377</v>
      </c>
      <c r="I93" s="176">
        <v>43852</v>
      </c>
      <c r="J93" s="177" t="s">
        <v>378</v>
      </c>
    </row>
    <row r="94" spans="2:10">
      <c r="B94" s="174" t="s">
        <v>379</v>
      </c>
      <c r="C94" s="170">
        <f t="shared" si="1"/>
        <v>43923</v>
      </c>
      <c r="D94" s="174" t="s">
        <v>379</v>
      </c>
      <c r="E94" s="29"/>
      <c r="F94" s="29"/>
      <c r="G94" s="175" t="s">
        <v>380</v>
      </c>
      <c r="I94" s="176">
        <v>43852</v>
      </c>
      <c r="J94" s="177" t="s">
        <v>381</v>
      </c>
    </row>
    <row r="95" spans="2:10">
      <c r="B95" s="174" t="s">
        <v>382</v>
      </c>
      <c r="C95" s="170">
        <f t="shared" si="1"/>
        <v>43924</v>
      </c>
      <c r="D95" s="174" t="s">
        <v>382</v>
      </c>
      <c r="E95" s="29"/>
      <c r="F95" s="29"/>
      <c r="G95" s="175" t="s">
        <v>383</v>
      </c>
      <c r="I95" s="176">
        <v>43852</v>
      </c>
      <c r="J95" s="177" t="s">
        <v>176</v>
      </c>
    </row>
    <row r="96" spans="2:10">
      <c r="B96" s="174" t="s">
        <v>384</v>
      </c>
      <c r="C96" s="170">
        <f t="shared" si="1"/>
        <v>43925</v>
      </c>
      <c r="D96" s="174" t="s">
        <v>384</v>
      </c>
      <c r="E96" s="29"/>
      <c r="F96" s="29"/>
      <c r="G96" s="175" t="s">
        <v>385</v>
      </c>
      <c r="I96" s="176">
        <v>43853</v>
      </c>
      <c r="J96" s="177" t="s">
        <v>178</v>
      </c>
    </row>
    <row r="97" spans="2:10">
      <c r="B97" s="174" t="s">
        <v>386</v>
      </c>
      <c r="C97" s="170">
        <f t="shared" si="1"/>
        <v>43926</v>
      </c>
      <c r="D97" s="174" t="s">
        <v>386</v>
      </c>
      <c r="E97" s="29"/>
      <c r="F97" s="29"/>
      <c r="G97" s="175" t="s">
        <v>387</v>
      </c>
      <c r="I97" s="176">
        <v>43854</v>
      </c>
      <c r="J97" s="177" t="s">
        <v>388</v>
      </c>
    </row>
    <row r="98" spans="2:10">
      <c r="B98" s="174" t="s">
        <v>389</v>
      </c>
      <c r="C98" s="170">
        <f t="shared" si="1"/>
        <v>43927</v>
      </c>
      <c r="D98" s="174" t="s">
        <v>389</v>
      </c>
      <c r="E98" s="29"/>
      <c r="F98" s="29"/>
      <c r="G98" s="175" t="s">
        <v>390</v>
      </c>
      <c r="I98" s="176">
        <v>43854</v>
      </c>
      <c r="J98" s="177" t="s">
        <v>182</v>
      </c>
    </row>
    <row r="99" spans="2:10">
      <c r="B99" s="174" t="s">
        <v>391</v>
      </c>
      <c r="C99" s="170">
        <f t="shared" si="1"/>
        <v>43928</v>
      </c>
      <c r="D99" s="174" t="s">
        <v>392</v>
      </c>
      <c r="E99" s="29"/>
      <c r="F99" s="29"/>
      <c r="G99" s="175" t="s">
        <v>393</v>
      </c>
      <c r="I99" s="176">
        <v>43854</v>
      </c>
      <c r="J99" s="177" t="s">
        <v>394</v>
      </c>
    </row>
    <row r="100" spans="2:10">
      <c r="B100" s="174" t="s">
        <v>395</v>
      </c>
      <c r="C100" s="170">
        <f t="shared" si="1"/>
        <v>43929</v>
      </c>
      <c r="D100" s="174" t="s">
        <v>395</v>
      </c>
      <c r="E100" s="29"/>
      <c r="F100" s="29"/>
      <c r="G100" s="175" t="s">
        <v>396</v>
      </c>
      <c r="I100" s="176">
        <v>43854</v>
      </c>
      <c r="J100" s="177" t="s">
        <v>397</v>
      </c>
    </row>
    <row r="101" spans="2:10">
      <c r="B101" s="174" t="s">
        <v>398</v>
      </c>
      <c r="C101" s="170">
        <f t="shared" si="1"/>
        <v>43930</v>
      </c>
      <c r="D101" s="174" t="s">
        <v>398</v>
      </c>
      <c r="E101" s="29"/>
      <c r="F101" s="29"/>
      <c r="G101" s="175" t="s">
        <v>399</v>
      </c>
      <c r="I101" s="176">
        <v>43854</v>
      </c>
      <c r="J101" s="177" t="s">
        <v>400</v>
      </c>
    </row>
    <row r="102" spans="2:10">
      <c r="B102" s="174" t="s">
        <v>401</v>
      </c>
      <c r="C102" s="170">
        <f t="shared" si="1"/>
        <v>43931</v>
      </c>
      <c r="D102" s="174" t="s">
        <v>401</v>
      </c>
      <c r="E102" s="29"/>
      <c r="F102" s="29"/>
      <c r="G102" s="175" t="s">
        <v>402</v>
      </c>
      <c r="I102" s="176">
        <v>43855</v>
      </c>
      <c r="J102" s="177" t="s">
        <v>403</v>
      </c>
    </row>
    <row r="103" spans="2:10">
      <c r="B103" s="174" t="s">
        <v>404</v>
      </c>
      <c r="C103" s="170">
        <f t="shared" si="1"/>
        <v>43932</v>
      </c>
      <c r="D103" s="174" t="s">
        <v>404</v>
      </c>
      <c r="E103" s="29"/>
      <c r="F103" s="29"/>
      <c r="G103" s="175" t="s">
        <v>405</v>
      </c>
      <c r="I103" s="176">
        <v>43855</v>
      </c>
      <c r="J103" s="177" t="s">
        <v>406</v>
      </c>
    </row>
    <row r="104" spans="2:10">
      <c r="B104" s="174" t="s">
        <v>407</v>
      </c>
      <c r="C104" s="170">
        <f t="shared" si="1"/>
        <v>43933</v>
      </c>
      <c r="D104" s="174" t="s">
        <v>407</v>
      </c>
      <c r="E104" s="29"/>
      <c r="F104" s="29"/>
      <c r="G104" s="175" t="s">
        <v>408</v>
      </c>
      <c r="I104" s="176">
        <v>43856</v>
      </c>
      <c r="J104" s="177" t="s">
        <v>409</v>
      </c>
    </row>
    <row r="105" spans="2:10">
      <c r="B105" s="174" t="s">
        <v>410</v>
      </c>
      <c r="C105" s="170">
        <f t="shared" si="1"/>
        <v>43934</v>
      </c>
      <c r="D105" s="174" t="s">
        <v>410</v>
      </c>
      <c r="E105" s="29"/>
      <c r="F105" s="29"/>
      <c r="G105" s="175" t="s">
        <v>411</v>
      </c>
      <c r="I105" s="176">
        <v>43856</v>
      </c>
      <c r="J105" s="177" t="s">
        <v>412</v>
      </c>
    </row>
    <row r="106" spans="2:10">
      <c r="B106" s="174" t="s">
        <v>413</v>
      </c>
      <c r="C106" s="170">
        <f t="shared" si="1"/>
        <v>43935</v>
      </c>
      <c r="D106" s="174" t="s">
        <v>413</v>
      </c>
      <c r="E106" s="29"/>
      <c r="F106" s="29"/>
      <c r="G106" s="175" t="s">
        <v>414</v>
      </c>
      <c r="I106" s="176">
        <v>43856</v>
      </c>
      <c r="J106" s="177" t="s">
        <v>415</v>
      </c>
    </row>
    <row r="107" spans="2:10">
      <c r="B107" s="174" t="s">
        <v>416</v>
      </c>
      <c r="C107" s="170">
        <f t="shared" si="1"/>
        <v>43936</v>
      </c>
      <c r="D107" s="174" t="s">
        <v>416</v>
      </c>
      <c r="E107" s="29"/>
      <c r="F107" s="29"/>
      <c r="G107" s="175" t="s">
        <v>417</v>
      </c>
      <c r="I107" s="176">
        <v>43856</v>
      </c>
      <c r="J107" s="177" t="s">
        <v>187</v>
      </c>
    </row>
    <row r="108" spans="2:10">
      <c r="B108" s="174" t="s">
        <v>418</v>
      </c>
      <c r="C108" s="170">
        <f t="shared" si="1"/>
        <v>43937</v>
      </c>
      <c r="D108" s="174" t="s">
        <v>418</v>
      </c>
      <c r="E108" s="29"/>
      <c r="F108" s="29"/>
      <c r="G108" s="175" t="s">
        <v>419</v>
      </c>
      <c r="I108" s="176">
        <v>43856</v>
      </c>
      <c r="J108" s="177" t="s">
        <v>420</v>
      </c>
    </row>
    <row r="109" spans="2:10">
      <c r="B109" s="174" t="s">
        <v>421</v>
      </c>
      <c r="C109" s="170">
        <f t="shared" si="1"/>
        <v>43938</v>
      </c>
      <c r="D109" s="174" t="s">
        <v>421</v>
      </c>
      <c r="E109" s="29"/>
      <c r="F109" s="29"/>
      <c r="G109" s="175" t="s">
        <v>422</v>
      </c>
      <c r="I109" s="176">
        <v>43856</v>
      </c>
      <c r="J109" s="177" t="s">
        <v>423</v>
      </c>
    </row>
    <row r="110" spans="2:10">
      <c r="B110" s="174" t="s">
        <v>424</v>
      </c>
      <c r="C110" s="170">
        <f t="shared" si="1"/>
        <v>43939</v>
      </c>
      <c r="D110" s="174" t="s">
        <v>424</v>
      </c>
      <c r="E110" s="29"/>
      <c r="F110" s="29"/>
      <c r="G110" s="175" t="s">
        <v>425</v>
      </c>
      <c r="I110" s="176">
        <v>43856</v>
      </c>
      <c r="J110" s="177" t="s">
        <v>426</v>
      </c>
    </row>
    <row r="111" spans="2:10">
      <c r="B111" s="174" t="s">
        <v>427</v>
      </c>
      <c r="C111" s="170">
        <f t="shared" si="1"/>
        <v>43940</v>
      </c>
      <c r="D111" s="174" t="s">
        <v>427</v>
      </c>
      <c r="E111" s="29"/>
      <c r="F111" s="29"/>
      <c r="G111" s="175" t="s">
        <v>428</v>
      </c>
      <c r="I111" s="176">
        <v>43857</v>
      </c>
      <c r="J111" s="177" t="s">
        <v>190</v>
      </c>
    </row>
    <row r="112" spans="2:10">
      <c r="B112" s="174" t="s">
        <v>429</v>
      </c>
      <c r="C112" s="170">
        <f t="shared" si="1"/>
        <v>43941</v>
      </c>
      <c r="D112" s="174" t="s">
        <v>429</v>
      </c>
      <c r="E112" s="29"/>
      <c r="F112" s="29"/>
      <c r="G112" s="175" t="s">
        <v>430</v>
      </c>
      <c r="I112" s="176">
        <v>43857</v>
      </c>
      <c r="J112" s="177" t="s">
        <v>431</v>
      </c>
    </row>
    <row r="113" spans="2:10">
      <c r="B113" s="174" t="s">
        <v>432</v>
      </c>
      <c r="C113" s="170">
        <f t="shared" si="1"/>
        <v>43942</v>
      </c>
      <c r="D113" s="174" t="s">
        <v>432</v>
      </c>
      <c r="E113" s="29"/>
      <c r="F113" s="29"/>
      <c r="G113" s="175" t="s">
        <v>433</v>
      </c>
      <c r="I113" s="176">
        <v>43857</v>
      </c>
      <c r="J113" s="177" t="s">
        <v>434</v>
      </c>
    </row>
    <row r="114" spans="2:10">
      <c r="B114" s="174" t="s">
        <v>435</v>
      </c>
      <c r="C114" s="170">
        <f t="shared" si="1"/>
        <v>43943</v>
      </c>
      <c r="D114" s="174" t="s">
        <v>435</v>
      </c>
      <c r="E114" s="29"/>
      <c r="F114" s="29"/>
      <c r="G114" s="175" t="s">
        <v>436</v>
      </c>
      <c r="I114" s="176">
        <v>43857</v>
      </c>
      <c r="J114" s="177" t="s">
        <v>437</v>
      </c>
    </row>
    <row r="115" spans="2:10">
      <c r="B115" s="174" t="s">
        <v>438</v>
      </c>
      <c r="C115" s="170">
        <f t="shared" si="1"/>
        <v>43944</v>
      </c>
      <c r="D115" s="174" t="s">
        <v>438</v>
      </c>
      <c r="E115" s="29"/>
      <c r="F115" s="29"/>
      <c r="G115" s="175" t="s">
        <v>439</v>
      </c>
      <c r="I115" s="176">
        <v>43857</v>
      </c>
      <c r="J115" s="177" t="s">
        <v>440</v>
      </c>
    </row>
    <row r="116" spans="2:10">
      <c r="B116" s="174" t="s">
        <v>441</v>
      </c>
      <c r="C116" s="170">
        <f t="shared" si="1"/>
        <v>43945</v>
      </c>
      <c r="D116" s="174" t="s">
        <v>441</v>
      </c>
      <c r="E116" s="29"/>
      <c r="F116" s="29"/>
      <c r="G116" s="175" t="s">
        <v>442</v>
      </c>
      <c r="I116" s="176">
        <v>43858</v>
      </c>
      <c r="J116" s="177" t="s">
        <v>443</v>
      </c>
    </row>
    <row r="117" spans="2:10">
      <c r="B117" s="174" t="s">
        <v>444</v>
      </c>
      <c r="C117" s="170">
        <f t="shared" si="1"/>
        <v>43946</v>
      </c>
      <c r="D117" s="174" t="s">
        <v>444</v>
      </c>
      <c r="E117" s="29"/>
      <c r="F117" s="29"/>
      <c r="G117" s="175" t="s">
        <v>445</v>
      </c>
      <c r="I117" s="176">
        <v>43859</v>
      </c>
      <c r="J117" s="177" t="s">
        <v>196</v>
      </c>
    </row>
    <row r="118" spans="2:10">
      <c r="B118" s="174" t="s">
        <v>446</v>
      </c>
      <c r="C118" s="170">
        <f t="shared" si="1"/>
        <v>43947</v>
      </c>
      <c r="D118" s="174" t="s">
        <v>446</v>
      </c>
      <c r="E118" s="29"/>
      <c r="F118" s="29"/>
      <c r="G118" s="175" t="s">
        <v>447</v>
      </c>
      <c r="I118" s="176">
        <v>43860</v>
      </c>
      <c r="J118" s="177" t="s">
        <v>448</v>
      </c>
    </row>
    <row r="119" spans="2:10">
      <c r="B119" s="174" t="s">
        <v>449</v>
      </c>
      <c r="C119" s="170">
        <f t="shared" si="1"/>
        <v>43948</v>
      </c>
      <c r="D119" s="174" t="s">
        <v>449</v>
      </c>
      <c r="E119" s="29"/>
      <c r="F119" s="29"/>
      <c r="G119" s="175" t="s">
        <v>450</v>
      </c>
      <c r="I119" s="176">
        <v>43860</v>
      </c>
      <c r="J119" s="177" t="s">
        <v>451</v>
      </c>
    </row>
    <row r="120" spans="2:10">
      <c r="B120" s="174" t="s">
        <v>452</v>
      </c>
      <c r="C120" s="170">
        <f t="shared" si="1"/>
        <v>43949</v>
      </c>
      <c r="D120" s="174" t="s">
        <v>452</v>
      </c>
      <c r="E120" s="29"/>
      <c r="F120" s="29"/>
      <c r="G120" s="175" t="s">
        <v>453</v>
      </c>
      <c r="I120" s="176">
        <v>43860</v>
      </c>
      <c r="J120" s="177" t="s">
        <v>454</v>
      </c>
    </row>
    <row r="121" spans="2:10">
      <c r="B121" s="174" t="s">
        <v>455</v>
      </c>
      <c r="C121" s="170">
        <f t="shared" si="1"/>
        <v>43950</v>
      </c>
      <c r="D121" s="174" t="s">
        <v>456</v>
      </c>
      <c r="E121" s="29"/>
      <c r="F121" s="29"/>
      <c r="G121" s="175" t="s">
        <v>457</v>
      </c>
      <c r="I121" s="176">
        <v>43860</v>
      </c>
      <c r="J121" s="177" t="s">
        <v>458</v>
      </c>
    </row>
    <row r="122" spans="2:10">
      <c r="B122" s="174" t="s">
        <v>459</v>
      </c>
      <c r="C122" s="170">
        <f t="shared" si="1"/>
        <v>43951</v>
      </c>
      <c r="D122" s="174" t="s">
        <v>459</v>
      </c>
      <c r="E122" s="29"/>
      <c r="F122" s="29"/>
      <c r="G122" s="175" t="s">
        <v>460</v>
      </c>
      <c r="I122" s="176">
        <v>43860</v>
      </c>
      <c r="J122" s="177" t="s">
        <v>461</v>
      </c>
    </row>
    <row r="123" spans="2:10">
      <c r="B123" s="174" t="s">
        <v>462</v>
      </c>
      <c r="C123" s="170">
        <f t="shared" si="1"/>
        <v>43952</v>
      </c>
      <c r="D123" s="174" t="s">
        <v>462</v>
      </c>
      <c r="E123" s="29"/>
      <c r="F123" s="29"/>
      <c r="G123" s="175" t="s">
        <v>463</v>
      </c>
      <c r="I123" s="176">
        <v>43860</v>
      </c>
      <c r="J123" s="177" t="s">
        <v>464</v>
      </c>
    </row>
    <row r="124" spans="2:10">
      <c r="B124" s="174" t="s">
        <v>465</v>
      </c>
      <c r="C124" s="170">
        <f t="shared" si="1"/>
        <v>43953</v>
      </c>
      <c r="D124" s="174" t="s">
        <v>465</v>
      </c>
      <c r="E124" s="29"/>
      <c r="F124" s="29"/>
      <c r="G124" s="175" t="s">
        <v>466</v>
      </c>
      <c r="I124" s="176">
        <v>43860</v>
      </c>
      <c r="J124" s="177" t="s">
        <v>467</v>
      </c>
    </row>
    <row r="125" spans="2:10">
      <c r="B125" s="174" t="s">
        <v>468</v>
      </c>
      <c r="C125" s="170">
        <f t="shared" si="1"/>
        <v>43954</v>
      </c>
      <c r="D125" s="174" t="s">
        <v>468</v>
      </c>
      <c r="E125" s="29"/>
      <c r="F125" s="29"/>
      <c r="G125" s="175" t="s">
        <v>469</v>
      </c>
      <c r="I125" s="176">
        <v>43860</v>
      </c>
      <c r="J125" s="177" t="s">
        <v>199</v>
      </c>
    </row>
    <row r="126" spans="2:10">
      <c r="B126" s="174" t="s">
        <v>470</v>
      </c>
      <c r="C126" s="170">
        <f t="shared" si="1"/>
        <v>43954</v>
      </c>
      <c r="D126" s="174" t="s">
        <v>470</v>
      </c>
      <c r="E126" s="29"/>
      <c r="F126" s="29"/>
      <c r="G126" s="175" t="s">
        <v>469</v>
      </c>
      <c r="I126" s="176">
        <v>43861</v>
      </c>
      <c r="J126" s="177" t="s">
        <v>202</v>
      </c>
    </row>
    <row r="127" spans="2:10">
      <c r="B127" s="174" t="s">
        <v>471</v>
      </c>
      <c r="C127" s="170">
        <f t="shared" si="1"/>
        <v>43955</v>
      </c>
      <c r="D127" s="174" t="s">
        <v>471</v>
      </c>
      <c r="E127" s="29"/>
      <c r="F127" s="29"/>
      <c r="G127" s="175" t="s">
        <v>472</v>
      </c>
      <c r="I127" s="176">
        <v>43861</v>
      </c>
      <c r="J127" s="177" t="s">
        <v>473</v>
      </c>
    </row>
    <row r="128" spans="2:10">
      <c r="B128" s="174" t="s">
        <v>474</v>
      </c>
      <c r="C128" s="170">
        <f t="shared" si="1"/>
        <v>43956</v>
      </c>
      <c r="D128" s="174" t="s">
        <v>474</v>
      </c>
      <c r="E128" s="29"/>
      <c r="F128" s="29"/>
      <c r="G128" s="175" t="s">
        <v>475</v>
      </c>
      <c r="I128" s="176">
        <v>43862</v>
      </c>
      <c r="J128" s="177" t="s">
        <v>205</v>
      </c>
    </row>
    <row r="129" spans="2:10">
      <c r="B129" s="174" t="s">
        <v>476</v>
      </c>
      <c r="C129" s="170">
        <f t="shared" si="1"/>
        <v>43957</v>
      </c>
      <c r="D129" s="174" t="s">
        <v>476</v>
      </c>
      <c r="E129" s="29"/>
      <c r="F129" s="29"/>
      <c r="G129" s="175" t="s">
        <v>477</v>
      </c>
      <c r="I129" s="176">
        <v>43862</v>
      </c>
      <c r="J129" s="177" t="s">
        <v>478</v>
      </c>
    </row>
    <row r="130" spans="2:10">
      <c r="B130" s="174" t="s">
        <v>479</v>
      </c>
      <c r="C130" s="170">
        <f t="shared" ref="C130:C193" si="2">DATEVALUE(G130&amp;$E$1)</f>
        <v>43958</v>
      </c>
      <c r="D130" s="174" t="s">
        <v>479</v>
      </c>
      <c r="E130" s="29"/>
      <c r="F130" s="29"/>
      <c r="G130" s="175" t="s">
        <v>480</v>
      </c>
      <c r="I130" s="176">
        <v>43862</v>
      </c>
      <c r="J130" s="177" t="s">
        <v>481</v>
      </c>
    </row>
    <row r="131" spans="2:10">
      <c r="B131" s="174" t="s">
        <v>482</v>
      </c>
      <c r="C131" s="170">
        <f t="shared" si="2"/>
        <v>43959</v>
      </c>
      <c r="D131" s="174" t="s">
        <v>482</v>
      </c>
      <c r="E131" s="29"/>
      <c r="F131" s="29"/>
      <c r="G131" s="175" t="s">
        <v>483</v>
      </c>
      <c r="I131" s="176">
        <v>43862</v>
      </c>
      <c r="J131" s="177" t="s">
        <v>484</v>
      </c>
    </row>
    <row r="132" spans="2:10">
      <c r="B132" s="174" t="s">
        <v>485</v>
      </c>
      <c r="C132" s="170">
        <f t="shared" si="2"/>
        <v>43960</v>
      </c>
      <c r="D132" s="174" t="s">
        <v>485</v>
      </c>
      <c r="E132" s="29"/>
      <c r="F132" s="29"/>
      <c r="G132" s="175" t="s">
        <v>486</v>
      </c>
      <c r="I132" s="176">
        <v>43862</v>
      </c>
      <c r="J132" s="177" t="s">
        <v>487</v>
      </c>
    </row>
    <row r="133" spans="2:10">
      <c r="B133" s="174" t="s">
        <v>488</v>
      </c>
      <c r="C133" s="170">
        <f t="shared" si="2"/>
        <v>43961</v>
      </c>
      <c r="D133" s="174" t="s">
        <v>488</v>
      </c>
      <c r="E133" s="29"/>
      <c r="F133" s="29"/>
      <c r="G133" s="175" t="s">
        <v>489</v>
      </c>
      <c r="I133" s="176">
        <v>43863</v>
      </c>
      <c r="J133" s="177" t="s">
        <v>208</v>
      </c>
    </row>
    <row r="134" spans="2:10">
      <c r="B134" s="174" t="s">
        <v>490</v>
      </c>
      <c r="C134" s="170">
        <f t="shared" si="2"/>
        <v>43962</v>
      </c>
      <c r="D134" s="174" t="s">
        <v>490</v>
      </c>
      <c r="E134" s="29"/>
      <c r="F134" s="29"/>
      <c r="G134" s="175" t="s">
        <v>491</v>
      </c>
      <c r="I134" s="176">
        <v>43863</v>
      </c>
      <c r="J134" s="177" t="s">
        <v>209</v>
      </c>
    </row>
    <row r="135" spans="2:10">
      <c r="B135" s="174" t="s">
        <v>492</v>
      </c>
      <c r="C135" s="170">
        <f t="shared" si="2"/>
        <v>43963</v>
      </c>
      <c r="D135" s="174" t="s">
        <v>492</v>
      </c>
      <c r="E135" s="29"/>
      <c r="F135" s="29"/>
      <c r="G135" s="175" t="s">
        <v>493</v>
      </c>
      <c r="I135" s="176">
        <v>43864</v>
      </c>
      <c r="J135" s="177" t="s">
        <v>211</v>
      </c>
    </row>
    <row r="136" spans="2:10">
      <c r="B136" s="174" t="s">
        <v>494</v>
      </c>
      <c r="C136" s="170">
        <f t="shared" si="2"/>
        <v>43964</v>
      </c>
      <c r="D136" s="174" t="s">
        <v>494</v>
      </c>
      <c r="E136" s="29"/>
      <c r="F136" s="29"/>
      <c r="G136" s="175" t="s">
        <v>495</v>
      </c>
      <c r="I136" s="176">
        <v>43864</v>
      </c>
      <c r="J136" s="177" t="s">
        <v>496</v>
      </c>
    </row>
    <row r="137" spans="2:10">
      <c r="B137" s="174" t="s">
        <v>497</v>
      </c>
      <c r="C137" s="170">
        <f t="shared" si="2"/>
        <v>43965</v>
      </c>
      <c r="D137" s="174" t="s">
        <v>497</v>
      </c>
      <c r="E137" s="29"/>
      <c r="F137" s="29"/>
      <c r="G137" s="175" t="s">
        <v>498</v>
      </c>
      <c r="I137" s="176">
        <v>43864</v>
      </c>
      <c r="J137" s="177" t="s">
        <v>499</v>
      </c>
    </row>
    <row r="138" spans="2:10">
      <c r="B138" s="174" t="s">
        <v>500</v>
      </c>
      <c r="C138" s="170">
        <f t="shared" si="2"/>
        <v>43966</v>
      </c>
      <c r="D138" s="174" t="s">
        <v>500</v>
      </c>
      <c r="E138" s="29"/>
      <c r="F138" s="29"/>
      <c r="G138" s="175" t="s">
        <v>501</v>
      </c>
      <c r="I138" s="176">
        <v>43865</v>
      </c>
      <c r="J138" s="177" t="s">
        <v>502</v>
      </c>
    </row>
    <row r="139" spans="2:10">
      <c r="B139" s="174" t="s">
        <v>503</v>
      </c>
      <c r="C139" s="170">
        <f t="shared" si="2"/>
        <v>43967</v>
      </c>
      <c r="D139" s="174" t="s">
        <v>503</v>
      </c>
      <c r="E139" s="29"/>
      <c r="F139" s="29"/>
      <c r="G139" s="175" t="s">
        <v>504</v>
      </c>
      <c r="I139" s="176">
        <v>43865</v>
      </c>
      <c r="J139" s="177" t="s">
        <v>505</v>
      </c>
    </row>
    <row r="140" spans="2:10">
      <c r="B140" s="174" t="s">
        <v>506</v>
      </c>
      <c r="C140" s="170">
        <f t="shared" si="2"/>
        <v>43968</v>
      </c>
      <c r="D140" s="174" t="s">
        <v>506</v>
      </c>
      <c r="E140" s="29"/>
      <c r="F140" s="29"/>
      <c r="G140" s="175" t="s">
        <v>507</v>
      </c>
      <c r="I140" s="176">
        <v>43865</v>
      </c>
      <c r="J140" s="177" t="s">
        <v>508</v>
      </c>
    </row>
    <row r="141" spans="2:10">
      <c r="B141" s="174" t="s">
        <v>509</v>
      </c>
      <c r="C141" s="170">
        <f t="shared" si="2"/>
        <v>43969</v>
      </c>
      <c r="D141" s="174" t="s">
        <v>509</v>
      </c>
      <c r="E141" s="29"/>
      <c r="F141" s="29"/>
      <c r="G141" s="175" t="s">
        <v>510</v>
      </c>
      <c r="I141" s="176">
        <v>43865</v>
      </c>
      <c r="J141" s="177" t="s">
        <v>511</v>
      </c>
    </row>
    <row r="142" spans="2:10">
      <c r="B142" s="174" t="s">
        <v>512</v>
      </c>
      <c r="C142" s="170">
        <f t="shared" si="2"/>
        <v>43970</v>
      </c>
      <c r="D142" s="174" t="s">
        <v>512</v>
      </c>
      <c r="E142" s="29"/>
      <c r="F142" s="29"/>
      <c r="G142" s="175" t="s">
        <v>513</v>
      </c>
      <c r="I142" s="176">
        <v>43865</v>
      </c>
      <c r="J142" s="177" t="s">
        <v>514</v>
      </c>
    </row>
    <row r="143" spans="2:10">
      <c r="B143" s="174" t="s">
        <v>515</v>
      </c>
      <c r="C143" s="170">
        <f t="shared" si="2"/>
        <v>43971</v>
      </c>
      <c r="D143" s="174" t="s">
        <v>515</v>
      </c>
      <c r="E143" s="29"/>
      <c r="F143" s="29"/>
      <c r="G143" s="175" t="s">
        <v>516</v>
      </c>
      <c r="I143" s="176">
        <v>43865</v>
      </c>
      <c r="J143" s="177" t="s">
        <v>517</v>
      </c>
    </row>
    <row r="144" spans="2:10">
      <c r="B144" s="174" t="s">
        <v>518</v>
      </c>
      <c r="C144" s="170">
        <f t="shared" si="2"/>
        <v>43972</v>
      </c>
      <c r="D144" s="174" t="s">
        <v>518</v>
      </c>
      <c r="E144" s="29"/>
      <c r="F144" s="29"/>
      <c r="G144" s="175" t="s">
        <v>519</v>
      </c>
      <c r="I144" s="176">
        <v>43865</v>
      </c>
      <c r="J144" s="177" t="s">
        <v>214</v>
      </c>
    </row>
    <row r="145" spans="2:10">
      <c r="B145" s="174" t="s">
        <v>520</v>
      </c>
      <c r="C145" s="170">
        <f t="shared" si="2"/>
        <v>43973</v>
      </c>
      <c r="D145" s="174" t="s">
        <v>520</v>
      </c>
      <c r="E145" s="29"/>
      <c r="F145" s="29"/>
      <c r="G145" s="175" t="s">
        <v>521</v>
      </c>
      <c r="I145" s="176">
        <v>43866</v>
      </c>
      <c r="J145" s="177" t="s">
        <v>522</v>
      </c>
    </row>
    <row r="146" spans="2:10">
      <c r="B146" s="174" t="s">
        <v>523</v>
      </c>
      <c r="C146" s="170">
        <f t="shared" si="2"/>
        <v>43974</v>
      </c>
      <c r="D146" s="174" t="s">
        <v>523</v>
      </c>
      <c r="E146" s="29"/>
      <c r="F146" s="29"/>
      <c r="G146" s="175" t="s">
        <v>524</v>
      </c>
      <c r="I146" s="176">
        <v>43866</v>
      </c>
      <c r="J146" s="177" t="s">
        <v>217</v>
      </c>
    </row>
    <row r="147" spans="2:10">
      <c r="B147" s="174" t="s">
        <v>525</v>
      </c>
      <c r="C147" s="170">
        <f t="shared" si="2"/>
        <v>43975</v>
      </c>
      <c r="D147" s="174" t="s">
        <v>525</v>
      </c>
      <c r="E147" s="29"/>
      <c r="F147" s="29"/>
      <c r="G147" s="175" t="s">
        <v>526</v>
      </c>
      <c r="I147" s="176">
        <v>43866</v>
      </c>
      <c r="J147" s="177" t="s">
        <v>527</v>
      </c>
    </row>
    <row r="148" spans="2:10">
      <c r="B148" s="174" t="s">
        <v>528</v>
      </c>
      <c r="C148" s="170">
        <f t="shared" si="2"/>
        <v>43976</v>
      </c>
      <c r="D148" s="174" t="s">
        <v>528</v>
      </c>
      <c r="E148" s="29"/>
      <c r="F148" s="29"/>
      <c r="G148" s="175" t="s">
        <v>529</v>
      </c>
      <c r="I148" s="176">
        <v>43867</v>
      </c>
      <c r="J148" s="177" t="s">
        <v>530</v>
      </c>
    </row>
    <row r="149" spans="2:10">
      <c r="B149" s="174" t="s">
        <v>531</v>
      </c>
      <c r="C149" s="170">
        <f t="shared" si="2"/>
        <v>43977</v>
      </c>
      <c r="D149" s="174" t="s">
        <v>531</v>
      </c>
      <c r="E149" s="29"/>
      <c r="F149" s="29"/>
      <c r="G149" s="175" t="s">
        <v>532</v>
      </c>
      <c r="I149" s="176">
        <v>43867</v>
      </c>
      <c r="J149" s="177" t="s">
        <v>533</v>
      </c>
    </row>
    <row r="150" spans="2:10">
      <c r="B150" s="174" t="s">
        <v>534</v>
      </c>
      <c r="C150" s="170">
        <f t="shared" si="2"/>
        <v>43978</v>
      </c>
      <c r="D150" s="174" t="s">
        <v>534</v>
      </c>
      <c r="E150" s="29"/>
      <c r="F150" s="29"/>
      <c r="G150" s="175" t="s">
        <v>535</v>
      </c>
      <c r="I150" s="176">
        <v>43867</v>
      </c>
      <c r="J150" s="177" t="s">
        <v>536</v>
      </c>
    </row>
    <row r="151" spans="2:10">
      <c r="B151" s="174" t="s">
        <v>537</v>
      </c>
      <c r="C151" s="170">
        <f t="shared" si="2"/>
        <v>43979</v>
      </c>
      <c r="D151" s="174" t="s">
        <v>537</v>
      </c>
      <c r="E151" s="29"/>
      <c r="F151" s="29"/>
      <c r="G151" s="175" t="s">
        <v>538</v>
      </c>
      <c r="I151" s="176">
        <v>43867</v>
      </c>
      <c r="J151" s="177" t="s">
        <v>539</v>
      </c>
    </row>
    <row r="152" spans="2:10">
      <c r="B152" s="174" t="s">
        <v>540</v>
      </c>
      <c r="C152" s="170">
        <f t="shared" si="2"/>
        <v>43980</v>
      </c>
      <c r="D152" s="174" t="s">
        <v>540</v>
      </c>
      <c r="E152" s="29"/>
      <c r="F152" s="29"/>
      <c r="G152" s="175" t="s">
        <v>541</v>
      </c>
      <c r="I152" s="176">
        <v>43867</v>
      </c>
      <c r="J152" s="177" t="s">
        <v>542</v>
      </c>
    </row>
    <row r="153" spans="2:10">
      <c r="B153" s="174" t="s">
        <v>543</v>
      </c>
      <c r="C153" s="170">
        <f t="shared" si="2"/>
        <v>43981</v>
      </c>
      <c r="D153" s="174" t="s">
        <v>543</v>
      </c>
      <c r="E153" s="29"/>
      <c r="F153" s="29"/>
      <c r="G153" s="175" t="s">
        <v>544</v>
      </c>
      <c r="I153" s="176">
        <v>43867</v>
      </c>
      <c r="J153" s="177" t="s">
        <v>220</v>
      </c>
    </row>
    <row r="154" spans="2:10">
      <c r="B154" s="174" t="s">
        <v>545</v>
      </c>
      <c r="C154" s="170">
        <f t="shared" si="2"/>
        <v>43982</v>
      </c>
      <c r="D154" s="174" t="s">
        <v>545</v>
      </c>
      <c r="E154" s="29"/>
      <c r="F154" s="29"/>
      <c r="G154" s="175" t="s">
        <v>546</v>
      </c>
      <c r="I154" s="176">
        <v>43868</v>
      </c>
      <c r="J154" s="177" t="s">
        <v>547</v>
      </c>
    </row>
    <row r="155" spans="2:10">
      <c r="B155" s="174" t="s">
        <v>548</v>
      </c>
      <c r="C155" s="170">
        <f t="shared" si="2"/>
        <v>43983</v>
      </c>
      <c r="D155" s="174" t="s">
        <v>548</v>
      </c>
      <c r="E155" s="29"/>
      <c r="F155" s="29"/>
      <c r="G155" s="175" t="s">
        <v>549</v>
      </c>
      <c r="I155" s="176">
        <v>43868</v>
      </c>
      <c r="J155" s="177" t="s">
        <v>550</v>
      </c>
    </row>
    <row r="156" spans="2:10">
      <c r="B156" s="174" t="s">
        <v>551</v>
      </c>
      <c r="C156" s="170">
        <f t="shared" si="2"/>
        <v>43984</v>
      </c>
      <c r="D156" s="174" t="s">
        <v>551</v>
      </c>
      <c r="E156" s="29"/>
      <c r="F156" s="29"/>
      <c r="G156" s="175" t="s">
        <v>552</v>
      </c>
      <c r="I156" s="176">
        <v>43868</v>
      </c>
      <c r="J156" s="177" t="s">
        <v>223</v>
      </c>
    </row>
    <row r="157" spans="2:10">
      <c r="B157" s="174" t="s">
        <v>553</v>
      </c>
      <c r="C157" s="170">
        <f t="shared" si="2"/>
        <v>43985</v>
      </c>
      <c r="D157" s="174" t="s">
        <v>553</v>
      </c>
      <c r="E157" s="29"/>
      <c r="F157" s="29"/>
      <c r="G157" s="175" t="s">
        <v>554</v>
      </c>
      <c r="I157" s="176">
        <v>43868</v>
      </c>
      <c r="J157" s="177" t="s">
        <v>555</v>
      </c>
    </row>
    <row r="158" spans="2:10">
      <c r="B158" s="174" t="s">
        <v>556</v>
      </c>
      <c r="C158" s="170">
        <f t="shared" si="2"/>
        <v>43986</v>
      </c>
      <c r="D158" s="174" t="s">
        <v>556</v>
      </c>
      <c r="E158" s="29"/>
      <c r="F158" s="29"/>
      <c r="G158" s="175" t="s">
        <v>557</v>
      </c>
      <c r="I158" s="176">
        <v>43869</v>
      </c>
      <c r="J158" s="177" t="s">
        <v>558</v>
      </c>
    </row>
    <row r="159" spans="2:10">
      <c r="B159" s="174" t="s">
        <v>559</v>
      </c>
      <c r="C159" s="170">
        <f t="shared" si="2"/>
        <v>43987</v>
      </c>
      <c r="D159" s="174" t="s">
        <v>559</v>
      </c>
      <c r="E159" s="29"/>
      <c r="F159" s="29"/>
      <c r="G159" s="175" t="s">
        <v>560</v>
      </c>
      <c r="I159" s="176">
        <v>43869</v>
      </c>
      <c r="J159" s="177" t="s">
        <v>561</v>
      </c>
    </row>
    <row r="160" spans="2:10">
      <c r="B160" s="174" t="s">
        <v>562</v>
      </c>
      <c r="C160" s="170">
        <f t="shared" si="2"/>
        <v>43988</v>
      </c>
      <c r="D160" s="174" t="s">
        <v>562</v>
      </c>
      <c r="E160" s="29"/>
      <c r="F160" s="29"/>
      <c r="G160" s="175" t="s">
        <v>563</v>
      </c>
      <c r="I160" s="176">
        <v>43869</v>
      </c>
      <c r="J160" s="177" t="s">
        <v>226</v>
      </c>
    </row>
    <row r="161" spans="2:10">
      <c r="B161" s="174" t="s">
        <v>564</v>
      </c>
      <c r="C161" s="170">
        <f t="shared" si="2"/>
        <v>43989</v>
      </c>
      <c r="D161" s="174" t="s">
        <v>564</v>
      </c>
      <c r="E161" s="29"/>
      <c r="F161" s="29"/>
      <c r="G161" s="175" t="s">
        <v>565</v>
      </c>
      <c r="I161" s="176">
        <v>43869</v>
      </c>
      <c r="J161" s="177" t="s">
        <v>566</v>
      </c>
    </row>
    <row r="162" spans="2:10">
      <c r="B162" s="174" t="s">
        <v>567</v>
      </c>
      <c r="C162" s="170">
        <f t="shared" si="2"/>
        <v>43990</v>
      </c>
      <c r="D162" s="174" t="s">
        <v>567</v>
      </c>
      <c r="E162" s="29"/>
      <c r="F162" s="29"/>
      <c r="G162" s="175" t="s">
        <v>568</v>
      </c>
      <c r="I162" s="176">
        <v>43869</v>
      </c>
      <c r="J162" s="177" t="s">
        <v>569</v>
      </c>
    </row>
    <row r="163" spans="2:10">
      <c r="B163" s="174" t="s">
        <v>570</v>
      </c>
      <c r="C163" s="170">
        <f t="shared" si="2"/>
        <v>43991</v>
      </c>
      <c r="D163" s="174" t="s">
        <v>570</v>
      </c>
      <c r="E163" s="29"/>
      <c r="F163" s="29"/>
      <c r="G163" s="175" t="s">
        <v>571</v>
      </c>
      <c r="I163" s="176">
        <v>43870</v>
      </c>
      <c r="J163" s="177" t="s">
        <v>229</v>
      </c>
    </row>
    <row r="164" spans="2:10">
      <c r="B164" s="174" t="s">
        <v>572</v>
      </c>
      <c r="C164" s="170">
        <f t="shared" si="2"/>
        <v>43992</v>
      </c>
      <c r="D164" s="174" t="s">
        <v>572</v>
      </c>
      <c r="E164" s="29"/>
      <c r="F164" s="29"/>
      <c r="G164" s="175" t="s">
        <v>573</v>
      </c>
      <c r="I164" s="176">
        <v>43871</v>
      </c>
      <c r="J164" s="177" t="s">
        <v>232</v>
      </c>
    </row>
    <row r="165" spans="2:10">
      <c r="B165" s="174" t="s">
        <v>574</v>
      </c>
      <c r="C165" s="170">
        <f t="shared" si="2"/>
        <v>43993</v>
      </c>
      <c r="D165" s="174" t="s">
        <v>574</v>
      </c>
      <c r="E165" s="29"/>
      <c r="F165" s="29"/>
      <c r="G165" s="175" t="s">
        <v>575</v>
      </c>
      <c r="I165" s="176">
        <v>43871</v>
      </c>
      <c r="J165" s="177" t="s">
        <v>576</v>
      </c>
    </row>
    <row r="166" spans="2:10">
      <c r="B166" s="174" t="s">
        <v>577</v>
      </c>
      <c r="C166" s="170">
        <f t="shared" si="2"/>
        <v>43994</v>
      </c>
      <c r="D166" s="174" t="s">
        <v>577</v>
      </c>
      <c r="E166" s="29"/>
      <c r="F166" s="29"/>
      <c r="G166" s="175" t="s">
        <v>578</v>
      </c>
      <c r="I166" s="176">
        <v>43871</v>
      </c>
      <c r="J166" s="177" t="s">
        <v>579</v>
      </c>
    </row>
    <row r="167" spans="2:10">
      <c r="B167" s="174" t="s">
        <v>580</v>
      </c>
      <c r="C167" s="170">
        <f t="shared" si="2"/>
        <v>43995</v>
      </c>
      <c r="D167" s="174" t="s">
        <v>581</v>
      </c>
      <c r="E167" s="29"/>
      <c r="F167" s="29"/>
      <c r="G167" s="175" t="s">
        <v>582</v>
      </c>
      <c r="I167" s="176">
        <v>43872</v>
      </c>
      <c r="J167" s="177" t="s">
        <v>583</v>
      </c>
    </row>
    <row r="168" spans="2:10">
      <c r="B168" s="174" t="s">
        <v>584</v>
      </c>
      <c r="C168" s="170">
        <f t="shared" si="2"/>
        <v>43996</v>
      </c>
      <c r="D168" s="174" t="s">
        <v>584</v>
      </c>
      <c r="E168" s="29"/>
      <c r="F168" s="29"/>
      <c r="G168" s="175" t="s">
        <v>585</v>
      </c>
      <c r="I168" s="176">
        <v>43873</v>
      </c>
      <c r="J168" s="177" t="s">
        <v>586</v>
      </c>
    </row>
    <row r="169" spans="2:10">
      <c r="B169" s="174" t="s">
        <v>587</v>
      </c>
      <c r="C169" s="170">
        <f t="shared" si="2"/>
        <v>43997</v>
      </c>
      <c r="D169" s="174" t="s">
        <v>587</v>
      </c>
      <c r="E169" s="29"/>
      <c r="F169" s="29"/>
      <c r="G169" s="175" t="s">
        <v>588</v>
      </c>
      <c r="I169" s="176">
        <v>43873</v>
      </c>
      <c r="J169" s="177" t="s">
        <v>589</v>
      </c>
    </row>
    <row r="170" spans="2:10">
      <c r="B170" s="174" t="s">
        <v>590</v>
      </c>
      <c r="C170" s="170">
        <f t="shared" si="2"/>
        <v>43998</v>
      </c>
      <c r="D170" s="174" t="s">
        <v>590</v>
      </c>
      <c r="E170" s="29"/>
      <c r="F170" s="29"/>
      <c r="G170" s="175" t="s">
        <v>591</v>
      </c>
      <c r="I170" s="176">
        <v>43873</v>
      </c>
      <c r="J170" s="177" t="s">
        <v>238</v>
      </c>
    </row>
    <row r="171" spans="2:10">
      <c r="B171" s="174" t="s">
        <v>592</v>
      </c>
      <c r="C171" s="170">
        <f t="shared" si="2"/>
        <v>43999</v>
      </c>
      <c r="D171" s="174" t="s">
        <v>592</v>
      </c>
      <c r="E171" s="29"/>
      <c r="F171" s="29"/>
      <c r="G171" s="175" t="s">
        <v>593</v>
      </c>
      <c r="I171" s="176">
        <v>43874</v>
      </c>
      <c r="J171" s="177" t="s">
        <v>594</v>
      </c>
    </row>
    <row r="172" spans="2:10">
      <c r="B172" s="174" t="s">
        <v>595</v>
      </c>
      <c r="C172" s="170">
        <f t="shared" si="2"/>
        <v>44000</v>
      </c>
      <c r="D172" s="174" t="s">
        <v>595</v>
      </c>
      <c r="E172" s="29"/>
      <c r="F172" s="29"/>
      <c r="G172" s="175" t="s">
        <v>596</v>
      </c>
      <c r="I172" s="176">
        <v>43874</v>
      </c>
      <c r="J172" s="177" t="s">
        <v>241</v>
      </c>
    </row>
    <row r="173" spans="2:10">
      <c r="B173" s="174" t="s">
        <v>597</v>
      </c>
      <c r="C173" s="170">
        <f t="shared" si="2"/>
        <v>44001</v>
      </c>
      <c r="D173" s="174" t="s">
        <v>597</v>
      </c>
      <c r="E173" s="29"/>
      <c r="F173" s="29"/>
      <c r="G173" s="175" t="s">
        <v>598</v>
      </c>
      <c r="I173" s="176">
        <v>43874</v>
      </c>
      <c r="J173" s="177" t="s">
        <v>599</v>
      </c>
    </row>
    <row r="174" spans="2:10">
      <c r="B174" s="174" t="s">
        <v>600</v>
      </c>
      <c r="C174" s="170">
        <f t="shared" si="2"/>
        <v>44002</v>
      </c>
      <c r="D174" s="174" t="s">
        <v>600</v>
      </c>
      <c r="E174" s="29"/>
      <c r="F174" s="29"/>
      <c r="G174" s="175" t="s">
        <v>601</v>
      </c>
      <c r="I174" s="176">
        <v>43874</v>
      </c>
      <c r="J174" s="177" t="s">
        <v>602</v>
      </c>
    </row>
    <row r="175" spans="2:10">
      <c r="B175" s="174" t="s">
        <v>603</v>
      </c>
      <c r="C175" s="170">
        <f t="shared" si="2"/>
        <v>44003</v>
      </c>
      <c r="D175" s="174" t="s">
        <v>603</v>
      </c>
      <c r="E175" s="29"/>
      <c r="F175" s="29"/>
      <c r="G175" s="175" t="s">
        <v>604</v>
      </c>
      <c r="I175" s="176">
        <v>43874</v>
      </c>
      <c r="J175" s="177" t="s">
        <v>605</v>
      </c>
    </row>
    <row r="176" spans="2:10">
      <c r="B176" s="174" t="s">
        <v>606</v>
      </c>
      <c r="C176" s="170">
        <f t="shared" si="2"/>
        <v>44004</v>
      </c>
      <c r="D176" s="174" t="s">
        <v>606</v>
      </c>
      <c r="E176" s="29"/>
      <c r="F176" s="29"/>
      <c r="G176" s="175" t="s">
        <v>607</v>
      </c>
      <c r="I176" s="176">
        <v>43874</v>
      </c>
      <c r="J176" s="177" t="s">
        <v>608</v>
      </c>
    </row>
    <row r="177" spans="2:10">
      <c r="B177" s="174" t="s">
        <v>609</v>
      </c>
      <c r="C177" s="170">
        <f t="shared" si="2"/>
        <v>44005</v>
      </c>
      <c r="D177" s="174" t="s">
        <v>609</v>
      </c>
      <c r="E177" s="29"/>
      <c r="F177" s="29"/>
      <c r="G177" s="175" t="s">
        <v>610</v>
      </c>
      <c r="I177" s="176">
        <v>43875</v>
      </c>
      <c r="J177" s="177" t="s">
        <v>611</v>
      </c>
    </row>
    <row r="178" spans="2:10">
      <c r="B178" s="174" t="s">
        <v>612</v>
      </c>
      <c r="C178" s="170">
        <f t="shared" si="2"/>
        <v>44006</v>
      </c>
      <c r="D178" s="174" t="s">
        <v>612</v>
      </c>
      <c r="E178" s="29"/>
      <c r="F178" s="29"/>
      <c r="G178" s="175" t="s">
        <v>613</v>
      </c>
      <c r="I178" s="176">
        <v>43875</v>
      </c>
      <c r="J178" s="177" t="s">
        <v>244</v>
      </c>
    </row>
    <row r="179" spans="2:10">
      <c r="B179" s="174" t="s">
        <v>614</v>
      </c>
      <c r="C179" s="170">
        <f t="shared" si="2"/>
        <v>44007</v>
      </c>
      <c r="D179" s="174" t="s">
        <v>614</v>
      </c>
      <c r="E179" s="29"/>
      <c r="F179" s="29"/>
      <c r="G179" s="175" t="s">
        <v>615</v>
      </c>
      <c r="I179" s="176">
        <v>43876</v>
      </c>
      <c r="J179" s="177" t="s">
        <v>247</v>
      </c>
    </row>
    <row r="180" spans="2:10">
      <c r="B180" s="174" t="s">
        <v>616</v>
      </c>
      <c r="C180" s="170">
        <f t="shared" si="2"/>
        <v>44008</v>
      </c>
      <c r="D180" s="174" t="s">
        <v>616</v>
      </c>
      <c r="E180" s="29"/>
      <c r="F180" s="29"/>
      <c r="G180" s="175" t="s">
        <v>617</v>
      </c>
      <c r="I180" s="176">
        <v>43876</v>
      </c>
      <c r="J180" s="177" t="s">
        <v>618</v>
      </c>
    </row>
    <row r="181" spans="2:10">
      <c r="B181" s="174" t="s">
        <v>619</v>
      </c>
      <c r="C181" s="170">
        <f t="shared" si="2"/>
        <v>44009</v>
      </c>
      <c r="D181" s="174" t="s">
        <v>619</v>
      </c>
      <c r="E181" s="29"/>
      <c r="F181" s="29"/>
      <c r="G181" s="175" t="s">
        <v>620</v>
      </c>
      <c r="I181" s="176">
        <v>43877</v>
      </c>
      <c r="J181" s="177" t="s">
        <v>621</v>
      </c>
    </row>
    <row r="182" spans="2:10">
      <c r="B182" s="174" t="s">
        <v>622</v>
      </c>
      <c r="C182" s="170">
        <f t="shared" si="2"/>
        <v>44010</v>
      </c>
      <c r="D182" s="174" t="s">
        <v>622</v>
      </c>
      <c r="E182" s="29"/>
      <c r="F182" s="29"/>
      <c r="G182" s="175" t="s">
        <v>623</v>
      </c>
      <c r="I182" s="176">
        <v>43877</v>
      </c>
      <c r="J182" s="177" t="s">
        <v>250</v>
      </c>
    </row>
    <row r="183" spans="2:10">
      <c r="B183" s="174" t="s">
        <v>624</v>
      </c>
      <c r="C183" s="170">
        <f t="shared" si="2"/>
        <v>44011</v>
      </c>
      <c r="D183" s="174" t="s">
        <v>624</v>
      </c>
      <c r="E183" s="29"/>
      <c r="F183" s="29"/>
      <c r="G183" s="175" t="s">
        <v>625</v>
      </c>
      <c r="I183" s="176">
        <v>43877</v>
      </c>
      <c r="J183" s="177" t="s">
        <v>626</v>
      </c>
    </row>
    <row r="184" spans="2:10">
      <c r="B184" s="174" t="s">
        <v>627</v>
      </c>
      <c r="C184" s="170">
        <f t="shared" si="2"/>
        <v>44012</v>
      </c>
      <c r="D184" s="174" t="s">
        <v>627</v>
      </c>
      <c r="E184" s="29"/>
      <c r="F184" s="29"/>
      <c r="G184" s="175" t="s">
        <v>628</v>
      </c>
      <c r="I184" s="176">
        <v>43877</v>
      </c>
      <c r="J184" s="177" t="s">
        <v>629</v>
      </c>
    </row>
    <row r="185" spans="2:10">
      <c r="B185" s="174" t="s">
        <v>630</v>
      </c>
      <c r="C185" s="170">
        <f t="shared" si="2"/>
        <v>44013</v>
      </c>
      <c r="D185" s="174" t="s">
        <v>630</v>
      </c>
      <c r="E185" s="29"/>
      <c r="F185" s="29"/>
      <c r="G185" s="175" t="s">
        <v>631</v>
      </c>
      <c r="I185" s="176">
        <v>43877</v>
      </c>
      <c r="J185" s="177" t="s">
        <v>632</v>
      </c>
    </row>
    <row r="186" spans="2:10">
      <c r="B186" s="174" t="s">
        <v>633</v>
      </c>
      <c r="C186" s="170">
        <f t="shared" si="2"/>
        <v>44014</v>
      </c>
      <c r="D186" s="174" t="s">
        <v>633</v>
      </c>
      <c r="E186" s="29"/>
      <c r="F186" s="29"/>
      <c r="G186" s="175" t="s">
        <v>634</v>
      </c>
      <c r="I186" s="176">
        <v>43877</v>
      </c>
      <c r="J186" s="177" t="s">
        <v>635</v>
      </c>
    </row>
    <row r="187" spans="2:10">
      <c r="B187" s="174" t="s">
        <v>636</v>
      </c>
      <c r="C187" s="170">
        <f t="shared" si="2"/>
        <v>44015</v>
      </c>
      <c r="D187" s="174" t="s">
        <v>636</v>
      </c>
      <c r="E187" s="29"/>
      <c r="F187" s="29"/>
      <c r="G187" s="175" t="s">
        <v>637</v>
      </c>
      <c r="I187" s="176">
        <v>43878</v>
      </c>
      <c r="J187" s="177" t="s">
        <v>638</v>
      </c>
    </row>
    <row r="188" spans="2:10">
      <c r="B188" s="174" t="s">
        <v>639</v>
      </c>
      <c r="C188" s="170">
        <f t="shared" si="2"/>
        <v>44016</v>
      </c>
      <c r="D188" s="174" t="s">
        <v>639</v>
      </c>
      <c r="E188" s="29"/>
      <c r="F188" s="29"/>
      <c r="G188" s="175" t="s">
        <v>640</v>
      </c>
      <c r="I188" s="176">
        <v>43878</v>
      </c>
      <c r="J188" s="177" t="s">
        <v>641</v>
      </c>
    </row>
    <row r="189" spans="2:10">
      <c r="B189" s="174" t="s">
        <v>642</v>
      </c>
      <c r="C189" s="170">
        <f t="shared" si="2"/>
        <v>44017</v>
      </c>
      <c r="D189" s="174" t="s">
        <v>642</v>
      </c>
      <c r="E189" s="29"/>
      <c r="F189" s="29"/>
      <c r="G189" s="175" t="s">
        <v>643</v>
      </c>
      <c r="I189" s="176">
        <v>43878</v>
      </c>
      <c r="J189" s="177" t="s">
        <v>644</v>
      </c>
    </row>
    <row r="190" spans="2:10">
      <c r="B190" s="174" t="s">
        <v>645</v>
      </c>
      <c r="C190" s="170">
        <f t="shared" si="2"/>
        <v>44018</v>
      </c>
      <c r="D190" s="174" t="s">
        <v>645</v>
      </c>
      <c r="E190" s="29"/>
      <c r="F190" s="29"/>
      <c r="G190" s="175" t="s">
        <v>646</v>
      </c>
      <c r="I190" s="176">
        <v>43878</v>
      </c>
      <c r="J190" s="177" t="s">
        <v>647</v>
      </c>
    </row>
    <row r="191" spans="2:10">
      <c r="B191" s="174" t="s">
        <v>648</v>
      </c>
      <c r="C191" s="170">
        <f t="shared" si="2"/>
        <v>44019</v>
      </c>
      <c r="D191" s="174" t="s">
        <v>648</v>
      </c>
      <c r="E191" s="29"/>
      <c r="F191" s="29"/>
      <c r="G191" s="175" t="s">
        <v>649</v>
      </c>
      <c r="I191" s="176">
        <v>43878</v>
      </c>
      <c r="J191" s="177" t="s">
        <v>650</v>
      </c>
    </row>
    <row r="192" spans="2:10">
      <c r="B192" s="174" t="s">
        <v>651</v>
      </c>
      <c r="C192" s="170">
        <f t="shared" si="2"/>
        <v>44020</v>
      </c>
      <c r="D192" s="174" t="s">
        <v>651</v>
      </c>
      <c r="E192" s="29"/>
      <c r="F192" s="29"/>
      <c r="G192" s="175" t="s">
        <v>652</v>
      </c>
      <c r="I192" s="176">
        <v>43878</v>
      </c>
      <c r="J192" s="177" t="s">
        <v>252</v>
      </c>
    </row>
    <row r="193" spans="2:10">
      <c r="B193" s="174" t="s">
        <v>653</v>
      </c>
      <c r="C193" s="170">
        <f t="shared" si="2"/>
        <v>44021</v>
      </c>
      <c r="D193" s="174" t="s">
        <v>653</v>
      </c>
      <c r="E193" s="29"/>
      <c r="F193" s="29"/>
      <c r="G193" s="175" t="s">
        <v>654</v>
      </c>
      <c r="I193" s="176">
        <v>43878</v>
      </c>
      <c r="J193" s="177" t="s">
        <v>655</v>
      </c>
    </row>
    <row r="194" spans="2:10">
      <c r="B194" s="174" t="s">
        <v>656</v>
      </c>
      <c r="C194" s="170">
        <f t="shared" ref="C194:C257" si="3">DATEVALUE(G194&amp;$E$1)</f>
        <v>44022</v>
      </c>
      <c r="D194" s="174" t="s">
        <v>656</v>
      </c>
      <c r="E194" s="29"/>
      <c r="F194" s="29"/>
      <c r="G194" s="175" t="s">
        <v>657</v>
      </c>
      <c r="I194" s="176">
        <v>43879</v>
      </c>
      <c r="J194" s="177" t="s">
        <v>255</v>
      </c>
    </row>
    <row r="195" spans="2:10">
      <c r="B195" s="174" t="s">
        <v>658</v>
      </c>
      <c r="C195" s="170">
        <f t="shared" si="3"/>
        <v>44023</v>
      </c>
      <c r="D195" s="174" t="s">
        <v>658</v>
      </c>
      <c r="E195" s="29"/>
      <c r="F195" s="29"/>
      <c r="G195" s="175" t="s">
        <v>659</v>
      </c>
      <c r="I195" s="176">
        <v>43879</v>
      </c>
      <c r="J195" s="177" t="s">
        <v>660</v>
      </c>
    </row>
    <row r="196" spans="2:10">
      <c r="B196" s="174" t="s">
        <v>661</v>
      </c>
      <c r="C196" s="170">
        <f t="shared" si="3"/>
        <v>44024</v>
      </c>
      <c r="D196" s="174" t="s">
        <v>661</v>
      </c>
      <c r="E196" s="29"/>
      <c r="F196" s="29"/>
      <c r="G196" s="175" t="s">
        <v>662</v>
      </c>
      <c r="I196" s="176">
        <v>43879</v>
      </c>
      <c r="J196" s="177" t="s">
        <v>663</v>
      </c>
    </row>
    <row r="197" spans="2:10">
      <c r="B197" s="174" t="s">
        <v>664</v>
      </c>
      <c r="C197" s="170">
        <f t="shared" si="3"/>
        <v>44025</v>
      </c>
      <c r="D197" s="174" t="s">
        <v>664</v>
      </c>
      <c r="E197" s="29"/>
      <c r="F197" s="29"/>
      <c r="G197" s="175" t="s">
        <v>665</v>
      </c>
      <c r="I197" s="176">
        <v>43879</v>
      </c>
      <c r="J197" s="177" t="s">
        <v>666</v>
      </c>
    </row>
    <row r="198" spans="2:10">
      <c r="B198" s="174" t="s">
        <v>667</v>
      </c>
      <c r="C198" s="170">
        <f t="shared" si="3"/>
        <v>44026</v>
      </c>
      <c r="D198" s="174" t="s">
        <v>667</v>
      </c>
      <c r="E198" s="29"/>
      <c r="F198" s="29"/>
      <c r="G198" s="175" t="s">
        <v>668</v>
      </c>
      <c r="I198" s="176">
        <v>43879</v>
      </c>
      <c r="J198" s="177" t="s">
        <v>669</v>
      </c>
    </row>
    <row r="199" spans="2:10">
      <c r="B199" s="174" t="s">
        <v>670</v>
      </c>
      <c r="C199" s="170">
        <f t="shared" si="3"/>
        <v>44027</v>
      </c>
      <c r="D199" s="174" t="s">
        <v>670</v>
      </c>
      <c r="E199" s="29"/>
      <c r="F199" s="29"/>
      <c r="G199" s="175" t="s">
        <v>671</v>
      </c>
      <c r="I199" s="176">
        <v>43880</v>
      </c>
      <c r="J199" s="177" t="s">
        <v>258</v>
      </c>
    </row>
    <row r="200" spans="2:10">
      <c r="B200" s="174" t="s">
        <v>672</v>
      </c>
      <c r="C200" s="170">
        <f t="shared" si="3"/>
        <v>44028</v>
      </c>
      <c r="D200" s="174" t="s">
        <v>672</v>
      </c>
      <c r="E200" s="29"/>
      <c r="F200" s="29"/>
      <c r="G200" s="175" t="s">
        <v>673</v>
      </c>
      <c r="I200" s="176">
        <v>43881</v>
      </c>
      <c r="J200" s="177" t="s">
        <v>261</v>
      </c>
    </row>
    <row r="201" spans="2:10">
      <c r="B201" s="174" t="s">
        <v>674</v>
      </c>
      <c r="C201" s="170">
        <f t="shared" si="3"/>
        <v>44029</v>
      </c>
      <c r="D201" s="174" t="s">
        <v>674</v>
      </c>
      <c r="E201" s="29"/>
      <c r="F201" s="29"/>
      <c r="G201" s="175" t="s">
        <v>675</v>
      </c>
      <c r="I201" s="176">
        <v>43882</v>
      </c>
      <c r="J201" s="177" t="s">
        <v>676</v>
      </c>
    </row>
    <row r="202" spans="2:10">
      <c r="B202" s="174" t="s">
        <v>677</v>
      </c>
      <c r="C202" s="170">
        <f t="shared" si="3"/>
        <v>44030</v>
      </c>
      <c r="D202" s="174" t="s">
        <v>677</v>
      </c>
      <c r="E202" s="29"/>
      <c r="F202" s="29"/>
      <c r="G202" s="175" t="s">
        <v>678</v>
      </c>
      <c r="I202" s="176">
        <v>43882</v>
      </c>
      <c r="J202" s="177" t="s">
        <v>679</v>
      </c>
    </row>
    <row r="203" spans="2:10">
      <c r="B203" s="174" t="s">
        <v>680</v>
      </c>
      <c r="C203" s="170">
        <f t="shared" si="3"/>
        <v>44031</v>
      </c>
      <c r="D203" s="174" t="s">
        <v>680</v>
      </c>
      <c r="E203" s="29"/>
      <c r="F203" s="29"/>
      <c r="G203" s="175" t="s">
        <v>681</v>
      </c>
      <c r="I203" s="176">
        <v>43883</v>
      </c>
      <c r="J203" s="177" t="s">
        <v>682</v>
      </c>
    </row>
    <row r="204" spans="2:10">
      <c r="B204" s="174" t="s">
        <v>683</v>
      </c>
      <c r="C204" s="170">
        <f t="shared" si="3"/>
        <v>44032</v>
      </c>
      <c r="D204" s="174" t="s">
        <v>683</v>
      </c>
      <c r="E204" s="29"/>
      <c r="F204" s="29"/>
      <c r="G204" s="175" t="s">
        <v>684</v>
      </c>
      <c r="I204" s="176">
        <v>43883</v>
      </c>
      <c r="J204" s="177" t="s">
        <v>685</v>
      </c>
    </row>
    <row r="205" spans="2:10">
      <c r="B205" s="174" t="s">
        <v>686</v>
      </c>
      <c r="C205" s="170">
        <f t="shared" si="3"/>
        <v>44033</v>
      </c>
      <c r="D205" s="174" t="s">
        <v>686</v>
      </c>
      <c r="E205" s="29"/>
      <c r="F205" s="29"/>
      <c r="G205" s="175" t="s">
        <v>687</v>
      </c>
      <c r="I205" s="176">
        <v>43883</v>
      </c>
      <c r="J205" s="177" t="s">
        <v>688</v>
      </c>
    </row>
    <row r="206" spans="2:10">
      <c r="B206" s="174" t="s">
        <v>689</v>
      </c>
      <c r="C206" s="170">
        <f t="shared" si="3"/>
        <v>44034</v>
      </c>
      <c r="D206" s="174" t="s">
        <v>690</v>
      </c>
      <c r="E206" s="29"/>
      <c r="F206" s="29"/>
      <c r="G206" s="175" t="s">
        <v>691</v>
      </c>
      <c r="I206" s="176">
        <v>43883</v>
      </c>
      <c r="J206" s="177" t="s">
        <v>266</v>
      </c>
    </row>
    <row r="207" spans="2:10">
      <c r="B207" s="174" t="s">
        <v>692</v>
      </c>
      <c r="C207" s="170">
        <f t="shared" si="3"/>
        <v>44035</v>
      </c>
      <c r="D207" s="174" t="s">
        <v>693</v>
      </c>
      <c r="E207" s="29"/>
      <c r="F207" s="29"/>
      <c r="G207" s="175" t="s">
        <v>694</v>
      </c>
      <c r="I207" s="176">
        <v>43883</v>
      </c>
      <c r="J207" s="177" t="s">
        <v>695</v>
      </c>
    </row>
    <row r="208" spans="2:10">
      <c r="B208" s="174" t="s">
        <v>696</v>
      </c>
      <c r="C208" s="170">
        <f t="shared" si="3"/>
        <v>44036</v>
      </c>
      <c r="D208" s="174" t="s">
        <v>696</v>
      </c>
      <c r="E208" s="29"/>
      <c r="F208" s="29"/>
      <c r="G208" s="175" t="s">
        <v>697</v>
      </c>
      <c r="I208" s="176">
        <v>43884</v>
      </c>
      <c r="J208" s="177" t="s">
        <v>269</v>
      </c>
    </row>
    <row r="209" spans="2:10">
      <c r="B209" s="174" t="s">
        <v>470</v>
      </c>
      <c r="C209" s="170">
        <f t="shared" si="3"/>
        <v>44037</v>
      </c>
      <c r="D209" s="174" t="s">
        <v>470</v>
      </c>
      <c r="E209" s="29"/>
      <c r="F209" s="29"/>
      <c r="G209" s="175" t="s">
        <v>698</v>
      </c>
      <c r="I209" s="176">
        <v>43884</v>
      </c>
      <c r="J209" s="177" t="s">
        <v>699</v>
      </c>
    </row>
    <row r="210" spans="2:10">
      <c r="B210" s="174" t="s">
        <v>700</v>
      </c>
      <c r="C210" s="170">
        <f t="shared" si="3"/>
        <v>44038</v>
      </c>
      <c r="D210" s="174" t="s">
        <v>700</v>
      </c>
      <c r="E210" s="29"/>
      <c r="F210" s="29"/>
      <c r="G210" s="175" t="s">
        <v>701</v>
      </c>
      <c r="I210" s="176">
        <v>43885</v>
      </c>
      <c r="J210" s="177" t="s">
        <v>272</v>
      </c>
    </row>
    <row r="211" spans="2:10">
      <c r="B211" s="174" t="s">
        <v>702</v>
      </c>
      <c r="C211" s="170">
        <f t="shared" si="3"/>
        <v>44039</v>
      </c>
      <c r="D211" s="174" t="s">
        <v>702</v>
      </c>
      <c r="E211" s="29"/>
      <c r="F211" s="29"/>
      <c r="G211" s="175" t="s">
        <v>703</v>
      </c>
      <c r="I211" s="176">
        <v>43886</v>
      </c>
      <c r="J211" s="177" t="s">
        <v>275</v>
      </c>
    </row>
    <row r="212" spans="2:10">
      <c r="B212" s="174" t="s">
        <v>704</v>
      </c>
      <c r="C212" s="170">
        <f t="shared" si="3"/>
        <v>44040</v>
      </c>
      <c r="D212" s="174" t="s">
        <v>704</v>
      </c>
      <c r="E212" s="29"/>
      <c r="F212" s="29"/>
      <c r="G212" s="175" t="s">
        <v>705</v>
      </c>
      <c r="I212" s="176">
        <v>43887</v>
      </c>
      <c r="J212" s="177" t="s">
        <v>278</v>
      </c>
    </row>
    <row r="213" spans="2:10">
      <c r="B213" s="174" t="s">
        <v>706</v>
      </c>
      <c r="C213" s="170">
        <f t="shared" si="3"/>
        <v>44041</v>
      </c>
      <c r="D213" s="174" t="s">
        <v>706</v>
      </c>
      <c r="E213" s="29"/>
      <c r="F213" s="29"/>
      <c r="G213" s="175" t="s">
        <v>707</v>
      </c>
      <c r="I213" s="176">
        <v>43888</v>
      </c>
      <c r="J213" s="177" t="s">
        <v>280</v>
      </c>
    </row>
    <row r="214" spans="2:10">
      <c r="B214" s="174" t="s">
        <v>708</v>
      </c>
      <c r="C214" s="170">
        <f t="shared" si="3"/>
        <v>44042</v>
      </c>
      <c r="D214" s="174" t="s">
        <v>708</v>
      </c>
      <c r="E214" s="29"/>
      <c r="F214" s="29"/>
      <c r="G214" s="175" t="s">
        <v>709</v>
      </c>
      <c r="I214" s="176">
        <v>43889</v>
      </c>
      <c r="J214" s="177" t="s">
        <v>710</v>
      </c>
    </row>
    <row r="215" spans="2:10">
      <c r="B215" s="174" t="s">
        <v>711</v>
      </c>
      <c r="C215" s="170">
        <f t="shared" si="3"/>
        <v>44043</v>
      </c>
      <c r="D215" s="174" t="s">
        <v>711</v>
      </c>
      <c r="E215" s="29"/>
      <c r="F215" s="29"/>
      <c r="G215" s="175" t="s">
        <v>712</v>
      </c>
      <c r="I215" s="176">
        <v>43889</v>
      </c>
      <c r="J215" s="177" t="s">
        <v>282</v>
      </c>
    </row>
    <row r="216" spans="2:10">
      <c r="B216" s="174" t="s">
        <v>713</v>
      </c>
      <c r="C216" s="170">
        <f t="shared" si="3"/>
        <v>44044</v>
      </c>
      <c r="D216" s="174" t="s">
        <v>713</v>
      </c>
      <c r="E216" s="29"/>
      <c r="F216" s="29"/>
      <c r="G216" s="175" t="s">
        <v>714</v>
      </c>
      <c r="I216" s="176">
        <v>43889</v>
      </c>
      <c r="J216" s="177" t="s">
        <v>715</v>
      </c>
    </row>
    <row r="217" spans="2:10">
      <c r="B217" s="174" t="s">
        <v>716</v>
      </c>
      <c r="C217" s="170">
        <f t="shared" si="3"/>
        <v>44045</v>
      </c>
      <c r="D217" s="174" t="s">
        <v>716</v>
      </c>
      <c r="E217" s="29"/>
      <c r="F217" s="29"/>
      <c r="G217" s="175" t="s">
        <v>717</v>
      </c>
      <c r="I217" s="176">
        <v>43889</v>
      </c>
      <c r="J217" s="177" t="s">
        <v>718</v>
      </c>
    </row>
    <row r="218" spans="2:10">
      <c r="B218" s="174" t="s">
        <v>719</v>
      </c>
      <c r="C218" s="170">
        <f t="shared" si="3"/>
        <v>44046</v>
      </c>
      <c r="D218" s="174" t="s">
        <v>719</v>
      </c>
      <c r="E218" s="29"/>
      <c r="F218" s="29"/>
      <c r="G218" s="175" t="s">
        <v>720</v>
      </c>
      <c r="I218" s="176">
        <v>43891</v>
      </c>
      <c r="J218" s="177" t="s">
        <v>721</v>
      </c>
    </row>
    <row r="219" spans="2:10">
      <c r="B219" s="174" t="s">
        <v>722</v>
      </c>
      <c r="C219" s="170">
        <f t="shared" si="3"/>
        <v>44047</v>
      </c>
      <c r="D219" s="174" t="s">
        <v>722</v>
      </c>
      <c r="E219" s="29"/>
      <c r="F219" s="29"/>
      <c r="G219" s="175" t="s">
        <v>723</v>
      </c>
      <c r="I219" s="176">
        <v>43891</v>
      </c>
      <c r="J219" s="177" t="s">
        <v>724</v>
      </c>
    </row>
    <row r="220" spans="2:10">
      <c r="B220" s="174" t="s">
        <v>725</v>
      </c>
      <c r="C220" s="170">
        <f t="shared" si="3"/>
        <v>44048</v>
      </c>
      <c r="D220" s="174" t="s">
        <v>725</v>
      </c>
      <c r="E220" s="29"/>
      <c r="F220" s="29"/>
      <c r="G220" s="175" t="s">
        <v>726</v>
      </c>
      <c r="I220" s="176">
        <v>43891</v>
      </c>
      <c r="J220" s="177" t="s">
        <v>727</v>
      </c>
    </row>
    <row r="221" spans="2:10">
      <c r="B221" s="174" t="s">
        <v>728</v>
      </c>
      <c r="C221" s="170">
        <f t="shared" si="3"/>
        <v>44049</v>
      </c>
      <c r="D221" s="174" t="s">
        <v>729</v>
      </c>
      <c r="E221" s="29"/>
      <c r="F221" s="29"/>
      <c r="G221" s="175" t="s">
        <v>730</v>
      </c>
      <c r="I221" s="176">
        <v>43891</v>
      </c>
      <c r="J221" s="177" t="s">
        <v>288</v>
      </c>
    </row>
    <row r="222" spans="2:10">
      <c r="B222" s="174" t="s">
        <v>731</v>
      </c>
      <c r="C222" s="170">
        <f t="shared" si="3"/>
        <v>44050</v>
      </c>
      <c r="D222" s="174" t="s">
        <v>731</v>
      </c>
      <c r="E222" s="29"/>
      <c r="F222" s="29"/>
      <c r="G222" s="175" t="s">
        <v>732</v>
      </c>
      <c r="I222" s="176">
        <v>43891</v>
      </c>
      <c r="J222" s="177" t="s">
        <v>733</v>
      </c>
    </row>
    <row r="223" spans="2:10">
      <c r="B223" s="174" t="s">
        <v>734</v>
      </c>
      <c r="C223" s="170">
        <f t="shared" si="3"/>
        <v>44051</v>
      </c>
      <c r="D223" s="174" t="s">
        <v>734</v>
      </c>
      <c r="E223" s="29"/>
      <c r="F223" s="29"/>
      <c r="G223" s="175" t="s">
        <v>735</v>
      </c>
      <c r="I223" s="176">
        <v>43891</v>
      </c>
      <c r="J223" s="177" t="s">
        <v>736</v>
      </c>
    </row>
    <row r="224" spans="2:10">
      <c r="B224" s="174" t="s">
        <v>737</v>
      </c>
      <c r="C224" s="170">
        <f t="shared" si="3"/>
        <v>44052</v>
      </c>
      <c r="D224" s="174" t="s">
        <v>737</v>
      </c>
      <c r="E224" s="29"/>
      <c r="F224" s="29"/>
      <c r="G224" s="175" t="s">
        <v>738</v>
      </c>
      <c r="I224" s="176">
        <v>43892</v>
      </c>
      <c r="J224" s="177" t="s">
        <v>291</v>
      </c>
    </row>
    <row r="225" spans="2:10">
      <c r="B225" s="174" t="s">
        <v>739</v>
      </c>
      <c r="C225" s="170">
        <f t="shared" si="3"/>
        <v>44053</v>
      </c>
      <c r="D225" s="174" t="s">
        <v>739</v>
      </c>
      <c r="E225" s="29"/>
      <c r="F225" s="29"/>
      <c r="G225" s="175" t="s">
        <v>740</v>
      </c>
      <c r="I225" s="176">
        <v>43892</v>
      </c>
      <c r="J225" s="177" t="s">
        <v>741</v>
      </c>
    </row>
    <row r="226" spans="2:10">
      <c r="B226" s="174" t="s">
        <v>742</v>
      </c>
      <c r="C226" s="170">
        <f t="shared" si="3"/>
        <v>44054</v>
      </c>
      <c r="D226" s="174" t="s">
        <v>742</v>
      </c>
      <c r="E226" s="29"/>
      <c r="F226" s="29"/>
      <c r="G226" s="175" t="s">
        <v>743</v>
      </c>
      <c r="I226" s="176">
        <v>43892</v>
      </c>
      <c r="J226" s="177" t="s">
        <v>292</v>
      </c>
    </row>
    <row r="227" spans="2:10">
      <c r="B227" s="174" t="s">
        <v>744</v>
      </c>
      <c r="C227" s="170">
        <f t="shared" si="3"/>
        <v>44055</v>
      </c>
      <c r="D227" s="174" t="s">
        <v>744</v>
      </c>
      <c r="E227" s="29"/>
      <c r="F227" s="29"/>
      <c r="G227" s="175" t="s">
        <v>745</v>
      </c>
      <c r="I227" s="176">
        <v>43893</v>
      </c>
      <c r="J227" s="177" t="s">
        <v>746</v>
      </c>
    </row>
    <row r="228" spans="2:10">
      <c r="B228" s="174" t="s">
        <v>747</v>
      </c>
      <c r="C228" s="170">
        <f t="shared" si="3"/>
        <v>44056</v>
      </c>
      <c r="D228" s="174" t="s">
        <v>747</v>
      </c>
      <c r="E228" s="29"/>
      <c r="F228" s="29"/>
      <c r="G228" s="175" t="s">
        <v>748</v>
      </c>
      <c r="I228" s="176">
        <v>43893</v>
      </c>
      <c r="J228" s="177" t="s">
        <v>295</v>
      </c>
    </row>
    <row r="229" spans="2:10">
      <c r="B229" s="174" t="s">
        <v>749</v>
      </c>
      <c r="C229" s="170">
        <f t="shared" si="3"/>
        <v>44057</v>
      </c>
      <c r="D229" s="174" t="s">
        <v>749</v>
      </c>
      <c r="E229" s="29"/>
      <c r="F229" s="29"/>
      <c r="G229" s="175" t="s">
        <v>750</v>
      </c>
      <c r="I229" s="176">
        <v>43893</v>
      </c>
      <c r="J229" s="177" t="s">
        <v>751</v>
      </c>
    </row>
    <row r="230" spans="2:10">
      <c r="B230" s="174" t="s">
        <v>752</v>
      </c>
      <c r="C230" s="170">
        <f t="shared" si="3"/>
        <v>44058</v>
      </c>
      <c r="D230" s="174" t="s">
        <v>752</v>
      </c>
      <c r="E230" s="29"/>
      <c r="F230" s="29"/>
      <c r="G230" s="175" t="s">
        <v>753</v>
      </c>
      <c r="I230" s="176">
        <v>43893</v>
      </c>
      <c r="J230" s="177" t="s">
        <v>754</v>
      </c>
    </row>
    <row r="231" spans="2:10">
      <c r="B231" s="174" t="s">
        <v>755</v>
      </c>
      <c r="C231" s="170">
        <f t="shared" si="3"/>
        <v>44059</v>
      </c>
      <c r="D231" s="174" t="s">
        <v>755</v>
      </c>
      <c r="E231" s="29"/>
      <c r="F231" s="29"/>
      <c r="G231" s="175" t="s">
        <v>756</v>
      </c>
      <c r="I231" s="176">
        <v>43894</v>
      </c>
      <c r="J231" s="177" t="s">
        <v>298</v>
      </c>
    </row>
    <row r="232" spans="2:10">
      <c r="B232" s="174" t="s">
        <v>757</v>
      </c>
      <c r="C232" s="170">
        <f t="shared" si="3"/>
        <v>44060</v>
      </c>
      <c r="D232" s="174" t="s">
        <v>757</v>
      </c>
      <c r="E232" s="29"/>
      <c r="F232" s="29"/>
      <c r="G232" s="175" t="s">
        <v>758</v>
      </c>
      <c r="I232" s="176">
        <v>43894</v>
      </c>
      <c r="J232" s="177" t="s">
        <v>759</v>
      </c>
    </row>
    <row r="233" spans="2:10">
      <c r="B233" s="174" t="s">
        <v>760</v>
      </c>
      <c r="C233" s="170">
        <f t="shared" si="3"/>
        <v>44061</v>
      </c>
      <c r="D233" s="174" t="s">
        <v>760</v>
      </c>
      <c r="E233" s="29"/>
      <c r="F233" s="29"/>
      <c r="G233" s="175" t="s">
        <v>761</v>
      </c>
      <c r="I233" s="176">
        <v>43894</v>
      </c>
      <c r="J233" s="177" t="s">
        <v>357</v>
      </c>
    </row>
    <row r="234" spans="2:10">
      <c r="B234" s="174" t="s">
        <v>762</v>
      </c>
      <c r="C234" s="170">
        <f t="shared" si="3"/>
        <v>44062</v>
      </c>
      <c r="D234" s="174" t="s">
        <v>763</v>
      </c>
      <c r="E234" s="29"/>
      <c r="F234" s="29"/>
      <c r="G234" s="175" t="s">
        <v>764</v>
      </c>
      <c r="I234" s="176">
        <v>43895</v>
      </c>
      <c r="J234" s="177" t="s">
        <v>300</v>
      </c>
    </row>
    <row r="235" spans="2:10">
      <c r="B235" s="174" t="s">
        <v>765</v>
      </c>
      <c r="C235" s="170">
        <f t="shared" si="3"/>
        <v>44063</v>
      </c>
      <c r="D235" s="174" t="s">
        <v>765</v>
      </c>
      <c r="E235" s="29"/>
      <c r="F235" s="29"/>
      <c r="G235" s="175" t="s">
        <v>766</v>
      </c>
      <c r="I235" s="176">
        <v>43895</v>
      </c>
      <c r="J235" s="177" t="s">
        <v>767</v>
      </c>
    </row>
    <row r="236" spans="2:10">
      <c r="B236" s="174" t="s">
        <v>768</v>
      </c>
      <c r="C236" s="170">
        <f t="shared" si="3"/>
        <v>44064</v>
      </c>
      <c r="D236" s="174" t="s">
        <v>768</v>
      </c>
      <c r="E236" s="29"/>
      <c r="F236" s="29"/>
      <c r="G236" s="175" t="s">
        <v>769</v>
      </c>
      <c r="I236" s="176">
        <v>43895</v>
      </c>
      <c r="J236" s="177" t="s">
        <v>770</v>
      </c>
    </row>
    <row r="237" spans="2:10">
      <c r="B237" s="174" t="s">
        <v>771</v>
      </c>
      <c r="C237" s="170">
        <f t="shared" si="3"/>
        <v>44065</v>
      </c>
      <c r="D237" s="174" t="s">
        <v>771</v>
      </c>
      <c r="E237" s="29"/>
      <c r="F237" s="29"/>
      <c r="G237" s="175" t="s">
        <v>772</v>
      </c>
      <c r="I237" s="176">
        <v>43895</v>
      </c>
      <c r="J237" s="177" t="s">
        <v>773</v>
      </c>
    </row>
    <row r="238" spans="2:10">
      <c r="B238" s="174" t="s">
        <v>774</v>
      </c>
      <c r="C238" s="170">
        <f t="shared" si="3"/>
        <v>44066</v>
      </c>
      <c r="D238" s="174" t="s">
        <v>774</v>
      </c>
      <c r="E238" s="29"/>
      <c r="F238" s="29"/>
      <c r="G238" s="175" t="s">
        <v>775</v>
      </c>
      <c r="I238" s="176">
        <v>43895</v>
      </c>
      <c r="J238" s="177" t="s">
        <v>776</v>
      </c>
    </row>
    <row r="239" spans="2:10">
      <c r="B239" s="174" t="s">
        <v>777</v>
      </c>
      <c r="C239" s="170">
        <f t="shared" si="3"/>
        <v>44067</v>
      </c>
      <c r="D239" s="174" t="s">
        <v>777</v>
      </c>
      <c r="E239" s="29"/>
      <c r="F239" s="29"/>
      <c r="G239" s="175" t="s">
        <v>778</v>
      </c>
      <c r="I239" s="176">
        <v>43896</v>
      </c>
      <c r="J239" s="177" t="s">
        <v>303</v>
      </c>
    </row>
    <row r="240" spans="2:10">
      <c r="B240" s="174" t="s">
        <v>779</v>
      </c>
      <c r="C240" s="170">
        <f t="shared" si="3"/>
        <v>44068</v>
      </c>
      <c r="D240" s="174" t="s">
        <v>779</v>
      </c>
      <c r="E240" s="29"/>
      <c r="F240" s="29"/>
      <c r="G240" s="175" t="s">
        <v>780</v>
      </c>
      <c r="I240" s="176">
        <v>43896</v>
      </c>
      <c r="J240" s="177" t="s">
        <v>781</v>
      </c>
    </row>
    <row r="241" spans="2:10">
      <c r="B241" s="174" t="s">
        <v>782</v>
      </c>
      <c r="C241" s="170">
        <f t="shared" si="3"/>
        <v>44069</v>
      </c>
      <c r="D241" s="174" t="s">
        <v>782</v>
      </c>
      <c r="E241" s="29"/>
      <c r="F241" s="29"/>
      <c r="G241" s="175" t="s">
        <v>783</v>
      </c>
      <c r="I241" s="176">
        <v>43896</v>
      </c>
      <c r="J241" s="177" t="s">
        <v>784</v>
      </c>
    </row>
    <row r="242" spans="2:10">
      <c r="B242" s="174" t="s">
        <v>785</v>
      </c>
      <c r="C242" s="170">
        <f t="shared" si="3"/>
        <v>44070</v>
      </c>
      <c r="D242" s="174" t="s">
        <v>785</v>
      </c>
      <c r="E242" s="29"/>
      <c r="F242" s="29"/>
      <c r="G242" s="175" t="s">
        <v>786</v>
      </c>
      <c r="I242" s="176">
        <v>43897</v>
      </c>
      <c r="J242" s="177" t="s">
        <v>306</v>
      </c>
    </row>
    <row r="243" spans="2:10">
      <c r="B243" s="174" t="s">
        <v>534</v>
      </c>
      <c r="C243" s="170">
        <f t="shared" si="3"/>
        <v>44071</v>
      </c>
      <c r="D243" s="174" t="s">
        <v>534</v>
      </c>
      <c r="E243" s="29"/>
      <c r="F243" s="29"/>
      <c r="G243" s="175" t="s">
        <v>787</v>
      </c>
      <c r="I243" s="176">
        <v>43897</v>
      </c>
      <c r="J243" s="177" t="s">
        <v>788</v>
      </c>
    </row>
    <row r="244" spans="2:10">
      <c r="B244" s="174" t="s">
        <v>789</v>
      </c>
      <c r="C244" s="170">
        <f t="shared" si="3"/>
        <v>44072</v>
      </c>
      <c r="D244" s="174" t="s">
        <v>789</v>
      </c>
      <c r="E244" s="29"/>
      <c r="F244" s="29"/>
      <c r="G244" s="175" t="s">
        <v>790</v>
      </c>
      <c r="I244" s="176">
        <v>43898</v>
      </c>
      <c r="J244" s="177" t="s">
        <v>791</v>
      </c>
    </row>
    <row r="245" spans="2:10">
      <c r="B245" s="174" t="s">
        <v>792</v>
      </c>
      <c r="C245" s="170">
        <f t="shared" si="3"/>
        <v>44073</v>
      </c>
      <c r="D245" s="174" t="s">
        <v>792</v>
      </c>
      <c r="E245" s="29"/>
      <c r="F245" s="29"/>
      <c r="G245" s="175" t="s">
        <v>793</v>
      </c>
      <c r="I245" s="176">
        <v>43899</v>
      </c>
      <c r="J245" s="177" t="s">
        <v>794</v>
      </c>
    </row>
    <row r="246" spans="2:10">
      <c r="B246" s="174" t="s">
        <v>795</v>
      </c>
      <c r="C246" s="170">
        <f t="shared" si="3"/>
        <v>44074</v>
      </c>
      <c r="D246" s="174" t="s">
        <v>795</v>
      </c>
      <c r="E246" s="29"/>
      <c r="F246" s="29"/>
      <c r="G246" s="175" t="s">
        <v>796</v>
      </c>
      <c r="I246" s="176">
        <v>43899</v>
      </c>
      <c r="J246" s="177" t="s">
        <v>797</v>
      </c>
    </row>
    <row r="247" spans="2:10">
      <c r="B247" s="174" t="s">
        <v>798</v>
      </c>
      <c r="C247" s="170">
        <f t="shared" si="3"/>
        <v>44075</v>
      </c>
      <c r="D247" s="174" t="s">
        <v>798</v>
      </c>
      <c r="E247" s="29"/>
      <c r="F247" s="29"/>
      <c r="G247" s="175" t="s">
        <v>799</v>
      </c>
      <c r="I247" s="176">
        <v>43899</v>
      </c>
      <c r="J247" s="177" t="s">
        <v>312</v>
      </c>
    </row>
    <row r="248" spans="2:10">
      <c r="B248" s="174" t="s">
        <v>800</v>
      </c>
      <c r="C248" s="170">
        <f t="shared" si="3"/>
        <v>44076</v>
      </c>
      <c r="D248" s="174" t="s">
        <v>800</v>
      </c>
      <c r="E248" s="29"/>
      <c r="F248" s="29"/>
      <c r="G248" s="175" t="s">
        <v>801</v>
      </c>
      <c r="I248" s="176">
        <v>43900</v>
      </c>
      <c r="J248" s="177" t="s">
        <v>802</v>
      </c>
    </row>
    <row r="249" spans="2:10">
      <c r="B249" s="174" t="s">
        <v>803</v>
      </c>
      <c r="C249" s="170">
        <f t="shared" si="3"/>
        <v>44077</v>
      </c>
      <c r="D249" s="174" t="s">
        <v>803</v>
      </c>
      <c r="E249" s="29"/>
      <c r="F249" s="29"/>
      <c r="G249" s="175" t="s">
        <v>804</v>
      </c>
      <c r="I249" s="176">
        <v>43900</v>
      </c>
      <c r="J249" s="177" t="s">
        <v>805</v>
      </c>
    </row>
    <row r="250" spans="2:10">
      <c r="B250" s="174" t="s">
        <v>806</v>
      </c>
      <c r="C250" s="170">
        <f t="shared" si="3"/>
        <v>44078</v>
      </c>
      <c r="D250" s="174" t="s">
        <v>806</v>
      </c>
      <c r="E250" s="29"/>
      <c r="F250" s="29"/>
      <c r="G250" s="175" t="s">
        <v>807</v>
      </c>
      <c r="I250" s="176">
        <v>43900</v>
      </c>
      <c r="J250" s="177" t="s">
        <v>808</v>
      </c>
    </row>
    <row r="251" spans="2:10">
      <c r="B251" s="174" t="s">
        <v>809</v>
      </c>
      <c r="C251" s="170">
        <f t="shared" si="3"/>
        <v>44079</v>
      </c>
      <c r="D251" s="174" t="s">
        <v>809</v>
      </c>
      <c r="E251" s="29"/>
      <c r="F251" s="29"/>
      <c r="G251" s="175" t="s">
        <v>810</v>
      </c>
      <c r="I251" s="176">
        <v>43900</v>
      </c>
      <c r="J251" s="177" t="s">
        <v>811</v>
      </c>
    </row>
    <row r="252" spans="2:10">
      <c r="B252" s="174" t="s">
        <v>812</v>
      </c>
      <c r="C252" s="170">
        <f t="shared" si="3"/>
        <v>44080</v>
      </c>
      <c r="D252" s="174" t="s">
        <v>812</v>
      </c>
      <c r="E252" s="29"/>
      <c r="F252" s="29"/>
      <c r="G252" s="175" t="s">
        <v>813</v>
      </c>
      <c r="I252" s="176">
        <v>43900</v>
      </c>
      <c r="J252" s="177" t="s">
        <v>314</v>
      </c>
    </row>
    <row r="253" spans="2:10">
      <c r="B253" s="174" t="s">
        <v>814</v>
      </c>
      <c r="C253" s="170">
        <f t="shared" si="3"/>
        <v>44081</v>
      </c>
      <c r="D253" s="174" t="s">
        <v>814</v>
      </c>
      <c r="E253" s="29"/>
      <c r="F253" s="29"/>
      <c r="G253" s="175" t="s">
        <v>815</v>
      </c>
      <c r="I253" s="176">
        <v>43900</v>
      </c>
      <c r="J253" s="177" t="s">
        <v>816</v>
      </c>
    </row>
    <row r="254" spans="2:10">
      <c r="B254" s="174" t="s">
        <v>817</v>
      </c>
      <c r="C254" s="170">
        <f t="shared" si="3"/>
        <v>44082</v>
      </c>
      <c r="D254" s="174" t="s">
        <v>817</v>
      </c>
      <c r="E254" s="29"/>
      <c r="F254" s="29"/>
      <c r="G254" s="175" t="s">
        <v>818</v>
      </c>
      <c r="I254" s="176">
        <v>43901</v>
      </c>
      <c r="J254" s="177" t="s">
        <v>317</v>
      </c>
    </row>
    <row r="255" spans="2:10">
      <c r="B255" s="174" t="s">
        <v>819</v>
      </c>
      <c r="C255" s="170">
        <f t="shared" si="3"/>
        <v>44083</v>
      </c>
      <c r="D255" s="174" t="s">
        <v>819</v>
      </c>
      <c r="E255" s="29"/>
      <c r="F255" s="29"/>
      <c r="G255" s="175" t="s">
        <v>820</v>
      </c>
      <c r="I255" s="176">
        <v>43902</v>
      </c>
      <c r="J255" s="177" t="s">
        <v>821</v>
      </c>
    </row>
    <row r="256" spans="2:10">
      <c r="B256" s="174" t="s">
        <v>822</v>
      </c>
      <c r="C256" s="170">
        <f t="shared" si="3"/>
        <v>44084</v>
      </c>
      <c r="D256" s="174" t="s">
        <v>822</v>
      </c>
      <c r="E256" s="29"/>
      <c r="F256" s="29"/>
      <c r="G256" s="175" t="s">
        <v>823</v>
      </c>
      <c r="I256" s="176">
        <v>43902</v>
      </c>
      <c r="J256" s="177" t="s">
        <v>320</v>
      </c>
    </row>
    <row r="257" spans="2:10">
      <c r="B257" s="174" t="s">
        <v>824</v>
      </c>
      <c r="C257" s="170">
        <f t="shared" si="3"/>
        <v>44085</v>
      </c>
      <c r="D257" s="174" t="s">
        <v>824</v>
      </c>
      <c r="E257" s="29"/>
      <c r="F257" s="29"/>
      <c r="G257" s="175" t="s">
        <v>825</v>
      </c>
      <c r="I257" s="176">
        <v>43902</v>
      </c>
      <c r="J257" s="177" t="s">
        <v>826</v>
      </c>
    </row>
    <row r="258" spans="2:10">
      <c r="B258" s="174" t="s">
        <v>827</v>
      </c>
      <c r="C258" s="170">
        <f t="shared" ref="C258:C321" si="4">DATEVALUE(G258&amp;$E$1)</f>
        <v>44086</v>
      </c>
      <c r="D258" s="174" t="s">
        <v>827</v>
      </c>
      <c r="E258" s="29"/>
      <c r="F258" s="29"/>
      <c r="G258" s="175" t="s">
        <v>828</v>
      </c>
      <c r="I258" s="176">
        <v>43902</v>
      </c>
      <c r="J258" s="177" t="s">
        <v>829</v>
      </c>
    </row>
    <row r="259" spans="2:10">
      <c r="B259" s="174" t="s">
        <v>830</v>
      </c>
      <c r="C259" s="170">
        <f t="shared" si="4"/>
        <v>44087</v>
      </c>
      <c r="D259" s="174" t="s">
        <v>830</v>
      </c>
      <c r="E259" s="29"/>
      <c r="F259" s="29"/>
      <c r="G259" s="175" t="s">
        <v>831</v>
      </c>
      <c r="I259" s="176">
        <v>43902</v>
      </c>
      <c r="J259" s="177" t="s">
        <v>832</v>
      </c>
    </row>
    <row r="260" spans="2:10">
      <c r="B260" s="174" t="s">
        <v>833</v>
      </c>
      <c r="C260" s="170">
        <f t="shared" si="4"/>
        <v>44088</v>
      </c>
      <c r="D260" s="174" t="s">
        <v>834</v>
      </c>
      <c r="E260" s="29"/>
      <c r="F260" s="29"/>
      <c r="G260" s="175" t="s">
        <v>835</v>
      </c>
      <c r="I260" s="176">
        <v>43902</v>
      </c>
      <c r="J260" s="177" t="s">
        <v>836</v>
      </c>
    </row>
    <row r="261" spans="2:10">
      <c r="B261" s="174" t="s">
        <v>837</v>
      </c>
      <c r="C261" s="170">
        <f t="shared" si="4"/>
        <v>44089</v>
      </c>
      <c r="D261" s="174" t="s">
        <v>837</v>
      </c>
      <c r="E261" s="29"/>
      <c r="F261" s="29"/>
      <c r="G261" s="175" t="s">
        <v>838</v>
      </c>
      <c r="I261" s="176">
        <v>43903</v>
      </c>
      <c r="J261" s="177" t="s">
        <v>323</v>
      </c>
    </row>
    <row r="262" spans="2:10">
      <c r="B262" s="174" t="s">
        <v>839</v>
      </c>
      <c r="C262" s="170">
        <f t="shared" si="4"/>
        <v>44090</v>
      </c>
      <c r="D262" s="174" t="s">
        <v>839</v>
      </c>
      <c r="E262" s="29"/>
      <c r="F262" s="29"/>
      <c r="G262" s="175" t="s">
        <v>840</v>
      </c>
      <c r="I262" s="176">
        <v>43904</v>
      </c>
      <c r="J262" s="177" t="s">
        <v>326</v>
      </c>
    </row>
    <row r="263" spans="2:10">
      <c r="B263" s="174" t="s">
        <v>841</v>
      </c>
      <c r="C263" s="170">
        <f t="shared" si="4"/>
        <v>44091</v>
      </c>
      <c r="D263" s="174" t="s">
        <v>841</v>
      </c>
      <c r="E263" s="29"/>
      <c r="F263" s="29"/>
      <c r="G263" s="175" t="s">
        <v>842</v>
      </c>
      <c r="I263" s="176">
        <v>43904</v>
      </c>
      <c r="J263" s="177" t="s">
        <v>843</v>
      </c>
    </row>
    <row r="264" spans="2:10">
      <c r="B264" s="174" t="s">
        <v>844</v>
      </c>
      <c r="C264" s="170">
        <f t="shared" si="4"/>
        <v>44092</v>
      </c>
      <c r="D264" s="174" t="s">
        <v>844</v>
      </c>
      <c r="E264" s="29"/>
      <c r="F264" s="29"/>
      <c r="G264" s="175" t="s">
        <v>845</v>
      </c>
      <c r="I264" s="176">
        <v>43904</v>
      </c>
      <c r="J264" s="177" t="s">
        <v>846</v>
      </c>
    </row>
    <row r="265" spans="2:10">
      <c r="B265" s="174" t="s">
        <v>520</v>
      </c>
      <c r="C265" s="170">
        <f t="shared" si="4"/>
        <v>44093</v>
      </c>
      <c r="D265" s="174" t="s">
        <v>520</v>
      </c>
      <c r="E265" s="29"/>
      <c r="F265" s="29"/>
      <c r="G265" s="175" t="s">
        <v>847</v>
      </c>
      <c r="I265" s="176">
        <v>43905</v>
      </c>
      <c r="J265" s="177" t="s">
        <v>848</v>
      </c>
    </row>
    <row r="266" spans="2:10">
      <c r="B266" s="174" t="s">
        <v>849</v>
      </c>
      <c r="C266" s="170">
        <f t="shared" si="4"/>
        <v>44094</v>
      </c>
      <c r="D266" s="174" t="s">
        <v>849</v>
      </c>
      <c r="E266" s="29"/>
      <c r="F266" s="29"/>
      <c r="G266" s="175" t="s">
        <v>850</v>
      </c>
      <c r="I266" s="176">
        <v>43905</v>
      </c>
      <c r="J266" s="177" t="s">
        <v>329</v>
      </c>
    </row>
    <row r="267" spans="2:10">
      <c r="B267" s="174" t="s">
        <v>851</v>
      </c>
      <c r="C267" s="170">
        <f t="shared" si="4"/>
        <v>44095</v>
      </c>
      <c r="D267" s="174" t="s">
        <v>851</v>
      </c>
      <c r="E267" s="29"/>
      <c r="F267" s="29"/>
      <c r="G267" s="175" t="s">
        <v>852</v>
      </c>
      <c r="I267" s="176">
        <v>43905</v>
      </c>
      <c r="J267" s="177" t="s">
        <v>853</v>
      </c>
    </row>
    <row r="268" spans="2:10">
      <c r="B268" s="174" t="s">
        <v>854</v>
      </c>
      <c r="C268" s="170">
        <f t="shared" si="4"/>
        <v>44096</v>
      </c>
      <c r="D268" s="174" t="s">
        <v>854</v>
      </c>
      <c r="E268" s="29"/>
      <c r="F268" s="29"/>
      <c r="G268" s="175" t="s">
        <v>855</v>
      </c>
      <c r="I268" s="176">
        <v>43905</v>
      </c>
      <c r="J268" s="177" t="s">
        <v>856</v>
      </c>
    </row>
    <row r="269" spans="2:10">
      <c r="B269" s="174" t="s">
        <v>857</v>
      </c>
      <c r="C269" s="170">
        <f t="shared" si="4"/>
        <v>44097</v>
      </c>
      <c r="D269" s="174" t="s">
        <v>857</v>
      </c>
      <c r="E269" s="29"/>
      <c r="F269" s="29"/>
      <c r="G269" s="175" t="s">
        <v>858</v>
      </c>
      <c r="I269" s="176">
        <v>43906</v>
      </c>
      <c r="J269" s="177" t="s">
        <v>859</v>
      </c>
    </row>
    <row r="270" spans="2:10">
      <c r="B270" s="174" t="s">
        <v>860</v>
      </c>
      <c r="C270" s="170">
        <f t="shared" si="4"/>
        <v>44098</v>
      </c>
      <c r="D270" s="174" t="s">
        <v>860</v>
      </c>
      <c r="E270" s="29"/>
      <c r="F270" s="29"/>
      <c r="G270" s="175" t="s">
        <v>861</v>
      </c>
      <c r="I270" s="176">
        <v>43906</v>
      </c>
      <c r="J270" s="177" t="s">
        <v>332</v>
      </c>
    </row>
    <row r="271" spans="2:10">
      <c r="B271" s="174" t="s">
        <v>862</v>
      </c>
      <c r="C271" s="170">
        <f t="shared" si="4"/>
        <v>44099</v>
      </c>
      <c r="D271" s="174" t="s">
        <v>862</v>
      </c>
      <c r="E271" s="29"/>
      <c r="F271" s="29"/>
      <c r="G271" s="175" t="s">
        <v>863</v>
      </c>
      <c r="I271" s="176">
        <v>43907</v>
      </c>
      <c r="J271" s="177" t="s">
        <v>864</v>
      </c>
    </row>
    <row r="272" spans="2:10">
      <c r="B272" s="174" t="s">
        <v>264</v>
      </c>
      <c r="C272" s="170">
        <f t="shared" si="4"/>
        <v>44100</v>
      </c>
      <c r="D272" s="174" t="s">
        <v>264</v>
      </c>
      <c r="E272" s="29"/>
      <c r="F272" s="29"/>
      <c r="G272" s="175" t="s">
        <v>865</v>
      </c>
      <c r="I272" s="176">
        <v>43907</v>
      </c>
      <c r="J272" s="177" t="s">
        <v>335</v>
      </c>
    </row>
    <row r="273" spans="2:10">
      <c r="B273" s="174" t="s">
        <v>866</v>
      </c>
      <c r="C273" s="170">
        <f t="shared" si="4"/>
        <v>44101</v>
      </c>
      <c r="D273" s="174" t="s">
        <v>866</v>
      </c>
      <c r="E273" s="29"/>
      <c r="F273" s="29"/>
      <c r="G273" s="175" t="s">
        <v>867</v>
      </c>
      <c r="I273" s="176">
        <v>43907</v>
      </c>
      <c r="J273" s="177" t="s">
        <v>868</v>
      </c>
    </row>
    <row r="274" spans="2:10">
      <c r="B274" s="174" t="s">
        <v>869</v>
      </c>
      <c r="C274" s="170">
        <f t="shared" si="4"/>
        <v>44102</v>
      </c>
      <c r="D274" s="174" t="s">
        <v>869</v>
      </c>
      <c r="E274" s="29"/>
      <c r="F274" s="29"/>
      <c r="G274" s="175" t="s">
        <v>870</v>
      </c>
      <c r="I274" s="176">
        <v>43907</v>
      </c>
      <c r="J274" s="177" t="s">
        <v>871</v>
      </c>
    </row>
    <row r="275" spans="2:10">
      <c r="B275" s="174" t="s">
        <v>872</v>
      </c>
      <c r="C275" s="170">
        <f t="shared" si="4"/>
        <v>44103</v>
      </c>
      <c r="D275" s="174" t="s">
        <v>872</v>
      </c>
      <c r="E275" s="29"/>
      <c r="F275" s="29"/>
      <c r="G275" s="175" t="s">
        <v>873</v>
      </c>
      <c r="I275" s="176">
        <v>43907</v>
      </c>
      <c r="J275" s="177" t="s">
        <v>874</v>
      </c>
    </row>
    <row r="276" spans="2:10">
      <c r="B276" s="174" t="s">
        <v>875</v>
      </c>
      <c r="C276" s="170">
        <f t="shared" si="4"/>
        <v>44103</v>
      </c>
      <c r="D276" s="174" t="s">
        <v>875</v>
      </c>
      <c r="E276" s="29"/>
      <c r="F276" s="29"/>
      <c r="G276" s="175" t="s">
        <v>873</v>
      </c>
      <c r="I276" s="176">
        <v>43907</v>
      </c>
      <c r="J276" s="177" t="s">
        <v>876</v>
      </c>
    </row>
    <row r="277" spans="2:10">
      <c r="B277" s="174" t="s">
        <v>877</v>
      </c>
      <c r="C277" s="170">
        <f t="shared" si="4"/>
        <v>44104</v>
      </c>
      <c r="D277" s="174" t="s">
        <v>877</v>
      </c>
      <c r="E277" s="29"/>
      <c r="F277" s="29"/>
      <c r="G277" s="175" t="s">
        <v>878</v>
      </c>
      <c r="I277" s="176">
        <v>43908</v>
      </c>
      <c r="J277" s="177" t="s">
        <v>879</v>
      </c>
    </row>
    <row r="278" spans="2:10">
      <c r="B278" s="174" t="s">
        <v>193</v>
      </c>
      <c r="C278" s="170">
        <f t="shared" si="4"/>
        <v>44105</v>
      </c>
      <c r="D278" s="174" t="s">
        <v>193</v>
      </c>
      <c r="E278" s="29"/>
      <c r="F278" s="29"/>
      <c r="G278" s="175" t="s">
        <v>880</v>
      </c>
      <c r="I278" s="176">
        <v>43908</v>
      </c>
      <c r="J278" s="177" t="s">
        <v>338</v>
      </c>
    </row>
    <row r="279" spans="2:10">
      <c r="B279" s="174" t="s">
        <v>881</v>
      </c>
      <c r="C279" s="170">
        <f t="shared" si="4"/>
        <v>44106</v>
      </c>
      <c r="D279" s="174" t="s">
        <v>881</v>
      </c>
      <c r="E279" s="29"/>
      <c r="F279" s="29"/>
      <c r="G279" s="175" t="s">
        <v>882</v>
      </c>
      <c r="I279" s="176">
        <v>43908</v>
      </c>
      <c r="J279" s="177" t="s">
        <v>883</v>
      </c>
    </row>
    <row r="280" spans="2:10">
      <c r="B280" s="174" t="s">
        <v>884</v>
      </c>
      <c r="C280" s="170">
        <f t="shared" si="4"/>
        <v>44107</v>
      </c>
      <c r="D280" s="174" t="s">
        <v>884</v>
      </c>
      <c r="E280" s="29"/>
      <c r="F280" s="29"/>
      <c r="G280" s="175" t="s">
        <v>885</v>
      </c>
      <c r="I280" s="176">
        <v>43909</v>
      </c>
      <c r="J280" s="177" t="s">
        <v>886</v>
      </c>
    </row>
    <row r="281" spans="2:10">
      <c r="B281" s="174" t="s">
        <v>887</v>
      </c>
      <c r="C281" s="170">
        <f t="shared" si="4"/>
        <v>44108</v>
      </c>
      <c r="D281" s="174" t="s">
        <v>887</v>
      </c>
      <c r="E281" s="29"/>
      <c r="F281" s="29"/>
      <c r="G281" s="175" t="s">
        <v>888</v>
      </c>
      <c r="I281" s="176">
        <v>43909</v>
      </c>
      <c r="J281" s="177" t="s">
        <v>889</v>
      </c>
    </row>
    <row r="282" spans="2:10">
      <c r="B282" s="174" t="s">
        <v>890</v>
      </c>
      <c r="C282" s="170">
        <f t="shared" si="4"/>
        <v>44109</v>
      </c>
      <c r="D282" s="174" t="s">
        <v>890</v>
      </c>
      <c r="E282" s="29"/>
      <c r="F282" s="29"/>
      <c r="G282" s="175" t="s">
        <v>891</v>
      </c>
      <c r="I282" s="176">
        <v>43909</v>
      </c>
      <c r="J282" s="177" t="s">
        <v>892</v>
      </c>
    </row>
    <row r="283" spans="2:10">
      <c r="B283" s="174" t="s">
        <v>893</v>
      </c>
      <c r="C283" s="170">
        <f t="shared" si="4"/>
        <v>44110</v>
      </c>
      <c r="D283" s="174" t="s">
        <v>893</v>
      </c>
      <c r="E283" s="29"/>
      <c r="F283" s="29"/>
      <c r="G283" s="175" t="s">
        <v>894</v>
      </c>
      <c r="I283" s="176">
        <v>43909</v>
      </c>
      <c r="J283" s="177" t="s">
        <v>895</v>
      </c>
    </row>
    <row r="284" spans="2:10">
      <c r="B284" s="174" t="s">
        <v>896</v>
      </c>
      <c r="C284" s="170">
        <f t="shared" si="4"/>
        <v>44111</v>
      </c>
      <c r="D284" s="174" t="s">
        <v>896</v>
      </c>
      <c r="E284" s="29"/>
      <c r="F284" s="29"/>
      <c r="G284" s="175" t="s">
        <v>897</v>
      </c>
      <c r="I284" s="176">
        <v>43909</v>
      </c>
      <c r="J284" s="177" t="s">
        <v>340</v>
      </c>
    </row>
    <row r="285" spans="2:10">
      <c r="B285" s="174" t="s">
        <v>898</v>
      </c>
      <c r="C285" s="170">
        <f t="shared" si="4"/>
        <v>44112</v>
      </c>
      <c r="D285" s="174" t="s">
        <v>898</v>
      </c>
      <c r="E285" s="29"/>
      <c r="F285" s="29"/>
      <c r="G285" s="175" t="s">
        <v>899</v>
      </c>
      <c r="I285" s="176">
        <v>43909</v>
      </c>
      <c r="J285" s="177" t="s">
        <v>900</v>
      </c>
    </row>
    <row r="286" spans="2:10">
      <c r="B286" s="174" t="s">
        <v>901</v>
      </c>
      <c r="C286" s="170">
        <f t="shared" si="4"/>
        <v>44113</v>
      </c>
      <c r="D286" s="174" t="s">
        <v>901</v>
      </c>
      <c r="E286" s="29"/>
      <c r="F286" s="29"/>
      <c r="G286" s="175" t="s">
        <v>902</v>
      </c>
      <c r="I286" s="176">
        <v>43909</v>
      </c>
      <c r="J286" s="177" t="s">
        <v>903</v>
      </c>
    </row>
    <row r="287" spans="2:10">
      <c r="B287" s="174" t="s">
        <v>904</v>
      </c>
      <c r="C287" s="170">
        <f t="shared" si="4"/>
        <v>44114</v>
      </c>
      <c r="D287" s="174" t="s">
        <v>904</v>
      </c>
      <c r="E287" s="29"/>
      <c r="F287" s="29"/>
      <c r="G287" s="175" t="s">
        <v>905</v>
      </c>
      <c r="I287" s="176">
        <v>43909</v>
      </c>
      <c r="J287" s="177" t="s">
        <v>906</v>
      </c>
    </row>
    <row r="288" spans="2:10">
      <c r="B288" s="174" t="s">
        <v>907</v>
      </c>
      <c r="C288" s="170">
        <f t="shared" si="4"/>
        <v>44115</v>
      </c>
      <c r="D288" s="174" t="s">
        <v>907</v>
      </c>
      <c r="E288" s="29"/>
      <c r="F288" s="29"/>
      <c r="G288" s="175" t="s">
        <v>908</v>
      </c>
      <c r="I288" s="176">
        <v>43909</v>
      </c>
      <c r="J288" s="177" t="s">
        <v>909</v>
      </c>
    </row>
    <row r="289" spans="2:10">
      <c r="B289" s="174" t="s">
        <v>910</v>
      </c>
      <c r="C289" s="170">
        <f t="shared" si="4"/>
        <v>44116</v>
      </c>
      <c r="D289" s="174" t="s">
        <v>910</v>
      </c>
      <c r="E289" s="29"/>
      <c r="F289" s="29"/>
      <c r="G289" s="175" t="s">
        <v>911</v>
      </c>
      <c r="I289" s="176">
        <v>43909</v>
      </c>
      <c r="J289" s="177" t="s">
        <v>912</v>
      </c>
    </row>
    <row r="290" spans="2:10">
      <c r="B290" s="174" t="s">
        <v>913</v>
      </c>
      <c r="C290" s="170">
        <f t="shared" si="4"/>
        <v>44117</v>
      </c>
      <c r="D290" s="174" t="s">
        <v>913</v>
      </c>
      <c r="E290" s="29"/>
      <c r="F290" s="29"/>
      <c r="G290" s="175" t="s">
        <v>914</v>
      </c>
      <c r="I290" s="176">
        <v>43909</v>
      </c>
      <c r="J290" s="177" t="s">
        <v>915</v>
      </c>
    </row>
    <row r="291" spans="2:10">
      <c r="B291" s="174" t="s">
        <v>916</v>
      </c>
      <c r="C291" s="170">
        <f t="shared" si="4"/>
        <v>44118</v>
      </c>
      <c r="D291" s="174" t="s">
        <v>916</v>
      </c>
      <c r="E291" s="29"/>
      <c r="F291" s="29"/>
      <c r="G291" s="175" t="s">
        <v>917</v>
      </c>
      <c r="I291" s="176">
        <v>43910</v>
      </c>
      <c r="J291" s="177" t="s">
        <v>918</v>
      </c>
    </row>
    <row r="292" spans="2:10">
      <c r="B292" s="174" t="s">
        <v>919</v>
      </c>
      <c r="C292" s="170">
        <f t="shared" si="4"/>
        <v>44119</v>
      </c>
      <c r="D292" s="174" t="s">
        <v>920</v>
      </c>
      <c r="E292" s="29"/>
      <c r="F292" s="29"/>
      <c r="G292" s="175" t="s">
        <v>921</v>
      </c>
      <c r="I292" s="176">
        <v>43910</v>
      </c>
      <c r="J292" s="177" t="s">
        <v>343</v>
      </c>
    </row>
    <row r="293" spans="2:10">
      <c r="B293" s="174" t="s">
        <v>922</v>
      </c>
      <c r="C293" s="170">
        <f t="shared" si="4"/>
        <v>44120</v>
      </c>
      <c r="D293" s="174" t="s">
        <v>922</v>
      </c>
      <c r="E293" s="29"/>
      <c r="F293" s="29"/>
      <c r="G293" s="175" t="s">
        <v>923</v>
      </c>
      <c r="I293" s="176">
        <v>43910</v>
      </c>
      <c r="J293" s="177" t="s">
        <v>924</v>
      </c>
    </row>
    <row r="294" spans="2:10">
      <c r="B294" s="174" t="s">
        <v>925</v>
      </c>
      <c r="C294" s="170">
        <f t="shared" si="4"/>
        <v>44121</v>
      </c>
      <c r="D294" s="174" t="s">
        <v>925</v>
      </c>
      <c r="E294" s="29"/>
      <c r="F294" s="29"/>
      <c r="G294" s="175" t="s">
        <v>926</v>
      </c>
      <c r="I294" s="176">
        <v>43910</v>
      </c>
      <c r="J294" s="177" t="s">
        <v>927</v>
      </c>
    </row>
    <row r="295" spans="2:10">
      <c r="B295" s="174" t="s">
        <v>928</v>
      </c>
      <c r="C295" s="170">
        <f t="shared" si="4"/>
        <v>44122</v>
      </c>
      <c r="D295" s="174" t="s">
        <v>928</v>
      </c>
      <c r="E295" s="29"/>
      <c r="F295" s="29"/>
      <c r="G295" s="175" t="s">
        <v>929</v>
      </c>
      <c r="I295" s="176">
        <v>43911</v>
      </c>
      <c r="J295" s="177" t="s">
        <v>930</v>
      </c>
    </row>
    <row r="296" spans="2:10">
      <c r="B296" s="174" t="s">
        <v>931</v>
      </c>
      <c r="C296" s="170">
        <f t="shared" si="4"/>
        <v>44123</v>
      </c>
      <c r="D296" s="174" t="s">
        <v>931</v>
      </c>
      <c r="E296" s="29"/>
      <c r="F296" s="29"/>
      <c r="G296" s="175" t="s">
        <v>932</v>
      </c>
      <c r="I296" s="176">
        <v>43911</v>
      </c>
      <c r="J296" s="177" t="s">
        <v>346</v>
      </c>
    </row>
    <row r="297" spans="2:10">
      <c r="B297" s="174" t="s">
        <v>933</v>
      </c>
      <c r="C297" s="170">
        <f t="shared" si="4"/>
        <v>44124</v>
      </c>
      <c r="D297" s="174" t="s">
        <v>933</v>
      </c>
      <c r="E297" s="29"/>
      <c r="F297" s="29"/>
      <c r="G297" s="175" t="s">
        <v>934</v>
      </c>
      <c r="I297" s="176">
        <v>43912</v>
      </c>
      <c r="J297" s="177" t="s">
        <v>348</v>
      </c>
    </row>
    <row r="298" spans="2:10">
      <c r="B298" s="174" t="s">
        <v>935</v>
      </c>
      <c r="C298" s="170">
        <f t="shared" si="4"/>
        <v>44125</v>
      </c>
      <c r="D298" s="174" t="s">
        <v>935</v>
      </c>
      <c r="E298" s="29"/>
      <c r="F298" s="29"/>
      <c r="G298" s="175" t="s">
        <v>936</v>
      </c>
      <c r="I298" s="176">
        <v>43912</v>
      </c>
      <c r="J298" s="177" t="s">
        <v>937</v>
      </c>
    </row>
    <row r="299" spans="2:10">
      <c r="B299" s="174" t="s">
        <v>938</v>
      </c>
      <c r="C299" s="170">
        <f t="shared" si="4"/>
        <v>44126</v>
      </c>
      <c r="D299" s="174" t="s">
        <v>938</v>
      </c>
      <c r="E299" s="29"/>
      <c r="F299" s="29"/>
      <c r="G299" s="175" t="s">
        <v>939</v>
      </c>
      <c r="I299" s="176">
        <v>43912</v>
      </c>
      <c r="J299" s="177" t="s">
        <v>940</v>
      </c>
    </row>
    <row r="300" spans="2:10">
      <c r="B300" s="179" t="s">
        <v>941</v>
      </c>
      <c r="C300" s="170">
        <f t="shared" si="4"/>
        <v>44127</v>
      </c>
      <c r="D300" s="179" t="s">
        <v>942</v>
      </c>
      <c r="E300" s="29"/>
      <c r="F300" s="29"/>
      <c r="G300" s="175" t="s">
        <v>943</v>
      </c>
      <c r="I300" s="176">
        <v>43912</v>
      </c>
      <c r="J300" s="177" t="s">
        <v>944</v>
      </c>
    </row>
    <row r="301" spans="2:10">
      <c r="B301" s="174" t="s">
        <v>945</v>
      </c>
      <c r="C301" s="170">
        <f t="shared" si="4"/>
        <v>44128</v>
      </c>
      <c r="D301" s="174" t="s">
        <v>945</v>
      </c>
      <c r="E301" s="29"/>
      <c r="F301" s="29"/>
      <c r="G301" s="175" t="s">
        <v>946</v>
      </c>
      <c r="I301" s="176">
        <v>43912</v>
      </c>
      <c r="J301" s="177" t="s">
        <v>947</v>
      </c>
    </row>
    <row r="302" spans="2:10">
      <c r="B302" s="174" t="s">
        <v>948</v>
      </c>
      <c r="C302" s="170">
        <f t="shared" si="4"/>
        <v>44129</v>
      </c>
      <c r="D302" s="174" t="s">
        <v>948</v>
      </c>
      <c r="E302" s="29"/>
      <c r="F302" s="29"/>
      <c r="G302" s="175" t="s">
        <v>949</v>
      </c>
      <c r="I302" s="176">
        <v>43912</v>
      </c>
      <c r="J302" s="177" t="s">
        <v>950</v>
      </c>
    </row>
    <row r="303" spans="2:10">
      <c r="B303" s="174" t="s">
        <v>951</v>
      </c>
      <c r="C303" s="170">
        <f t="shared" si="4"/>
        <v>44130</v>
      </c>
      <c r="D303" s="174" t="s">
        <v>951</v>
      </c>
      <c r="E303" s="29"/>
      <c r="F303" s="29"/>
      <c r="G303" s="175" t="s">
        <v>952</v>
      </c>
      <c r="I303" s="176">
        <v>43912</v>
      </c>
      <c r="J303" s="177" t="s">
        <v>953</v>
      </c>
    </row>
    <row r="304" spans="2:10">
      <c r="B304" s="174" t="s">
        <v>954</v>
      </c>
      <c r="C304" s="170">
        <f t="shared" si="4"/>
        <v>44131</v>
      </c>
      <c r="D304" s="174" t="s">
        <v>954</v>
      </c>
      <c r="E304" s="29"/>
      <c r="F304" s="29"/>
      <c r="G304" s="175" t="s">
        <v>955</v>
      </c>
      <c r="I304" s="176">
        <v>43913</v>
      </c>
      <c r="J304" s="177" t="s">
        <v>956</v>
      </c>
    </row>
    <row r="305" spans="2:10">
      <c r="B305" s="174" t="s">
        <v>957</v>
      </c>
      <c r="C305" s="170">
        <f t="shared" si="4"/>
        <v>44132</v>
      </c>
      <c r="D305" s="174" t="s">
        <v>957</v>
      </c>
      <c r="E305" s="29"/>
      <c r="F305" s="29"/>
      <c r="G305" s="175" t="s">
        <v>958</v>
      </c>
      <c r="I305" s="176">
        <v>43913</v>
      </c>
      <c r="J305" s="177" t="s">
        <v>959</v>
      </c>
    </row>
    <row r="306" spans="2:10">
      <c r="B306" s="174" t="s">
        <v>960</v>
      </c>
      <c r="C306" s="170">
        <f t="shared" si="4"/>
        <v>44133</v>
      </c>
      <c r="D306" s="174" t="s">
        <v>960</v>
      </c>
      <c r="E306" s="29"/>
      <c r="F306" s="29"/>
      <c r="G306" s="175" t="s">
        <v>961</v>
      </c>
      <c r="I306" s="176">
        <v>43913</v>
      </c>
      <c r="J306" s="177" t="s">
        <v>962</v>
      </c>
    </row>
    <row r="307" spans="2:10">
      <c r="B307" s="174" t="s">
        <v>963</v>
      </c>
      <c r="C307" s="170">
        <f t="shared" si="4"/>
        <v>44134</v>
      </c>
      <c r="D307" s="174" t="s">
        <v>963</v>
      </c>
      <c r="E307" s="29"/>
      <c r="F307" s="29"/>
      <c r="G307" s="175" t="s">
        <v>964</v>
      </c>
      <c r="I307" s="176">
        <v>43914</v>
      </c>
      <c r="J307" s="177" t="s">
        <v>965</v>
      </c>
    </row>
    <row r="308" spans="2:10">
      <c r="B308" s="174" t="s">
        <v>966</v>
      </c>
      <c r="C308" s="170">
        <f t="shared" si="4"/>
        <v>44135</v>
      </c>
      <c r="D308" s="174" t="s">
        <v>966</v>
      </c>
      <c r="E308" s="29"/>
      <c r="F308" s="29"/>
      <c r="G308" s="175" t="s">
        <v>967</v>
      </c>
      <c r="I308" s="176">
        <v>43914</v>
      </c>
      <c r="J308" s="177" t="s">
        <v>968</v>
      </c>
    </row>
    <row r="309" spans="2:10">
      <c r="B309" s="174" t="s">
        <v>969</v>
      </c>
      <c r="C309" s="170">
        <f t="shared" si="4"/>
        <v>44136</v>
      </c>
      <c r="D309" s="174" t="s">
        <v>969</v>
      </c>
      <c r="E309" s="29"/>
      <c r="F309" s="29"/>
      <c r="G309" s="175" t="s">
        <v>970</v>
      </c>
      <c r="I309" s="176">
        <v>43914</v>
      </c>
      <c r="J309" s="177" t="s">
        <v>354</v>
      </c>
    </row>
    <row r="310" spans="2:10">
      <c r="B310" s="174" t="s">
        <v>971</v>
      </c>
      <c r="C310" s="170">
        <f t="shared" si="4"/>
        <v>44137</v>
      </c>
      <c r="D310" s="174" t="s">
        <v>971</v>
      </c>
      <c r="E310" s="29"/>
      <c r="F310" s="29"/>
      <c r="G310" s="175" t="s">
        <v>972</v>
      </c>
      <c r="I310" s="176">
        <v>43914</v>
      </c>
      <c r="J310" s="177" t="s">
        <v>973</v>
      </c>
    </row>
    <row r="311" spans="2:10">
      <c r="B311" s="174" t="s">
        <v>974</v>
      </c>
      <c r="C311" s="170">
        <f t="shared" si="4"/>
        <v>44138</v>
      </c>
      <c r="D311" s="174" t="s">
        <v>974</v>
      </c>
      <c r="E311" s="29"/>
      <c r="F311" s="29"/>
      <c r="G311" s="175" t="s">
        <v>975</v>
      </c>
      <c r="I311" s="176">
        <v>43914</v>
      </c>
      <c r="J311" s="177" t="s">
        <v>976</v>
      </c>
    </row>
    <row r="312" spans="2:10">
      <c r="B312" s="174" t="s">
        <v>977</v>
      </c>
      <c r="C312" s="170">
        <f t="shared" si="4"/>
        <v>44138</v>
      </c>
      <c r="D312" s="174" t="s">
        <v>977</v>
      </c>
      <c r="E312" s="29"/>
      <c r="F312" s="29"/>
      <c r="G312" s="175" t="s">
        <v>975</v>
      </c>
      <c r="I312" s="176">
        <v>43914</v>
      </c>
      <c r="J312" s="177" t="s">
        <v>978</v>
      </c>
    </row>
    <row r="313" spans="2:10">
      <c r="B313" s="174" t="s">
        <v>979</v>
      </c>
      <c r="C313" s="170">
        <f t="shared" si="4"/>
        <v>44139</v>
      </c>
      <c r="D313" s="174" t="s">
        <v>979</v>
      </c>
      <c r="E313" s="29"/>
      <c r="F313" s="29"/>
      <c r="G313" s="175" t="s">
        <v>980</v>
      </c>
      <c r="I313" s="176">
        <v>43914</v>
      </c>
      <c r="J313" s="177" t="s">
        <v>981</v>
      </c>
    </row>
    <row r="314" spans="2:10">
      <c r="B314" s="174" t="s">
        <v>982</v>
      </c>
      <c r="C314" s="170">
        <f t="shared" si="4"/>
        <v>44140</v>
      </c>
      <c r="D314" s="174" t="s">
        <v>982</v>
      </c>
      <c r="E314" s="29"/>
      <c r="F314" s="29"/>
      <c r="G314" s="175" t="s">
        <v>983</v>
      </c>
      <c r="I314" s="176">
        <v>43914</v>
      </c>
      <c r="J314" s="177" t="s">
        <v>984</v>
      </c>
    </row>
    <row r="315" spans="2:10">
      <c r="B315" s="174" t="s">
        <v>985</v>
      </c>
      <c r="C315" s="170">
        <f t="shared" si="4"/>
        <v>44141</v>
      </c>
      <c r="D315" s="174" t="s">
        <v>985</v>
      </c>
      <c r="E315" s="29"/>
      <c r="F315" s="29"/>
      <c r="G315" s="175" t="s">
        <v>986</v>
      </c>
      <c r="I315" s="176">
        <v>43914</v>
      </c>
      <c r="J315" s="177" t="s">
        <v>987</v>
      </c>
    </row>
    <row r="316" spans="2:10">
      <c r="B316" s="174" t="s">
        <v>988</v>
      </c>
      <c r="C316" s="170">
        <f t="shared" si="4"/>
        <v>44142</v>
      </c>
      <c r="D316" s="174" t="s">
        <v>988</v>
      </c>
      <c r="E316" s="29"/>
      <c r="F316" s="29"/>
      <c r="G316" s="175" t="s">
        <v>989</v>
      </c>
      <c r="I316" s="176">
        <v>43915</v>
      </c>
      <c r="J316" s="177" t="s">
        <v>990</v>
      </c>
    </row>
    <row r="317" spans="2:10">
      <c r="B317" s="174" t="s">
        <v>991</v>
      </c>
      <c r="C317" s="170">
        <f t="shared" si="4"/>
        <v>44143</v>
      </c>
      <c r="D317" s="174" t="s">
        <v>991</v>
      </c>
      <c r="E317" s="29"/>
      <c r="F317" s="29"/>
      <c r="G317" s="175" t="s">
        <v>992</v>
      </c>
      <c r="I317" s="176">
        <v>43915</v>
      </c>
      <c r="J317" s="177" t="s">
        <v>993</v>
      </c>
    </row>
    <row r="318" spans="2:10">
      <c r="B318" s="174" t="s">
        <v>994</v>
      </c>
      <c r="C318" s="170">
        <f t="shared" si="4"/>
        <v>44144</v>
      </c>
      <c r="D318" s="174" t="s">
        <v>994</v>
      </c>
      <c r="E318" s="29"/>
      <c r="F318" s="29"/>
      <c r="G318" s="175" t="s">
        <v>995</v>
      </c>
      <c r="I318" s="176">
        <v>43916</v>
      </c>
      <c r="J318" s="177" t="s">
        <v>996</v>
      </c>
    </row>
    <row r="319" spans="2:10">
      <c r="B319" s="174" t="s">
        <v>997</v>
      </c>
      <c r="C319" s="170">
        <f t="shared" si="4"/>
        <v>44145</v>
      </c>
      <c r="D319" s="174" t="s">
        <v>997</v>
      </c>
      <c r="E319" s="29"/>
      <c r="F319" s="29"/>
      <c r="G319" s="175" t="s">
        <v>998</v>
      </c>
      <c r="I319" s="176">
        <v>43916</v>
      </c>
      <c r="J319" s="177" t="s">
        <v>360</v>
      </c>
    </row>
    <row r="320" spans="2:10">
      <c r="B320" s="174" t="s">
        <v>999</v>
      </c>
      <c r="C320" s="170">
        <f t="shared" si="4"/>
        <v>44146</v>
      </c>
      <c r="D320" s="174" t="s">
        <v>1000</v>
      </c>
      <c r="E320" s="29"/>
      <c r="F320" s="29"/>
      <c r="G320" s="175" t="s">
        <v>1001</v>
      </c>
      <c r="I320" s="176">
        <v>43917</v>
      </c>
      <c r="J320" s="177" t="s">
        <v>1002</v>
      </c>
    </row>
    <row r="321" spans="2:10">
      <c r="B321" s="174" t="s">
        <v>1003</v>
      </c>
      <c r="C321" s="170">
        <f t="shared" si="4"/>
        <v>44147</v>
      </c>
      <c r="D321" s="174" t="s">
        <v>1003</v>
      </c>
      <c r="E321" s="29"/>
      <c r="F321" s="29"/>
      <c r="G321" s="175" t="s">
        <v>1004</v>
      </c>
      <c r="I321" s="176">
        <v>43918</v>
      </c>
      <c r="J321" s="177" t="s">
        <v>366</v>
      </c>
    </row>
    <row r="322" spans="2:10">
      <c r="B322" s="174" t="s">
        <v>1005</v>
      </c>
      <c r="C322" s="170">
        <f t="shared" ref="C322:C371" si="5">DATEVALUE(G322&amp;$E$1)</f>
        <v>44148</v>
      </c>
      <c r="D322" s="174" t="s">
        <v>1005</v>
      </c>
      <c r="E322" s="29"/>
      <c r="F322" s="29"/>
      <c r="G322" s="175" t="s">
        <v>1006</v>
      </c>
      <c r="I322" s="176">
        <v>43919</v>
      </c>
      <c r="J322" s="177" t="s">
        <v>1007</v>
      </c>
    </row>
    <row r="323" spans="2:10">
      <c r="B323" s="174" t="s">
        <v>1008</v>
      </c>
      <c r="C323" s="170">
        <f t="shared" si="5"/>
        <v>44149</v>
      </c>
      <c r="D323" s="174" t="s">
        <v>1008</v>
      </c>
      <c r="E323" s="29"/>
      <c r="F323" s="29"/>
      <c r="G323" s="175" t="s">
        <v>1009</v>
      </c>
      <c r="I323" s="176">
        <v>43919</v>
      </c>
      <c r="J323" s="177" t="s">
        <v>369</v>
      </c>
    </row>
    <row r="324" spans="2:10">
      <c r="B324" s="174" t="s">
        <v>1010</v>
      </c>
      <c r="C324" s="170">
        <f t="shared" si="5"/>
        <v>44150</v>
      </c>
      <c r="D324" s="174" t="s">
        <v>1010</v>
      </c>
      <c r="E324" s="29"/>
      <c r="F324" s="29"/>
      <c r="G324" s="175" t="s">
        <v>1011</v>
      </c>
      <c r="I324" s="176">
        <v>43919</v>
      </c>
      <c r="J324" s="177" t="s">
        <v>1012</v>
      </c>
    </row>
    <row r="325" spans="2:10">
      <c r="B325" s="174" t="s">
        <v>1013</v>
      </c>
      <c r="C325" s="170">
        <f t="shared" si="5"/>
        <v>44151</v>
      </c>
      <c r="D325" s="174" t="s">
        <v>1013</v>
      </c>
      <c r="E325" s="29"/>
      <c r="F325" s="29"/>
      <c r="G325" s="175" t="s">
        <v>1014</v>
      </c>
      <c r="I325" s="176">
        <v>43920</v>
      </c>
      <c r="J325" s="177" t="s">
        <v>1015</v>
      </c>
    </row>
    <row r="326" spans="2:10">
      <c r="B326" s="174" t="s">
        <v>1016</v>
      </c>
      <c r="C326" s="170">
        <f t="shared" si="5"/>
        <v>44152</v>
      </c>
      <c r="D326" s="174" t="s">
        <v>1016</v>
      </c>
      <c r="E326" s="29"/>
      <c r="F326" s="29"/>
      <c r="G326" s="175" t="s">
        <v>1017</v>
      </c>
      <c r="I326" s="176">
        <v>43920</v>
      </c>
      <c r="J326" s="177" t="s">
        <v>371</v>
      </c>
    </row>
    <row r="327" spans="2:10">
      <c r="B327" s="174" t="s">
        <v>1018</v>
      </c>
      <c r="C327" s="170">
        <f t="shared" si="5"/>
        <v>44153</v>
      </c>
      <c r="D327" s="174" t="s">
        <v>1018</v>
      </c>
      <c r="E327" s="29"/>
      <c r="F327" s="29"/>
      <c r="G327" s="175" t="s">
        <v>1019</v>
      </c>
      <c r="I327" s="176">
        <v>43921</v>
      </c>
      <c r="J327" s="177" t="s">
        <v>1020</v>
      </c>
    </row>
    <row r="328" spans="2:10">
      <c r="B328" s="174" t="s">
        <v>1021</v>
      </c>
      <c r="C328" s="170">
        <f t="shared" si="5"/>
        <v>44154</v>
      </c>
      <c r="D328" s="174" t="s">
        <v>1021</v>
      </c>
      <c r="E328" s="29"/>
      <c r="F328" s="29"/>
      <c r="G328" s="175" t="s">
        <v>1022</v>
      </c>
      <c r="I328" s="176">
        <v>43921</v>
      </c>
      <c r="J328" s="177" t="s">
        <v>1023</v>
      </c>
    </row>
    <row r="329" spans="2:10">
      <c r="B329" s="174" t="s">
        <v>1024</v>
      </c>
      <c r="C329" s="170">
        <f t="shared" si="5"/>
        <v>44155</v>
      </c>
      <c r="D329" s="174" t="s">
        <v>1024</v>
      </c>
      <c r="E329" s="29"/>
      <c r="F329" s="29"/>
      <c r="G329" s="175" t="s">
        <v>1025</v>
      </c>
      <c r="I329" s="176">
        <v>43921</v>
      </c>
      <c r="J329" s="177" t="s">
        <v>1026</v>
      </c>
    </row>
    <row r="330" spans="2:10">
      <c r="B330" s="174" t="s">
        <v>1027</v>
      </c>
      <c r="C330" s="170">
        <f t="shared" si="5"/>
        <v>44156</v>
      </c>
      <c r="D330" s="174" t="s">
        <v>1028</v>
      </c>
      <c r="E330" s="29"/>
      <c r="F330" s="29"/>
      <c r="G330" s="175" t="s">
        <v>1029</v>
      </c>
      <c r="I330" s="176">
        <v>43921</v>
      </c>
      <c r="J330" s="177" t="s">
        <v>374</v>
      </c>
    </row>
    <row r="331" spans="2:10">
      <c r="B331" s="174" t="s">
        <v>1030</v>
      </c>
      <c r="C331" s="170">
        <f t="shared" si="5"/>
        <v>44157</v>
      </c>
      <c r="D331" s="174" t="s">
        <v>1030</v>
      </c>
      <c r="E331" s="29"/>
      <c r="F331" s="29"/>
      <c r="G331" s="175" t="s">
        <v>1031</v>
      </c>
      <c r="I331" s="176">
        <v>43921</v>
      </c>
      <c r="J331" s="177" t="s">
        <v>1032</v>
      </c>
    </row>
    <row r="332" spans="2:10">
      <c r="B332" s="174" t="s">
        <v>1033</v>
      </c>
      <c r="C332" s="170">
        <f t="shared" si="5"/>
        <v>44158</v>
      </c>
      <c r="D332" s="174" t="s">
        <v>1033</v>
      </c>
      <c r="E332" s="29"/>
      <c r="F332" s="29"/>
      <c r="G332" s="175" t="s">
        <v>1034</v>
      </c>
      <c r="I332" s="176">
        <v>43921</v>
      </c>
      <c r="J332" s="177" t="s">
        <v>1035</v>
      </c>
    </row>
    <row r="333" spans="2:10">
      <c r="B333" s="174" t="s">
        <v>1036</v>
      </c>
      <c r="C333" s="170">
        <f t="shared" si="5"/>
        <v>44159</v>
      </c>
      <c r="D333" s="174" t="s">
        <v>1036</v>
      </c>
      <c r="E333" s="29"/>
      <c r="F333" s="29"/>
      <c r="G333" s="175" t="s">
        <v>1037</v>
      </c>
      <c r="I333" s="176">
        <v>43922</v>
      </c>
      <c r="J333" s="177" t="s">
        <v>376</v>
      </c>
    </row>
    <row r="334" spans="2:10">
      <c r="B334" s="174" t="s">
        <v>1038</v>
      </c>
      <c r="C334" s="170">
        <f t="shared" si="5"/>
        <v>44160</v>
      </c>
      <c r="D334" s="174" t="s">
        <v>1038</v>
      </c>
      <c r="E334" s="29"/>
      <c r="F334" s="29"/>
      <c r="G334" s="175" t="s">
        <v>1039</v>
      </c>
      <c r="I334" s="176">
        <v>43922</v>
      </c>
      <c r="J334" s="177" t="s">
        <v>1040</v>
      </c>
    </row>
    <row r="335" spans="2:10">
      <c r="B335" s="174" t="s">
        <v>1041</v>
      </c>
      <c r="C335" s="170">
        <f t="shared" si="5"/>
        <v>44161</v>
      </c>
      <c r="D335" s="174" t="s">
        <v>1041</v>
      </c>
      <c r="E335" s="29"/>
      <c r="F335" s="29"/>
      <c r="G335" s="175" t="s">
        <v>1042</v>
      </c>
      <c r="I335" s="176">
        <v>43923</v>
      </c>
      <c r="J335" s="177" t="s">
        <v>1043</v>
      </c>
    </row>
    <row r="336" spans="2:10">
      <c r="B336" s="174" t="s">
        <v>1044</v>
      </c>
      <c r="C336" s="170">
        <f t="shared" si="5"/>
        <v>44162</v>
      </c>
      <c r="D336" s="174" t="s">
        <v>1044</v>
      </c>
      <c r="E336" s="29"/>
      <c r="F336" s="29"/>
      <c r="G336" s="175" t="s">
        <v>1045</v>
      </c>
      <c r="I336" s="176">
        <v>43923</v>
      </c>
      <c r="J336" s="177" t="s">
        <v>1046</v>
      </c>
    </row>
    <row r="337" spans="2:10">
      <c r="B337" s="179" t="s">
        <v>1047</v>
      </c>
      <c r="C337" s="170">
        <f t="shared" si="5"/>
        <v>44163</v>
      </c>
      <c r="D337" s="179" t="s">
        <v>1048</v>
      </c>
      <c r="E337" s="29"/>
      <c r="F337" s="29"/>
      <c r="G337" s="175" t="s">
        <v>1049</v>
      </c>
      <c r="I337" s="176">
        <v>43923</v>
      </c>
      <c r="J337" s="177" t="s">
        <v>379</v>
      </c>
    </row>
    <row r="338" spans="2:10">
      <c r="B338" s="174" t="s">
        <v>1050</v>
      </c>
      <c r="C338" s="170">
        <f t="shared" si="5"/>
        <v>44164</v>
      </c>
      <c r="D338" s="174" t="s">
        <v>1050</v>
      </c>
      <c r="E338" s="29"/>
      <c r="F338" s="29"/>
      <c r="G338" s="175" t="s">
        <v>1051</v>
      </c>
      <c r="I338" s="176">
        <v>43923</v>
      </c>
      <c r="J338" s="177" t="s">
        <v>1052</v>
      </c>
    </row>
    <row r="339" spans="2:10">
      <c r="B339" s="174" t="s">
        <v>1053</v>
      </c>
      <c r="C339" s="170">
        <f t="shared" si="5"/>
        <v>44165</v>
      </c>
      <c r="D339" s="174" t="s">
        <v>1053</v>
      </c>
      <c r="E339" s="29"/>
      <c r="F339" s="29"/>
      <c r="G339" s="175" t="s">
        <v>1054</v>
      </c>
      <c r="I339" s="176">
        <v>43924</v>
      </c>
      <c r="J339" s="177" t="s">
        <v>1055</v>
      </c>
    </row>
    <row r="340" spans="2:10">
      <c r="B340" s="174" t="s">
        <v>1056</v>
      </c>
      <c r="C340" s="170">
        <f t="shared" si="5"/>
        <v>44166</v>
      </c>
      <c r="D340" s="174" t="s">
        <v>1056</v>
      </c>
      <c r="E340" s="29"/>
      <c r="F340" s="29"/>
      <c r="G340" s="175" t="s">
        <v>1057</v>
      </c>
      <c r="I340" s="176">
        <v>43924</v>
      </c>
      <c r="J340" s="177" t="s">
        <v>1058</v>
      </c>
    </row>
    <row r="341" spans="2:10">
      <c r="B341" s="174" t="s">
        <v>1059</v>
      </c>
      <c r="C341" s="170">
        <f t="shared" si="5"/>
        <v>44167</v>
      </c>
      <c r="D341" s="174" t="s">
        <v>1059</v>
      </c>
      <c r="E341" s="29"/>
      <c r="F341" s="29"/>
      <c r="G341" s="175" t="s">
        <v>1060</v>
      </c>
      <c r="I341" s="176">
        <v>43924</v>
      </c>
      <c r="J341" s="177" t="s">
        <v>1061</v>
      </c>
    </row>
    <row r="342" spans="2:10">
      <c r="B342" s="174" t="s">
        <v>1062</v>
      </c>
      <c r="C342" s="170">
        <f t="shared" si="5"/>
        <v>44168</v>
      </c>
      <c r="D342" s="174" t="s">
        <v>1062</v>
      </c>
      <c r="E342" s="29"/>
      <c r="F342" s="29"/>
      <c r="G342" s="175" t="s">
        <v>1063</v>
      </c>
      <c r="I342" s="176">
        <v>43924</v>
      </c>
      <c r="J342" s="177" t="s">
        <v>1064</v>
      </c>
    </row>
    <row r="343" spans="2:10">
      <c r="B343" s="174" t="s">
        <v>1065</v>
      </c>
      <c r="C343" s="170">
        <f t="shared" si="5"/>
        <v>44169</v>
      </c>
      <c r="D343" s="174" t="s">
        <v>1065</v>
      </c>
      <c r="E343" s="29"/>
      <c r="F343" s="29"/>
      <c r="G343" s="175" t="s">
        <v>1066</v>
      </c>
      <c r="I343" s="176">
        <v>43924</v>
      </c>
      <c r="J343" s="177" t="s">
        <v>1067</v>
      </c>
    </row>
    <row r="344" spans="2:10">
      <c r="B344" s="174" t="s">
        <v>1068</v>
      </c>
      <c r="C344" s="170">
        <f t="shared" si="5"/>
        <v>44170</v>
      </c>
      <c r="D344" s="174" t="s">
        <v>1068</v>
      </c>
      <c r="E344" s="29"/>
      <c r="F344" s="29"/>
      <c r="G344" s="175" t="s">
        <v>1069</v>
      </c>
      <c r="I344" s="176">
        <v>43924</v>
      </c>
      <c r="J344" s="177" t="s">
        <v>382</v>
      </c>
    </row>
    <row r="345" spans="2:10">
      <c r="B345" s="174" t="s">
        <v>1070</v>
      </c>
      <c r="C345" s="170">
        <f t="shared" si="5"/>
        <v>44171</v>
      </c>
      <c r="D345" s="174" t="s">
        <v>1070</v>
      </c>
      <c r="E345" s="29"/>
      <c r="F345" s="29"/>
      <c r="G345" s="175" t="s">
        <v>1071</v>
      </c>
      <c r="I345" s="176">
        <v>43925</v>
      </c>
      <c r="J345" s="177" t="s">
        <v>1072</v>
      </c>
    </row>
    <row r="346" spans="2:10">
      <c r="B346" s="174" t="s">
        <v>1073</v>
      </c>
      <c r="C346" s="170">
        <f t="shared" si="5"/>
        <v>44172</v>
      </c>
      <c r="D346" s="174" t="s">
        <v>1073</v>
      </c>
      <c r="E346" s="29"/>
      <c r="F346" s="29"/>
      <c r="G346" s="175" t="s">
        <v>1074</v>
      </c>
      <c r="I346" s="176">
        <v>43925</v>
      </c>
      <c r="J346" s="177" t="s">
        <v>1075</v>
      </c>
    </row>
    <row r="347" spans="2:10">
      <c r="B347" s="174" t="s">
        <v>1076</v>
      </c>
      <c r="C347" s="170">
        <f t="shared" si="5"/>
        <v>44173</v>
      </c>
      <c r="D347" s="174" t="s">
        <v>1076</v>
      </c>
      <c r="E347" s="29"/>
      <c r="F347" s="29"/>
      <c r="G347" s="175" t="s">
        <v>1077</v>
      </c>
      <c r="I347" s="176">
        <v>43925</v>
      </c>
      <c r="J347" s="177" t="s">
        <v>1078</v>
      </c>
    </row>
    <row r="348" spans="2:10">
      <c r="B348" s="179" t="s">
        <v>1079</v>
      </c>
      <c r="C348" s="170">
        <f t="shared" si="5"/>
        <v>44174</v>
      </c>
      <c r="D348" s="179" t="s">
        <v>1080</v>
      </c>
      <c r="E348" s="29"/>
      <c r="F348" s="29"/>
      <c r="G348" s="175" t="s">
        <v>1081</v>
      </c>
      <c r="I348" s="176">
        <v>43925</v>
      </c>
      <c r="J348" s="177" t="s">
        <v>384</v>
      </c>
    </row>
    <row r="349" spans="2:10">
      <c r="B349" s="174" t="s">
        <v>1082</v>
      </c>
      <c r="C349" s="170">
        <f t="shared" si="5"/>
        <v>44175</v>
      </c>
      <c r="D349" s="174" t="s">
        <v>1082</v>
      </c>
      <c r="E349" s="29"/>
      <c r="F349" s="29"/>
      <c r="G349" s="175" t="s">
        <v>1083</v>
      </c>
      <c r="I349" s="176">
        <v>43925</v>
      </c>
      <c r="J349" s="177" t="s">
        <v>1084</v>
      </c>
    </row>
    <row r="350" spans="2:10">
      <c r="B350" s="174" t="s">
        <v>1085</v>
      </c>
      <c r="C350" s="170">
        <f t="shared" si="5"/>
        <v>44176</v>
      </c>
      <c r="D350" s="174" t="s">
        <v>1085</v>
      </c>
      <c r="E350" s="29"/>
      <c r="F350" s="29"/>
      <c r="G350" s="175" t="s">
        <v>1086</v>
      </c>
      <c r="I350" s="176">
        <v>43925</v>
      </c>
      <c r="J350" s="177" t="s">
        <v>1087</v>
      </c>
    </row>
    <row r="351" spans="2:10">
      <c r="B351" s="174" t="s">
        <v>1088</v>
      </c>
      <c r="C351" s="170">
        <f t="shared" si="5"/>
        <v>44177</v>
      </c>
      <c r="D351" s="174" t="s">
        <v>1088</v>
      </c>
      <c r="E351" s="29"/>
      <c r="F351" s="29"/>
      <c r="G351" s="175" t="s">
        <v>1089</v>
      </c>
      <c r="I351" s="176">
        <v>43926</v>
      </c>
      <c r="J351" s="177" t="s">
        <v>386</v>
      </c>
    </row>
    <row r="352" spans="2:10">
      <c r="B352" s="174" t="s">
        <v>1090</v>
      </c>
      <c r="C352" s="170">
        <f t="shared" si="5"/>
        <v>44178</v>
      </c>
      <c r="D352" s="174" t="s">
        <v>1090</v>
      </c>
      <c r="E352" s="29"/>
      <c r="F352" s="29"/>
      <c r="G352" s="175" t="s">
        <v>1091</v>
      </c>
      <c r="I352" s="176">
        <v>43927</v>
      </c>
      <c r="J352" s="177" t="s">
        <v>389</v>
      </c>
    </row>
    <row r="353" spans="2:10">
      <c r="B353" s="174" t="s">
        <v>1092</v>
      </c>
      <c r="C353" s="170">
        <f t="shared" si="5"/>
        <v>44179</v>
      </c>
      <c r="D353" s="174" t="s">
        <v>1092</v>
      </c>
      <c r="E353" s="29"/>
      <c r="F353" s="29"/>
      <c r="G353" s="175" t="s">
        <v>1093</v>
      </c>
      <c r="I353" s="176">
        <v>43928</v>
      </c>
      <c r="J353" s="177" t="s">
        <v>1094</v>
      </c>
    </row>
    <row r="354" spans="2:10">
      <c r="B354" s="174" t="s">
        <v>1095</v>
      </c>
      <c r="C354" s="170">
        <f t="shared" si="5"/>
        <v>44180</v>
      </c>
      <c r="D354" s="174" t="s">
        <v>1095</v>
      </c>
      <c r="E354" s="29"/>
      <c r="F354" s="29"/>
      <c r="G354" s="175" t="s">
        <v>1096</v>
      </c>
      <c r="I354" s="176">
        <v>43929</v>
      </c>
      <c r="J354" s="177" t="s">
        <v>1097</v>
      </c>
    </row>
    <row r="355" spans="2:10">
      <c r="B355" s="174" t="s">
        <v>1098</v>
      </c>
      <c r="C355" s="170">
        <f t="shared" si="5"/>
        <v>44181</v>
      </c>
      <c r="D355" s="174" t="s">
        <v>1098</v>
      </c>
      <c r="E355" s="29"/>
      <c r="F355" s="29"/>
      <c r="G355" s="175" t="s">
        <v>1099</v>
      </c>
      <c r="I355" s="176">
        <v>43929</v>
      </c>
      <c r="J355" s="177" t="s">
        <v>395</v>
      </c>
    </row>
    <row r="356" spans="2:10">
      <c r="B356" s="174" t="s">
        <v>1100</v>
      </c>
      <c r="C356" s="170">
        <f t="shared" si="5"/>
        <v>44182</v>
      </c>
      <c r="D356" s="174" t="s">
        <v>1100</v>
      </c>
      <c r="E356" s="29"/>
      <c r="F356" s="29"/>
      <c r="G356" s="175" t="s">
        <v>1101</v>
      </c>
      <c r="I356" s="176">
        <v>43930</v>
      </c>
      <c r="J356" s="177" t="s">
        <v>398</v>
      </c>
    </row>
    <row r="357" spans="2:10">
      <c r="B357" s="174" t="s">
        <v>1102</v>
      </c>
      <c r="C357" s="170">
        <f t="shared" si="5"/>
        <v>44183</v>
      </c>
      <c r="D357" s="174" t="s">
        <v>1102</v>
      </c>
      <c r="E357" s="29"/>
      <c r="F357" s="29"/>
      <c r="G357" s="175" t="s">
        <v>1103</v>
      </c>
      <c r="I357" s="176">
        <v>43930</v>
      </c>
      <c r="J357" s="177" t="s">
        <v>1104</v>
      </c>
    </row>
    <row r="358" spans="2:10">
      <c r="B358" s="174" t="s">
        <v>1105</v>
      </c>
      <c r="C358" s="170">
        <f t="shared" si="5"/>
        <v>44184</v>
      </c>
      <c r="D358" s="174" t="s">
        <v>1105</v>
      </c>
      <c r="E358" s="29"/>
      <c r="F358" s="29"/>
      <c r="G358" s="175" t="s">
        <v>1106</v>
      </c>
      <c r="I358" s="176">
        <v>43930</v>
      </c>
      <c r="J358" s="177" t="s">
        <v>1107</v>
      </c>
    </row>
    <row r="359" spans="2:10">
      <c r="B359" s="174" t="s">
        <v>1108</v>
      </c>
      <c r="C359" s="170">
        <f t="shared" si="5"/>
        <v>44185</v>
      </c>
      <c r="D359" s="174" t="s">
        <v>1108</v>
      </c>
      <c r="E359" s="29"/>
      <c r="F359" s="29"/>
      <c r="G359" s="175" t="s">
        <v>1109</v>
      </c>
      <c r="I359" s="176">
        <v>43931</v>
      </c>
      <c r="J359" s="177" t="s">
        <v>401</v>
      </c>
    </row>
    <row r="360" spans="2:10">
      <c r="B360" s="174" t="s">
        <v>1110</v>
      </c>
      <c r="C360" s="170">
        <f t="shared" si="5"/>
        <v>44186</v>
      </c>
      <c r="D360" s="179" t="s">
        <v>106</v>
      </c>
      <c r="E360" s="29"/>
      <c r="F360" s="29"/>
      <c r="G360" s="175" t="s">
        <v>1111</v>
      </c>
      <c r="I360" s="176">
        <v>43931</v>
      </c>
      <c r="J360" s="177" t="s">
        <v>1112</v>
      </c>
    </row>
    <row r="361" spans="2:10">
      <c r="B361" s="174" t="s">
        <v>1113</v>
      </c>
      <c r="C361" s="170">
        <f t="shared" si="5"/>
        <v>44187</v>
      </c>
      <c r="D361" s="174" t="s">
        <v>1113</v>
      </c>
      <c r="E361" s="29"/>
      <c r="F361" s="29"/>
      <c r="G361" s="175" t="s">
        <v>1114</v>
      </c>
      <c r="I361" s="176">
        <v>43932</v>
      </c>
      <c r="J361" s="177" t="s">
        <v>1115</v>
      </c>
    </row>
    <row r="362" spans="2:10">
      <c r="B362" s="174" t="s">
        <v>1116</v>
      </c>
      <c r="C362" s="170">
        <f t="shared" si="5"/>
        <v>44188</v>
      </c>
      <c r="D362" s="174" t="s">
        <v>1116</v>
      </c>
      <c r="E362" s="29"/>
      <c r="F362" s="29"/>
      <c r="G362" s="175" t="s">
        <v>1117</v>
      </c>
      <c r="I362" s="176">
        <v>43932</v>
      </c>
      <c r="J362" s="177" t="s">
        <v>404</v>
      </c>
    </row>
    <row r="363" spans="2:10">
      <c r="B363" s="174" t="s">
        <v>1118</v>
      </c>
      <c r="C363" s="170">
        <f t="shared" si="5"/>
        <v>44189</v>
      </c>
      <c r="D363" s="174" t="s">
        <v>1118</v>
      </c>
      <c r="E363" s="29"/>
      <c r="F363" s="29"/>
      <c r="G363" s="175" t="s">
        <v>1119</v>
      </c>
      <c r="I363" s="176">
        <v>43933</v>
      </c>
      <c r="J363" s="177" t="s">
        <v>407</v>
      </c>
    </row>
    <row r="364" spans="2:10">
      <c r="B364" s="174" t="s">
        <v>73</v>
      </c>
      <c r="C364" s="170">
        <f t="shared" si="5"/>
        <v>44190</v>
      </c>
      <c r="D364" s="174" t="s">
        <v>73</v>
      </c>
      <c r="E364" s="29"/>
      <c r="F364" s="29"/>
      <c r="G364" s="175" t="s">
        <v>1120</v>
      </c>
      <c r="I364" s="176">
        <v>43933</v>
      </c>
      <c r="J364" s="177" t="s">
        <v>1121</v>
      </c>
    </row>
    <row r="365" spans="2:10">
      <c r="B365" s="174" t="s">
        <v>1122</v>
      </c>
      <c r="C365" s="170">
        <f t="shared" si="5"/>
        <v>44191</v>
      </c>
      <c r="D365" s="174" t="s">
        <v>1122</v>
      </c>
      <c r="E365" s="29"/>
      <c r="F365" s="29"/>
      <c r="G365" s="175" t="s">
        <v>1123</v>
      </c>
      <c r="I365" s="176">
        <v>43933</v>
      </c>
      <c r="J365" s="177" t="s">
        <v>1124</v>
      </c>
    </row>
    <row r="366" spans="2:10">
      <c r="B366" s="174" t="s">
        <v>1125</v>
      </c>
      <c r="C366" s="170">
        <f t="shared" si="5"/>
        <v>44192</v>
      </c>
      <c r="D366" s="174" t="s">
        <v>1125</v>
      </c>
      <c r="E366" s="29"/>
      <c r="F366" s="29"/>
      <c r="G366" s="175" t="s">
        <v>1126</v>
      </c>
      <c r="I366" s="176">
        <v>43934</v>
      </c>
      <c r="J366" s="177" t="s">
        <v>410</v>
      </c>
    </row>
    <row r="367" spans="2:10">
      <c r="B367" s="174" t="s">
        <v>1127</v>
      </c>
      <c r="C367" s="170">
        <f t="shared" si="5"/>
        <v>44193</v>
      </c>
      <c r="D367" s="174" t="s">
        <v>1127</v>
      </c>
      <c r="E367" s="29"/>
      <c r="F367" s="29"/>
      <c r="G367" s="175" t="s">
        <v>1128</v>
      </c>
      <c r="I367" s="176">
        <v>43935</v>
      </c>
      <c r="J367" s="177" t="s">
        <v>1129</v>
      </c>
    </row>
    <row r="368" spans="2:10">
      <c r="B368" s="174" t="s">
        <v>1130</v>
      </c>
      <c r="C368" s="170">
        <f t="shared" si="5"/>
        <v>44194</v>
      </c>
      <c r="D368" s="174" t="s">
        <v>1130</v>
      </c>
      <c r="E368" s="29"/>
      <c r="F368" s="29"/>
      <c r="G368" s="175" t="s">
        <v>1131</v>
      </c>
      <c r="I368" s="176">
        <v>43935</v>
      </c>
      <c r="J368" s="177" t="s">
        <v>413</v>
      </c>
    </row>
    <row r="369" spans="2:10">
      <c r="B369" s="174" t="s">
        <v>1132</v>
      </c>
      <c r="C369" s="170">
        <f t="shared" si="5"/>
        <v>44194</v>
      </c>
      <c r="D369" s="174" t="s">
        <v>1132</v>
      </c>
      <c r="E369" s="29"/>
      <c r="F369" s="29"/>
      <c r="G369" s="175" t="s">
        <v>1131</v>
      </c>
      <c r="I369" s="176">
        <v>43936</v>
      </c>
      <c r="J369" s="177" t="s">
        <v>416</v>
      </c>
    </row>
    <row r="370" spans="2:10">
      <c r="B370" s="174" t="s">
        <v>1133</v>
      </c>
      <c r="C370" s="170">
        <f t="shared" si="5"/>
        <v>44195</v>
      </c>
      <c r="D370" s="174" t="s">
        <v>1133</v>
      </c>
      <c r="E370" s="29"/>
      <c r="F370" s="29"/>
      <c r="G370" s="175" t="s">
        <v>1134</v>
      </c>
      <c r="I370" s="176">
        <v>43937</v>
      </c>
      <c r="J370" s="177" t="s">
        <v>1135</v>
      </c>
    </row>
    <row r="371" spans="2:10">
      <c r="B371" s="174" t="s">
        <v>1136</v>
      </c>
      <c r="C371" s="170">
        <f t="shared" si="5"/>
        <v>44196</v>
      </c>
      <c r="D371" s="174" t="s">
        <v>1136</v>
      </c>
      <c r="E371" s="29"/>
      <c r="F371" s="29"/>
      <c r="G371" s="180" t="s">
        <v>1137</v>
      </c>
      <c r="I371" s="176">
        <v>43938</v>
      </c>
      <c r="J371" s="177" t="s">
        <v>421</v>
      </c>
    </row>
    <row r="372" spans="2:10">
      <c r="B372" s="169"/>
      <c r="C372" s="170"/>
      <c r="D372" s="29"/>
      <c r="E372" s="29"/>
      <c r="F372" s="29"/>
      <c r="I372" s="176">
        <v>43939</v>
      </c>
      <c r="J372" s="177" t="s">
        <v>1138</v>
      </c>
    </row>
    <row r="373" spans="2:10">
      <c r="B373" s="169"/>
      <c r="C373" s="170"/>
      <c r="D373" s="29"/>
      <c r="E373" s="29"/>
      <c r="F373" s="29"/>
      <c r="I373" s="176">
        <v>43939</v>
      </c>
      <c r="J373" s="177" t="s">
        <v>424</v>
      </c>
    </row>
    <row r="374" spans="2:10">
      <c r="B374" s="169"/>
      <c r="C374" s="170"/>
      <c r="D374" s="29"/>
      <c r="E374" s="29"/>
      <c r="F374" s="29"/>
      <c r="I374" s="176">
        <v>43940</v>
      </c>
      <c r="J374" s="177" t="s">
        <v>427</v>
      </c>
    </row>
    <row r="375" spans="2:10">
      <c r="B375" s="169"/>
      <c r="C375" s="170"/>
      <c r="D375" s="29"/>
      <c r="E375" s="29"/>
      <c r="F375" s="29"/>
      <c r="I375" s="176">
        <v>43940</v>
      </c>
      <c r="J375" s="177" t="s">
        <v>1139</v>
      </c>
    </row>
    <row r="376" spans="2:10">
      <c r="B376" s="169"/>
      <c r="C376" s="170"/>
      <c r="D376" s="29"/>
      <c r="E376" s="29"/>
      <c r="F376" s="29"/>
      <c r="I376" s="176">
        <v>43941</v>
      </c>
      <c r="J376" s="177" t="s">
        <v>1140</v>
      </c>
    </row>
    <row r="377" spans="2:10">
      <c r="B377" s="169"/>
      <c r="C377" s="170"/>
      <c r="D377" s="29"/>
      <c r="E377" s="29"/>
      <c r="F377" s="29"/>
      <c r="I377" s="176">
        <v>43941</v>
      </c>
      <c r="J377" s="177" t="s">
        <v>1141</v>
      </c>
    </row>
    <row r="378" spans="2:10">
      <c r="B378" s="169"/>
      <c r="C378" s="170"/>
      <c r="D378" s="29"/>
      <c r="E378" s="29"/>
      <c r="F378" s="29"/>
      <c r="I378" s="176">
        <v>43941</v>
      </c>
      <c r="J378" s="177" t="s">
        <v>429</v>
      </c>
    </row>
    <row r="379" spans="2:10">
      <c r="B379" s="169"/>
      <c r="C379" s="170"/>
      <c r="D379" s="29"/>
      <c r="E379" s="29"/>
      <c r="F379" s="29"/>
      <c r="I379" s="176">
        <v>43942</v>
      </c>
      <c r="J379" s="177" t="s">
        <v>432</v>
      </c>
    </row>
    <row r="380" spans="2:10">
      <c r="B380" s="169"/>
      <c r="C380" s="170"/>
      <c r="D380" s="29"/>
      <c r="E380" s="29"/>
      <c r="F380" s="29"/>
      <c r="I380" s="176">
        <v>43942</v>
      </c>
      <c r="J380" s="177" t="s">
        <v>1142</v>
      </c>
    </row>
    <row r="381" spans="2:10">
      <c r="B381" s="169"/>
      <c r="C381" s="170"/>
      <c r="D381" s="29"/>
      <c r="E381" s="29"/>
      <c r="F381" s="29"/>
      <c r="I381" s="176">
        <v>43943</v>
      </c>
      <c r="J381" s="177" t="s">
        <v>1143</v>
      </c>
    </row>
    <row r="382" spans="2:10">
      <c r="B382" s="169"/>
      <c r="C382" s="170"/>
      <c r="D382" s="29"/>
      <c r="E382" s="29"/>
      <c r="F382" s="29"/>
      <c r="I382" s="176">
        <v>43943</v>
      </c>
      <c r="J382" s="177" t="s">
        <v>435</v>
      </c>
    </row>
    <row r="383" spans="2:10">
      <c r="B383" s="169"/>
      <c r="C383" s="170"/>
      <c r="D383" s="29"/>
      <c r="E383" s="29"/>
      <c r="F383" s="29"/>
      <c r="I383" s="176">
        <v>43944</v>
      </c>
      <c r="J383" s="177" t="s">
        <v>1144</v>
      </c>
    </row>
    <row r="384" spans="2:10">
      <c r="B384" s="169"/>
      <c r="C384" s="170"/>
      <c r="D384" s="29"/>
      <c r="E384" s="29"/>
      <c r="F384" s="29"/>
      <c r="I384" s="176">
        <v>43944</v>
      </c>
      <c r="J384" s="177" t="s">
        <v>438</v>
      </c>
    </row>
    <row r="385" spans="2:10">
      <c r="B385" s="169"/>
      <c r="C385" s="170"/>
      <c r="D385" s="29"/>
      <c r="E385" s="29"/>
      <c r="F385" s="29"/>
      <c r="I385" s="176">
        <v>43944</v>
      </c>
      <c r="J385" s="177" t="s">
        <v>1145</v>
      </c>
    </row>
    <row r="386" spans="2:10">
      <c r="B386" s="169"/>
      <c r="C386" s="170"/>
      <c r="D386" s="29"/>
      <c r="E386" s="29"/>
      <c r="F386" s="29"/>
      <c r="I386" s="176">
        <v>43944</v>
      </c>
      <c r="J386" s="177" t="s">
        <v>1146</v>
      </c>
    </row>
    <row r="387" spans="2:10">
      <c r="B387" s="169"/>
      <c r="C387" s="170"/>
      <c r="D387" s="29"/>
      <c r="E387" s="29"/>
      <c r="F387" s="29"/>
      <c r="I387" s="176">
        <v>43944</v>
      </c>
      <c r="J387" s="177" t="s">
        <v>1147</v>
      </c>
    </row>
    <row r="388" spans="2:10">
      <c r="B388" s="169"/>
      <c r="C388" s="170"/>
      <c r="D388" s="29"/>
      <c r="E388" s="29"/>
      <c r="F388" s="29"/>
      <c r="I388" s="176">
        <v>43944</v>
      </c>
      <c r="J388" s="177" t="s">
        <v>1148</v>
      </c>
    </row>
    <row r="389" spans="2:10">
      <c r="B389" s="169"/>
      <c r="C389" s="170"/>
      <c r="D389" s="29"/>
      <c r="E389" s="29"/>
      <c r="F389" s="29"/>
      <c r="I389" s="176">
        <v>43944</v>
      </c>
      <c r="J389" s="177" t="s">
        <v>1149</v>
      </c>
    </row>
    <row r="390" spans="2:10">
      <c r="B390" s="169"/>
      <c r="C390" s="170"/>
      <c r="D390" s="29"/>
      <c r="E390" s="29"/>
      <c r="F390" s="29"/>
      <c r="I390" s="176">
        <v>43944</v>
      </c>
      <c r="J390" s="177" t="s">
        <v>1150</v>
      </c>
    </row>
    <row r="391" spans="2:10">
      <c r="B391" s="169"/>
      <c r="C391" s="170"/>
      <c r="D391" s="29"/>
      <c r="E391" s="29"/>
      <c r="F391" s="29"/>
      <c r="I391" s="176">
        <v>43944</v>
      </c>
      <c r="J391" s="177" t="s">
        <v>1151</v>
      </c>
    </row>
    <row r="392" spans="2:10">
      <c r="B392" s="169"/>
      <c r="C392" s="170"/>
      <c r="D392" s="29"/>
      <c r="E392" s="29"/>
      <c r="F392" s="29"/>
      <c r="I392" s="176">
        <v>43945</v>
      </c>
      <c r="J392" s="177" t="s">
        <v>1152</v>
      </c>
    </row>
    <row r="393" spans="2:10">
      <c r="B393" s="169"/>
      <c r="C393" s="170"/>
      <c r="D393" s="29"/>
      <c r="E393" s="29"/>
      <c r="F393" s="29"/>
      <c r="I393" s="176">
        <v>43945</v>
      </c>
      <c r="J393" s="177" t="s">
        <v>441</v>
      </c>
    </row>
    <row r="394" spans="2:10">
      <c r="B394" s="169"/>
      <c r="C394" s="170"/>
      <c r="D394" s="29"/>
      <c r="E394" s="29"/>
      <c r="F394" s="29"/>
      <c r="I394" s="176">
        <v>43945</v>
      </c>
      <c r="J394" s="177" t="s">
        <v>1153</v>
      </c>
    </row>
    <row r="395" spans="2:10">
      <c r="B395" s="169"/>
      <c r="C395" s="170"/>
      <c r="D395" s="29"/>
      <c r="E395" s="29"/>
      <c r="F395" s="29"/>
      <c r="I395" s="176">
        <v>43946</v>
      </c>
      <c r="J395" s="177" t="s">
        <v>444</v>
      </c>
    </row>
    <row r="396" spans="2:10">
      <c r="B396" s="169"/>
      <c r="C396" s="170"/>
      <c r="D396" s="29"/>
      <c r="E396" s="29"/>
      <c r="F396" s="29"/>
      <c r="I396" s="176">
        <v>43946</v>
      </c>
      <c r="J396" s="177" t="s">
        <v>1154</v>
      </c>
    </row>
    <row r="397" spans="2:10">
      <c r="B397" s="169"/>
      <c r="C397" s="170"/>
      <c r="D397" s="29"/>
      <c r="E397" s="29"/>
      <c r="F397" s="29"/>
      <c r="I397" s="176">
        <v>43946</v>
      </c>
      <c r="J397" s="177" t="s">
        <v>1155</v>
      </c>
    </row>
    <row r="398" spans="2:10">
      <c r="B398" s="169"/>
      <c r="C398" s="170"/>
      <c r="D398" s="29"/>
      <c r="E398" s="29"/>
      <c r="F398" s="29"/>
      <c r="I398" s="176">
        <v>43947</v>
      </c>
      <c r="J398" s="177" t="s">
        <v>1156</v>
      </c>
    </row>
    <row r="399" spans="2:10">
      <c r="B399" s="169"/>
      <c r="C399" s="170"/>
      <c r="D399" s="29"/>
      <c r="E399" s="29"/>
      <c r="F399" s="29"/>
      <c r="I399" s="176">
        <v>43947</v>
      </c>
      <c r="J399" s="177" t="s">
        <v>446</v>
      </c>
    </row>
    <row r="400" spans="2:10">
      <c r="B400" s="169"/>
      <c r="C400" s="170"/>
      <c r="D400" s="29"/>
      <c r="E400" s="29"/>
      <c r="F400" s="29"/>
      <c r="I400" s="176">
        <v>43947</v>
      </c>
      <c r="J400" s="177" t="s">
        <v>1157</v>
      </c>
    </row>
    <row r="401" spans="2:10">
      <c r="B401" s="169"/>
      <c r="C401" s="170"/>
      <c r="D401" s="29"/>
      <c r="E401" s="29"/>
      <c r="F401" s="29"/>
      <c r="I401" s="176">
        <v>43948</v>
      </c>
      <c r="J401" s="177" t="s">
        <v>449</v>
      </c>
    </row>
    <row r="402" spans="2:10">
      <c r="B402" s="169"/>
      <c r="C402" s="170"/>
      <c r="D402" s="29"/>
      <c r="E402" s="29"/>
      <c r="F402" s="29"/>
      <c r="I402" s="176">
        <v>43949</v>
      </c>
      <c r="J402" s="177" t="s">
        <v>1158</v>
      </c>
    </row>
    <row r="403" spans="2:10">
      <c r="B403" s="169"/>
      <c r="C403" s="170"/>
      <c r="D403" s="29"/>
      <c r="E403" s="29"/>
      <c r="F403" s="29"/>
      <c r="I403" s="176">
        <v>43949</v>
      </c>
      <c r="J403" s="177" t="s">
        <v>452</v>
      </c>
    </row>
    <row r="404" spans="2:10">
      <c r="B404" s="169"/>
      <c r="C404" s="170"/>
      <c r="D404" s="29"/>
      <c r="E404" s="29"/>
      <c r="F404" s="29"/>
      <c r="I404" s="176">
        <v>43950</v>
      </c>
      <c r="J404" s="177" t="s">
        <v>1159</v>
      </c>
    </row>
    <row r="405" spans="2:10">
      <c r="B405" s="169"/>
      <c r="C405" s="170"/>
      <c r="D405" s="29"/>
      <c r="E405" s="29"/>
      <c r="F405" s="29"/>
      <c r="I405" s="176">
        <v>43950</v>
      </c>
      <c r="J405" s="177" t="s">
        <v>1160</v>
      </c>
    </row>
    <row r="406" spans="2:10">
      <c r="B406" s="169"/>
      <c r="C406" s="170"/>
      <c r="D406" s="29"/>
      <c r="E406" s="29"/>
      <c r="F406" s="29"/>
      <c r="I406" s="176">
        <v>43950</v>
      </c>
      <c r="J406" s="177" t="s">
        <v>1161</v>
      </c>
    </row>
    <row r="407" spans="2:10">
      <c r="B407" s="169"/>
      <c r="C407" s="170"/>
      <c r="D407" s="29"/>
      <c r="E407" s="29"/>
      <c r="F407" s="29"/>
      <c r="I407" s="176">
        <v>43950</v>
      </c>
      <c r="J407" s="177" t="s">
        <v>1162</v>
      </c>
    </row>
    <row r="408" spans="2:10">
      <c r="B408" s="169"/>
      <c r="C408" s="170"/>
      <c r="D408" s="29"/>
      <c r="E408" s="29"/>
      <c r="F408" s="29"/>
      <c r="I408" s="176">
        <v>43950</v>
      </c>
      <c r="J408" s="177" t="s">
        <v>456</v>
      </c>
    </row>
    <row r="409" spans="2:10">
      <c r="B409" s="169"/>
      <c r="C409" s="170"/>
      <c r="D409" s="29"/>
      <c r="E409" s="29"/>
      <c r="F409" s="29"/>
      <c r="I409" s="176">
        <v>43950</v>
      </c>
      <c r="J409" s="177" t="s">
        <v>1163</v>
      </c>
    </row>
    <row r="410" spans="2:10">
      <c r="B410" s="169"/>
      <c r="C410" s="170"/>
      <c r="D410" s="29"/>
      <c r="E410" s="29"/>
      <c r="F410" s="29"/>
      <c r="I410" s="176">
        <v>43950</v>
      </c>
      <c r="J410" s="177" t="s">
        <v>1164</v>
      </c>
    </row>
    <row r="411" spans="2:10">
      <c r="B411" s="169"/>
      <c r="C411" s="170"/>
      <c r="D411" s="29"/>
      <c r="E411" s="29"/>
      <c r="F411" s="29"/>
      <c r="I411" s="176">
        <v>43950</v>
      </c>
      <c r="J411" s="177" t="s">
        <v>1165</v>
      </c>
    </row>
    <row r="412" spans="2:10">
      <c r="B412" s="169"/>
      <c r="C412" s="170"/>
      <c r="D412" s="29"/>
      <c r="E412" s="29"/>
      <c r="F412" s="29"/>
      <c r="I412" s="176">
        <v>43950</v>
      </c>
      <c r="J412" s="177" t="s">
        <v>1166</v>
      </c>
    </row>
    <row r="413" spans="2:10">
      <c r="B413" s="169"/>
      <c r="C413" s="170"/>
      <c r="D413" s="29"/>
      <c r="E413" s="29"/>
      <c r="F413" s="29"/>
      <c r="I413" s="176">
        <v>43950</v>
      </c>
      <c r="J413" s="177" t="s">
        <v>1167</v>
      </c>
    </row>
    <row r="414" spans="2:10">
      <c r="B414" s="169"/>
      <c r="C414" s="170"/>
      <c r="D414" s="29"/>
      <c r="E414" s="29"/>
      <c r="F414" s="29"/>
      <c r="I414" s="176">
        <v>43950</v>
      </c>
      <c r="J414" s="177" t="s">
        <v>1168</v>
      </c>
    </row>
    <row r="415" spans="2:10">
      <c r="B415" s="169"/>
      <c r="C415" s="170"/>
      <c r="D415" s="29"/>
      <c r="E415" s="29"/>
      <c r="F415" s="29"/>
      <c r="I415" s="176">
        <v>43950</v>
      </c>
      <c r="J415" s="177" t="s">
        <v>1169</v>
      </c>
    </row>
    <row r="416" spans="2:10">
      <c r="B416" s="169"/>
      <c r="C416" s="170"/>
      <c r="D416" s="29"/>
      <c r="E416" s="29"/>
      <c r="F416" s="29"/>
      <c r="I416" s="176">
        <v>43951</v>
      </c>
      <c r="J416" s="177" t="s">
        <v>1170</v>
      </c>
    </row>
    <row r="417" spans="2:10">
      <c r="B417" s="169"/>
      <c r="C417" s="170"/>
      <c r="D417" s="29"/>
      <c r="E417" s="29"/>
      <c r="F417" s="29"/>
      <c r="I417" s="176">
        <v>43951</v>
      </c>
      <c r="J417" s="177" t="s">
        <v>1171</v>
      </c>
    </row>
    <row r="418" spans="2:10">
      <c r="B418" s="169"/>
      <c r="C418" s="170"/>
      <c r="D418" s="29"/>
      <c r="E418" s="29"/>
      <c r="F418" s="29"/>
      <c r="I418" s="176">
        <v>43951</v>
      </c>
      <c r="J418" s="177" t="s">
        <v>459</v>
      </c>
    </row>
    <row r="419" spans="2:10">
      <c r="B419" s="169"/>
      <c r="C419" s="170"/>
      <c r="D419" s="29"/>
      <c r="E419" s="29"/>
      <c r="F419" s="29"/>
      <c r="I419" s="176">
        <v>43951</v>
      </c>
      <c r="J419" s="177" t="s">
        <v>1172</v>
      </c>
    </row>
    <row r="420" spans="2:10">
      <c r="B420" s="169"/>
      <c r="C420" s="170"/>
      <c r="D420" s="29"/>
      <c r="E420" s="29"/>
      <c r="F420" s="29"/>
      <c r="I420" s="176">
        <v>43951</v>
      </c>
      <c r="J420" s="177" t="s">
        <v>1173</v>
      </c>
    </row>
    <row r="421" spans="2:10">
      <c r="B421" s="169"/>
      <c r="C421" s="170"/>
      <c r="D421" s="29"/>
      <c r="E421" s="29"/>
      <c r="F421" s="29"/>
      <c r="I421" s="176">
        <v>43951</v>
      </c>
      <c r="J421" s="177" t="s">
        <v>1174</v>
      </c>
    </row>
    <row r="422" spans="2:10">
      <c r="B422" s="169"/>
      <c r="C422" s="170"/>
      <c r="D422" s="29"/>
      <c r="E422" s="29"/>
      <c r="F422" s="29"/>
      <c r="I422" s="176">
        <v>43952</v>
      </c>
      <c r="J422" s="177" t="s">
        <v>1175</v>
      </c>
    </row>
    <row r="423" spans="2:10">
      <c r="B423" s="169"/>
      <c r="C423" s="170"/>
      <c r="D423" s="29"/>
      <c r="E423" s="29"/>
      <c r="F423" s="29"/>
      <c r="I423" s="176">
        <v>43952</v>
      </c>
      <c r="J423" s="177" t="s">
        <v>1176</v>
      </c>
    </row>
    <row r="424" spans="2:10">
      <c r="B424" s="169"/>
      <c r="C424" s="170"/>
      <c r="D424" s="29"/>
      <c r="E424" s="29"/>
      <c r="F424" s="29"/>
      <c r="I424" s="176">
        <v>43952</v>
      </c>
      <c r="J424" s="177" t="s">
        <v>1177</v>
      </c>
    </row>
    <row r="425" spans="2:10">
      <c r="B425" s="169"/>
      <c r="C425" s="170"/>
      <c r="D425" s="29"/>
      <c r="E425" s="29"/>
      <c r="F425" s="29"/>
      <c r="I425" s="176">
        <v>43952</v>
      </c>
      <c r="J425" s="177" t="s">
        <v>1178</v>
      </c>
    </row>
    <row r="426" spans="2:10">
      <c r="B426" s="169"/>
      <c r="C426" s="170"/>
      <c r="D426" s="29"/>
      <c r="E426" s="29"/>
      <c r="F426" s="29"/>
      <c r="I426" s="176">
        <v>43952</v>
      </c>
      <c r="J426" s="177" t="s">
        <v>462</v>
      </c>
    </row>
    <row r="427" spans="2:10">
      <c r="B427" s="169"/>
      <c r="C427" s="170"/>
      <c r="D427" s="29"/>
      <c r="E427" s="29"/>
      <c r="F427" s="29"/>
      <c r="I427" s="176">
        <v>43952</v>
      </c>
      <c r="J427" s="177" t="s">
        <v>1179</v>
      </c>
    </row>
    <row r="428" spans="2:10">
      <c r="B428" s="169"/>
      <c r="C428" s="170"/>
      <c r="D428" s="29"/>
      <c r="E428" s="29"/>
      <c r="F428" s="29"/>
      <c r="I428" s="176">
        <v>43952</v>
      </c>
      <c r="J428" s="177" t="s">
        <v>1180</v>
      </c>
    </row>
    <row r="429" spans="2:10">
      <c r="B429" s="169"/>
      <c r="C429" s="170"/>
      <c r="D429" s="29"/>
      <c r="E429" s="29"/>
      <c r="F429" s="29"/>
      <c r="I429" s="176">
        <v>43952</v>
      </c>
      <c r="J429" s="177" t="s">
        <v>1181</v>
      </c>
    </row>
    <row r="430" spans="2:10">
      <c r="B430" s="169"/>
      <c r="C430" s="170"/>
      <c r="D430" s="29"/>
      <c r="E430" s="29"/>
      <c r="F430" s="29"/>
      <c r="I430" s="176">
        <v>43952</v>
      </c>
      <c r="J430" s="177" t="s">
        <v>1182</v>
      </c>
    </row>
    <row r="431" spans="2:10">
      <c r="B431" s="169"/>
      <c r="C431" s="170"/>
      <c r="D431" s="29"/>
      <c r="E431" s="29"/>
      <c r="F431" s="29"/>
      <c r="I431" s="176">
        <v>43953</v>
      </c>
      <c r="J431" s="177" t="s">
        <v>1183</v>
      </c>
    </row>
    <row r="432" spans="2:10">
      <c r="B432" s="169"/>
      <c r="C432" s="170"/>
      <c r="D432" s="29"/>
      <c r="E432" s="29"/>
      <c r="F432" s="29"/>
      <c r="I432" s="176">
        <v>43953</v>
      </c>
      <c r="J432" s="177" t="s">
        <v>1184</v>
      </c>
    </row>
    <row r="433" spans="2:10">
      <c r="B433" s="169"/>
      <c r="C433" s="170"/>
      <c r="D433" s="29"/>
      <c r="E433" s="29"/>
      <c r="F433" s="29"/>
      <c r="I433" s="176">
        <v>43953</v>
      </c>
      <c r="J433" s="177" t="s">
        <v>1185</v>
      </c>
    </row>
    <row r="434" spans="2:10">
      <c r="B434" s="169"/>
      <c r="C434" s="170"/>
      <c r="D434" s="29"/>
      <c r="E434" s="29"/>
      <c r="F434" s="29"/>
      <c r="I434" s="176">
        <v>43953</v>
      </c>
      <c r="J434" s="177" t="s">
        <v>465</v>
      </c>
    </row>
    <row r="435" spans="2:10">
      <c r="B435" s="169"/>
      <c r="C435" s="170"/>
      <c r="D435" s="29"/>
      <c r="E435" s="29"/>
      <c r="F435" s="29"/>
      <c r="I435" s="176">
        <v>43953</v>
      </c>
      <c r="J435" s="177" t="s">
        <v>1186</v>
      </c>
    </row>
    <row r="436" spans="2:10">
      <c r="B436" s="169"/>
      <c r="C436" s="170"/>
      <c r="D436" s="29"/>
      <c r="E436" s="29"/>
      <c r="F436" s="29"/>
      <c r="I436" s="176">
        <v>43953</v>
      </c>
      <c r="J436" s="177" t="s">
        <v>1187</v>
      </c>
    </row>
    <row r="437" spans="2:10">
      <c r="B437" s="169"/>
      <c r="C437" s="170"/>
      <c r="D437" s="29"/>
      <c r="E437" s="29"/>
      <c r="F437" s="29"/>
      <c r="I437" s="176">
        <v>43953</v>
      </c>
      <c r="J437" s="177" t="s">
        <v>1188</v>
      </c>
    </row>
    <row r="438" spans="2:10">
      <c r="B438" s="169"/>
      <c r="C438" s="170"/>
      <c r="D438" s="29"/>
      <c r="E438" s="29"/>
      <c r="F438" s="29"/>
      <c r="I438" s="176">
        <v>43954</v>
      </c>
      <c r="J438" s="177" t="s">
        <v>1189</v>
      </c>
    </row>
    <row r="439" spans="2:10">
      <c r="B439" s="169"/>
      <c r="C439" s="170"/>
      <c r="D439" s="29"/>
      <c r="E439" s="29"/>
      <c r="F439" s="29"/>
      <c r="I439" s="176">
        <v>43954</v>
      </c>
      <c r="J439" s="177" t="s">
        <v>1190</v>
      </c>
    </row>
    <row r="440" spans="2:10">
      <c r="B440" s="169"/>
      <c r="C440" s="170"/>
      <c r="D440" s="29"/>
      <c r="E440" s="29"/>
      <c r="F440" s="29"/>
      <c r="I440" s="176">
        <v>43954</v>
      </c>
      <c r="J440" s="177" t="s">
        <v>1191</v>
      </c>
    </row>
    <row r="441" spans="2:10">
      <c r="B441" s="169"/>
      <c r="C441" s="170"/>
      <c r="D441" s="29"/>
      <c r="E441" s="29"/>
      <c r="F441" s="29"/>
      <c r="I441" s="176">
        <v>43954</v>
      </c>
      <c r="J441" s="177" t="s">
        <v>1192</v>
      </c>
    </row>
    <row r="442" spans="2:10">
      <c r="B442" s="169"/>
      <c r="C442" s="170"/>
      <c r="D442" s="29"/>
      <c r="E442" s="29"/>
      <c r="F442" s="29"/>
      <c r="I442" s="176">
        <v>43954</v>
      </c>
      <c r="J442" s="177" t="s">
        <v>1193</v>
      </c>
    </row>
    <row r="443" spans="2:10">
      <c r="B443" s="169"/>
      <c r="C443" s="170"/>
      <c r="D443" s="29"/>
      <c r="E443" s="29"/>
      <c r="F443" s="29"/>
      <c r="I443" s="176">
        <v>43954</v>
      </c>
      <c r="J443" s="177" t="s">
        <v>1194</v>
      </c>
    </row>
    <row r="444" spans="2:10">
      <c r="B444" s="169"/>
      <c r="C444" s="170"/>
      <c r="D444" s="29"/>
      <c r="E444" s="29"/>
      <c r="F444" s="29"/>
      <c r="I444" s="176">
        <v>43954</v>
      </c>
      <c r="J444" s="177" t="s">
        <v>1195</v>
      </c>
    </row>
    <row r="445" spans="2:10">
      <c r="B445" s="169"/>
      <c r="C445" s="170"/>
      <c r="D445" s="29"/>
      <c r="E445" s="29"/>
      <c r="F445" s="29"/>
      <c r="I445" s="176">
        <v>43954</v>
      </c>
      <c r="J445" s="177" t="s">
        <v>1196</v>
      </c>
    </row>
    <row r="446" spans="2:10">
      <c r="B446" s="169"/>
      <c r="C446" s="170"/>
      <c r="D446" s="29"/>
      <c r="E446" s="29"/>
      <c r="F446" s="29"/>
      <c r="I446" s="176">
        <v>43954</v>
      </c>
      <c r="J446" s="177" t="s">
        <v>1197</v>
      </c>
    </row>
    <row r="447" spans="2:10">
      <c r="B447" s="169"/>
      <c r="C447" s="170"/>
      <c r="D447" s="29"/>
      <c r="E447" s="29"/>
      <c r="F447" s="29"/>
      <c r="I447" s="176">
        <v>43954</v>
      </c>
      <c r="J447" s="177" t="s">
        <v>1198</v>
      </c>
    </row>
    <row r="448" spans="2:10">
      <c r="B448" s="169"/>
      <c r="C448" s="170"/>
      <c r="D448" s="29"/>
      <c r="E448" s="29"/>
      <c r="F448" s="29"/>
      <c r="I448" s="176">
        <v>43954</v>
      </c>
      <c r="J448" s="177" t="s">
        <v>1199</v>
      </c>
    </row>
    <row r="449" spans="2:10">
      <c r="B449" s="169"/>
      <c r="C449" s="170"/>
      <c r="D449" s="29"/>
      <c r="E449" s="29"/>
      <c r="F449" s="29"/>
      <c r="I449" s="176">
        <v>43954</v>
      </c>
      <c r="J449" s="177" t="s">
        <v>468</v>
      </c>
    </row>
    <row r="450" spans="2:10">
      <c r="B450" s="169"/>
      <c r="C450" s="170"/>
      <c r="D450" s="29"/>
      <c r="E450" s="29"/>
      <c r="F450" s="29"/>
      <c r="I450" s="176">
        <v>43954</v>
      </c>
      <c r="J450" s="177" t="s">
        <v>1200</v>
      </c>
    </row>
    <row r="451" spans="2:10">
      <c r="B451" s="169"/>
      <c r="C451" s="170"/>
      <c r="D451" s="29"/>
      <c r="E451" s="29"/>
      <c r="F451" s="29"/>
      <c r="I451" s="176">
        <v>43954</v>
      </c>
      <c r="J451" s="177" t="s">
        <v>1201</v>
      </c>
    </row>
    <row r="452" spans="2:10">
      <c r="B452" s="169"/>
      <c r="C452" s="170"/>
      <c r="D452" s="29"/>
      <c r="E452" s="29"/>
      <c r="F452" s="29"/>
      <c r="I452" s="176">
        <v>43955</v>
      </c>
      <c r="J452" s="177" t="s">
        <v>1202</v>
      </c>
    </row>
    <row r="453" spans="2:10">
      <c r="B453" s="169"/>
      <c r="C453" s="170"/>
      <c r="D453" s="29"/>
      <c r="E453" s="29"/>
      <c r="F453" s="29"/>
      <c r="I453" s="176">
        <v>43955</v>
      </c>
      <c r="J453" s="177" t="s">
        <v>471</v>
      </c>
    </row>
    <row r="454" spans="2:10">
      <c r="B454" s="169"/>
      <c r="C454" s="170"/>
      <c r="D454" s="29"/>
      <c r="E454" s="29"/>
      <c r="F454" s="29"/>
      <c r="I454" s="176">
        <v>43955</v>
      </c>
      <c r="J454" s="177" t="s">
        <v>1203</v>
      </c>
    </row>
    <row r="455" spans="2:10">
      <c r="B455" s="169"/>
      <c r="C455" s="170"/>
      <c r="D455" s="29"/>
      <c r="E455" s="29"/>
      <c r="F455" s="29"/>
      <c r="I455" s="176">
        <v>43956</v>
      </c>
      <c r="J455" s="177" t="s">
        <v>1204</v>
      </c>
    </row>
    <row r="456" spans="2:10">
      <c r="B456" s="169"/>
      <c r="C456" s="170"/>
      <c r="D456" s="29"/>
      <c r="E456" s="29"/>
      <c r="F456" s="29"/>
      <c r="I456" s="176">
        <v>43956</v>
      </c>
      <c r="J456" s="177" t="s">
        <v>474</v>
      </c>
    </row>
    <row r="457" spans="2:10">
      <c r="B457" s="169"/>
      <c r="C457" s="170"/>
      <c r="D457" s="29"/>
      <c r="E457" s="29"/>
      <c r="F457" s="29"/>
      <c r="I457" s="176">
        <v>43957</v>
      </c>
      <c r="J457" s="177" t="s">
        <v>1205</v>
      </c>
    </row>
    <row r="458" spans="2:10">
      <c r="B458" s="169"/>
      <c r="C458" s="170"/>
      <c r="D458" s="29"/>
      <c r="E458" s="29"/>
      <c r="F458" s="29"/>
      <c r="I458" s="176">
        <v>43957</v>
      </c>
      <c r="J458" s="177" t="s">
        <v>476</v>
      </c>
    </row>
    <row r="459" spans="2:10">
      <c r="B459" s="169"/>
      <c r="C459" s="170"/>
      <c r="D459" s="29"/>
      <c r="E459" s="29"/>
      <c r="F459" s="29"/>
      <c r="I459" s="176">
        <v>43958</v>
      </c>
      <c r="J459" s="177" t="s">
        <v>1206</v>
      </c>
    </row>
    <row r="460" spans="2:10">
      <c r="B460" s="169"/>
      <c r="C460" s="170"/>
      <c r="D460" s="29"/>
      <c r="E460" s="29"/>
      <c r="F460" s="29"/>
      <c r="I460" s="176">
        <v>43958</v>
      </c>
      <c r="J460" s="177" t="s">
        <v>1207</v>
      </c>
    </row>
    <row r="461" spans="2:10">
      <c r="B461" s="169"/>
      <c r="C461" s="170"/>
      <c r="D461" s="29"/>
      <c r="E461" s="29"/>
      <c r="F461" s="29"/>
      <c r="I461" s="176">
        <v>43958</v>
      </c>
      <c r="J461" s="177" t="s">
        <v>479</v>
      </c>
    </row>
    <row r="462" spans="2:10">
      <c r="B462" s="169"/>
      <c r="C462" s="170"/>
      <c r="D462" s="29"/>
      <c r="E462" s="29"/>
      <c r="F462" s="29"/>
      <c r="I462" s="176">
        <v>43959</v>
      </c>
      <c r="J462" s="177" t="s">
        <v>482</v>
      </c>
    </row>
    <row r="463" spans="2:10">
      <c r="B463" s="169"/>
      <c r="C463" s="170"/>
      <c r="D463" s="29"/>
      <c r="E463" s="29"/>
      <c r="F463" s="29"/>
      <c r="I463" s="176">
        <v>43959</v>
      </c>
      <c r="J463" s="177" t="s">
        <v>1208</v>
      </c>
    </row>
    <row r="464" spans="2:10">
      <c r="B464" s="169"/>
      <c r="C464" s="170"/>
      <c r="D464" s="29"/>
      <c r="E464" s="29"/>
      <c r="F464" s="29"/>
      <c r="I464" s="176">
        <v>43959</v>
      </c>
      <c r="J464" s="177" t="s">
        <v>1209</v>
      </c>
    </row>
    <row r="465" spans="2:10">
      <c r="B465" s="169"/>
      <c r="C465" s="170"/>
      <c r="D465" s="29"/>
      <c r="E465" s="29"/>
      <c r="F465" s="29"/>
      <c r="I465" s="176">
        <v>43959</v>
      </c>
      <c r="J465" s="177" t="s">
        <v>1210</v>
      </c>
    </row>
    <row r="466" spans="2:10">
      <c r="B466" s="169"/>
      <c r="C466" s="170"/>
      <c r="D466" s="29"/>
      <c r="E466" s="29"/>
      <c r="F466" s="29"/>
      <c r="I466" s="176">
        <v>43959</v>
      </c>
      <c r="J466" s="177" t="s">
        <v>1211</v>
      </c>
    </row>
    <row r="467" spans="2:10">
      <c r="B467" s="169"/>
      <c r="C467" s="170"/>
      <c r="D467" s="29"/>
      <c r="E467" s="29"/>
      <c r="F467" s="29"/>
      <c r="I467" s="176">
        <v>43959</v>
      </c>
      <c r="J467" s="177" t="s">
        <v>1212</v>
      </c>
    </row>
    <row r="468" spans="2:10">
      <c r="B468" s="169"/>
      <c r="C468" s="170"/>
      <c r="D468" s="29"/>
      <c r="E468" s="29"/>
      <c r="F468" s="29"/>
      <c r="I468" s="176">
        <v>43960</v>
      </c>
      <c r="J468" s="177" t="s">
        <v>1213</v>
      </c>
    </row>
    <row r="469" spans="2:10">
      <c r="B469" s="169"/>
      <c r="C469" s="170"/>
      <c r="D469" s="29"/>
      <c r="E469" s="29"/>
      <c r="F469" s="29"/>
      <c r="I469" s="176">
        <v>43960</v>
      </c>
      <c r="J469" s="177" t="s">
        <v>1214</v>
      </c>
    </row>
    <row r="470" spans="2:10">
      <c r="B470" s="169"/>
      <c r="C470" s="170"/>
      <c r="D470" s="29"/>
      <c r="E470" s="29"/>
      <c r="F470" s="29"/>
      <c r="I470" s="176">
        <v>43960</v>
      </c>
      <c r="J470" s="177" t="s">
        <v>1215</v>
      </c>
    </row>
    <row r="471" spans="2:10">
      <c r="B471" s="169"/>
      <c r="C471" s="170"/>
      <c r="D471" s="29"/>
      <c r="E471" s="29"/>
      <c r="F471" s="29"/>
      <c r="I471" s="176">
        <v>43961</v>
      </c>
      <c r="J471" s="177" t="s">
        <v>1216</v>
      </c>
    </row>
    <row r="472" spans="2:10">
      <c r="B472" s="169"/>
      <c r="C472" s="170"/>
      <c r="D472" s="29"/>
      <c r="E472" s="29"/>
      <c r="F472" s="29"/>
      <c r="I472" s="176">
        <v>43961</v>
      </c>
      <c r="J472" s="177" t="s">
        <v>1217</v>
      </c>
    </row>
    <row r="473" spans="2:10">
      <c r="B473" s="169"/>
      <c r="C473" s="170"/>
      <c r="D473" s="29"/>
      <c r="E473" s="29"/>
      <c r="F473" s="29"/>
      <c r="I473" s="176">
        <v>43961</v>
      </c>
      <c r="J473" s="177" t="s">
        <v>488</v>
      </c>
    </row>
    <row r="474" spans="2:10">
      <c r="B474" s="169"/>
      <c r="C474" s="170"/>
      <c r="D474" s="29"/>
      <c r="E474" s="29"/>
      <c r="F474" s="29"/>
      <c r="I474" s="176">
        <v>43962</v>
      </c>
      <c r="J474" s="177" t="s">
        <v>490</v>
      </c>
    </row>
    <row r="475" spans="2:10">
      <c r="B475" s="169"/>
      <c r="C475" s="170"/>
      <c r="D475" s="29"/>
      <c r="E475" s="29"/>
      <c r="F475" s="29"/>
      <c r="I475" s="176">
        <v>43962</v>
      </c>
      <c r="J475" s="177" t="s">
        <v>1218</v>
      </c>
    </row>
    <row r="476" spans="2:10">
      <c r="B476" s="169"/>
      <c r="C476" s="170"/>
      <c r="D476" s="29"/>
      <c r="E476" s="29"/>
      <c r="F476" s="29"/>
      <c r="I476" s="176">
        <v>43962</v>
      </c>
      <c r="J476" s="177" t="s">
        <v>1219</v>
      </c>
    </row>
    <row r="477" spans="2:10">
      <c r="B477" s="169"/>
      <c r="C477" s="170"/>
      <c r="D477" s="29"/>
      <c r="E477" s="29"/>
      <c r="F477" s="29"/>
      <c r="I477" s="176">
        <v>43962</v>
      </c>
      <c r="J477" s="177" t="s">
        <v>1220</v>
      </c>
    </row>
    <row r="478" spans="2:10">
      <c r="B478" s="169"/>
      <c r="C478" s="170"/>
      <c r="D478" s="29"/>
      <c r="E478" s="29"/>
      <c r="F478" s="29"/>
      <c r="I478" s="176">
        <v>43962</v>
      </c>
      <c r="J478" s="177" t="s">
        <v>1221</v>
      </c>
    </row>
    <row r="479" spans="2:10">
      <c r="B479" s="169"/>
      <c r="C479" s="170"/>
      <c r="D479" s="29"/>
      <c r="E479" s="29"/>
      <c r="F479" s="29"/>
      <c r="I479" s="176">
        <v>43963</v>
      </c>
      <c r="J479" s="177" t="s">
        <v>492</v>
      </c>
    </row>
    <row r="480" spans="2:10">
      <c r="B480" s="169"/>
      <c r="C480" s="170"/>
      <c r="D480" s="29"/>
      <c r="E480" s="29"/>
      <c r="F480" s="29"/>
      <c r="I480" s="176">
        <v>43964</v>
      </c>
      <c r="J480" s="177" t="s">
        <v>1222</v>
      </c>
    </row>
    <row r="481" spans="2:10">
      <c r="B481" s="169"/>
      <c r="C481" s="170"/>
      <c r="D481" s="29"/>
      <c r="E481" s="29"/>
      <c r="F481" s="29"/>
      <c r="I481" s="176">
        <v>43964</v>
      </c>
      <c r="J481" s="177" t="s">
        <v>1223</v>
      </c>
    </row>
    <row r="482" spans="2:10">
      <c r="B482" s="169"/>
      <c r="C482" s="170"/>
      <c r="D482" s="29"/>
      <c r="E482" s="29"/>
      <c r="F482" s="29"/>
      <c r="I482" s="176">
        <v>43964</v>
      </c>
      <c r="J482" s="177" t="s">
        <v>1224</v>
      </c>
    </row>
    <row r="483" spans="2:10">
      <c r="B483" s="169"/>
      <c r="C483" s="170"/>
      <c r="D483" s="29"/>
      <c r="E483" s="29"/>
      <c r="F483" s="29"/>
      <c r="I483" s="176">
        <v>43964</v>
      </c>
      <c r="J483" s="177" t="s">
        <v>1225</v>
      </c>
    </row>
    <row r="484" spans="2:10">
      <c r="B484" s="169"/>
      <c r="C484" s="170"/>
      <c r="D484" s="29"/>
      <c r="E484" s="29"/>
      <c r="F484" s="29"/>
      <c r="I484" s="176">
        <v>43964</v>
      </c>
      <c r="J484" s="177" t="s">
        <v>1226</v>
      </c>
    </row>
    <row r="485" spans="2:10">
      <c r="B485" s="169"/>
      <c r="C485" s="170"/>
      <c r="D485" s="29"/>
      <c r="E485" s="29"/>
      <c r="F485" s="29"/>
      <c r="I485" s="176">
        <v>43964</v>
      </c>
      <c r="J485" s="177" t="s">
        <v>494</v>
      </c>
    </row>
    <row r="486" spans="2:10">
      <c r="B486" s="169"/>
      <c r="C486" s="170"/>
      <c r="D486" s="29"/>
      <c r="E486" s="29"/>
      <c r="F486" s="29"/>
      <c r="I486" s="176">
        <v>43965</v>
      </c>
      <c r="J486" s="177" t="s">
        <v>497</v>
      </c>
    </row>
    <row r="487" spans="2:10">
      <c r="B487" s="169"/>
      <c r="C487" s="170"/>
      <c r="D487" s="29"/>
      <c r="E487" s="29"/>
      <c r="F487" s="29"/>
      <c r="I487" s="176">
        <v>43965</v>
      </c>
      <c r="J487" s="177" t="s">
        <v>1227</v>
      </c>
    </row>
    <row r="488" spans="2:10">
      <c r="B488" s="169"/>
      <c r="C488" s="170"/>
      <c r="D488" s="29"/>
      <c r="E488" s="29"/>
      <c r="F488" s="29"/>
      <c r="I488" s="176">
        <v>43966</v>
      </c>
      <c r="J488" s="177" t="s">
        <v>500</v>
      </c>
    </row>
    <row r="489" spans="2:10">
      <c r="B489" s="169"/>
      <c r="C489" s="170"/>
      <c r="D489" s="29"/>
      <c r="E489" s="29"/>
      <c r="F489" s="29"/>
      <c r="I489" s="176">
        <v>43966</v>
      </c>
      <c r="J489" s="177" t="s">
        <v>1228</v>
      </c>
    </row>
    <row r="490" spans="2:10">
      <c r="B490" s="169"/>
      <c r="C490" s="170"/>
      <c r="D490" s="29"/>
      <c r="E490" s="29"/>
      <c r="F490" s="29"/>
      <c r="I490" s="176">
        <v>43966</v>
      </c>
      <c r="J490" s="177" t="s">
        <v>1229</v>
      </c>
    </row>
    <row r="491" spans="2:10">
      <c r="B491" s="169"/>
      <c r="C491" s="170"/>
      <c r="D491" s="29"/>
      <c r="E491" s="29"/>
      <c r="F491" s="29"/>
      <c r="I491" s="176">
        <v>43967</v>
      </c>
      <c r="J491" s="177" t="s">
        <v>503</v>
      </c>
    </row>
    <row r="492" spans="2:10">
      <c r="B492" s="169"/>
      <c r="C492" s="170"/>
      <c r="D492" s="29"/>
      <c r="E492" s="29"/>
      <c r="F492" s="29"/>
      <c r="I492" s="176">
        <v>43967</v>
      </c>
      <c r="J492" s="177" t="s">
        <v>1230</v>
      </c>
    </row>
    <row r="493" spans="2:10">
      <c r="B493" s="169"/>
      <c r="C493" s="170"/>
      <c r="D493" s="29"/>
      <c r="E493" s="29"/>
      <c r="F493" s="29"/>
      <c r="I493" s="176">
        <v>43968</v>
      </c>
      <c r="J493" s="177" t="s">
        <v>506</v>
      </c>
    </row>
    <row r="494" spans="2:10">
      <c r="B494" s="169"/>
      <c r="C494" s="170"/>
      <c r="D494" s="29"/>
      <c r="E494" s="29"/>
      <c r="F494" s="29"/>
      <c r="I494" s="176">
        <v>43968</v>
      </c>
      <c r="J494" s="177" t="s">
        <v>1231</v>
      </c>
    </row>
    <row r="495" spans="2:10">
      <c r="B495" s="169"/>
      <c r="C495" s="170"/>
      <c r="D495" s="29"/>
      <c r="E495" s="29"/>
      <c r="F495" s="29"/>
      <c r="I495" s="176">
        <v>43968</v>
      </c>
      <c r="J495" s="177" t="s">
        <v>1232</v>
      </c>
    </row>
    <row r="496" spans="2:10">
      <c r="B496" s="169"/>
      <c r="C496" s="170"/>
      <c r="D496" s="29"/>
      <c r="E496" s="29"/>
      <c r="F496" s="29"/>
      <c r="I496" s="176">
        <v>43968</v>
      </c>
      <c r="J496" s="177" t="s">
        <v>1233</v>
      </c>
    </row>
    <row r="497" spans="2:10">
      <c r="B497" s="169"/>
      <c r="C497" s="170"/>
      <c r="D497" s="29"/>
      <c r="E497" s="29"/>
      <c r="F497" s="29"/>
      <c r="I497" s="176">
        <v>43969</v>
      </c>
      <c r="J497" s="177" t="s">
        <v>1234</v>
      </c>
    </row>
    <row r="498" spans="2:10">
      <c r="B498" s="169"/>
      <c r="C498" s="170"/>
      <c r="D498" s="29"/>
      <c r="E498" s="29"/>
      <c r="F498" s="29"/>
      <c r="I498" s="176">
        <v>43969</v>
      </c>
      <c r="J498" s="177" t="s">
        <v>1235</v>
      </c>
    </row>
    <row r="499" spans="2:10">
      <c r="B499" s="169"/>
      <c r="C499" s="170"/>
      <c r="D499" s="29"/>
      <c r="E499" s="29"/>
      <c r="F499" s="29"/>
      <c r="I499" s="176">
        <v>43969</v>
      </c>
      <c r="J499" s="177" t="s">
        <v>1236</v>
      </c>
    </row>
    <row r="500" spans="2:10">
      <c r="B500" s="169"/>
      <c r="C500" s="170"/>
      <c r="D500" s="29"/>
      <c r="E500" s="29"/>
      <c r="F500" s="29"/>
      <c r="I500" s="176">
        <v>43969</v>
      </c>
      <c r="J500" s="177" t="s">
        <v>1237</v>
      </c>
    </row>
    <row r="501" spans="2:10">
      <c r="B501" s="169"/>
      <c r="C501" s="170"/>
      <c r="D501" s="29"/>
      <c r="E501" s="29"/>
      <c r="F501" s="29"/>
      <c r="I501" s="176">
        <v>43969</v>
      </c>
      <c r="J501" s="177" t="s">
        <v>1238</v>
      </c>
    </row>
    <row r="502" spans="2:10">
      <c r="B502" s="169"/>
      <c r="C502" s="170"/>
      <c r="D502" s="29"/>
      <c r="E502" s="29"/>
      <c r="F502" s="29"/>
      <c r="I502" s="176">
        <v>43969</v>
      </c>
      <c r="J502" s="177" t="s">
        <v>1239</v>
      </c>
    </row>
    <row r="503" spans="2:10">
      <c r="B503" s="169"/>
      <c r="C503" s="170"/>
      <c r="D503" s="29"/>
      <c r="E503" s="29"/>
      <c r="F503" s="29"/>
      <c r="I503" s="176">
        <v>43969</v>
      </c>
      <c r="J503" s="177" t="s">
        <v>1240</v>
      </c>
    </row>
    <row r="504" spans="2:10">
      <c r="B504" s="169"/>
      <c r="C504" s="170"/>
      <c r="D504" s="29"/>
      <c r="E504" s="29"/>
      <c r="F504" s="29"/>
      <c r="I504" s="176">
        <v>43969</v>
      </c>
      <c r="J504" s="177" t="s">
        <v>1241</v>
      </c>
    </row>
    <row r="505" spans="2:10">
      <c r="B505" s="169"/>
      <c r="C505" s="170"/>
      <c r="D505" s="29"/>
      <c r="E505" s="29"/>
      <c r="F505" s="29"/>
      <c r="I505" s="176">
        <v>43969</v>
      </c>
      <c r="J505" s="177" t="s">
        <v>1242</v>
      </c>
    </row>
    <row r="506" spans="2:10">
      <c r="B506" s="169"/>
      <c r="C506" s="170"/>
      <c r="D506" s="29"/>
      <c r="E506" s="29"/>
      <c r="F506" s="29"/>
      <c r="I506" s="176">
        <v>43969</v>
      </c>
      <c r="J506" s="177" t="s">
        <v>1243</v>
      </c>
    </row>
    <row r="507" spans="2:10">
      <c r="B507" s="169"/>
      <c r="C507" s="170"/>
      <c r="D507" s="29"/>
      <c r="E507" s="29"/>
      <c r="F507" s="29"/>
      <c r="I507" s="176">
        <v>43970</v>
      </c>
      <c r="J507" s="177" t="s">
        <v>1244</v>
      </c>
    </row>
    <row r="508" spans="2:10">
      <c r="B508" s="169"/>
      <c r="C508" s="170"/>
      <c r="D508" s="29"/>
      <c r="E508" s="29"/>
      <c r="F508" s="29"/>
      <c r="I508" s="176">
        <v>43970</v>
      </c>
      <c r="J508" s="177" t="s">
        <v>1245</v>
      </c>
    </row>
    <row r="509" spans="2:10">
      <c r="B509" s="169"/>
      <c r="C509" s="170"/>
      <c r="D509" s="29"/>
      <c r="E509" s="29"/>
      <c r="F509" s="29"/>
      <c r="I509" s="176">
        <v>43970</v>
      </c>
      <c r="J509" s="177" t="s">
        <v>1246</v>
      </c>
    </row>
    <row r="510" spans="2:10">
      <c r="B510" s="169"/>
      <c r="C510" s="170"/>
      <c r="D510" s="29"/>
      <c r="E510" s="29"/>
      <c r="F510" s="29"/>
      <c r="I510" s="176">
        <v>43970</v>
      </c>
      <c r="J510" s="177" t="s">
        <v>1247</v>
      </c>
    </row>
    <row r="511" spans="2:10">
      <c r="B511" s="169"/>
      <c r="C511" s="170"/>
      <c r="D511" s="29"/>
      <c r="E511" s="29"/>
      <c r="F511" s="29"/>
      <c r="I511" s="176">
        <v>43970</v>
      </c>
      <c r="J511" s="177" t="s">
        <v>512</v>
      </c>
    </row>
    <row r="512" spans="2:10">
      <c r="B512" s="169"/>
      <c r="C512" s="170"/>
      <c r="D512" s="29"/>
      <c r="E512" s="29"/>
      <c r="F512" s="29"/>
      <c r="I512" s="176">
        <v>43970</v>
      </c>
      <c r="J512" s="177" t="s">
        <v>1248</v>
      </c>
    </row>
    <row r="513" spans="2:10">
      <c r="B513" s="169"/>
      <c r="C513" s="170"/>
      <c r="D513" s="29"/>
      <c r="E513" s="29"/>
      <c r="F513" s="29"/>
      <c r="I513" s="176">
        <v>43970</v>
      </c>
      <c r="J513" s="177" t="s">
        <v>1249</v>
      </c>
    </row>
    <row r="514" spans="2:10">
      <c r="B514" s="169"/>
      <c r="C514" s="170"/>
      <c r="D514" s="29"/>
      <c r="E514" s="29"/>
      <c r="F514" s="29"/>
      <c r="I514" s="176">
        <v>43971</v>
      </c>
      <c r="J514" s="177" t="s">
        <v>515</v>
      </c>
    </row>
    <row r="515" spans="2:10">
      <c r="B515" s="169"/>
      <c r="C515" s="170"/>
      <c r="D515" s="29"/>
      <c r="E515" s="29"/>
      <c r="F515" s="29"/>
      <c r="I515" s="176">
        <v>43971</v>
      </c>
      <c r="J515" s="177" t="s">
        <v>1250</v>
      </c>
    </row>
    <row r="516" spans="2:10">
      <c r="B516" s="169"/>
      <c r="C516" s="170"/>
      <c r="D516" s="29"/>
      <c r="E516" s="29"/>
      <c r="F516" s="29"/>
      <c r="I516" s="176">
        <v>43971</v>
      </c>
      <c r="J516" s="177" t="s">
        <v>1251</v>
      </c>
    </row>
    <row r="517" spans="2:10">
      <c r="B517" s="169"/>
      <c r="C517" s="170"/>
      <c r="D517" s="29"/>
      <c r="E517" s="29"/>
      <c r="F517" s="29"/>
      <c r="I517" s="176">
        <v>43972</v>
      </c>
      <c r="J517" s="177" t="s">
        <v>518</v>
      </c>
    </row>
    <row r="518" spans="2:10">
      <c r="B518" s="169"/>
      <c r="C518" s="170"/>
      <c r="D518" s="29"/>
      <c r="E518" s="29"/>
      <c r="F518" s="29"/>
      <c r="I518" s="176">
        <v>43973</v>
      </c>
      <c r="J518" s="177" t="s">
        <v>1252</v>
      </c>
    </row>
    <row r="519" spans="2:10">
      <c r="B519" s="169"/>
      <c r="C519" s="170"/>
      <c r="D519" s="29"/>
      <c r="E519" s="29"/>
      <c r="F519" s="29"/>
      <c r="I519" s="176">
        <v>43973</v>
      </c>
      <c r="J519" s="177" t="s">
        <v>1253</v>
      </c>
    </row>
    <row r="520" spans="2:10">
      <c r="B520" s="169"/>
      <c r="C520" s="170"/>
      <c r="D520" s="29"/>
      <c r="E520" s="29"/>
      <c r="F520" s="29"/>
      <c r="I520" s="176">
        <v>43973</v>
      </c>
      <c r="J520" s="177" t="s">
        <v>1254</v>
      </c>
    </row>
    <row r="521" spans="2:10">
      <c r="B521" s="169"/>
      <c r="C521" s="170"/>
      <c r="D521" s="29"/>
      <c r="E521" s="29"/>
      <c r="F521" s="29"/>
      <c r="I521" s="176">
        <v>43973</v>
      </c>
      <c r="J521" s="177" t="s">
        <v>1255</v>
      </c>
    </row>
    <row r="522" spans="2:10">
      <c r="B522" s="169"/>
      <c r="C522" s="170"/>
      <c r="D522" s="29"/>
      <c r="E522" s="29"/>
      <c r="F522" s="29"/>
      <c r="I522" s="176">
        <v>43973</v>
      </c>
      <c r="J522" s="177" t="s">
        <v>1256</v>
      </c>
    </row>
    <row r="523" spans="2:10">
      <c r="B523" s="169"/>
      <c r="C523" s="170"/>
      <c r="D523" s="29"/>
      <c r="E523" s="29"/>
      <c r="F523" s="29"/>
      <c r="I523" s="176">
        <v>43973</v>
      </c>
      <c r="J523" s="177" t="s">
        <v>1257</v>
      </c>
    </row>
    <row r="524" spans="2:10">
      <c r="B524" s="169"/>
      <c r="C524" s="170"/>
      <c r="D524" s="29"/>
      <c r="E524" s="29"/>
      <c r="F524" s="29"/>
      <c r="I524" s="176">
        <v>43974</v>
      </c>
      <c r="J524" s="177" t="s">
        <v>523</v>
      </c>
    </row>
    <row r="525" spans="2:10">
      <c r="B525" s="169"/>
      <c r="C525" s="170"/>
      <c r="D525" s="29"/>
      <c r="E525" s="29"/>
      <c r="F525" s="29"/>
      <c r="I525" s="176">
        <v>43975</v>
      </c>
      <c r="J525" s="177" t="s">
        <v>1258</v>
      </c>
    </row>
    <row r="526" spans="2:10">
      <c r="B526" s="169"/>
      <c r="C526" s="170"/>
      <c r="D526" s="29"/>
      <c r="E526" s="29"/>
      <c r="F526" s="29"/>
      <c r="I526" s="176">
        <v>43975</v>
      </c>
      <c r="J526" s="177" t="s">
        <v>525</v>
      </c>
    </row>
    <row r="527" spans="2:10">
      <c r="B527" s="169"/>
      <c r="C527" s="170"/>
      <c r="D527" s="29"/>
      <c r="E527" s="29"/>
      <c r="F527" s="29"/>
      <c r="I527" s="176">
        <v>43975</v>
      </c>
      <c r="J527" s="177" t="s">
        <v>1259</v>
      </c>
    </row>
    <row r="528" spans="2:10">
      <c r="B528" s="169"/>
      <c r="C528" s="170"/>
      <c r="D528" s="29"/>
      <c r="E528" s="29"/>
      <c r="F528" s="29"/>
      <c r="I528" s="176">
        <v>43976</v>
      </c>
      <c r="J528" s="177" t="s">
        <v>1260</v>
      </c>
    </row>
    <row r="529" spans="2:10">
      <c r="B529" s="169"/>
      <c r="C529" s="170"/>
      <c r="D529" s="29"/>
      <c r="E529" s="29"/>
      <c r="F529" s="29"/>
      <c r="I529" s="176">
        <v>43976</v>
      </c>
      <c r="J529" s="177" t="s">
        <v>1261</v>
      </c>
    </row>
    <row r="530" spans="2:10">
      <c r="B530" s="169"/>
      <c r="C530" s="170"/>
      <c r="D530" s="29"/>
      <c r="E530" s="29"/>
      <c r="F530" s="29"/>
      <c r="I530" s="176">
        <v>43976</v>
      </c>
      <c r="J530" s="177" t="s">
        <v>528</v>
      </c>
    </row>
    <row r="531" spans="2:10">
      <c r="B531" s="169"/>
      <c r="C531" s="170"/>
      <c r="D531" s="29"/>
      <c r="E531" s="29"/>
      <c r="F531" s="29"/>
      <c r="I531" s="176">
        <v>43977</v>
      </c>
      <c r="J531" s="177" t="s">
        <v>1262</v>
      </c>
    </row>
    <row r="532" spans="2:10">
      <c r="B532" s="169"/>
      <c r="C532" s="170"/>
      <c r="D532" s="29"/>
      <c r="E532" s="29"/>
      <c r="F532" s="29"/>
      <c r="I532" s="176">
        <v>43977</v>
      </c>
      <c r="J532" s="177" t="s">
        <v>531</v>
      </c>
    </row>
    <row r="533" spans="2:10">
      <c r="B533" s="169"/>
      <c r="C533" s="170"/>
      <c r="D533" s="29"/>
      <c r="E533" s="29"/>
      <c r="F533" s="29"/>
      <c r="I533" s="176">
        <v>43977</v>
      </c>
      <c r="J533" s="177" t="s">
        <v>1263</v>
      </c>
    </row>
    <row r="534" spans="2:10">
      <c r="B534" s="169"/>
      <c r="C534" s="170"/>
      <c r="D534" s="29"/>
      <c r="E534" s="29"/>
      <c r="F534" s="29"/>
      <c r="I534" s="176">
        <v>43978</v>
      </c>
      <c r="J534" s="177" t="s">
        <v>1264</v>
      </c>
    </row>
    <row r="535" spans="2:10">
      <c r="B535" s="169"/>
      <c r="C535" s="170"/>
      <c r="D535" s="29"/>
      <c r="E535" s="29"/>
      <c r="F535" s="29"/>
      <c r="I535" s="176">
        <v>43979</v>
      </c>
      <c r="J535" s="177" t="s">
        <v>537</v>
      </c>
    </row>
    <row r="536" spans="2:10">
      <c r="B536" s="169"/>
      <c r="C536" s="170"/>
      <c r="D536" s="29"/>
      <c r="E536" s="29"/>
      <c r="F536" s="29"/>
      <c r="I536" s="176">
        <v>43980</v>
      </c>
      <c r="J536" s="177" t="s">
        <v>1265</v>
      </c>
    </row>
    <row r="537" spans="2:10">
      <c r="B537" s="169"/>
      <c r="C537" s="170"/>
      <c r="D537" s="29"/>
      <c r="E537" s="29"/>
      <c r="F537" s="29"/>
      <c r="I537" s="176">
        <v>43980</v>
      </c>
      <c r="J537" s="177" t="s">
        <v>540</v>
      </c>
    </row>
    <row r="538" spans="2:10">
      <c r="B538" s="169"/>
      <c r="C538" s="170"/>
      <c r="D538" s="29"/>
      <c r="E538" s="29"/>
      <c r="F538" s="29"/>
      <c r="I538" s="176">
        <v>43980</v>
      </c>
      <c r="J538" s="177" t="s">
        <v>1266</v>
      </c>
    </row>
    <row r="539" spans="2:10">
      <c r="B539" s="169"/>
      <c r="C539" s="170"/>
      <c r="D539" s="29"/>
      <c r="E539" s="29"/>
      <c r="F539" s="29"/>
      <c r="I539" s="176">
        <v>43980</v>
      </c>
      <c r="J539" s="177" t="s">
        <v>1267</v>
      </c>
    </row>
    <row r="540" spans="2:10">
      <c r="B540" s="169"/>
      <c r="C540" s="170"/>
      <c r="D540" s="29"/>
      <c r="E540" s="29"/>
      <c r="F540" s="29"/>
      <c r="I540" s="176">
        <v>43981</v>
      </c>
      <c r="J540" s="177" t="s">
        <v>543</v>
      </c>
    </row>
    <row r="541" spans="2:10">
      <c r="B541" s="169"/>
      <c r="C541" s="170"/>
      <c r="D541" s="29"/>
      <c r="E541" s="29"/>
      <c r="F541" s="29"/>
      <c r="I541" s="176">
        <v>43981</v>
      </c>
      <c r="J541" s="177" t="s">
        <v>1268</v>
      </c>
    </row>
    <row r="542" spans="2:10">
      <c r="B542" s="169"/>
      <c r="C542" s="170"/>
      <c r="D542" s="29"/>
      <c r="E542" s="29"/>
      <c r="F542" s="29"/>
      <c r="I542" s="176">
        <v>43981</v>
      </c>
      <c r="J542" s="177" t="s">
        <v>1269</v>
      </c>
    </row>
    <row r="543" spans="2:10">
      <c r="B543" s="169"/>
      <c r="C543" s="170"/>
      <c r="D543" s="29"/>
      <c r="E543" s="29"/>
      <c r="F543" s="29"/>
      <c r="I543" s="176">
        <v>43981</v>
      </c>
      <c r="J543" s="177" t="s">
        <v>1270</v>
      </c>
    </row>
    <row r="544" spans="2:10">
      <c r="B544" s="169"/>
      <c r="C544" s="170"/>
      <c r="D544" s="29"/>
      <c r="E544" s="29"/>
      <c r="F544" s="29"/>
      <c r="I544" s="176">
        <v>43981</v>
      </c>
      <c r="J544" s="177" t="s">
        <v>1271</v>
      </c>
    </row>
    <row r="545" spans="2:10">
      <c r="B545" s="169"/>
      <c r="C545" s="170"/>
      <c r="D545" s="29"/>
      <c r="E545" s="29"/>
      <c r="F545" s="29"/>
      <c r="I545" s="176">
        <v>43981</v>
      </c>
      <c r="J545" s="177" t="s">
        <v>1272</v>
      </c>
    </row>
    <row r="546" spans="2:10">
      <c r="B546" s="169"/>
      <c r="C546" s="170"/>
      <c r="D546" s="29"/>
      <c r="E546" s="29"/>
      <c r="F546" s="29"/>
      <c r="I546" s="176">
        <v>43981</v>
      </c>
      <c r="J546" s="177" t="s">
        <v>1273</v>
      </c>
    </row>
    <row r="547" spans="2:10">
      <c r="B547" s="169"/>
      <c r="C547" s="170"/>
      <c r="D547" s="29"/>
      <c r="E547" s="29"/>
      <c r="F547" s="29"/>
      <c r="I547" s="176">
        <v>43981</v>
      </c>
      <c r="J547" s="177" t="s">
        <v>1274</v>
      </c>
    </row>
    <row r="548" spans="2:10">
      <c r="B548" s="169"/>
      <c r="C548" s="170"/>
      <c r="D548" s="29"/>
      <c r="E548" s="29"/>
      <c r="F548" s="29"/>
      <c r="I548" s="176">
        <v>43981</v>
      </c>
      <c r="J548" s="177" t="s">
        <v>1275</v>
      </c>
    </row>
    <row r="549" spans="2:10">
      <c r="B549" s="169"/>
      <c r="C549" s="170"/>
      <c r="D549" s="29"/>
      <c r="E549" s="29"/>
      <c r="F549" s="29"/>
      <c r="I549" s="176">
        <v>43982</v>
      </c>
      <c r="J549" s="177" t="s">
        <v>1276</v>
      </c>
    </row>
    <row r="550" spans="2:10">
      <c r="B550" s="169"/>
      <c r="C550" s="170"/>
      <c r="D550" s="29"/>
      <c r="E550" s="29"/>
      <c r="F550" s="29"/>
      <c r="I550" s="176">
        <v>43982</v>
      </c>
      <c r="J550" s="177" t="s">
        <v>545</v>
      </c>
    </row>
    <row r="551" spans="2:10">
      <c r="B551" s="169"/>
      <c r="C551" s="170"/>
      <c r="D551" s="29"/>
      <c r="E551" s="29"/>
      <c r="F551" s="29"/>
      <c r="I551" s="176">
        <v>43982</v>
      </c>
      <c r="J551" s="177" t="s">
        <v>1277</v>
      </c>
    </row>
    <row r="552" spans="2:10">
      <c r="B552" s="169"/>
      <c r="C552" s="170"/>
      <c r="D552" s="29"/>
      <c r="E552" s="29"/>
      <c r="F552" s="29"/>
      <c r="I552" s="176">
        <v>43982</v>
      </c>
      <c r="J552" s="177" t="s">
        <v>1278</v>
      </c>
    </row>
    <row r="553" spans="2:10">
      <c r="B553" s="169"/>
      <c r="C553" s="170"/>
      <c r="D553" s="29"/>
      <c r="E553" s="29"/>
      <c r="F553" s="29"/>
      <c r="I553" s="176">
        <v>43982</v>
      </c>
      <c r="J553" s="177" t="s">
        <v>1279</v>
      </c>
    </row>
    <row r="554" spans="2:10">
      <c r="B554" s="169"/>
      <c r="C554" s="170"/>
      <c r="D554" s="29"/>
      <c r="E554" s="29"/>
      <c r="F554" s="29"/>
      <c r="I554" s="176">
        <v>43982</v>
      </c>
      <c r="J554" s="177" t="s">
        <v>1280</v>
      </c>
    </row>
    <row r="555" spans="2:10">
      <c r="B555" s="169"/>
      <c r="C555" s="170"/>
      <c r="D555" s="29"/>
      <c r="E555" s="29"/>
      <c r="F555" s="29"/>
      <c r="I555" s="176">
        <v>43983</v>
      </c>
      <c r="J555" s="177" t="s">
        <v>548</v>
      </c>
    </row>
    <row r="556" spans="2:10">
      <c r="B556" s="169"/>
      <c r="C556" s="170"/>
      <c r="D556" s="29"/>
      <c r="E556" s="29"/>
      <c r="F556" s="29"/>
      <c r="I556" s="176">
        <v>43983</v>
      </c>
      <c r="J556" s="177" t="s">
        <v>1281</v>
      </c>
    </row>
    <row r="557" spans="2:10">
      <c r="B557" s="169"/>
      <c r="C557" s="170"/>
      <c r="D557" s="29"/>
      <c r="E557" s="29"/>
      <c r="F557" s="29"/>
      <c r="I557" s="176">
        <v>43984</v>
      </c>
      <c r="J557" s="177" t="s">
        <v>551</v>
      </c>
    </row>
    <row r="558" spans="2:10">
      <c r="B558" s="169"/>
      <c r="C558" s="170"/>
      <c r="D558" s="29"/>
      <c r="E558" s="29"/>
      <c r="F558" s="29"/>
      <c r="I558" s="176">
        <v>43985</v>
      </c>
      <c r="J558" s="177" t="s">
        <v>553</v>
      </c>
    </row>
    <row r="559" spans="2:10">
      <c r="B559" s="169"/>
      <c r="C559" s="170"/>
      <c r="D559" s="29"/>
      <c r="E559" s="29"/>
      <c r="F559" s="29"/>
      <c r="I559" s="176">
        <v>43986</v>
      </c>
      <c r="J559" s="177" t="s">
        <v>556</v>
      </c>
    </row>
    <row r="560" spans="2:10">
      <c r="B560" s="169"/>
      <c r="C560" s="170"/>
      <c r="D560" s="29"/>
      <c r="E560" s="29"/>
      <c r="F560" s="29"/>
      <c r="I560" s="176">
        <v>43986</v>
      </c>
      <c r="J560" s="177" t="s">
        <v>1282</v>
      </c>
    </row>
    <row r="561" spans="2:10">
      <c r="B561" s="169"/>
      <c r="C561" s="170"/>
      <c r="D561" s="29"/>
      <c r="E561" s="29"/>
      <c r="F561" s="29"/>
      <c r="I561" s="176">
        <v>43987</v>
      </c>
      <c r="J561" s="177" t="s">
        <v>1283</v>
      </c>
    </row>
    <row r="562" spans="2:10">
      <c r="B562" s="169"/>
      <c r="C562" s="170"/>
      <c r="D562" s="29"/>
      <c r="E562" s="29"/>
      <c r="F562" s="29"/>
      <c r="I562" s="176">
        <v>43987</v>
      </c>
      <c r="J562" s="177" t="s">
        <v>559</v>
      </c>
    </row>
    <row r="563" spans="2:10">
      <c r="B563" s="169"/>
      <c r="C563" s="170"/>
      <c r="D563" s="29"/>
      <c r="E563" s="29"/>
      <c r="F563" s="29"/>
      <c r="I563" s="176">
        <v>43988</v>
      </c>
      <c r="J563" s="177" t="s">
        <v>1284</v>
      </c>
    </row>
    <row r="564" spans="2:10">
      <c r="B564" s="169"/>
      <c r="C564" s="170"/>
      <c r="D564" s="29"/>
      <c r="E564" s="29"/>
      <c r="F564" s="29"/>
      <c r="I564" s="176">
        <v>43988</v>
      </c>
      <c r="J564" s="177" t="s">
        <v>1285</v>
      </c>
    </row>
    <row r="565" spans="2:10">
      <c r="B565" s="169"/>
      <c r="C565" s="170"/>
      <c r="D565" s="29"/>
      <c r="E565" s="29"/>
      <c r="F565" s="29"/>
      <c r="I565" s="176">
        <v>43988</v>
      </c>
      <c r="J565" s="177" t="s">
        <v>1286</v>
      </c>
    </row>
    <row r="566" spans="2:10">
      <c r="B566" s="169"/>
      <c r="C566" s="170"/>
      <c r="D566" s="29"/>
      <c r="E566" s="29"/>
      <c r="F566" s="29"/>
      <c r="I566" s="176">
        <v>43988</v>
      </c>
      <c r="J566" s="177" t="s">
        <v>1287</v>
      </c>
    </row>
    <row r="567" spans="2:10">
      <c r="B567" s="169"/>
      <c r="C567" s="170"/>
      <c r="D567" s="29"/>
      <c r="E567" s="29"/>
      <c r="F567" s="29"/>
      <c r="I567" s="176">
        <v>43988</v>
      </c>
      <c r="J567" s="177" t="s">
        <v>1288</v>
      </c>
    </row>
    <row r="568" spans="2:10">
      <c r="B568" s="169"/>
      <c r="C568" s="170"/>
      <c r="D568" s="29"/>
      <c r="E568" s="29"/>
      <c r="F568" s="29"/>
      <c r="I568" s="176">
        <v>43988</v>
      </c>
      <c r="J568" s="177" t="s">
        <v>1289</v>
      </c>
    </row>
    <row r="569" spans="2:10">
      <c r="B569" s="169"/>
      <c r="C569" s="170"/>
      <c r="D569" s="29"/>
      <c r="E569" s="29"/>
      <c r="F569" s="29"/>
      <c r="I569" s="176">
        <v>43988</v>
      </c>
      <c r="J569" s="177" t="s">
        <v>562</v>
      </c>
    </row>
    <row r="570" spans="2:10">
      <c r="B570" s="169"/>
      <c r="C570" s="170"/>
      <c r="D570" s="29"/>
      <c r="E570" s="29"/>
      <c r="F570" s="29"/>
      <c r="I570" s="176">
        <v>43989</v>
      </c>
      <c r="J570" s="177" t="s">
        <v>564</v>
      </c>
    </row>
    <row r="571" spans="2:10">
      <c r="B571" s="169"/>
      <c r="C571" s="170"/>
      <c r="D571" s="29"/>
      <c r="E571" s="29"/>
      <c r="F571" s="29"/>
      <c r="I571" s="176">
        <v>43989</v>
      </c>
      <c r="J571" s="177" t="s">
        <v>1290</v>
      </c>
    </row>
    <row r="572" spans="2:10">
      <c r="B572" s="169"/>
      <c r="C572" s="170"/>
      <c r="D572" s="29"/>
      <c r="E572" s="29"/>
      <c r="F572" s="29"/>
      <c r="I572" s="176">
        <v>43989</v>
      </c>
      <c r="J572" s="177" t="s">
        <v>1291</v>
      </c>
    </row>
    <row r="573" spans="2:10">
      <c r="B573" s="169"/>
      <c r="C573" s="170"/>
      <c r="D573" s="29"/>
      <c r="E573" s="29"/>
      <c r="F573" s="29"/>
      <c r="I573" s="176">
        <v>43989</v>
      </c>
      <c r="J573" s="177" t="s">
        <v>1292</v>
      </c>
    </row>
    <row r="574" spans="2:10">
      <c r="B574" s="169"/>
      <c r="C574" s="170"/>
      <c r="D574" s="29"/>
      <c r="E574" s="29"/>
      <c r="F574" s="29"/>
      <c r="I574" s="176">
        <v>43990</v>
      </c>
      <c r="J574" s="177" t="s">
        <v>1116</v>
      </c>
    </row>
    <row r="575" spans="2:10">
      <c r="B575" s="169"/>
      <c r="C575" s="170"/>
      <c r="D575" s="29"/>
      <c r="E575" s="29"/>
      <c r="F575" s="29"/>
      <c r="I575" s="176">
        <v>43990</v>
      </c>
      <c r="J575" s="177" t="s">
        <v>1293</v>
      </c>
    </row>
    <row r="576" spans="2:10">
      <c r="B576" s="169"/>
      <c r="C576" s="170"/>
      <c r="D576" s="29"/>
      <c r="E576" s="29"/>
      <c r="F576" s="29"/>
      <c r="I576" s="176">
        <v>43990</v>
      </c>
      <c r="J576" s="177" t="s">
        <v>1294</v>
      </c>
    </row>
    <row r="577" spans="2:10">
      <c r="B577" s="169"/>
      <c r="C577" s="170"/>
      <c r="D577" s="29"/>
      <c r="E577" s="29"/>
      <c r="F577" s="29"/>
      <c r="I577" s="176">
        <v>43990</v>
      </c>
      <c r="J577" s="177" t="s">
        <v>12</v>
      </c>
    </row>
    <row r="578" spans="2:10">
      <c r="B578" s="169"/>
      <c r="C578" s="170"/>
      <c r="D578" s="29"/>
      <c r="E578" s="29"/>
      <c r="F578" s="29"/>
      <c r="I578" s="176">
        <v>43990</v>
      </c>
      <c r="J578" s="177" t="s">
        <v>567</v>
      </c>
    </row>
    <row r="579" spans="2:10">
      <c r="B579" s="169"/>
      <c r="C579" s="170"/>
      <c r="D579" s="29"/>
      <c r="E579" s="29"/>
      <c r="F579" s="29"/>
      <c r="I579" s="176">
        <v>43990</v>
      </c>
      <c r="J579" s="177" t="s">
        <v>1295</v>
      </c>
    </row>
    <row r="580" spans="2:10">
      <c r="B580" s="169"/>
      <c r="C580" s="170"/>
      <c r="D580" s="29"/>
      <c r="E580" s="29"/>
      <c r="F580" s="29"/>
      <c r="I580" s="176">
        <v>43990</v>
      </c>
      <c r="J580" s="177" t="s">
        <v>1296</v>
      </c>
    </row>
    <row r="581" spans="2:10">
      <c r="B581" s="169"/>
      <c r="C581" s="170"/>
      <c r="D581" s="29"/>
      <c r="E581" s="29"/>
      <c r="F581" s="29"/>
      <c r="I581" s="176">
        <v>43991</v>
      </c>
      <c r="J581" s="177" t="s">
        <v>1297</v>
      </c>
    </row>
    <row r="582" spans="2:10">
      <c r="B582" s="169"/>
      <c r="C582" s="170"/>
      <c r="D582" s="29"/>
      <c r="E582" s="29"/>
      <c r="F582" s="29"/>
      <c r="I582" s="176">
        <v>43991</v>
      </c>
      <c r="J582" s="177" t="s">
        <v>570</v>
      </c>
    </row>
    <row r="583" spans="2:10">
      <c r="B583" s="169"/>
      <c r="C583" s="170"/>
      <c r="D583" s="29"/>
      <c r="E583" s="29"/>
      <c r="F583" s="29"/>
      <c r="I583" s="176">
        <v>43991</v>
      </c>
      <c r="J583" s="177" t="s">
        <v>1298</v>
      </c>
    </row>
    <row r="584" spans="2:10">
      <c r="B584" s="169"/>
      <c r="C584" s="170"/>
      <c r="D584" s="29"/>
      <c r="E584" s="29"/>
      <c r="F584" s="29"/>
      <c r="I584" s="176">
        <v>43991</v>
      </c>
      <c r="J584" s="177" t="s">
        <v>1299</v>
      </c>
    </row>
    <row r="585" spans="2:10">
      <c r="B585" s="169"/>
      <c r="C585" s="170"/>
      <c r="D585" s="29"/>
      <c r="E585" s="29"/>
      <c r="F585" s="29"/>
      <c r="I585" s="176">
        <v>43992</v>
      </c>
      <c r="J585" s="177" t="s">
        <v>1300</v>
      </c>
    </row>
    <row r="586" spans="2:10">
      <c r="B586" s="169"/>
      <c r="C586" s="170"/>
      <c r="D586" s="29"/>
      <c r="E586" s="29"/>
      <c r="F586" s="29"/>
      <c r="I586" s="176">
        <v>43992</v>
      </c>
      <c r="J586" s="177" t="s">
        <v>572</v>
      </c>
    </row>
    <row r="587" spans="2:10">
      <c r="B587" s="169"/>
      <c r="C587" s="170"/>
      <c r="D587" s="29"/>
      <c r="E587" s="29"/>
      <c r="F587" s="29"/>
      <c r="I587" s="176">
        <v>43993</v>
      </c>
      <c r="J587" s="177" t="s">
        <v>574</v>
      </c>
    </row>
    <row r="588" spans="2:10">
      <c r="B588" s="169"/>
      <c r="C588" s="170"/>
      <c r="D588" s="29"/>
      <c r="E588" s="29"/>
      <c r="F588" s="29"/>
      <c r="I588" s="176">
        <v>43993</v>
      </c>
      <c r="J588" s="177" t="s">
        <v>1301</v>
      </c>
    </row>
    <row r="589" spans="2:10">
      <c r="B589" s="169"/>
      <c r="C589" s="170"/>
      <c r="D589" s="29"/>
      <c r="E589" s="29"/>
      <c r="F589" s="29"/>
      <c r="I589" s="176">
        <v>43994</v>
      </c>
      <c r="J589" s="177" t="s">
        <v>577</v>
      </c>
    </row>
    <row r="590" spans="2:10">
      <c r="B590" s="169"/>
      <c r="C590" s="170"/>
      <c r="D590" s="29"/>
      <c r="E590" s="29"/>
      <c r="F590" s="29"/>
      <c r="I590" s="176">
        <v>43995</v>
      </c>
      <c r="J590" s="177" t="s">
        <v>581</v>
      </c>
    </row>
    <row r="591" spans="2:10">
      <c r="B591" s="169"/>
      <c r="C591" s="170"/>
      <c r="D591" s="29"/>
      <c r="E591" s="29"/>
      <c r="F591" s="29"/>
      <c r="I591" s="176">
        <v>43996</v>
      </c>
      <c r="J591" s="177" t="s">
        <v>1302</v>
      </c>
    </row>
    <row r="592" spans="2:10">
      <c r="B592" s="169"/>
      <c r="C592" s="170"/>
      <c r="D592" s="29"/>
      <c r="E592" s="29"/>
      <c r="F592" s="29"/>
      <c r="I592" s="176">
        <v>43996</v>
      </c>
      <c r="J592" s="177" t="s">
        <v>1303</v>
      </c>
    </row>
    <row r="593" spans="2:10">
      <c r="B593" s="169"/>
      <c r="C593" s="170"/>
      <c r="D593" s="29"/>
      <c r="E593" s="29"/>
      <c r="F593" s="29"/>
      <c r="I593" s="176">
        <v>43996</v>
      </c>
      <c r="J593" s="177" t="s">
        <v>1304</v>
      </c>
    </row>
    <row r="594" spans="2:10">
      <c r="B594" s="169"/>
      <c r="C594" s="29"/>
      <c r="D594" s="29"/>
      <c r="E594" s="29"/>
      <c r="F594" s="29"/>
      <c r="I594" s="176">
        <v>43996</v>
      </c>
      <c r="J594" s="177" t="s">
        <v>1305</v>
      </c>
    </row>
    <row r="595" spans="2:10">
      <c r="B595" s="169"/>
      <c r="C595" s="29"/>
      <c r="D595" s="29"/>
      <c r="E595" s="29"/>
      <c r="F595" s="29"/>
      <c r="I595" s="176">
        <v>43996</v>
      </c>
      <c r="J595" s="177" t="s">
        <v>1306</v>
      </c>
    </row>
    <row r="596" spans="2:10">
      <c r="B596" s="169"/>
      <c r="C596" s="29"/>
      <c r="D596" s="29"/>
      <c r="E596" s="29"/>
      <c r="F596" s="29"/>
      <c r="I596" s="176">
        <v>43997</v>
      </c>
      <c r="J596" s="177" t="s">
        <v>587</v>
      </c>
    </row>
    <row r="597" spans="2:10">
      <c r="B597" s="169"/>
      <c r="C597" s="29"/>
      <c r="D597" s="29"/>
      <c r="E597" s="29"/>
      <c r="F597" s="29"/>
      <c r="I597" s="176">
        <v>43998</v>
      </c>
      <c r="J597" s="177" t="s">
        <v>1307</v>
      </c>
    </row>
    <row r="598" spans="2:10">
      <c r="B598" s="169"/>
      <c r="C598" s="29"/>
      <c r="D598" s="29"/>
      <c r="E598" s="29"/>
      <c r="F598" s="29"/>
      <c r="I598" s="176">
        <v>43998</v>
      </c>
      <c r="J598" s="177" t="s">
        <v>1308</v>
      </c>
    </row>
    <row r="599" spans="2:10">
      <c r="B599" s="169"/>
      <c r="C599" s="29"/>
      <c r="D599" s="29"/>
      <c r="E599" s="29"/>
      <c r="F599" s="29"/>
      <c r="I599" s="176">
        <v>43998</v>
      </c>
      <c r="J599" s="177" t="s">
        <v>1309</v>
      </c>
    </row>
    <row r="600" spans="2:10">
      <c r="B600" s="169"/>
      <c r="C600" s="29"/>
      <c r="D600" s="29"/>
      <c r="E600" s="29"/>
      <c r="F600" s="29"/>
      <c r="I600" s="176">
        <v>43998</v>
      </c>
      <c r="J600" s="177" t="s">
        <v>1310</v>
      </c>
    </row>
    <row r="601" spans="2:10">
      <c r="B601" s="169"/>
      <c r="C601" s="29"/>
      <c r="D601" s="29"/>
      <c r="E601" s="29"/>
      <c r="F601" s="29"/>
      <c r="I601" s="176">
        <v>43998</v>
      </c>
      <c r="J601" s="177" t="s">
        <v>1311</v>
      </c>
    </row>
    <row r="602" spans="2:10">
      <c r="B602" s="169"/>
      <c r="C602" s="29"/>
      <c r="D602" s="29"/>
      <c r="E602" s="29"/>
      <c r="F602" s="29"/>
      <c r="I602" s="176">
        <v>43998</v>
      </c>
      <c r="J602" s="177" t="s">
        <v>1312</v>
      </c>
    </row>
    <row r="603" spans="2:10">
      <c r="B603" s="169"/>
      <c r="C603" s="29"/>
      <c r="D603" s="29"/>
      <c r="E603" s="29"/>
      <c r="F603" s="29"/>
      <c r="I603" s="176">
        <v>43998</v>
      </c>
      <c r="J603" s="177" t="s">
        <v>1313</v>
      </c>
    </row>
    <row r="604" spans="2:10">
      <c r="B604" s="169"/>
      <c r="C604" s="29"/>
      <c r="D604" s="29"/>
      <c r="E604" s="29"/>
      <c r="F604" s="29"/>
      <c r="I604" s="176">
        <v>43999</v>
      </c>
      <c r="J604" s="177" t="s">
        <v>592</v>
      </c>
    </row>
    <row r="605" spans="2:10">
      <c r="B605" s="169"/>
      <c r="C605" s="29"/>
      <c r="D605" s="29"/>
      <c r="E605" s="29"/>
      <c r="F605" s="29"/>
      <c r="I605" s="176">
        <v>43999</v>
      </c>
      <c r="J605" s="177" t="s">
        <v>1314</v>
      </c>
    </row>
    <row r="606" spans="2:10">
      <c r="B606" s="169"/>
      <c r="C606" s="29"/>
      <c r="D606" s="29"/>
      <c r="E606" s="29"/>
      <c r="F606" s="29"/>
      <c r="I606" s="176">
        <v>43999</v>
      </c>
      <c r="J606" s="177" t="s">
        <v>1315</v>
      </c>
    </row>
    <row r="607" spans="2:10">
      <c r="B607" s="169"/>
      <c r="C607" s="29"/>
      <c r="D607" s="29"/>
      <c r="E607" s="29"/>
      <c r="F607" s="29"/>
      <c r="I607" s="176">
        <v>44000</v>
      </c>
      <c r="J607" s="177" t="s">
        <v>1316</v>
      </c>
    </row>
    <row r="608" spans="2:10">
      <c r="B608" s="169"/>
      <c r="C608" s="29"/>
      <c r="D608" s="29"/>
      <c r="E608" s="29"/>
      <c r="F608" s="29"/>
      <c r="I608" s="176">
        <v>44000</v>
      </c>
      <c r="J608" s="177" t="s">
        <v>1317</v>
      </c>
    </row>
    <row r="609" spans="2:10">
      <c r="B609" s="169"/>
      <c r="C609" s="29"/>
      <c r="D609" s="29"/>
      <c r="E609" s="29"/>
      <c r="F609" s="29"/>
      <c r="I609" s="176">
        <v>44000</v>
      </c>
      <c r="J609" s="177" t="s">
        <v>595</v>
      </c>
    </row>
    <row r="610" spans="2:10">
      <c r="B610" s="169"/>
      <c r="C610" s="29"/>
      <c r="D610" s="29"/>
      <c r="E610" s="29"/>
      <c r="F610" s="29"/>
      <c r="I610" s="176">
        <v>44001</v>
      </c>
      <c r="J610" s="177" t="s">
        <v>1318</v>
      </c>
    </row>
    <row r="611" spans="2:10">
      <c r="B611" s="169"/>
      <c r="C611" s="29"/>
      <c r="D611" s="29"/>
      <c r="E611" s="29"/>
      <c r="F611" s="29"/>
      <c r="I611" s="176">
        <v>44001</v>
      </c>
      <c r="J611" s="177" t="s">
        <v>1319</v>
      </c>
    </row>
    <row r="612" spans="2:10">
      <c r="B612" s="169"/>
      <c r="C612" s="29"/>
      <c r="D612" s="29"/>
      <c r="E612" s="29"/>
      <c r="F612" s="29"/>
      <c r="I612" s="176">
        <v>44001</v>
      </c>
      <c r="J612" s="177" t="s">
        <v>1320</v>
      </c>
    </row>
    <row r="613" spans="2:10">
      <c r="B613" s="169"/>
      <c r="C613" s="29"/>
      <c r="D613" s="29"/>
      <c r="E613" s="29"/>
      <c r="F613" s="29"/>
      <c r="I613" s="176">
        <v>44001</v>
      </c>
      <c r="J613" s="177" t="s">
        <v>597</v>
      </c>
    </row>
    <row r="614" spans="2:10">
      <c r="B614" s="169"/>
      <c r="C614" s="29"/>
      <c r="D614" s="29"/>
      <c r="E614" s="29"/>
      <c r="F614" s="29"/>
      <c r="I614" s="176">
        <v>44002</v>
      </c>
      <c r="J614" s="177" t="s">
        <v>600</v>
      </c>
    </row>
    <row r="615" spans="2:10">
      <c r="B615" s="169"/>
      <c r="C615" s="29"/>
      <c r="D615" s="29"/>
      <c r="E615" s="29"/>
      <c r="F615" s="29"/>
      <c r="I615" s="176">
        <v>44003</v>
      </c>
      <c r="J615" s="177" t="s">
        <v>1321</v>
      </c>
    </row>
    <row r="616" spans="2:10">
      <c r="B616" s="169"/>
      <c r="C616" s="29"/>
      <c r="D616" s="29"/>
      <c r="E616" s="29"/>
      <c r="F616" s="29"/>
      <c r="I616" s="176">
        <v>44003</v>
      </c>
      <c r="J616" s="177" t="s">
        <v>1322</v>
      </c>
    </row>
    <row r="617" spans="2:10">
      <c r="B617" s="169"/>
      <c r="C617" s="29"/>
      <c r="D617" s="29"/>
      <c r="E617" s="29"/>
      <c r="F617" s="29"/>
      <c r="I617" s="176">
        <v>44003</v>
      </c>
      <c r="J617" s="177" t="s">
        <v>1323</v>
      </c>
    </row>
    <row r="618" spans="2:10">
      <c r="B618" s="169"/>
      <c r="C618" s="29"/>
      <c r="D618" s="29"/>
      <c r="E618" s="29"/>
      <c r="F618" s="29"/>
      <c r="I618" s="176">
        <v>44003</v>
      </c>
      <c r="J618" s="177" t="s">
        <v>1324</v>
      </c>
    </row>
    <row r="619" spans="2:10">
      <c r="B619" s="169"/>
      <c r="C619" s="29"/>
      <c r="D619" s="29"/>
      <c r="E619" s="29"/>
      <c r="F619" s="29"/>
      <c r="I619" s="176">
        <v>44003</v>
      </c>
      <c r="J619" s="177" t="s">
        <v>603</v>
      </c>
    </row>
    <row r="620" spans="2:10">
      <c r="B620" s="169"/>
      <c r="C620" s="29"/>
      <c r="D620" s="29"/>
      <c r="E620" s="29"/>
      <c r="F620" s="29"/>
      <c r="I620" s="176">
        <v>44003</v>
      </c>
      <c r="J620" s="177" t="s">
        <v>1325</v>
      </c>
    </row>
    <row r="621" spans="2:10">
      <c r="B621" s="169"/>
      <c r="C621" s="29"/>
      <c r="D621" s="29"/>
      <c r="E621" s="29"/>
      <c r="F621" s="29"/>
      <c r="I621" s="176">
        <v>44003</v>
      </c>
      <c r="J621" s="177" t="s">
        <v>1326</v>
      </c>
    </row>
    <row r="622" spans="2:10">
      <c r="B622" s="169"/>
      <c r="C622" s="29"/>
      <c r="D622" s="29"/>
      <c r="E622" s="29"/>
      <c r="F622" s="29"/>
      <c r="I622" s="176">
        <v>44003</v>
      </c>
      <c r="J622" s="177" t="s">
        <v>1327</v>
      </c>
    </row>
    <row r="623" spans="2:10">
      <c r="B623" s="169"/>
      <c r="C623" s="29"/>
      <c r="D623" s="29"/>
      <c r="E623" s="29"/>
      <c r="F623" s="29"/>
      <c r="I623" s="176">
        <v>44003</v>
      </c>
      <c r="J623" s="177" t="s">
        <v>1328</v>
      </c>
    </row>
    <row r="624" spans="2:10">
      <c r="B624" s="169"/>
      <c r="C624" s="29"/>
      <c r="D624" s="29"/>
      <c r="E624" s="29"/>
      <c r="F624" s="29"/>
      <c r="I624" s="176">
        <v>44003</v>
      </c>
      <c r="J624" s="177" t="s">
        <v>1329</v>
      </c>
    </row>
    <row r="625" spans="2:10">
      <c r="B625" s="169"/>
      <c r="C625" s="29"/>
      <c r="D625" s="29"/>
      <c r="E625" s="29"/>
      <c r="F625" s="29"/>
      <c r="I625" s="176">
        <v>44003</v>
      </c>
      <c r="J625" s="177" t="s">
        <v>1330</v>
      </c>
    </row>
    <row r="626" spans="2:10">
      <c r="B626" s="169"/>
      <c r="C626" s="29"/>
      <c r="D626" s="29"/>
      <c r="E626" s="29"/>
      <c r="F626" s="29"/>
      <c r="I626" s="176">
        <v>44003</v>
      </c>
      <c r="J626" s="177" t="s">
        <v>1331</v>
      </c>
    </row>
    <row r="627" spans="2:10">
      <c r="B627" s="169"/>
      <c r="C627" s="29"/>
      <c r="D627" s="29"/>
      <c r="E627" s="29"/>
      <c r="F627" s="29"/>
      <c r="I627" s="176">
        <v>44003</v>
      </c>
      <c r="J627" s="177" t="s">
        <v>1332</v>
      </c>
    </row>
    <row r="628" spans="2:10">
      <c r="B628" s="169"/>
      <c r="C628" s="29"/>
      <c r="D628" s="29"/>
      <c r="E628" s="29"/>
      <c r="F628" s="29"/>
      <c r="I628" s="176">
        <v>44003</v>
      </c>
      <c r="J628" s="177" t="s">
        <v>1333</v>
      </c>
    </row>
    <row r="629" spans="2:10">
      <c r="B629" s="169"/>
      <c r="C629" s="29"/>
      <c r="D629" s="29"/>
      <c r="E629" s="29"/>
      <c r="F629" s="29"/>
      <c r="I629" s="176">
        <v>44004</v>
      </c>
      <c r="J629" s="177" t="s">
        <v>606</v>
      </c>
    </row>
    <row r="630" spans="2:10">
      <c r="B630" s="169"/>
      <c r="C630" s="29"/>
      <c r="D630" s="29"/>
      <c r="E630" s="29"/>
      <c r="F630" s="29"/>
      <c r="I630" s="176">
        <v>44004</v>
      </c>
      <c r="J630" s="177" t="s">
        <v>1334</v>
      </c>
    </row>
    <row r="631" spans="2:10">
      <c r="B631" s="169"/>
      <c r="C631" s="29"/>
      <c r="D631" s="29"/>
      <c r="E631" s="29"/>
      <c r="F631" s="29"/>
      <c r="I631" s="176">
        <v>44004</v>
      </c>
      <c r="J631" s="177" t="s">
        <v>1335</v>
      </c>
    </row>
    <row r="632" spans="2:10">
      <c r="B632" s="169"/>
      <c r="C632" s="29"/>
      <c r="D632" s="29"/>
      <c r="E632" s="29"/>
      <c r="F632" s="29"/>
      <c r="I632" s="176">
        <v>44004</v>
      </c>
      <c r="J632" s="177" t="s">
        <v>1336</v>
      </c>
    </row>
    <row r="633" spans="2:10">
      <c r="B633" s="169"/>
      <c r="C633" s="29"/>
      <c r="D633" s="29"/>
      <c r="E633" s="29"/>
      <c r="F633" s="29"/>
      <c r="I633" s="176">
        <v>44004</v>
      </c>
      <c r="J633" s="177" t="s">
        <v>1337</v>
      </c>
    </row>
    <row r="634" spans="2:10">
      <c r="B634" s="169"/>
      <c r="C634" s="29"/>
      <c r="D634" s="29"/>
      <c r="E634" s="29"/>
      <c r="F634" s="29"/>
      <c r="I634" s="176">
        <v>44004</v>
      </c>
      <c r="J634" s="177" t="s">
        <v>1338</v>
      </c>
    </row>
    <row r="635" spans="2:10">
      <c r="B635" s="169"/>
      <c r="C635" s="29"/>
      <c r="D635" s="29"/>
      <c r="E635" s="29"/>
      <c r="F635" s="29"/>
      <c r="I635" s="176">
        <v>44004</v>
      </c>
      <c r="J635" s="177" t="s">
        <v>1339</v>
      </c>
    </row>
    <row r="636" spans="2:10">
      <c r="B636" s="169"/>
      <c r="C636" s="29"/>
      <c r="D636" s="29"/>
      <c r="E636" s="29"/>
      <c r="F636" s="29"/>
      <c r="I636" s="176">
        <v>44004</v>
      </c>
      <c r="J636" s="177" t="s">
        <v>1340</v>
      </c>
    </row>
    <row r="637" spans="2:10">
      <c r="B637" s="169"/>
      <c r="C637" s="29"/>
      <c r="D637" s="29"/>
      <c r="E637" s="29"/>
      <c r="F637" s="29"/>
      <c r="I637" s="176">
        <v>44005</v>
      </c>
      <c r="J637" s="177" t="s">
        <v>609</v>
      </c>
    </row>
    <row r="638" spans="2:10">
      <c r="B638" s="169"/>
      <c r="C638" s="29"/>
      <c r="D638" s="29"/>
      <c r="E638" s="29"/>
      <c r="F638" s="29"/>
      <c r="I638" s="176">
        <v>44006</v>
      </c>
      <c r="J638" s="177" t="s">
        <v>1341</v>
      </c>
    </row>
    <row r="639" spans="2:10">
      <c r="B639" s="169"/>
      <c r="C639" s="29"/>
      <c r="D639" s="29"/>
      <c r="E639" s="29"/>
      <c r="F639" s="29"/>
      <c r="I639" s="176">
        <v>44006</v>
      </c>
      <c r="J639" s="177" t="s">
        <v>1342</v>
      </c>
    </row>
    <row r="640" spans="2:10">
      <c r="B640" s="169"/>
      <c r="C640" s="29"/>
      <c r="D640" s="29"/>
      <c r="E640" s="29"/>
      <c r="F640" s="29"/>
      <c r="I640" s="176">
        <v>44006</v>
      </c>
      <c r="J640" s="177" t="s">
        <v>1343</v>
      </c>
    </row>
    <row r="641" spans="2:10">
      <c r="B641" s="169"/>
      <c r="C641" s="29"/>
      <c r="D641" s="29"/>
      <c r="E641" s="29"/>
      <c r="F641" s="29"/>
      <c r="I641" s="176">
        <v>44006</v>
      </c>
      <c r="J641" s="177" t="s">
        <v>1125</v>
      </c>
    </row>
    <row r="642" spans="2:10">
      <c r="B642" s="169"/>
      <c r="C642" s="29"/>
      <c r="D642" s="29"/>
      <c r="E642" s="29"/>
      <c r="F642" s="29"/>
      <c r="I642" s="176">
        <v>44006</v>
      </c>
      <c r="J642" s="177" t="s">
        <v>612</v>
      </c>
    </row>
    <row r="643" spans="2:10">
      <c r="B643" s="169"/>
      <c r="C643" s="29"/>
      <c r="D643" s="29"/>
      <c r="E643" s="29"/>
      <c r="F643" s="29"/>
      <c r="I643" s="176">
        <v>44006</v>
      </c>
      <c r="J643" s="177" t="s">
        <v>1344</v>
      </c>
    </row>
    <row r="644" spans="2:10">
      <c r="B644" s="169"/>
      <c r="C644" s="29"/>
      <c r="D644" s="29"/>
      <c r="E644" s="29"/>
      <c r="F644" s="29"/>
      <c r="I644" s="176">
        <v>44006</v>
      </c>
      <c r="J644" s="177" t="s">
        <v>1345</v>
      </c>
    </row>
    <row r="645" spans="2:10">
      <c r="B645" s="169"/>
      <c r="C645" s="29"/>
      <c r="D645" s="29"/>
      <c r="E645" s="29"/>
      <c r="F645" s="29"/>
      <c r="I645" s="176">
        <v>44006</v>
      </c>
      <c r="J645" s="177" t="s">
        <v>1346</v>
      </c>
    </row>
    <row r="646" spans="2:10">
      <c r="B646" s="169"/>
      <c r="C646" s="29"/>
      <c r="D646" s="29"/>
      <c r="E646" s="29"/>
      <c r="F646" s="29"/>
      <c r="I646" s="176">
        <v>44006</v>
      </c>
      <c r="J646" s="177" t="s">
        <v>1347</v>
      </c>
    </row>
    <row r="647" spans="2:10">
      <c r="B647" s="169"/>
      <c r="C647" s="29"/>
      <c r="D647" s="29"/>
      <c r="E647" s="29"/>
      <c r="F647" s="29"/>
      <c r="I647" s="176">
        <v>44006</v>
      </c>
      <c r="J647" s="177" t="s">
        <v>1348</v>
      </c>
    </row>
    <row r="648" spans="2:10">
      <c r="B648" s="169"/>
      <c r="C648" s="29"/>
      <c r="D648" s="29"/>
      <c r="E648" s="29"/>
      <c r="F648" s="29"/>
      <c r="I648" s="176">
        <v>44006</v>
      </c>
      <c r="J648" s="177" t="s">
        <v>1349</v>
      </c>
    </row>
    <row r="649" spans="2:10">
      <c r="B649" s="169"/>
      <c r="C649" s="29"/>
      <c r="D649" s="29"/>
      <c r="E649" s="29"/>
      <c r="F649" s="29"/>
      <c r="I649" s="176">
        <v>44006</v>
      </c>
      <c r="J649" s="177" t="s">
        <v>1350</v>
      </c>
    </row>
    <row r="650" spans="2:10">
      <c r="B650" s="169"/>
      <c r="C650" s="29"/>
      <c r="D650" s="29"/>
      <c r="E650" s="29"/>
      <c r="F650" s="29"/>
      <c r="I650" s="176">
        <v>44007</v>
      </c>
      <c r="J650" s="177" t="s">
        <v>1351</v>
      </c>
    </row>
    <row r="651" spans="2:10">
      <c r="B651" s="169"/>
      <c r="C651" s="29"/>
      <c r="D651" s="29"/>
      <c r="E651" s="29"/>
      <c r="F651" s="29"/>
      <c r="I651" s="176">
        <v>44007</v>
      </c>
      <c r="J651" s="177" t="s">
        <v>1352</v>
      </c>
    </row>
    <row r="652" spans="2:10">
      <c r="B652" s="169"/>
      <c r="C652" s="29"/>
      <c r="D652" s="29"/>
      <c r="E652" s="29"/>
      <c r="F652" s="29"/>
      <c r="I652" s="176">
        <v>44007</v>
      </c>
      <c r="J652" s="177" t="s">
        <v>1353</v>
      </c>
    </row>
    <row r="653" spans="2:10">
      <c r="B653" s="169"/>
      <c r="C653" s="29"/>
      <c r="D653" s="29"/>
      <c r="E653" s="29"/>
      <c r="F653" s="29"/>
      <c r="I653" s="176">
        <v>44007</v>
      </c>
      <c r="J653" s="177" t="s">
        <v>1354</v>
      </c>
    </row>
    <row r="654" spans="2:10">
      <c r="B654" s="169"/>
      <c r="C654" s="29"/>
      <c r="D654" s="29"/>
      <c r="E654" s="29"/>
      <c r="F654" s="29"/>
      <c r="I654" s="176">
        <v>44007</v>
      </c>
      <c r="J654" s="177" t="s">
        <v>1355</v>
      </c>
    </row>
    <row r="655" spans="2:10">
      <c r="B655" s="169"/>
      <c r="C655" s="29"/>
      <c r="D655" s="29"/>
      <c r="E655" s="29"/>
      <c r="F655" s="29"/>
      <c r="I655" s="176">
        <v>44007</v>
      </c>
      <c r="J655" s="177" t="s">
        <v>1356</v>
      </c>
    </row>
    <row r="656" spans="2:10">
      <c r="B656" s="169"/>
      <c r="C656" s="29"/>
      <c r="D656" s="29"/>
      <c r="E656" s="29"/>
      <c r="F656" s="29"/>
      <c r="I656" s="176">
        <v>44008</v>
      </c>
      <c r="J656" s="177" t="s">
        <v>616</v>
      </c>
    </row>
    <row r="657" spans="2:10">
      <c r="B657" s="169"/>
      <c r="C657" s="29"/>
      <c r="D657" s="29"/>
      <c r="E657" s="29"/>
      <c r="F657" s="29"/>
      <c r="I657" s="176">
        <v>44008</v>
      </c>
      <c r="J657" s="177" t="s">
        <v>1357</v>
      </c>
    </row>
    <row r="658" spans="2:10">
      <c r="B658" s="169"/>
      <c r="C658" s="29"/>
      <c r="D658" s="29"/>
      <c r="E658" s="29"/>
      <c r="F658" s="29"/>
      <c r="I658" s="176">
        <v>44009</v>
      </c>
      <c r="J658" s="177" t="s">
        <v>619</v>
      </c>
    </row>
    <row r="659" spans="2:10">
      <c r="B659" s="169"/>
      <c r="C659" s="29"/>
      <c r="D659" s="29"/>
      <c r="E659" s="29"/>
      <c r="F659" s="29"/>
      <c r="I659" s="176">
        <v>44009</v>
      </c>
      <c r="J659" s="177" t="s">
        <v>1358</v>
      </c>
    </row>
    <row r="660" spans="2:10">
      <c r="B660" s="169"/>
      <c r="C660" s="29"/>
      <c r="D660" s="29"/>
      <c r="E660" s="29"/>
      <c r="F660" s="29"/>
      <c r="I660" s="176">
        <v>44010</v>
      </c>
      <c r="J660" s="177" t="s">
        <v>622</v>
      </c>
    </row>
    <row r="661" spans="2:10">
      <c r="B661" s="169"/>
      <c r="C661" s="29"/>
      <c r="D661" s="29"/>
      <c r="E661" s="29"/>
      <c r="F661" s="29"/>
      <c r="I661" s="176">
        <v>44011</v>
      </c>
      <c r="J661" s="177" t="s">
        <v>1359</v>
      </c>
    </row>
    <row r="662" spans="2:10">
      <c r="B662" s="169"/>
      <c r="C662" s="29"/>
      <c r="D662" s="29"/>
      <c r="E662" s="29"/>
      <c r="F662" s="29"/>
      <c r="I662" s="176">
        <v>44011</v>
      </c>
      <c r="J662" s="177" t="s">
        <v>1360</v>
      </c>
    </row>
    <row r="663" spans="2:10">
      <c r="B663" s="169"/>
      <c r="C663" s="29"/>
      <c r="D663" s="29"/>
      <c r="E663" s="29"/>
      <c r="F663" s="29"/>
      <c r="I663" s="176">
        <v>44011</v>
      </c>
      <c r="J663" s="177" t="s">
        <v>1361</v>
      </c>
    </row>
    <row r="664" spans="2:10">
      <c r="B664" s="169"/>
      <c r="C664" s="29"/>
      <c r="D664" s="29"/>
      <c r="E664" s="29"/>
      <c r="F664" s="29"/>
      <c r="I664" s="176">
        <v>44011</v>
      </c>
      <c r="J664" s="177" t="s">
        <v>1362</v>
      </c>
    </row>
    <row r="665" spans="2:10">
      <c r="B665" s="169"/>
      <c r="C665" s="29"/>
      <c r="D665" s="29"/>
      <c r="E665" s="29"/>
      <c r="F665" s="29"/>
      <c r="I665" s="176">
        <v>44011</v>
      </c>
      <c r="J665" s="177" t="s">
        <v>185</v>
      </c>
    </row>
    <row r="666" spans="2:10">
      <c r="B666" s="169"/>
      <c r="C666" s="29"/>
      <c r="D666" s="29"/>
      <c r="E666" s="29"/>
      <c r="F666" s="29"/>
      <c r="I666" s="176">
        <v>44011</v>
      </c>
      <c r="J666" s="177" t="s">
        <v>1363</v>
      </c>
    </row>
    <row r="667" spans="2:10">
      <c r="B667" s="169"/>
      <c r="C667" s="29"/>
      <c r="D667" s="29"/>
      <c r="E667" s="29"/>
      <c r="F667" s="29"/>
      <c r="I667" s="176">
        <v>44011</v>
      </c>
      <c r="J667" s="177" t="s">
        <v>1364</v>
      </c>
    </row>
    <row r="668" spans="2:10">
      <c r="B668" s="169"/>
      <c r="C668" s="29"/>
      <c r="D668" s="29"/>
      <c r="E668" s="29"/>
      <c r="F668" s="29"/>
      <c r="I668" s="176">
        <v>44011</v>
      </c>
      <c r="J668" s="177" t="s">
        <v>1365</v>
      </c>
    </row>
    <row r="669" spans="2:10">
      <c r="B669" s="169"/>
      <c r="C669" s="29"/>
      <c r="D669" s="29"/>
      <c r="E669" s="29"/>
      <c r="F669" s="29"/>
      <c r="I669" s="176">
        <v>44011</v>
      </c>
      <c r="J669" s="177" t="s">
        <v>1366</v>
      </c>
    </row>
    <row r="670" spans="2:10">
      <c r="B670" s="169"/>
      <c r="C670" s="29"/>
      <c r="D670" s="29"/>
      <c r="E670" s="29"/>
      <c r="F670" s="29"/>
      <c r="I670" s="176">
        <v>44011</v>
      </c>
      <c r="J670" s="177" t="s">
        <v>1132</v>
      </c>
    </row>
    <row r="671" spans="2:10">
      <c r="B671" s="169"/>
      <c r="C671" s="29"/>
      <c r="D671" s="29"/>
      <c r="E671" s="29"/>
      <c r="F671" s="29"/>
      <c r="I671" s="176">
        <v>44011</v>
      </c>
      <c r="J671" s="177" t="s">
        <v>1367</v>
      </c>
    </row>
    <row r="672" spans="2:10">
      <c r="B672" s="169"/>
      <c r="C672" s="29"/>
      <c r="D672" s="29"/>
      <c r="E672" s="29"/>
      <c r="F672" s="29"/>
      <c r="I672" s="176">
        <v>44011</v>
      </c>
      <c r="J672" s="177" t="s">
        <v>1368</v>
      </c>
    </row>
    <row r="673" spans="2:10">
      <c r="B673" s="169"/>
      <c r="C673" s="29"/>
      <c r="D673" s="29"/>
      <c r="E673" s="29"/>
      <c r="F673" s="29"/>
      <c r="I673" s="176">
        <v>44011</v>
      </c>
      <c r="J673" s="177" t="s">
        <v>1369</v>
      </c>
    </row>
    <row r="674" spans="2:10">
      <c r="B674" s="169"/>
      <c r="C674" s="29"/>
      <c r="D674" s="29"/>
      <c r="E674" s="29"/>
      <c r="F674" s="29"/>
      <c r="I674" s="176">
        <v>44011</v>
      </c>
      <c r="J674" s="177" t="s">
        <v>1370</v>
      </c>
    </row>
    <row r="675" spans="2:10">
      <c r="B675" s="169"/>
      <c r="C675" s="29"/>
      <c r="D675" s="29"/>
      <c r="E675" s="29"/>
      <c r="F675" s="29"/>
      <c r="I675" s="176">
        <v>44012</v>
      </c>
      <c r="J675" s="177" t="s">
        <v>1371</v>
      </c>
    </row>
    <row r="676" spans="2:10">
      <c r="B676" s="169"/>
      <c r="C676" s="29"/>
      <c r="D676" s="29"/>
      <c r="E676" s="29"/>
      <c r="F676" s="29"/>
      <c r="I676" s="176">
        <v>44012</v>
      </c>
      <c r="J676" s="177" t="s">
        <v>627</v>
      </c>
    </row>
    <row r="677" spans="2:10">
      <c r="B677" s="169"/>
      <c r="C677" s="29"/>
      <c r="D677" s="29"/>
      <c r="E677" s="29"/>
      <c r="F677" s="29"/>
      <c r="I677" s="176">
        <v>44013</v>
      </c>
      <c r="J677" s="177" t="s">
        <v>1372</v>
      </c>
    </row>
    <row r="678" spans="2:10">
      <c r="B678" s="169"/>
      <c r="C678" s="29"/>
      <c r="D678" s="29"/>
      <c r="E678" s="29"/>
      <c r="F678" s="29"/>
      <c r="I678" s="176">
        <v>44013</v>
      </c>
      <c r="J678" s="177" t="s">
        <v>1373</v>
      </c>
    </row>
    <row r="679" spans="2:10">
      <c r="B679" s="169"/>
      <c r="C679" s="29"/>
      <c r="D679" s="29"/>
      <c r="E679" s="29"/>
      <c r="F679" s="29"/>
      <c r="I679" s="176">
        <v>44013</v>
      </c>
      <c r="J679" s="177" t="s">
        <v>1374</v>
      </c>
    </row>
    <row r="680" spans="2:10">
      <c r="B680" s="169"/>
      <c r="C680" s="29"/>
      <c r="D680" s="29"/>
      <c r="E680" s="29"/>
      <c r="F680" s="29"/>
      <c r="I680" s="176">
        <v>44013</v>
      </c>
      <c r="J680" s="177" t="s">
        <v>1375</v>
      </c>
    </row>
    <row r="681" spans="2:10">
      <c r="B681" s="169"/>
      <c r="C681" s="29"/>
      <c r="D681" s="29"/>
      <c r="E681" s="29"/>
      <c r="F681" s="29"/>
      <c r="I681" s="176">
        <v>44013</v>
      </c>
      <c r="J681" s="177" t="s">
        <v>1376</v>
      </c>
    </row>
    <row r="682" spans="2:10">
      <c r="B682" s="169"/>
      <c r="C682" s="29"/>
      <c r="D682" s="29"/>
      <c r="E682" s="29"/>
      <c r="F682" s="29"/>
      <c r="I682" s="176">
        <v>44013</v>
      </c>
      <c r="J682" s="177" t="s">
        <v>1377</v>
      </c>
    </row>
    <row r="683" spans="2:10">
      <c r="B683" s="169"/>
      <c r="C683" s="29"/>
      <c r="D683" s="29"/>
      <c r="E683" s="29"/>
      <c r="F683" s="29"/>
      <c r="I683" s="176">
        <v>44013</v>
      </c>
      <c r="J683" s="177" t="s">
        <v>1378</v>
      </c>
    </row>
    <row r="684" spans="2:10">
      <c r="B684" s="169"/>
      <c r="C684" s="29"/>
      <c r="D684" s="29"/>
      <c r="E684" s="29"/>
      <c r="F684" s="29"/>
      <c r="I684" s="176">
        <v>44013</v>
      </c>
      <c r="J684" s="177" t="s">
        <v>1379</v>
      </c>
    </row>
    <row r="685" spans="2:10">
      <c r="B685" s="169"/>
      <c r="C685" s="29"/>
      <c r="D685" s="29"/>
      <c r="E685" s="29"/>
      <c r="F685" s="29"/>
      <c r="I685" s="176">
        <v>44013</v>
      </c>
      <c r="J685" s="177" t="s">
        <v>1380</v>
      </c>
    </row>
    <row r="686" spans="2:10">
      <c r="B686" s="169"/>
      <c r="C686" s="29"/>
      <c r="D686" s="29"/>
      <c r="E686" s="29"/>
      <c r="F686" s="29"/>
      <c r="I686" s="176">
        <v>44013</v>
      </c>
      <c r="J686" s="177" t="s">
        <v>630</v>
      </c>
    </row>
    <row r="687" spans="2:10">
      <c r="B687" s="169"/>
      <c r="C687" s="29"/>
      <c r="D687" s="29"/>
      <c r="E687" s="29"/>
      <c r="F687" s="29"/>
      <c r="I687" s="176">
        <v>44013</v>
      </c>
      <c r="J687" s="177" t="s">
        <v>1381</v>
      </c>
    </row>
    <row r="688" spans="2:10">
      <c r="B688" s="169"/>
      <c r="C688" s="29"/>
      <c r="D688" s="29"/>
      <c r="E688" s="29"/>
      <c r="F688" s="29"/>
      <c r="I688" s="176">
        <v>44014</v>
      </c>
      <c r="J688" s="177" t="s">
        <v>633</v>
      </c>
    </row>
    <row r="689" spans="2:10">
      <c r="B689" s="169"/>
      <c r="C689" s="29"/>
      <c r="D689" s="29"/>
      <c r="E689" s="29"/>
      <c r="F689" s="29"/>
      <c r="I689" s="176">
        <v>44015</v>
      </c>
      <c r="J689" s="177" t="s">
        <v>1382</v>
      </c>
    </row>
    <row r="690" spans="2:10">
      <c r="B690" s="169"/>
      <c r="C690" s="29"/>
      <c r="D690" s="29"/>
      <c r="E690" s="29"/>
      <c r="F690" s="29"/>
      <c r="I690" s="176">
        <v>44015</v>
      </c>
      <c r="J690" s="177" t="s">
        <v>636</v>
      </c>
    </row>
    <row r="691" spans="2:10">
      <c r="B691" s="169"/>
      <c r="C691" s="29"/>
      <c r="D691" s="29"/>
      <c r="E691" s="29"/>
      <c r="F691" s="29"/>
      <c r="I691" s="176">
        <v>44015</v>
      </c>
      <c r="J691" s="177" t="s">
        <v>1383</v>
      </c>
    </row>
    <row r="692" spans="2:10">
      <c r="B692" s="169"/>
      <c r="C692" s="29"/>
      <c r="D692" s="29"/>
      <c r="E692" s="29"/>
      <c r="F692" s="29"/>
      <c r="I692" s="176">
        <v>44016</v>
      </c>
      <c r="J692" s="177" t="s">
        <v>1384</v>
      </c>
    </row>
    <row r="693" spans="2:10">
      <c r="B693" s="169"/>
      <c r="C693" s="29"/>
      <c r="D693" s="29"/>
      <c r="E693" s="29"/>
      <c r="F693" s="29"/>
      <c r="I693" s="176">
        <v>44016</v>
      </c>
      <c r="J693" s="177" t="s">
        <v>639</v>
      </c>
    </row>
    <row r="694" spans="2:10">
      <c r="B694" s="169"/>
      <c r="C694" s="29"/>
      <c r="D694" s="29"/>
      <c r="E694" s="29"/>
      <c r="F694" s="29"/>
      <c r="I694" s="176">
        <v>44016</v>
      </c>
      <c r="J694" s="177" t="s">
        <v>1385</v>
      </c>
    </row>
    <row r="695" spans="2:10">
      <c r="B695" s="169"/>
      <c r="C695" s="29"/>
      <c r="D695" s="29"/>
      <c r="E695" s="29"/>
      <c r="F695" s="29"/>
      <c r="I695" s="176">
        <v>44016</v>
      </c>
      <c r="J695" s="177" t="s">
        <v>1386</v>
      </c>
    </row>
    <row r="696" spans="2:10">
      <c r="B696" s="169"/>
      <c r="C696" s="29"/>
      <c r="D696" s="29"/>
      <c r="E696" s="29"/>
      <c r="F696" s="29"/>
      <c r="I696" s="176">
        <v>44016</v>
      </c>
      <c r="J696" s="177" t="s">
        <v>1387</v>
      </c>
    </row>
    <row r="697" spans="2:10">
      <c r="B697" s="169"/>
      <c r="C697" s="29"/>
      <c r="D697" s="29"/>
      <c r="E697" s="29"/>
      <c r="F697" s="29"/>
      <c r="I697" s="176">
        <v>44017</v>
      </c>
      <c r="J697" s="177" t="s">
        <v>642</v>
      </c>
    </row>
    <row r="698" spans="2:10">
      <c r="B698" s="169"/>
      <c r="C698" s="29"/>
      <c r="D698" s="29"/>
      <c r="E698" s="29"/>
      <c r="F698" s="29"/>
      <c r="I698" s="176">
        <v>44017</v>
      </c>
      <c r="J698" s="177" t="s">
        <v>1388</v>
      </c>
    </row>
    <row r="699" spans="2:10">
      <c r="B699" s="169"/>
      <c r="C699" s="29"/>
      <c r="D699" s="29"/>
      <c r="E699" s="29"/>
      <c r="F699" s="29"/>
      <c r="I699" s="176">
        <v>44017</v>
      </c>
      <c r="J699" s="177" t="s">
        <v>1389</v>
      </c>
    </row>
    <row r="700" spans="2:10">
      <c r="B700" s="169"/>
      <c r="C700" s="29"/>
      <c r="D700" s="29"/>
      <c r="E700" s="29"/>
      <c r="F700" s="29"/>
      <c r="I700" s="176">
        <v>44017</v>
      </c>
      <c r="J700" s="177" t="s">
        <v>1390</v>
      </c>
    </row>
    <row r="701" spans="2:10">
      <c r="B701" s="169"/>
      <c r="C701" s="29"/>
      <c r="D701" s="29"/>
      <c r="E701" s="29"/>
      <c r="F701" s="29"/>
      <c r="I701" s="176">
        <v>44018</v>
      </c>
      <c r="J701" s="177" t="s">
        <v>1391</v>
      </c>
    </row>
    <row r="702" spans="2:10">
      <c r="B702" s="169"/>
      <c r="C702" s="29"/>
      <c r="D702" s="29"/>
      <c r="E702" s="29"/>
      <c r="F702" s="29"/>
      <c r="I702" s="176">
        <v>44018</v>
      </c>
      <c r="J702" s="177" t="s">
        <v>1392</v>
      </c>
    </row>
    <row r="703" spans="2:10">
      <c r="B703" s="169"/>
      <c r="C703" s="29"/>
      <c r="D703" s="29"/>
      <c r="E703" s="29"/>
      <c r="F703" s="29"/>
      <c r="I703" s="176">
        <v>44018</v>
      </c>
      <c r="J703" s="177" t="s">
        <v>1393</v>
      </c>
    </row>
    <row r="704" spans="2:10">
      <c r="B704" s="169"/>
      <c r="C704" s="29"/>
      <c r="D704" s="29"/>
      <c r="E704" s="29"/>
      <c r="F704" s="29"/>
      <c r="I704" s="176">
        <v>44018</v>
      </c>
      <c r="J704" s="177" t="s">
        <v>645</v>
      </c>
    </row>
    <row r="705" spans="2:10">
      <c r="B705" s="169"/>
      <c r="C705" s="29"/>
      <c r="D705" s="29"/>
      <c r="E705" s="29"/>
      <c r="F705" s="29"/>
      <c r="I705" s="176">
        <v>44018</v>
      </c>
      <c r="J705" s="177" t="s">
        <v>1394</v>
      </c>
    </row>
    <row r="706" spans="2:10">
      <c r="B706" s="169"/>
      <c r="C706" s="29"/>
      <c r="D706" s="29"/>
      <c r="E706" s="29"/>
      <c r="F706" s="29"/>
      <c r="I706" s="176">
        <v>44019</v>
      </c>
      <c r="J706" s="177" t="s">
        <v>1395</v>
      </c>
    </row>
    <row r="707" spans="2:10">
      <c r="B707" s="169"/>
      <c r="C707" s="29"/>
      <c r="D707" s="29"/>
      <c r="E707" s="29"/>
      <c r="F707" s="29"/>
      <c r="I707" s="176">
        <v>44019</v>
      </c>
      <c r="J707" s="177" t="s">
        <v>648</v>
      </c>
    </row>
    <row r="708" spans="2:10">
      <c r="B708" s="169"/>
      <c r="C708" s="29"/>
      <c r="D708" s="29"/>
      <c r="E708" s="29"/>
      <c r="F708" s="29"/>
      <c r="I708" s="176">
        <v>44020</v>
      </c>
      <c r="J708" s="177" t="s">
        <v>1396</v>
      </c>
    </row>
    <row r="709" spans="2:10">
      <c r="B709" s="169"/>
      <c r="C709" s="29"/>
      <c r="D709" s="29"/>
      <c r="E709" s="29"/>
      <c r="F709" s="29"/>
      <c r="I709" s="176">
        <v>44020</v>
      </c>
      <c r="J709" s="177" t="s">
        <v>1397</v>
      </c>
    </row>
    <row r="710" spans="2:10">
      <c r="B710" s="169"/>
      <c r="C710" s="29"/>
      <c r="D710" s="29"/>
      <c r="E710" s="29"/>
      <c r="F710" s="29"/>
      <c r="I710" s="176">
        <v>44020</v>
      </c>
      <c r="J710" s="177" t="s">
        <v>1398</v>
      </c>
    </row>
    <row r="711" spans="2:10">
      <c r="B711" s="169"/>
      <c r="C711" s="29"/>
      <c r="D711" s="29"/>
      <c r="E711" s="29"/>
      <c r="F711" s="29"/>
      <c r="I711" s="176">
        <v>44020</v>
      </c>
      <c r="J711" s="177" t="s">
        <v>1399</v>
      </c>
    </row>
    <row r="712" spans="2:10">
      <c r="B712" s="169"/>
      <c r="C712" s="29"/>
      <c r="D712" s="29"/>
      <c r="E712" s="29"/>
      <c r="F712" s="29"/>
      <c r="I712" s="176">
        <v>44020</v>
      </c>
      <c r="J712" s="177" t="s">
        <v>651</v>
      </c>
    </row>
    <row r="713" spans="2:10">
      <c r="B713" s="169"/>
      <c r="C713" s="29"/>
      <c r="D713" s="29"/>
      <c r="E713" s="29"/>
      <c r="F713" s="29"/>
      <c r="I713" s="176">
        <v>44020</v>
      </c>
      <c r="J713" s="177" t="s">
        <v>1400</v>
      </c>
    </row>
    <row r="714" spans="2:10">
      <c r="B714" s="169"/>
      <c r="C714" s="29"/>
      <c r="D714" s="29"/>
      <c r="E714" s="29"/>
      <c r="F714" s="29"/>
      <c r="I714" s="176">
        <v>44020</v>
      </c>
      <c r="J714" s="177" t="s">
        <v>1401</v>
      </c>
    </row>
    <row r="715" spans="2:10">
      <c r="B715" s="169"/>
      <c r="C715" s="29"/>
      <c r="D715" s="29"/>
      <c r="E715" s="29"/>
      <c r="F715" s="29"/>
      <c r="I715" s="176">
        <v>44021</v>
      </c>
      <c r="J715" s="177" t="s">
        <v>653</v>
      </c>
    </row>
    <row r="716" spans="2:10">
      <c r="B716" s="169"/>
      <c r="C716" s="29"/>
      <c r="D716" s="29"/>
      <c r="E716" s="29"/>
      <c r="F716" s="29"/>
      <c r="I716" s="176">
        <v>44021</v>
      </c>
      <c r="J716" s="177" t="s">
        <v>1402</v>
      </c>
    </row>
    <row r="717" spans="2:10">
      <c r="B717" s="169"/>
      <c r="C717" s="29"/>
      <c r="D717" s="29"/>
      <c r="E717" s="29"/>
      <c r="F717" s="29"/>
      <c r="I717" s="176">
        <v>44021</v>
      </c>
      <c r="J717" s="177" t="s">
        <v>1403</v>
      </c>
    </row>
    <row r="718" spans="2:10">
      <c r="B718" s="169"/>
      <c r="C718" s="29"/>
      <c r="D718" s="29"/>
      <c r="E718" s="29"/>
      <c r="F718" s="29"/>
      <c r="I718" s="176">
        <v>44021</v>
      </c>
      <c r="J718" s="177" t="s">
        <v>1404</v>
      </c>
    </row>
    <row r="719" spans="2:10">
      <c r="B719" s="169"/>
      <c r="C719" s="29"/>
      <c r="D719" s="29"/>
      <c r="E719" s="29"/>
      <c r="F719" s="29"/>
      <c r="I719" s="176">
        <v>44021</v>
      </c>
      <c r="J719" s="177" t="s">
        <v>1405</v>
      </c>
    </row>
    <row r="720" spans="2:10">
      <c r="B720" s="169"/>
      <c r="C720" s="29"/>
      <c r="D720" s="29"/>
      <c r="E720" s="29"/>
      <c r="F720" s="29"/>
      <c r="I720" s="176">
        <v>44021</v>
      </c>
      <c r="J720" s="177" t="s">
        <v>1406</v>
      </c>
    </row>
    <row r="721" spans="2:10">
      <c r="B721" s="169"/>
      <c r="C721" s="29"/>
      <c r="D721" s="29"/>
      <c r="E721" s="29"/>
      <c r="F721" s="29"/>
      <c r="I721" s="176">
        <v>44021</v>
      </c>
      <c r="J721" s="177" t="s">
        <v>1407</v>
      </c>
    </row>
    <row r="722" spans="2:10">
      <c r="B722" s="169"/>
      <c r="C722" s="29"/>
      <c r="D722" s="29"/>
      <c r="E722" s="29"/>
      <c r="F722" s="29"/>
      <c r="I722" s="176">
        <v>44022</v>
      </c>
      <c r="J722" s="177" t="s">
        <v>1408</v>
      </c>
    </row>
    <row r="723" spans="2:10">
      <c r="B723" s="169"/>
      <c r="C723" s="29"/>
      <c r="D723" s="29"/>
      <c r="E723" s="29"/>
      <c r="F723" s="29"/>
      <c r="I723" s="176">
        <v>44022</v>
      </c>
      <c r="J723" s="177" t="s">
        <v>656</v>
      </c>
    </row>
    <row r="724" spans="2:10">
      <c r="B724" s="169"/>
      <c r="C724" s="29"/>
      <c r="D724" s="29"/>
      <c r="E724" s="29"/>
      <c r="F724" s="29"/>
      <c r="I724" s="176">
        <v>44023</v>
      </c>
      <c r="J724" s="177" t="s">
        <v>1409</v>
      </c>
    </row>
    <row r="725" spans="2:10">
      <c r="B725" s="169"/>
      <c r="C725" s="29"/>
      <c r="D725" s="29"/>
      <c r="E725" s="29"/>
      <c r="F725" s="29"/>
      <c r="I725" s="176">
        <v>44023</v>
      </c>
      <c r="J725" s="177" t="s">
        <v>658</v>
      </c>
    </row>
    <row r="726" spans="2:10">
      <c r="B726" s="169"/>
      <c r="C726" s="29"/>
      <c r="D726" s="29"/>
      <c r="E726" s="29"/>
      <c r="F726" s="29"/>
      <c r="I726" s="176">
        <v>44023</v>
      </c>
      <c r="J726" s="177" t="s">
        <v>1410</v>
      </c>
    </row>
    <row r="727" spans="2:10">
      <c r="B727" s="169"/>
      <c r="C727" s="29"/>
      <c r="D727" s="29"/>
      <c r="E727" s="29"/>
      <c r="F727" s="29"/>
      <c r="I727" s="176">
        <v>44023</v>
      </c>
      <c r="J727" s="177" t="s">
        <v>1411</v>
      </c>
    </row>
    <row r="728" spans="2:10">
      <c r="B728" s="169"/>
      <c r="C728" s="29"/>
      <c r="D728" s="29"/>
      <c r="E728" s="29"/>
      <c r="F728" s="29"/>
      <c r="I728" s="176">
        <v>44024</v>
      </c>
      <c r="J728" s="177" t="s">
        <v>1412</v>
      </c>
    </row>
    <row r="729" spans="2:10">
      <c r="B729" s="169"/>
      <c r="C729" s="29"/>
      <c r="D729" s="29"/>
      <c r="E729" s="29"/>
      <c r="F729" s="29"/>
      <c r="I729" s="176">
        <v>44024</v>
      </c>
      <c r="J729" s="177" t="s">
        <v>661</v>
      </c>
    </row>
    <row r="730" spans="2:10">
      <c r="B730" s="169"/>
      <c r="C730" s="29"/>
      <c r="D730" s="29"/>
      <c r="E730" s="29"/>
      <c r="F730" s="29"/>
      <c r="I730" s="176">
        <v>44025</v>
      </c>
      <c r="J730" s="177" t="s">
        <v>1413</v>
      </c>
    </row>
    <row r="731" spans="2:10">
      <c r="B731" s="169"/>
      <c r="C731" s="29"/>
      <c r="D731" s="29"/>
      <c r="E731" s="29"/>
      <c r="F731" s="29"/>
      <c r="I731" s="176">
        <v>44025</v>
      </c>
      <c r="J731" s="177" t="s">
        <v>1414</v>
      </c>
    </row>
    <row r="732" spans="2:10">
      <c r="B732" s="169"/>
      <c r="C732" s="29"/>
      <c r="D732" s="29"/>
      <c r="E732" s="29"/>
      <c r="F732" s="29"/>
      <c r="I732" s="176">
        <v>44025</v>
      </c>
      <c r="J732" s="177" t="s">
        <v>1415</v>
      </c>
    </row>
    <row r="733" spans="2:10">
      <c r="B733" s="169"/>
      <c r="C733" s="29"/>
      <c r="D733" s="29"/>
      <c r="E733" s="29"/>
      <c r="F733" s="29"/>
      <c r="I733" s="176">
        <v>44025</v>
      </c>
      <c r="J733" s="177" t="s">
        <v>1416</v>
      </c>
    </row>
    <row r="734" spans="2:10">
      <c r="B734" s="169"/>
      <c r="C734" s="29"/>
      <c r="D734" s="29"/>
      <c r="E734" s="29"/>
      <c r="F734" s="29"/>
      <c r="I734" s="176">
        <v>44025</v>
      </c>
      <c r="J734" s="177" t="s">
        <v>1417</v>
      </c>
    </row>
    <row r="735" spans="2:10">
      <c r="B735" s="169"/>
      <c r="C735" s="29"/>
      <c r="D735" s="29"/>
      <c r="E735" s="29"/>
      <c r="F735" s="29"/>
      <c r="I735" s="176">
        <v>44025</v>
      </c>
      <c r="J735" s="177" t="s">
        <v>664</v>
      </c>
    </row>
    <row r="736" spans="2:10">
      <c r="B736" s="169"/>
      <c r="C736" s="29"/>
      <c r="D736" s="29"/>
      <c r="E736" s="29"/>
      <c r="F736" s="29"/>
      <c r="I736" s="176">
        <v>44025</v>
      </c>
      <c r="J736" s="177" t="s">
        <v>1418</v>
      </c>
    </row>
    <row r="737" spans="2:10">
      <c r="B737" s="169"/>
      <c r="C737" s="29"/>
      <c r="D737" s="29"/>
      <c r="E737" s="29"/>
      <c r="F737" s="29"/>
      <c r="I737" s="176">
        <v>44025</v>
      </c>
      <c r="J737" s="177" t="s">
        <v>1419</v>
      </c>
    </row>
    <row r="738" spans="2:10">
      <c r="B738" s="169"/>
      <c r="C738" s="29"/>
      <c r="D738" s="29"/>
      <c r="E738" s="29"/>
      <c r="F738" s="29"/>
      <c r="I738" s="176">
        <v>44025</v>
      </c>
      <c r="J738" s="177" t="s">
        <v>1420</v>
      </c>
    </row>
    <row r="739" spans="2:10">
      <c r="B739" s="169"/>
      <c r="C739" s="29"/>
      <c r="D739" s="29"/>
      <c r="E739" s="29"/>
      <c r="F739" s="29"/>
      <c r="I739" s="176">
        <v>44025</v>
      </c>
      <c r="J739" s="177" t="s">
        <v>1421</v>
      </c>
    </row>
    <row r="740" spans="2:10">
      <c r="B740" s="169"/>
      <c r="C740" s="29"/>
      <c r="D740" s="29"/>
      <c r="E740" s="29"/>
      <c r="F740" s="29"/>
      <c r="I740" s="176">
        <v>44025</v>
      </c>
      <c r="J740" s="177" t="s">
        <v>1422</v>
      </c>
    </row>
    <row r="741" spans="2:10">
      <c r="B741" s="169"/>
      <c r="C741" s="29"/>
      <c r="D741" s="29"/>
      <c r="E741" s="29"/>
      <c r="F741" s="29"/>
      <c r="I741" s="176">
        <v>44025</v>
      </c>
      <c r="J741" s="177" t="s">
        <v>1423</v>
      </c>
    </row>
    <row r="742" spans="2:10">
      <c r="B742" s="169"/>
      <c r="C742" s="29"/>
      <c r="D742" s="29"/>
      <c r="E742" s="29"/>
      <c r="F742" s="29"/>
      <c r="I742" s="176">
        <v>44026</v>
      </c>
      <c r="J742" s="177" t="s">
        <v>667</v>
      </c>
    </row>
    <row r="743" spans="2:10">
      <c r="B743" s="169"/>
      <c r="C743" s="29"/>
      <c r="D743" s="29"/>
      <c r="E743" s="29"/>
      <c r="F743" s="29"/>
      <c r="I743" s="176">
        <v>44027</v>
      </c>
      <c r="J743" s="177" t="s">
        <v>1424</v>
      </c>
    </row>
    <row r="744" spans="2:10">
      <c r="B744" s="169"/>
      <c r="C744" s="29"/>
      <c r="D744" s="29"/>
      <c r="E744" s="29"/>
      <c r="F744" s="29"/>
      <c r="I744" s="176">
        <v>44027</v>
      </c>
      <c r="J744" s="177" t="s">
        <v>1425</v>
      </c>
    </row>
    <row r="745" spans="2:10">
      <c r="B745" s="169"/>
      <c r="C745" s="29"/>
      <c r="D745" s="29"/>
      <c r="E745" s="29"/>
      <c r="F745" s="29"/>
      <c r="I745" s="176">
        <v>44027</v>
      </c>
      <c r="J745" s="177" t="s">
        <v>670</v>
      </c>
    </row>
    <row r="746" spans="2:10">
      <c r="B746" s="169"/>
      <c r="C746" s="29"/>
      <c r="D746" s="29"/>
      <c r="E746" s="29"/>
      <c r="F746" s="29"/>
      <c r="I746" s="176">
        <v>44027</v>
      </c>
      <c r="J746" s="177" t="s">
        <v>1426</v>
      </c>
    </row>
    <row r="747" spans="2:10">
      <c r="B747" s="169"/>
      <c r="C747" s="29"/>
      <c r="D747" s="29"/>
      <c r="E747" s="29"/>
      <c r="F747" s="29"/>
      <c r="I747" s="176">
        <v>44027</v>
      </c>
      <c r="J747" s="177" t="s">
        <v>1427</v>
      </c>
    </row>
    <row r="748" spans="2:10">
      <c r="B748" s="169"/>
      <c r="C748" s="29"/>
      <c r="D748" s="29"/>
      <c r="E748" s="29"/>
      <c r="F748" s="29"/>
      <c r="I748" s="176">
        <v>44027</v>
      </c>
      <c r="J748" s="177" t="s">
        <v>1428</v>
      </c>
    </row>
    <row r="749" spans="2:10">
      <c r="B749" s="169"/>
      <c r="C749" s="29"/>
      <c r="D749" s="29"/>
      <c r="E749" s="29"/>
      <c r="F749" s="29"/>
      <c r="I749" s="176">
        <v>44028</v>
      </c>
      <c r="J749" s="177" t="s">
        <v>1429</v>
      </c>
    </row>
    <row r="750" spans="2:10">
      <c r="B750" s="169"/>
      <c r="C750" s="29"/>
      <c r="D750" s="29"/>
      <c r="E750" s="29"/>
      <c r="F750" s="29"/>
      <c r="I750" s="176">
        <v>44028</v>
      </c>
      <c r="J750" s="177" t="s">
        <v>1430</v>
      </c>
    </row>
    <row r="751" spans="2:10">
      <c r="B751" s="169"/>
      <c r="C751" s="29"/>
      <c r="D751" s="29"/>
      <c r="E751" s="29"/>
      <c r="F751" s="29"/>
      <c r="I751" s="176">
        <v>44028</v>
      </c>
      <c r="J751" s="177" t="s">
        <v>1431</v>
      </c>
    </row>
    <row r="752" spans="2:10">
      <c r="B752" s="169"/>
      <c r="C752" s="29"/>
      <c r="D752" s="29"/>
      <c r="E752" s="29"/>
      <c r="F752" s="29"/>
      <c r="I752" s="176">
        <v>44029</v>
      </c>
      <c r="J752" s="177" t="s">
        <v>1432</v>
      </c>
    </row>
    <row r="753" spans="2:10">
      <c r="B753" s="169"/>
      <c r="C753" s="29"/>
      <c r="D753" s="29"/>
      <c r="E753" s="29"/>
      <c r="F753" s="29"/>
      <c r="I753" s="176">
        <v>44029</v>
      </c>
      <c r="J753" s="177" t="s">
        <v>1433</v>
      </c>
    </row>
    <row r="754" spans="2:10">
      <c r="B754" s="169"/>
      <c r="C754" s="29"/>
      <c r="D754" s="29"/>
      <c r="E754" s="29"/>
      <c r="F754" s="29"/>
      <c r="I754" s="176">
        <v>44029</v>
      </c>
      <c r="J754" s="177" t="s">
        <v>1434</v>
      </c>
    </row>
    <row r="755" spans="2:10">
      <c r="B755" s="169"/>
      <c r="C755" s="29"/>
      <c r="D755" s="29"/>
      <c r="E755" s="29"/>
      <c r="F755" s="29"/>
      <c r="I755" s="176">
        <v>44029</v>
      </c>
      <c r="J755" s="177" t="s">
        <v>1435</v>
      </c>
    </row>
    <row r="756" spans="2:10">
      <c r="B756" s="169"/>
      <c r="C756" s="29"/>
      <c r="D756" s="29"/>
      <c r="E756" s="29"/>
      <c r="F756" s="29"/>
      <c r="I756" s="176">
        <v>44029</v>
      </c>
      <c r="J756" s="177" t="s">
        <v>674</v>
      </c>
    </row>
    <row r="757" spans="2:10">
      <c r="B757" s="169"/>
      <c r="C757" s="29"/>
      <c r="D757" s="29"/>
      <c r="E757" s="29"/>
      <c r="F757" s="29"/>
      <c r="I757" s="176">
        <v>44029</v>
      </c>
      <c r="J757" s="177" t="s">
        <v>1436</v>
      </c>
    </row>
    <row r="758" spans="2:10">
      <c r="B758" s="169"/>
      <c r="C758" s="29"/>
      <c r="D758" s="29"/>
      <c r="E758" s="29"/>
      <c r="F758" s="29"/>
      <c r="I758" s="176">
        <v>44029</v>
      </c>
      <c r="J758" s="177" t="s">
        <v>351</v>
      </c>
    </row>
    <row r="759" spans="2:10">
      <c r="B759" s="169"/>
      <c r="C759" s="29"/>
      <c r="D759" s="29"/>
      <c r="E759" s="29"/>
      <c r="F759" s="29"/>
      <c r="I759" s="176">
        <v>44030</v>
      </c>
      <c r="J759" s="177" t="s">
        <v>1437</v>
      </c>
    </row>
    <row r="760" spans="2:10">
      <c r="B760" s="169"/>
      <c r="C760" s="29"/>
      <c r="D760" s="29"/>
      <c r="E760" s="29"/>
      <c r="F760" s="29"/>
      <c r="I760" s="176">
        <v>44030</v>
      </c>
      <c r="J760" s="177" t="s">
        <v>1438</v>
      </c>
    </row>
    <row r="761" spans="2:10">
      <c r="B761" s="169"/>
      <c r="C761" s="29"/>
      <c r="D761" s="29"/>
      <c r="E761" s="29"/>
      <c r="F761" s="29"/>
      <c r="I761" s="176">
        <v>44030</v>
      </c>
      <c r="J761" s="177" t="s">
        <v>1439</v>
      </c>
    </row>
    <row r="762" spans="2:10">
      <c r="B762" s="169"/>
      <c r="C762" s="29"/>
      <c r="D762" s="29"/>
      <c r="E762" s="29"/>
      <c r="F762" s="29"/>
      <c r="I762" s="176">
        <v>44030</v>
      </c>
      <c r="J762" s="177" t="s">
        <v>677</v>
      </c>
    </row>
    <row r="763" spans="2:10">
      <c r="B763" s="169"/>
      <c r="C763" s="29"/>
      <c r="D763" s="29"/>
      <c r="E763" s="29"/>
      <c r="F763" s="29"/>
      <c r="I763" s="176">
        <v>44030</v>
      </c>
      <c r="J763" s="177" t="s">
        <v>1440</v>
      </c>
    </row>
    <row r="764" spans="2:10">
      <c r="B764" s="169"/>
      <c r="C764" s="29"/>
      <c r="D764" s="29"/>
      <c r="E764" s="29"/>
      <c r="F764" s="29"/>
      <c r="I764" s="176">
        <v>44030</v>
      </c>
      <c r="J764" s="177" t="s">
        <v>1441</v>
      </c>
    </row>
    <row r="765" spans="2:10">
      <c r="B765" s="169"/>
      <c r="C765" s="29"/>
      <c r="D765" s="29"/>
      <c r="E765" s="29"/>
      <c r="F765" s="29"/>
      <c r="I765" s="176">
        <v>44030</v>
      </c>
      <c r="J765" s="177" t="s">
        <v>1442</v>
      </c>
    </row>
    <row r="766" spans="2:10">
      <c r="B766" s="169"/>
      <c r="C766" s="29"/>
      <c r="D766" s="29"/>
      <c r="E766" s="29"/>
      <c r="F766" s="29"/>
      <c r="I766" s="176">
        <v>44030</v>
      </c>
      <c r="J766" s="177" t="s">
        <v>1443</v>
      </c>
    </row>
    <row r="767" spans="2:10">
      <c r="B767" s="169"/>
      <c r="C767" s="29"/>
      <c r="D767" s="29"/>
      <c r="E767" s="29"/>
      <c r="F767" s="29"/>
      <c r="I767" s="176">
        <v>44030</v>
      </c>
      <c r="J767" s="177" t="s">
        <v>1444</v>
      </c>
    </row>
    <row r="768" spans="2:10">
      <c r="B768" s="169"/>
      <c r="C768" s="29"/>
      <c r="D768" s="29"/>
      <c r="E768" s="29"/>
      <c r="F768" s="29"/>
      <c r="I768" s="176">
        <v>44031</v>
      </c>
      <c r="J768" s="177" t="s">
        <v>680</v>
      </c>
    </row>
    <row r="769" spans="2:10">
      <c r="B769" s="169"/>
      <c r="C769" s="29"/>
      <c r="D769" s="29"/>
      <c r="E769" s="29"/>
      <c r="F769" s="29"/>
      <c r="I769" s="176">
        <v>44032</v>
      </c>
      <c r="J769" s="177" t="s">
        <v>1445</v>
      </c>
    </row>
    <row r="770" spans="2:10">
      <c r="B770" s="169"/>
      <c r="C770" s="29"/>
      <c r="D770" s="29"/>
      <c r="E770" s="29"/>
      <c r="F770" s="29"/>
      <c r="I770" s="176">
        <v>44032</v>
      </c>
      <c r="J770" s="177" t="s">
        <v>1446</v>
      </c>
    </row>
    <row r="771" spans="2:10">
      <c r="B771" s="169"/>
      <c r="C771" s="29"/>
      <c r="D771" s="29"/>
      <c r="E771" s="29"/>
      <c r="F771" s="29"/>
      <c r="I771" s="176">
        <v>44032</v>
      </c>
      <c r="J771" s="177" t="s">
        <v>1447</v>
      </c>
    </row>
    <row r="772" spans="2:10">
      <c r="B772" s="169"/>
      <c r="C772" s="29"/>
      <c r="D772" s="29"/>
      <c r="E772" s="29"/>
      <c r="F772" s="29"/>
      <c r="I772" s="176">
        <v>44032</v>
      </c>
      <c r="J772" s="177" t="s">
        <v>1448</v>
      </c>
    </row>
    <row r="773" spans="2:10">
      <c r="B773" s="169"/>
      <c r="C773" s="29"/>
      <c r="D773" s="29"/>
      <c r="E773" s="29"/>
      <c r="F773" s="29"/>
      <c r="I773" s="176">
        <v>44032</v>
      </c>
      <c r="J773" s="177" t="s">
        <v>683</v>
      </c>
    </row>
    <row r="774" spans="2:10">
      <c r="B774" s="169"/>
      <c r="C774" s="29"/>
      <c r="D774" s="29"/>
      <c r="E774" s="29"/>
      <c r="F774" s="29"/>
      <c r="I774" s="176">
        <v>44032</v>
      </c>
      <c r="J774" s="177" t="s">
        <v>1449</v>
      </c>
    </row>
    <row r="775" spans="2:10">
      <c r="B775" s="169"/>
      <c r="C775" s="29"/>
      <c r="D775" s="29"/>
      <c r="E775" s="29"/>
      <c r="F775" s="29"/>
      <c r="I775" s="176">
        <v>44032</v>
      </c>
      <c r="J775" s="177" t="s">
        <v>1450</v>
      </c>
    </row>
    <row r="776" spans="2:10">
      <c r="B776" s="169"/>
      <c r="C776" s="29"/>
      <c r="D776" s="29"/>
      <c r="E776" s="29"/>
      <c r="F776" s="29"/>
      <c r="I776" s="176">
        <v>44032</v>
      </c>
      <c r="J776" s="177" t="s">
        <v>1451</v>
      </c>
    </row>
    <row r="777" spans="2:10">
      <c r="B777" s="169"/>
      <c r="C777" s="29"/>
      <c r="D777" s="29"/>
      <c r="E777" s="29"/>
      <c r="F777" s="29"/>
      <c r="I777" s="176">
        <v>44033</v>
      </c>
      <c r="J777" s="177" t="s">
        <v>1452</v>
      </c>
    </row>
    <row r="778" spans="2:10">
      <c r="B778" s="169"/>
      <c r="C778" s="29"/>
      <c r="D778" s="29"/>
      <c r="E778" s="29"/>
      <c r="F778" s="29"/>
      <c r="I778" s="176">
        <v>44033</v>
      </c>
      <c r="J778" s="177" t="s">
        <v>686</v>
      </c>
    </row>
    <row r="779" spans="2:10">
      <c r="B779" s="169"/>
      <c r="C779" s="29"/>
      <c r="D779" s="29"/>
      <c r="E779" s="29"/>
      <c r="F779" s="29"/>
      <c r="I779" s="176">
        <v>44034</v>
      </c>
      <c r="J779" s="177" t="s">
        <v>1453</v>
      </c>
    </row>
    <row r="780" spans="2:10">
      <c r="B780" s="169"/>
      <c r="C780" s="29"/>
      <c r="D780" s="29"/>
      <c r="E780" s="29"/>
      <c r="F780" s="29"/>
      <c r="I780" s="176">
        <v>44034</v>
      </c>
      <c r="J780" s="177" t="s">
        <v>1454</v>
      </c>
    </row>
    <row r="781" spans="2:10">
      <c r="B781" s="169"/>
      <c r="C781" s="29"/>
      <c r="D781" s="29"/>
      <c r="E781" s="29"/>
      <c r="F781" s="29"/>
      <c r="I781" s="176">
        <v>44034</v>
      </c>
      <c r="J781" s="177" t="s">
        <v>1455</v>
      </c>
    </row>
    <row r="782" spans="2:10">
      <c r="B782" s="169"/>
      <c r="C782" s="29"/>
      <c r="D782" s="29"/>
      <c r="E782" s="29"/>
      <c r="F782" s="29"/>
      <c r="I782" s="176">
        <v>44034</v>
      </c>
      <c r="J782" s="177" t="s">
        <v>689</v>
      </c>
    </row>
    <row r="783" spans="2:10">
      <c r="B783" s="169"/>
      <c r="C783" s="29"/>
      <c r="D783" s="29"/>
      <c r="E783" s="29"/>
      <c r="F783" s="29"/>
      <c r="I783" s="176">
        <v>44034</v>
      </c>
      <c r="J783" s="177" t="s">
        <v>1456</v>
      </c>
    </row>
    <row r="784" spans="2:10">
      <c r="B784" s="169"/>
      <c r="C784" s="29"/>
      <c r="D784" s="29"/>
      <c r="E784" s="29"/>
      <c r="F784" s="29"/>
      <c r="I784" s="176">
        <v>44034</v>
      </c>
      <c r="J784" s="177" t="s">
        <v>1457</v>
      </c>
    </row>
    <row r="785" spans="2:10">
      <c r="B785" s="169"/>
      <c r="C785" s="29"/>
      <c r="D785" s="29"/>
      <c r="E785" s="29"/>
      <c r="F785" s="29"/>
      <c r="I785" s="176">
        <v>44034</v>
      </c>
      <c r="J785" s="177" t="s">
        <v>1458</v>
      </c>
    </row>
    <row r="786" spans="2:10">
      <c r="B786" s="169"/>
      <c r="C786" s="29"/>
      <c r="D786" s="29"/>
      <c r="E786" s="29"/>
      <c r="F786" s="29"/>
      <c r="I786" s="176">
        <v>44035</v>
      </c>
      <c r="J786" s="177" t="s">
        <v>692</v>
      </c>
    </row>
    <row r="787" spans="2:10">
      <c r="B787" s="169"/>
      <c r="C787" s="29"/>
      <c r="D787" s="29"/>
      <c r="E787" s="29"/>
      <c r="F787" s="29"/>
      <c r="I787" s="176">
        <v>44035</v>
      </c>
      <c r="J787" s="177" t="s">
        <v>1459</v>
      </c>
    </row>
    <row r="788" spans="2:10">
      <c r="B788" s="169"/>
      <c r="C788" s="29"/>
      <c r="D788" s="29"/>
      <c r="E788" s="29"/>
      <c r="F788" s="29"/>
      <c r="I788" s="176">
        <v>44035</v>
      </c>
      <c r="J788" s="177" t="s">
        <v>1460</v>
      </c>
    </row>
    <row r="789" spans="2:10">
      <c r="B789" s="169"/>
      <c r="C789" s="29"/>
      <c r="D789" s="29"/>
      <c r="E789" s="29"/>
      <c r="F789" s="29"/>
      <c r="I789" s="176">
        <v>44035</v>
      </c>
      <c r="J789" s="177" t="s">
        <v>693</v>
      </c>
    </row>
    <row r="790" spans="2:10">
      <c r="B790" s="169"/>
      <c r="C790" s="29"/>
      <c r="D790" s="29"/>
      <c r="E790" s="29"/>
      <c r="F790" s="29"/>
      <c r="I790" s="176">
        <v>44036</v>
      </c>
      <c r="J790" s="177" t="s">
        <v>1461</v>
      </c>
    </row>
    <row r="791" spans="2:10">
      <c r="B791" s="169"/>
      <c r="C791" s="29"/>
      <c r="D791" s="29"/>
      <c r="E791" s="29"/>
      <c r="F791" s="29"/>
      <c r="I791" s="176">
        <v>44036</v>
      </c>
      <c r="J791" s="177" t="s">
        <v>1462</v>
      </c>
    </row>
    <row r="792" spans="2:10">
      <c r="B792" s="169"/>
      <c r="C792" s="29"/>
      <c r="D792" s="29"/>
      <c r="E792" s="29"/>
      <c r="F792" s="29"/>
      <c r="I792" s="176">
        <v>44036</v>
      </c>
      <c r="J792" s="177" t="s">
        <v>1463</v>
      </c>
    </row>
    <row r="793" spans="2:10">
      <c r="B793" s="169"/>
      <c r="C793" s="29"/>
      <c r="D793" s="29"/>
      <c r="E793" s="29"/>
      <c r="F793" s="29"/>
      <c r="I793" s="176">
        <v>44036</v>
      </c>
      <c r="J793" s="177" t="s">
        <v>696</v>
      </c>
    </row>
    <row r="794" spans="2:10">
      <c r="B794" s="169"/>
      <c r="C794" s="29"/>
      <c r="D794" s="29"/>
      <c r="E794" s="29"/>
      <c r="F794" s="29"/>
      <c r="I794" s="176">
        <v>44036</v>
      </c>
      <c r="J794" s="177" t="s">
        <v>1464</v>
      </c>
    </row>
    <row r="795" spans="2:10">
      <c r="B795" s="169"/>
      <c r="C795" s="29"/>
      <c r="D795" s="29"/>
      <c r="E795" s="29"/>
      <c r="F795" s="29"/>
      <c r="I795" s="176">
        <v>44036</v>
      </c>
      <c r="J795" s="177" t="s">
        <v>1465</v>
      </c>
    </row>
    <row r="796" spans="2:10">
      <c r="B796" s="169"/>
      <c r="C796" s="29"/>
      <c r="D796" s="29"/>
      <c r="E796" s="29"/>
      <c r="F796" s="29"/>
      <c r="I796" s="176">
        <v>44036</v>
      </c>
      <c r="J796" s="177" t="s">
        <v>1466</v>
      </c>
    </row>
    <row r="797" spans="2:10">
      <c r="B797" s="169"/>
      <c r="C797" s="29"/>
      <c r="D797" s="29"/>
      <c r="E797" s="29"/>
      <c r="F797" s="29"/>
      <c r="I797" s="176">
        <v>44037</v>
      </c>
      <c r="J797" s="177" t="s">
        <v>1467</v>
      </c>
    </row>
    <row r="798" spans="2:10">
      <c r="B798" s="169"/>
      <c r="C798" s="29"/>
      <c r="D798" s="29"/>
      <c r="E798" s="29"/>
      <c r="F798" s="29"/>
      <c r="I798" s="176">
        <v>44037</v>
      </c>
      <c r="J798" s="177" t="s">
        <v>1468</v>
      </c>
    </row>
    <row r="799" spans="2:10">
      <c r="B799" s="169"/>
      <c r="C799" s="29"/>
      <c r="D799" s="29"/>
      <c r="E799" s="29"/>
      <c r="F799" s="29"/>
      <c r="I799" s="176">
        <v>44037</v>
      </c>
      <c r="J799" s="177" t="s">
        <v>1469</v>
      </c>
    </row>
    <row r="800" spans="2:10">
      <c r="B800" s="169"/>
      <c r="C800" s="29"/>
      <c r="D800" s="29"/>
      <c r="E800" s="29"/>
      <c r="F800" s="29"/>
      <c r="I800" s="176">
        <v>44037</v>
      </c>
      <c r="J800" s="177" t="s">
        <v>1470</v>
      </c>
    </row>
    <row r="801" spans="2:10">
      <c r="B801" s="169"/>
      <c r="C801" s="29"/>
      <c r="D801" s="29"/>
      <c r="E801" s="29"/>
      <c r="F801" s="29"/>
      <c r="I801" s="176">
        <v>44037</v>
      </c>
      <c r="J801" s="177" t="s">
        <v>1471</v>
      </c>
    </row>
    <row r="802" spans="2:10">
      <c r="B802" s="169"/>
      <c r="C802" s="29"/>
      <c r="D802" s="29"/>
      <c r="E802" s="29"/>
      <c r="F802" s="29"/>
      <c r="I802" s="176">
        <v>44037</v>
      </c>
      <c r="J802" s="177" t="s">
        <v>1472</v>
      </c>
    </row>
    <row r="803" spans="2:10">
      <c r="B803" s="169"/>
      <c r="C803" s="29"/>
      <c r="D803" s="29"/>
      <c r="E803" s="29"/>
      <c r="F803" s="29"/>
      <c r="I803" s="176">
        <v>44037</v>
      </c>
      <c r="J803" s="177" t="s">
        <v>1473</v>
      </c>
    </row>
    <row r="804" spans="2:10">
      <c r="B804" s="169"/>
      <c r="C804" s="29"/>
      <c r="D804" s="29"/>
      <c r="E804" s="29"/>
      <c r="F804" s="29"/>
      <c r="I804" s="176">
        <v>44037</v>
      </c>
      <c r="J804" s="177" t="s">
        <v>1474</v>
      </c>
    </row>
    <row r="805" spans="2:10">
      <c r="B805" s="169"/>
      <c r="C805" s="29"/>
      <c r="D805" s="29"/>
      <c r="E805" s="29"/>
      <c r="F805" s="29"/>
      <c r="I805" s="176">
        <v>44037</v>
      </c>
      <c r="J805" s="177" t="s">
        <v>1475</v>
      </c>
    </row>
    <row r="806" spans="2:10">
      <c r="B806" s="169"/>
      <c r="C806" s="29"/>
      <c r="D806" s="29"/>
      <c r="E806" s="29"/>
      <c r="F806" s="29"/>
      <c r="I806" s="176">
        <v>44037</v>
      </c>
      <c r="J806" s="177" t="s">
        <v>1476</v>
      </c>
    </row>
    <row r="807" spans="2:10">
      <c r="B807" s="169"/>
      <c r="C807" s="29"/>
      <c r="D807" s="29"/>
      <c r="E807" s="29"/>
      <c r="F807" s="29"/>
      <c r="I807" s="176">
        <v>44037</v>
      </c>
      <c r="J807" s="177" t="s">
        <v>1477</v>
      </c>
    </row>
    <row r="808" spans="2:10">
      <c r="B808" s="169"/>
      <c r="C808" s="29"/>
      <c r="D808" s="29"/>
      <c r="E808" s="29"/>
      <c r="F808" s="29"/>
      <c r="I808" s="176">
        <v>44037</v>
      </c>
      <c r="J808" s="177" t="s">
        <v>1478</v>
      </c>
    </row>
    <row r="809" spans="2:10">
      <c r="B809" s="169"/>
      <c r="C809" s="29"/>
      <c r="D809" s="29"/>
      <c r="E809" s="29"/>
      <c r="F809" s="29"/>
      <c r="I809" s="176">
        <v>44038</v>
      </c>
      <c r="J809" s="177" t="s">
        <v>1479</v>
      </c>
    </row>
    <row r="810" spans="2:10">
      <c r="B810" s="169"/>
      <c r="C810" s="29"/>
      <c r="D810" s="29"/>
      <c r="E810" s="29"/>
      <c r="F810" s="29"/>
      <c r="I810" s="176">
        <v>44038</v>
      </c>
      <c r="J810" s="177" t="s">
        <v>1480</v>
      </c>
    </row>
    <row r="811" spans="2:10">
      <c r="B811" s="169"/>
      <c r="C811" s="29"/>
      <c r="D811" s="29"/>
      <c r="E811" s="29"/>
      <c r="F811" s="29"/>
      <c r="I811" s="176">
        <v>44038</v>
      </c>
      <c r="J811" s="177" t="s">
        <v>1481</v>
      </c>
    </row>
    <row r="812" spans="2:10">
      <c r="B812" s="169"/>
      <c r="C812" s="29"/>
      <c r="D812" s="29"/>
      <c r="E812" s="29"/>
      <c r="F812" s="29"/>
      <c r="I812" s="176">
        <v>44038</v>
      </c>
      <c r="J812" s="177" t="s">
        <v>1482</v>
      </c>
    </row>
    <row r="813" spans="2:10">
      <c r="B813" s="169"/>
      <c r="C813" s="29"/>
      <c r="D813" s="29"/>
      <c r="E813" s="29"/>
      <c r="F813" s="29"/>
      <c r="I813" s="176">
        <v>44038</v>
      </c>
      <c r="J813" s="177" t="s">
        <v>1483</v>
      </c>
    </row>
    <row r="814" spans="2:10">
      <c r="B814" s="169"/>
      <c r="C814" s="29"/>
      <c r="D814" s="29"/>
      <c r="E814" s="29"/>
      <c r="F814" s="29"/>
      <c r="I814" s="176">
        <v>44038</v>
      </c>
      <c r="J814" s="177" t="s">
        <v>1484</v>
      </c>
    </row>
    <row r="815" spans="2:10">
      <c r="B815" s="169"/>
      <c r="C815" s="29"/>
      <c r="D815" s="29"/>
      <c r="E815" s="29"/>
      <c r="F815" s="29"/>
      <c r="I815" s="176">
        <v>44038</v>
      </c>
      <c r="J815" s="177" t="s">
        <v>1485</v>
      </c>
    </row>
    <row r="816" spans="2:10">
      <c r="B816" s="169"/>
      <c r="C816" s="29"/>
      <c r="D816" s="29"/>
      <c r="E816" s="29"/>
      <c r="F816" s="29"/>
      <c r="I816" s="176">
        <v>44038</v>
      </c>
      <c r="J816" s="177" t="s">
        <v>1486</v>
      </c>
    </row>
    <row r="817" spans="2:10">
      <c r="B817" s="169"/>
      <c r="C817" s="29"/>
      <c r="D817" s="29"/>
      <c r="E817" s="29"/>
      <c r="F817" s="29"/>
      <c r="I817" s="176">
        <v>44038</v>
      </c>
      <c r="J817" s="177" t="s">
        <v>1487</v>
      </c>
    </row>
    <row r="818" spans="2:10">
      <c r="B818" s="169"/>
      <c r="C818" s="29"/>
      <c r="D818" s="29"/>
      <c r="E818" s="29"/>
      <c r="F818" s="29"/>
      <c r="I818" s="176">
        <v>44038</v>
      </c>
      <c r="J818" s="177" t="s">
        <v>1488</v>
      </c>
    </row>
    <row r="819" spans="2:10">
      <c r="B819" s="169"/>
      <c r="C819" s="29"/>
      <c r="D819" s="29"/>
      <c r="E819" s="29"/>
      <c r="F819" s="29"/>
      <c r="I819" s="176">
        <v>44038</v>
      </c>
      <c r="J819" s="177" t="s">
        <v>1489</v>
      </c>
    </row>
    <row r="820" spans="2:10">
      <c r="B820" s="169"/>
      <c r="C820" s="29"/>
      <c r="D820" s="29"/>
      <c r="E820" s="29"/>
      <c r="F820" s="29"/>
      <c r="I820" s="176">
        <v>44038</v>
      </c>
      <c r="J820" s="177" t="s">
        <v>1490</v>
      </c>
    </row>
    <row r="821" spans="2:10">
      <c r="B821" s="169"/>
      <c r="C821" s="29"/>
      <c r="D821" s="29"/>
      <c r="E821" s="29"/>
      <c r="F821" s="29"/>
      <c r="I821" s="176">
        <v>44038</v>
      </c>
      <c r="J821" s="177" t="s">
        <v>1491</v>
      </c>
    </row>
    <row r="822" spans="2:10">
      <c r="B822" s="169"/>
      <c r="C822" s="29"/>
      <c r="D822" s="29"/>
      <c r="E822" s="29"/>
      <c r="F822" s="29"/>
      <c r="I822" s="176">
        <v>44038</v>
      </c>
      <c r="J822" s="177" t="s">
        <v>700</v>
      </c>
    </row>
    <row r="823" spans="2:10">
      <c r="B823" s="169"/>
      <c r="C823" s="29"/>
      <c r="D823" s="29"/>
      <c r="E823" s="29"/>
      <c r="F823" s="29"/>
      <c r="I823" s="176">
        <v>44038</v>
      </c>
      <c r="J823" s="177" t="s">
        <v>1492</v>
      </c>
    </row>
    <row r="824" spans="2:10">
      <c r="B824" s="169"/>
      <c r="C824" s="29"/>
      <c r="D824" s="29"/>
      <c r="E824" s="29"/>
      <c r="F824" s="29"/>
      <c r="I824" s="176">
        <v>44038</v>
      </c>
      <c r="J824" s="177" t="s">
        <v>1493</v>
      </c>
    </row>
    <row r="825" spans="2:10">
      <c r="B825" s="169"/>
      <c r="C825" s="29"/>
      <c r="D825" s="29"/>
      <c r="E825" s="29"/>
      <c r="F825" s="29"/>
      <c r="I825" s="176">
        <v>44038</v>
      </c>
      <c r="J825" s="177" t="s">
        <v>1494</v>
      </c>
    </row>
    <row r="826" spans="2:10">
      <c r="B826" s="169"/>
      <c r="C826" s="29"/>
      <c r="D826" s="29"/>
      <c r="E826" s="29"/>
      <c r="F826" s="29"/>
      <c r="I826" s="176">
        <v>44038</v>
      </c>
      <c r="J826" s="177" t="s">
        <v>1495</v>
      </c>
    </row>
    <row r="827" spans="2:10">
      <c r="B827" s="169"/>
      <c r="C827" s="29"/>
      <c r="D827" s="29"/>
      <c r="E827" s="29"/>
      <c r="F827" s="29"/>
      <c r="I827" s="176">
        <v>44038</v>
      </c>
      <c r="J827" s="177" t="s">
        <v>1496</v>
      </c>
    </row>
    <row r="828" spans="2:10">
      <c r="B828" s="169"/>
      <c r="C828" s="29"/>
      <c r="D828" s="29"/>
      <c r="E828" s="29"/>
      <c r="F828" s="29"/>
      <c r="I828" s="176">
        <v>44038</v>
      </c>
      <c r="J828" s="177" t="s">
        <v>1497</v>
      </c>
    </row>
    <row r="829" spans="2:10">
      <c r="B829" s="169"/>
      <c r="C829" s="29"/>
      <c r="D829" s="29"/>
      <c r="E829" s="29"/>
      <c r="F829" s="29"/>
      <c r="I829" s="176">
        <v>44038</v>
      </c>
      <c r="J829" s="177" t="s">
        <v>1498</v>
      </c>
    </row>
    <row r="830" spans="2:10">
      <c r="B830" s="169"/>
      <c r="C830" s="29"/>
      <c r="D830" s="29"/>
      <c r="E830" s="29"/>
      <c r="F830" s="29"/>
      <c r="I830" s="176">
        <v>44038</v>
      </c>
      <c r="J830" s="177" t="s">
        <v>1499</v>
      </c>
    </row>
    <row r="831" spans="2:10">
      <c r="B831" s="169"/>
      <c r="C831" s="29"/>
      <c r="D831" s="29"/>
      <c r="E831" s="29"/>
      <c r="F831" s="29"/>
      <c r="I831" s="176">
        <v>44038</v>
      </c>
      <c r="J831" s="177" t="s">
        <v>1500</v>
      </c>
    </row>
    <row r="832" spans="2:10">
      <c r="B832" s="169"/>
      <c r="C832" s="29"/>
      <c r="D832" s="29"/>
      <c r="E832" s="29"/>
      <c r="F832" s="29"/>
      <c r="I832" s="176">
        <v>44038</v>
      </c>
      <c r="J832" s="177" t="s">
        <v>1501</v>
      </c>
    </row>
    <row r="833" spans="2:10">
      <c r="B833" s="169"/>
      <c r="C833" s="29"/>
      <c r="D833" s="29"/>
      <c r="E833" s="29"/>
      <c r="F833" s="29"/>
      <c r="I833" s="176">
        <v>44038</v>
      </c>
      <c r="J833" s="177" t="s">
        <v>1502</v>
      </c>
    </row>
    <row r="834" spans="2:10">
      <c r="B834" s="169"/>
      <c r="C834" s="29"/>
      <c r="D834" s="29"/>
      <c r="E834" s="29"/>
      <c r="F834" s="29"/>
      <c r="I834" s="176">
        <v>44039</v>
      </c>
      <c r="J834" s="177" t="s">
        <v>702</v>
      </c>
    </row>
    <row r="835" spans="2:10">
      <c r="B835" s="169"/>
      <c r="C835" s="29"/>
      <c r="D835" s="29"/>
      <c r="E835" s="29"/>
      <c r="F835" s="29"/>
      <c r="I835" s="176">
        <v>44039</v>
      </c>
      <c r="J835" s="177" t="s">
        <v>1503</v>
      </c>
    </row>
    <row r="836" spans="2:10">
      <c r="B836" s="169"/>
      <c r="C836" s="29"/>
      <c r="D836" s="29"/>
      <c r="E836" s="29"/>
      <c r="F836" s="29"/>
      <c r="I836" s="176">
        <v>44040</v>
      </c>
      <c r="J836" s="177" t="s">
        <v>1504</v>
      </c>
    </row>
    <row r="837" spans="2:10">
      <c r="B837" s="169"/>
      <c r="C837" s="29"/>
      <c r="D837" s="29"/>
      <c r="E837" s="29"/>
      <c r="F837" s="29"/>
      <c r="I837" s="176">
        <v>44040</v>
      </c>
      <c r="J837" s="177" t="s">
        <v>1505</v>
      </c>
    </row>
    <row r="838" spans="2:10">
      <c r="B838" s="169"/>
      <c r="C838" s="29"/>
      <c r="D838" s="29"/>
      <c r="E838" s="29"/>
      <c r="F838" s="29"/>
      <c r="I838" s="176">
        <v>44040</v>
      </c>
      <c r="J838" s="177" t="s">
        <v>704</v>
      </c>
    </row>
    <row r="839" spans="2:10">
      <c r="B839" s="169"/>
      <c r="C839" s="29"/>
      <c r="D839" s="29"/>
      <c r="E839" s="29"/>
      <c r="F839" s="29"/>
      <c r="I839" s="176">
        <v>44041</v>
      </c>
      <c r="J839" s="177" t="s">
        <v>1506</v>
      </c>
    </row>
    <row r="840" spans="2:10">
      <c r="B840" s="169"/>
      <c r="C840" s="29"/>
      <c r="D840" s="29"/>
      <c r="E840" s="29"/>
      <c r="F840" s="29"/>
      <c r="I840" s="176">
        <v>44041</v>
      </c>
      <c r="J840" s="177" t="s">
        <v>1507</v>
      </c>
    </row>
    <row r="841" spans="2:10">
      <c r="B841" s="169"/>
      <c r="C841" s="29"/>
      <c r="D841" s="29"/>
      <c r="E841" s="29"/>
      <c r="F841" s="29"/>
      <c r="I841" s="176">
        <v>44041</v>
      </c>
      <c r="J841" s="177" t="s">
        <v>1508</v>
      </c>
    </row>
    <row r="842" spans="2:10">
      <c r="B842" s="169"/>
      <c r="C842" s="29"/>
      <c r="D842" s="29"/>
      <c r="E842" s="29"/>
      <c r="F842" s="29"/>
      <c r="I842" s="176">
        <v>44041</v>
      </c>
      <c r="J842" s="177" t="s">
        <v>706</v>
      </c>
    </row>
    <row r="843" spans="2:10">
      <c r="B843" s="169"/>
      <c r="C843" s="29"/>
      <c r="D843" s="29"/>
      <c r="E843" s="29"/>
      <c r="F843" s="29"/>
      <c r="I843" s="176">
        <v>44041</v>
      </c>
      <c r="J843" s="177" t="s">
        <v>1509</v>
      </c>
    </row>
    <row r="844" spans="2:10">
      <c r="B844" s="169"/>
      <c r="C844" s="29"/>
      <c r="D844" s="29"/>
      <c r="E844" s="29"/>
      <c r="F844" s="29"/>
      <c r="I844" s="176">
        <v>44042</v>
      </c>
      <c r="J844" s="177" t="s">
        <v>708</v>
      </c>
    </row>
    <row r="845" spans="2:10">
      <c r="B845" s="169"/>
      <c r="C845" s="29"/>
      <c r="D845" s="29"/>
      <c r="E845" s="29"/>
      <c r="F845" s="29"/>
      <c r="I845" s="176">
        <v>44043</v>
      </c>
      <c r="J845" s="177" t="s">
        <v>711</v>
      </c>
    </row>
    <row r="846" spans="2:10">
      <c r="B846" s="169"/>
      <c r="C846" s="29"/>
      <c r="D846" s="29"/>
      <c r="E846" s="29"/>
      <c r="F846" s="29"/>
      <c r="I846" s="176">
        <v>44043</v>
      </c>
      <c r="J846" s="177" t="s">
        <v>1510</v>
      </c>
    </row>
    <row r="847" spans="2:10">
      <c r="B847" s="169"/>
      <c r="C847" s="29"/>
      <c r="D847" s="29"/>
      <c r="E847" s="29"/>
      <c r="F847" s="29"/>
      <c r="I847" s="176">
        <v>44043</v>
      </c>
      <c r="J847" s="177" t="s">
        <v>1511</v>
      </c>
    </row>
    <row r="848" spans="2:10">
      <c r="B848" s="169"/>
      <c r="C848" s="29"/>
      <c r="D848" s="29"/>
      <c r="E848" s="29"/>
      <c r="F848" s="29"/>
      <c r="I848" s="176">
        <v>44044</v>
      </c>
      <c r="J848" s="177" t="s">
        <v>1512</v>
      </c>
    </row>
    <row r="849" spans="2:10">
      <c r="B849" s="169"/>
      <c r="C849" s="29"/>
      <c r="D849" s="29"/>
      <c r="E849" s="29"/>
      <c r="F849" s="29"/>
      <c r="I849" s="176">
        <v>44044</v>
      </c>
      <c r="J849" s="177" t="s">
        <v>713</v>
      </c>
    </row>
    <row r="850" spans="2:10">
      <c r="B850" s="169"/>
      <c r="C850" s="29"/>
      <c r="D850" s="29"/>
      <c r="E850" s="29"/>
      <c r="F850" s="29"/>
      <c r="I850" s="176">
        <v>44044</v>
      </c>
      <c r="J850" s="177" t="s">
        <v>1513</v>
      </c>
    </row>
    <row r="851" spans="2:10">
      <c r="B851" s="169"/>
      <c r="C851" s="29"/>
      <c r="D851" s="29"/>
      <c r="E851" s="29"/>
      <c r="F851" s="29"/>
      <c r="I851" s="176">
        <v>44044</v>
      </c>
      <c r="J851" s="177" t="s">
        <v>1514</v>
      </c>
    </row>
    <row r="852" spans="2:10">
      <c r="B852" s="169"/>
      <c r="C852" s="29"/>
      <c r="D852" s="29"/>
      <c r="E852" s="29"/>
      <c r="F852" s="29"/>
      <c r="I852" s="176">
        <v>44044</v>
      </c>
      <c r="J852" s="177" t="s">
        <v>1515</v>
      </c>
    </row>
    <row r="853" spans="2:10">
      <c r="B853" s="169"/>
      <c r="C853" s="29"/>
      <c r="D853" s="29"/>
      <c r="E853" s="29"/>
      <c r="F853" s="29"/>
      <c r="I853" s="176">
        <v>44044</v>
      </c>
      <c r="J853" s="177" t="s">
        <v>1516</v>
      </c>
    </row>
    <row r="854" spans="2:10">
      <c r="B854" s="169"/>
      <c r="C854" s="29"/>
      <c r="D854" s="29"/>
      <c r="E854" s="29"/>
      <c r="F854" s="29"/>
      <c r="I854" s="176">
        <v>44044</v>
      </c>
      <c r="J854" s="177" t="s">
        <v>1517</v>
      </c>
    </row>
    <row r="855" spans="2:10">
      <c r="B855" s="169"/>
      <c r="C855" s="29"/>
      <c r="D855" s="29"/>
      <c r="E855" s="29"/>
      <c r="F855" s="29"/>
      <c r="I855" s="176">
        <v>44045</v>
      </c>
      <c r="J855" s="177" t="s">
        <v>1518</v>
      </c>
    </row>
    <row r="856" spans="2:10">
      <c r="B856" s="169"/>
      <c r="C856" s="29"/>
      <c r="D856" s="29"/>
      <c r="E856" s="29"/>
      <c r="F856" s="29"/>
      <c r="I856" s="176">
        <v>44045</v>
      </c>
      <c r="J856" s="177" t="s">
        <v>1519</v>
      </c>
    </row>
    <row r="857" spans="2:10">
      <c r="B857" s="169"/>
      <c r="C857" s="29"/>
      <c r="D857" s="29"/>
      <c r="E857" s="29"/>
      <c r="F857" s="29"/>
      <c r="I857" s="176">
        <v>44045</v>
      </c>
      <c r="J857" s="177" t="s">
        <v>1520</v>
      </c>
    </row>
    <row r="858" spans="2:10">
      <c r="B858" s="169"/>
      <c r="C858" s="29"/>
      <c r="D858" s="29"/>
      <c r="E858" s="29"/>
      <c r="F858" s="29"/>
      <c r="I858" s="176">
        <v>44046</v>
      </c>
      <c r="J858" s="177" t="s">
        <v>1521</v>
      </c>
    </row>
    <row r="859" spans="2:10">
      <c r="B859" s="169"/>
      <c r="C859" s="29"/>
      <c r="D859" s="29"/>
      <c r="E859" s="29"/>
      <c r="F859" s="29"/>
      <c r="I859" s="176">
        <v>44046</v>
      </c>
      <c r="J859" s="177" t="s">
        <v>1522</v>
      </c>
    </row>
    <row r="860" spans="2:10">
      <c r="B860" s="169"/>
      <c r="C860" s="29"/>
      <c r="D860" s="29"/>
      <c r="E860" s="29"/>
      <c r="F860" s="29"/>
      <c r="I860" s="176">
        <v>44046</v>
      </c>
      <c r="J860" s="177" t="s">
        <v>719</v>
      </c>
    </row>
    <row r="861" spans="2:10">
      <c r="B861" s="169"/>
      <c r="C861" s="29"/>
      <c r="D861" s="29"/>
      <c r="E861" s="29"/>
      <c r="F861" s="29"/>
      <c r="I861" s="176">
        <v>44047</v>
      </c>
      <c r="J861" s="177" t="s">
        <v>1523</v>
      </c>
    </row>
    <row r="862" spans="2:10">
      <c r="B862" s="169"/>
      <c r="C862" s="29"/>
      <c r="D862" s="29"/>
      <c r="E862" s="29"/>
      <c r="F862" s="29"/>
      <c r="I862" s="176">
        <v>44047</v>
      </c>
      <c r="J862" s="177" t="s">
        <v>1524</v>
      </c>
    </row>
    <row r="863" spans="2:10">
      <c r="B863" s="169"/>
      <c r="C863" s="29"/>
      <c r="D863" s="29"/>
      <c r="E863" s="29"/>
      <c r="F863" s="29"/>
      <c r="I863" s="176">
        <v>44047</v>
      </c>
      <c r="J863" s="177" t="s">
        <v>722</v>
      </c>
    </row>
    <row r="864" spans="2:10">
      <c r="B864" s="169"/>
      <c r="C864" s="29"/>
      <c r="D864" s="29"/>
      <c r="E864" s="29"/>
      <c r="F864" s="29"/>
      <c r="I864" s="176">
        <v>44048</v>
      </c>
      <c r="J864" s="177" t="s">
        <v>725</v>
      </c>
    </row>
    <row r="865" spans="2:10">
      <c r="B865" s="169"/>
      <c r="C865" s="29"/>
      <c r="D865" s="29"/>
      <c r="E865" s="29"/>
      <c r="F865" s="29"/>
      <c r="I865" s="176">
        <v>44048</v>
      </c>
      <c r="J865" s="177" t="s">
        <v>1525</v>
      </c>
    </row>
    <row r="866" spans="2:10">
      <c r="B866" s="169"/>
      <c r="C866" s="29"/>
      <c r="D866" s="29"/>
      <c r="E866" s="29"/>
      <c r="F866" s="29"/>
      <c r="I866" s="176">
        <v>44048</v>
      </c>
      <c r="J866" s="177" t="s">
        <v>1526</v>
      </c>
    </row>
    <row r="867" spans="2:10">
      <c r="B867" s="169"/>
      <c r="C867" s="29"/>
      <c r="D867" s="29"/>
      <c r="E867" s="29"/>
      <c r="F867" s="29"/>
      <c r="I867" s="176">
        <v>44048</v>
      </c>
      <c r="J867" s="177" t="s">
        <v>1527</v>
      </c>
    </row>
    <row r="868" spans="2:10">
      <c r="B868" s="169"/>
      <c r="C868" s="29"/>
      <c r="D868" s="29"/>
      <c r="E868" s="29"/>
      <c r="F868" s="29"/>
      <c r="I868" s="176">
        <v>44048</v>
      </c>
      <c r="J868" s="177" t="s">
        <v>1528</v>
      </c>
    </row>
    <row r="869" spans="2:10">
      <c r="B869" s="169"/>
      <c r="C869" s="29"/>
      <c r="D869" s="29"/>
      <c r="E869" s="29"/>
      <c r="F869" s="29"/>
      <c r="I869" s="176">
        <v>44049</v>
      </c>
      <c r="J869" s="177" t="s">
        <v>1529</v>
      </c>
    </row>
    <row r="870" spans="2:10">
      <c r="B870" s="169"/>
      <c r="C870" s="29"/>
      <c r="D870" s="29"/>
      <c r="E870" s="29"/>
      <c r="F870" s="29"/>
      <c r="I870" s="176">
        <v>44049</v>
      </c>
      <c r="J870" s="177" t="s">
        <v>729</v>
      </c>
    </row>
    <row r="871" spans="2:10">
      <c r="B871" s="169"/>
      <c r="C871" s="29"/>
      <c r="D871" s="29"/>
      <c r="E871" s="29"/>
      <c r="F871" s="29"/>
      <c r="I871" s="176">
        <v>44049</v>
      </c>
      <c r="J871" s="177" t="s">
        <v>728</v>
      </c>
    </row>
    <row r="872" spans="2:10">
      <c r="B872" s="169"/>
      <c r="C872" s="29"/>
      <c r="D872" s="29"/>
      <c r="E872" s="29"/>
      <c r="F872" s="29"/>
      <c r="I872" s="176">
        <v>44050</v>
      </c>
      <c r="J872" s="177" t="s">
        <v>731</v>
      </c>
    </row>
    <row r="873" spans="2:10">
      <c r="B873" s="169"/>
      <c r="C873" s="29"/>
      <c r="D873" s="29"/>
      <c r="E873" s="29"/>
      <c r="F873" s="29"/>
      <c r="I873" s="176">
        <v>44050</v>
      </c>
      <c r="J873" s="177" t="s">
        <v>1530</v>
      </c>
    </row>
    <row r="874" spans="2:10">
      <c r="B874" s="169"/>
      <c r="C874" s="29"/>
      <c r="D874" s="29"/>
      <c r="E874" s="29"/>
      <c r="F874" s="29"/>
      <c r="I874" s="176">
        <v>44050</v>
      </c>
      <c r="J874" s="177" t="s">
        <v>1531</v>
      </c>
    </row>
    <row r="875" spans="2:10">
      <c r="B875" s="169"/>
      <c r="C875" s="29"/>
      <c r="D875" s="29"/>
      <c r="E875" s="29"/>
      <c r="F875" s="29"/>
      <c r="I875" s="176">
        <v>44050</v>
      </c>
      <c r="J875" s="177" t="s">
        <v>1532</v>
      </c>
    </row>
    <row r="876" spans="2:10">
      <c r="B876" s="169"/>
      <c r="C876" s="29"/>
      <c r="D876" s="29"/>
      <c r="E876" s="29"/>
      <c r="F876" s="29"/>
      <c r="I876" s="176">
        <v>44050</v>
      </c>
      <c r="J876" s="177" t="s">
        <v>1533</v>
      </c>
    </row>
    <row r="877" spans="2:10">
      <c r="B877" s="169"/>
      <c r="C877" s="29"/>
      <c r="D877" s="29"/>
      <c r="E877" s="29"/>
      <c r="F877" s="29"/>
      <c r="I877" s="176">
        <v>44051</v>
      </c>
      <c r="J877" s="177" t="s">
        <v>1534</v>
      </c>
    </row>
    <row r="878" spans="2:10">
      <c r="B878" s="169"/>
      <c r="C878" s="29"/>
      <c r="D878" s="29"/>
      <c r="E878" s="29"/>
      <c r="F878" s="29"/>
      <c r="I878" s="176">
        <v>44051</v>
      </c>
      <c r="J878" s="177" t="s">
        <v>1535</v>
      </c>
    </row>
    <row r="879" spans="2:10">
      <c r="B879" s="169"/>
      <c r="C879" s="29"/>
      <c r="D879" s="29"/>
      <c r="E879" s="29"/>
      <c r="F879" s="29"/>
      <c r="I879" s="176">
        <v>44051</v>
      </c>
      <c r="J879" s="177" t="s">
        <v>1536</v>
      </c>
    </row>
    <row r="880" spans="2:10">
      <c r="B880" s="169"/>
      <c r="C880" s="29"/>
      <c r="D880" s="29"/>
      <c r="E880" s="29"/>
      <c r="F880" s="29"/>
      <c r="I880" s="176">
        <v>44051</v>
      </c>
      <c r="J880" s="177" t="s">
        <v>1537</v>
      </c>
    </row>
    <row r="881" spans="2:10">
      <c r="B881" s="169"/>
      <c r="C881" s="29"/>
      <c r="D881" s="29"/>
      <c r="E881" s="29"/>
      <c r="F881" s="29"/>
      <c r="I881" s="176">
        <v>44051</v>
      </c>
      <c r="J881" s="177" t="s">
        <v>1538</v>
      </c>
    </row>
    <row r="882" spans="2:10">
      <c r="B882" s="169"/>
      <c r="C882" s="29"/>
      <c r="D882" s="29"/>
      <c r="E882" s="29"/>
      <c r="F882" s="29"/>
      <c r="I882" s="176">
        <v>44051</v>
      </c>
      <c r="J882" s="177" t="s">
        <v>734</v>
      </c>
    </row>
    <row r="883" spans="2:10">
      <c r="B883" s="169"/>
      <c r="C883" s="29"/>
      <c r="D883" s="29"/>
      <c r="E883" s="29"/>
      <c r="F883" s="29"/>
      <c r="I883" s="176">
        <v>44052</v>
      </c>
      <c r="J883" s="177" t="s">
        <v>737</v>
      </c>
    </row>
    <row r="884" spans="2:10">
      <c r="B884" s="169"/>
      <c r="C884" s="29"/>
      <c r="D884" s="29"/>
      <c r="E884" s="29"/>
      <c r="F884" s="29"/>
      <c r="I884" s="176">
        <v>44053</v>
      </c>
      <c r="J884" s="177" t="s">
        <v>1539</v>
      </c>
    </row>
    <row r="885" spans="2:10">
      <c r="B885" s="169"/>
      <c r="C885" s="29"/>
      <c r="D885" s="29"/>
      <c r="E885" s="29"/>
      <c r="F885" s="29"/>
      <c r="I885" s="176">
        <v>44053</v>
      </c>
      <c r="J885" s="177" t="s">
        <v>1540</v>
      </c>
    </row>
    <row r="886" spans="2:10">
      <c r="B886" s="169"/>
      <c r="C886" s="29"/>
      <c r="D886" s="29"/>
      <c r="E886" s="29"/>
      <c r="F886" s="29"/>
      <c r="I886" s="176">
        <v>44053</v>
      </c>
      <c r="J886" s="177" t="s">
        <v>1541</v>
      </c>
    </row>
    <row r="887" spans="2:10">
      <c r="B887" s="169"/>
      <c r="C887" s="29"/>
      <c r="D887" s="29"/>
      <c r="E887" s="29"/>
      <c r="F887" s="29"/>
      <c r="I887" s="176">
        <v>44053</v>
      </c>
      <c r="J887" s="177" t="s">
        <v>1542</v>
      </c>
    </row>
    <row r="888" spans="2:10">
      <c r="B888" s="169"/>
      <c r="C888" s="29"/>
      <c r="D888" s="29"/>
      <c r="E888" s="29"/>
      <c r="F888" s="29"/>
      <c r="I888" s="176">
        <v>44053</v>
      </c>
      <c r="J888" s="177" t="s">
        <v>1543</v>
      </c>
    </row>
    <row r="889" spans="2:10">
      <c r="B889" s="169"/>
      <c r="C889" s="29"/>
      <c r="D889" s="29"/>
      <c r="E889" s="29"/>
      <c r="F889" s="29"/>
      <c r="I889" s="176">
        <v>44053</v>
      </c>
      <c r="J889" s="177" t="s">
        <v>1544</v>
      </c>
    </row>
    <row r="890" spans="2:10">
      <c r="B890" s="169"/>
      <c r="C890" s="29"/>
      <c r="D890" s="29"/>
      <c r="E890" s="29"/>
      <c r="F890" s="29"/>
      <c r="I890" s="176">
        <v>44053</v>
      </c>
      <c r="J890" s="177" t="s">
        <v>739</v>
      </c>
    </row>
    <row r="891" spans="2:10">
      <c r="B891" s="169"/>
      <c r="C891" s="29"/>
      <c r="D891" s="29"/>
      <c r="E891" s="29"/>
      <c r="F891" s="29"/>
      <c r="I891" s="176">
        <v>44053</v>
      </c>
      <c r="J891" s="177" t="s">
        <v>1545</v>
      </c>
    </row>
    <row r="892" spans="2:10">
      <c r="B892" s="169"/>
      <c r="C892" s="29"/>
      <c r="D892" s="29"/>
      <c r="E892" s="29"/>
      <c r="F892" s="29"/>
      <c r="I892" s="176">
        <v>44053</v>
      </c>
      <c r="J892" s="177" t="s">
        <v>1546</v>
      </c>
    </row>
    <row r="893" spans="2:10">
      <c r="B893" s="169"/>
      <c r="C893" s="29"/>
      <c r="D893" s="29"/>
      <c r="E893" s="29"/>
      <c r="F893" s="29"/>
      <c r="I893" s="176">
        <v>44053</v>
      </c>
      <c r="J893" s="177" t="s">
        <v>1547</v>
      </c>
    </row>
    <row r="894" spans="2:10">
      <c r="B894" s="169"/>
      <c r="C894" s="29"/>
      <c r="D894" s="29"/>
      <c r="E894" s="29"/>
      <c r="F894" s="29"/>
      <c r="I894" s="176">
        <v>44054</v>
      </c>
      <c r="J894" s="177" t="s">
        <v>742</v>
      </c>
    </row>
    <row r="895" spans="2:10">
      <c r="B895" s="169"/>
      <c r="C895" s="29"/>
      <c r="D895" s="29"/>
      <c r="E895" s="29"/>
      <c r="F895" s="29"/>
      <c r="I895" s="176">
        <v>44054</v>
      </c>
      <c r="J895" s="177" t="s">
        <v>1548</v>
      </c>
    </row>
    <row r="896" spans="2:10">
      <c r="B896" s="169"/>
      <c r="C896" s="29"/>
      <c r="D896" s="29"/>
      <c r="E896" s="29"/>
      <c r="F896" s="29"/>
      <c r="I896" s="176">
        <v>44054</v>
      </c>
      <c r="J896" s="177" t="s">
        <v>1549</v>
      </c>
    </row>
    <row r="897" spans="2:10">
      <c r="B897" s="169"/>
      <c r="C897" s="29"/>
      <c r="D897" s="29"/>
      <c r="E897" s="29"/>
      <c r="F897" s="29"/>
      <c r="I897" s="176">
        <v>44054</v>
      </c>
      <c r="J897" s="177" t="s">
        <v>1550</v>
      </c>
    </row>
    <row r="898" spans="2:10">
      <c r="B898" s="169"/>
      <c r="C898" s="29"/>
      <c r="D898" s="29"/>
      <c r="E898" s="29"/>
      <c r="F898" s="29"/>
      <c r="I898" s="176">
        <v>44054</v>
      </c>
      <c r="J898" s="177" t="s">
        <v>1551</v>
      </c>
    </row>
    <row r="899" spans="2:10">
      <c r="B899" s="169"/>
      <c r="C899" s="29"/>
      <c r="D899" s="29"/>
      <c r="E899" s="29"/>
      <c r="F899" s="29"/>
      <c r="I899" s="176">
        <v>44054</v>
      </c>
      <c r="J899" s="177" t="s">
        <v>1552</v>
      </c>
    </row>
    <row r="900" spans="2:10">
      <c r="B900" s="169"/>
      <c r="C900" s="29"/>
      <c r="D900" s="29"/>
      <c r="E900" s="29"/>
      <c r="F900" s="29"/>
      <c r="I900" s="176">
        <v>44054</v>
      </c>
      <c r="J900" s="177" t="s">
        <v>1553</v>
      </c>
    </row>
    <row r="901" spans="2:10">
      <c r="B901" s="169"/>
      <c r="C901" s="29"/>
      <c r="D901" s="29"/>
      <c r="E901" s="29"/>
      <c r="F901" s="29"/>
      <c r="I901" s="176">
        <v>44054</v>
      </c>
      <c r="J901" s="177" t="s">
        <v>1554</v>
      </c>
    </row>
    <row r="902" spans="2:10">
      <c r="B902" s="169"/>
      <c r="C902" s="29"/>
      <c r="D902" s="29"/>
      <c r="E902" s="29"/>
      <c r="F902" s="29"/>
      <c r="I902" s="176">
        <v>44054</v>
      </c>
      <c r="J902" s="177" t="s">
        <v>1555</v>
      </c>
    </row>
    <row r="903" spans="2:10">
      <c r="B903" s="169"/>
      <c r="C903" s="29"/>
      <c r="D903" s="29"/>
      <c r="E903" s="29"/>
      <c r="F903" s="29"/>
      <c r="I903" s="176">
        <v>44054</v>
      </c>
      <c r="J903" s="177" t="s">
        <v>1556</v>
      </c>
    </row>
    <row r="904" spans="2:10">
      <c r="B904" s="169"/>
      <c r="C904" s="29"/>
      <c r="D904" s="29"/>
      <c r="E904" s="29"/>
      <c r="F904" s="29"/>
      <c r="I904" s="176">
        <v>44054</v>
      </c>
      <c r="J904" s="177" t="s">
        <v>1557</v>
      </c>
    </row>
    <row r="905" spans="2:10">
      <c r="B905" s="169"/>
      <c r="C905" s="29"/>
      <c r="D905" s="29"/>
      <c r="E905" s="29"/>
      <c r="F905" s="29"/>
      <c r="I905" s="176">
        <v>44054</v>
      </c>
      <c r="J905" s="177" t="s">
        <v>1558</v>
      </c>
    </row>
    <row r="906" spans="2:10">
      <c r="B906" s="169"/>
      <c r="C906" s="29"/>
      <c r="D906" s="29"/>
      <c r="E906" s="29"/>
      <c r="F906" s="29"/>
      <c r="I906" s="176">
        <v>44054</v>
      </c>
      <c r="J906" s="177" t="s">
        <v>1559</v>
      </c>
    </row>
    <row r="907" spans="2:10">
      <c r="B907" s="169"/>
      <c r="C907" s="29"/>
      <c r="D907" s="29"/>
      <c r="E907" s="29"/>
      <c r="F907" s="29"/>
      <c r="I907" s="176">
        <v>44055</v>
      </c>
      <c r="J907" s="177" t="s">
        <v>744</v>
      </c>
    </row>
    <row r="908" spans="2:10">
      <c r="B908" s="169"/>
      <c r="C908" s="29"/>
      <c r="D908" s="29"/>
      <c r="E908" s="29"/>
      <c r="F908" s="29"/>
      <c r="I908" s="176">
        <v>44056</v>
      </c>
      <c r="J908" s="177" t="s">
        <v>1560</v>
      </c>
    </row>
    <row r="909" spans="2:10">
      <c r="B909" s="169"/>
      <c r="C909" s="29"/>
      <c r="D909" s="29"/>
      <c r="E909" s="29"/>
      <c r="F909" s="29"/>
      <c r="I909" s="176">
        <v>44056</v>
      </c>
      <c r="J909" s="177" t="s">
        <v>747</v>
      </c>
    </row>
    <row r="910" spans="2:10">
      <c r="B910" s="169"/>
      <c r="C910" s="29"/>
      <c r="D910" s="29"/>
      <c r="E910" s="29"/>
      <c r="F910" s="29"/>
      <c r="I910" s="176">
        <v>44056</v>
      </c>
      <c r="J910" s="177" t="s">
        <v>1561</v>
      </c>
    </row>
    <row r="911" spans="2:10">
      <c r="B911" s="169"/>
      <c r="C911" s="29"/>
      <c r="D911" s="29"/>
      <c r="E911" s="29"/>
      <c r="F911" s="29"/>
      <c r="I911" s="176">
        <v>44056</v>
      </c>
      <c r="J911" s="177" t="s">
        <v>1562</v>
      </c>
    </row>
    <row r="912" spans="2:10">
      <c r="B912" s="169"/>
      <c r="C912" s="29"/>
      <c r="D912" s="29"/>
      <c r="E912" s="29"/>
      <c r="F912" s="29"/>
      <c r="I912" s="176">
        <v>44056</v>
      </c>
      <c r="J912" s="177" t="s">
        <v>1563</v>
      </c>
    </row>
    <row r="913" spans="2:10">
      <c r="B913" s="169"/>
      <c r="C913" s="29"/>
      <c r="D913" s="29"/>
      <c r="E913" s="29"/>
      <c r="F913" s="29"/>
      <c r="I913" s="176">
        <v>44056</v>
      </c>
      <c r="J913" s="177" t="s">
        <v>1564</v>
      </c>
    </row>
    <row r="914" spans="2:10">
      <c r="B914" s="169"/>
      <c r="C914" s="29"/>
      <c r="D914" s="29"/>
      <c r="E914" s="29"/>
      <c r="F914" s="29"/>
      <c r="I914" s="176">
        <v>44057</v>
      </c>
      <c r="J914" s="177" t="s">
        <v>1565</v>
      </c>
    </row>
    <row r="915" spans="2:10">
      <c r="B915" s="169"/>
      <c r="C915" s="29"/>
      <c r="D915" s="29"/>
      <c r="E915" s="29"/>
      <c r="F915" s="29"/>
      <c r="I915" s="176">
        <v>44057</v>
      </c>
      <c r="J915" s="177" t="s">
        <v>1566</v>
      </c>
    </row>
    <row r="916" spans="2:10">
      <c r="B916" s="169"/>
      <c r="C916" s="29"/>
      <c r="D916" s="29"/>
      <c r="E916" s="29"/>
      <c r="F916" s="29"/>
      <c r="I916" s="176">
        <v>44058</v>
      </c>
      <c r="J916" s="177" t="s">
        <v>1567</v>
      </c>
    </row>
    <row r="917" spans="2:10">
      <c r="B917" s="169"/>
      <c r="C917" s="29"/>
      <c r="D917" s="29"/>
      <c r="E917" s="29"/>
      <c r="F917" s="29"/>
      <c r="I917" s="176">
        <v>44058</v>
      </c>
      <c r="J917" s="177" t="s">
        <v>1568</v>
      </c>
    </row>
    <row r="918" spans="2:10">
      <c r="B918" s="169"/>
      <c r="C918" s="29"/>
      <c r="D918" s="29"/>
      <c r="E918" s="29"/>
      <c r="F918" s="29"/>
      <c r="I918" s="176">
        <v>44058</v>
      </c>
      <c r="J918" s="177" t="s">
        <v>1569</v>
      </c>
    </row>
    <row r="919" spans="2:10">
      <c r="B919" s="169"/>
      <c r="C919" s="29"/>
      <c r="D919" s="29"/>
      <c r="E919" s="29"/>
      <c r="F919" s="29"/>
      <c r="I919" s="176">
        <v>44058</v>
      </c>
      <c r="J919" s="177" t="s">
        <v>1570</v>
      </c>
    </row>
    <row r="920" spans="2:10">
      <c r="B920" s="169"/>
      <c r="C920" s="29"/>
      <c r="D920" s="29"/>
      <c r="E920" s="29"/>
      <c r="F920" s="29"/>
      <c r="I920" s="176">
        <v>44058</v>
      </c>
      <c r="J920" s="177" t="s">
        <v>752</v>
      </c>
    </row>
    <row r="921" spans="2:10">
      <c r="B921" s="169"/>
      <c r="C921" s="29"/>
      <c r="D921" s="29"/>
      <c r="E921" s="29"/>
      <c r="F921" s="29"/>
      <c r="I921" s="176">
        <v>44058</v>
      </c>
      <c r="J921" s="177" t="s">
        <v>1571</v>
      </c>
    </row>
    <row r="922" spans="2:10">
      <c r="B922" s="169"/>
      <c r="C922" s="29"/>
      <c r="D922" s="29"/>
      <c r="E922" s="29"/>
      <c r="F922" s="29"/>
      <c r="I922" s="176">
        <v>44058</v>
      </c>
      <c r="J922" s="177" t="s">
        <v>1572</v>
      </c>
    </row>
    <row r="923" spans="2:10">
      <c r="B923" s="169"/>
      <c r="C923" s="29"/>
      <c r="D923" s="29"/>
      <c r="E923" s="29"/>
      <c r="F923" s="29"/>
      <c r="I923" s="176">
        <v>44058</v>
      </c>
      <c r="J923" s="177" t="s">
        <v>1573</v>
      </c>
    </row>
    <row r="924" spans="2:10">
      <c r="B924" s="169"/>
      <c r="C924" s="29"/>
      <c r="D924" s="29"/>
      <c r="E924" s="29"/>
      <c r="F924" s="29"/>
      <c r="I924" s="176">
        <v>44058</v>
      </c>
      <c r="J924" s="177" t="s">
        <v>1574</v>
      </c>
    </row>
    <row r="925" spans="2:10">
      <c r="B925" s="169"/>
      <c r="C925" s="29"/>
      <c r="D925" s="29"/>
      <c r="E925" s="29"/>
      <c r="F925" s="29"/>
      <c r="I925" s="176">
        <v>44058</v>
      </c>
      <c r="J925" s="177" t="s">
        <v>1575</v>
      </c>
    </row>
    <row r="926" spans="2:10">
      <c r="B926" s="169"/>
      <c r="C926" s="29"/>
      <c r="D926" s="29"/>
      <c r="E926" s="29"/>
      <c r="F926" s="29"/>
      <c r="I926" s="176">
        <v>44058</v>
      </c>
      <c r="J926" s="177" t="s">
        <v>1576</v>
      </c>
    </row>
    <row r="927" spans="2:10">
      <c r="B927" s="169"/>
      <c r="C927" s="29"/>
      <c r="D927" s="29"/>
      <c r="E927" s="29"/>
      <c r="F927" s="29"/>
      <c r="I927" s="176">
        <v>44058</v>
      </c>
      <c r="J927" s="177" t="s">
        <v>1577</v>
      </c>
    </row>
    <row r="928" spans="2:10">
      <c r="B928" s="169"/>
      <c r="C928" s="29"/>
      <c r="D928" s="29"/>
      <c r="E928" s="29"/>
      <c r="F928" s="29"/>
      <c r="I928" s="176">
        <v>44058</v>
      </c>
      <c r="J928" s="177" t="s">
        <v>1578</v>
      </c>
    </row>
    <row r="929" spans="2:10">
      <c r="B929" s="169"/>
      <c r="C929" s="29"/>
      <c r="D929" s="29"/>
      <c r="E929" s="29"/>
      <c r="F929" s="29"/>
      <c r="I929" s="176">
        <v>44058</v>
      </c>
      <c r="J929" s="177" t="s">
        <v>1579</v>
      </c>
    </row>
    <row r="930" spans="2:10">
      <c r="B930" s="169"/>
      <c r="C930" s="29"/>
      <c r="D930" s="29"/>
      <c r="E930" s="29"/>
      <c r="F930" s="29"/>
      <c r="I930" s="176">
        <v>44058</v>
      </c>
      <c r="J930" s="177" t="s">
        <v>1580</v>
      </c>
    </row>
    <row r="931" spans="2:10">
      <c r="B931" s="169"/>
      <c r="C931" s="29"/>
      <c r="D931" s="29"/>
      <c r="E931" s="29"/>
      <c r="F931" s="29"/>
      <c r="I931" s="176">
        <v>44058</v>
      </c>
      <c r="J931" s="177" t="s">
        <v>1581</v>
      </c>
    </row>
    <row r="932" spans="2:10">
      <c r="B932" s="169"/>
      <c r="C932" s="29"/>
      <c r="D932" s="29"/>
      <c r="E932" s="29"/>
      <c r="F932" s="29"/>
      <c r="I932" s="176">
        <v>44058</v>
      </c>
      <c r="J932" s="177" t="s">
        <v>1582</v>
      </c>
    </row>
    <row r="933" spans="2:10">
      <c r="B933" s="169"/>
      <c r="C933" s="29"/>
      <c r="D933" s="29"/>
      <c r="E933" s="29"/>
      <c r="F933" s="29"/>
      <c r="I933" s="176">
        <v>44058</v>
      </c>
      <c r="J933" s="177" t="s">
        <v>1583</v>
      </c>
    </row>
    <row r="934" spans="2:10">
      <c r="B934" s="169"/>
      <c r="C934" s="29"/>
      <c r="D934" s="29"/>
      <c r="E934" s="29"/>
      <c r="F934" s="29"/>
      <c r="I934" s="176">
        <v>44058</v>
      </c>
      <c r="J934" s="177" t="s">
        <v>1584</v>
      </c>
    </row>
    <row r="935" spans="2:10">
      <c r="B935" s="169"/>
      <c r="C935" s="29"/>
      <c r="D935" s="29"/>
      <c r="E935" s="29"/>
      <c r="F935" s="29"/>
      <c r="I935" s="176">
        <v>44058</v>
      </c>
      <c r="J935" s="177" t="s">
        <v>1585</v>
      </c>
    </row>
    <row r="936" spans="2:10">
      <c r="B936" s="169"/>
      <c r="C936" s="29"/>
      <c r="D936" s="29"/>
      <c r="E936" s="29"/>
      <c r="F936" s="29"/>
      <c r="I936" s="176">
        <v>44058</v>
      </c>
      <c r="J936" s="177" t="s">
        <v>1586</v>
      </c>
    </row>
    <row r="937" spans="2:10">
      <c r="B937" s="169"/>
      <c r="C937" s="29"/>
      <c r="D937" s="29"/>
      <c r="E937" s="29"/>
      <c r="F937" s="29"/>
      <c r="I937" s="176">
        <v>44059</v>
      </c>
      <c r="J937" s="177" t="s">
        <v>1587</v>
      </c>
    </row>
    <row r="938" spans="2:10">
      <c r="B938" s="169"/>
      <c r="C938" s="29"/>
      <c r="D938" s="29"/>
      <c r="E938" s="29"/>
      <c r="F938" s="29"/>
      <c r="I938" s="176">
        <v>44059</v>
      </c>
      <c r="J938" s="177" t="s">
        <v>1588</v>
      </c>
    </row>
    <row r="939" spans="2:10">
      <c r="B939" s="169"/>
      <c r="C939" s="29"/>
      <c r="D939" s="29"/>
      <c r="E939" s="29"/>
      <c r="F939" s="29"/>
      <c r="I939" s="176">
        <v>44059</v>
      </c>
      <c r="J939" s="177" t="s">
        <v>755</v>
      </c>
    </row>
    <row r="940" spans="2:10">
      <c r="B940" s="169"/>
      <c r="C940" s="29"/>
      <c r="D940" s="29"/>
      <c r="E940" s="29"/>
      <c r="F940" s="29"/>
      <c r="I940" s="176">
        <v>44059</v>
      </c>
      <c r="J940" s="177" t="s">
        <v>1589</v>
      </c>
    </row>
    <row r="941" spans="2:10">
      <c r="B941" s="169"/>
      <c r="C941" s="29"/>
      <c r="D941" s="29"/>
      <c r="E941" s="29"/>
      <c r="F941" s="29"/>
      <c r="I941" s="176">
        <v>44060</v>
      </c>
      <c r="J941" s="177" t="s">
        <v>757</v>
      </c>
    </row>
    <row r="942" spans="2:10">
      <c r="B942" s="169"/>
      <c r="C942" s="29"/>
      <c r="D942" s="29"/>
      <c r="E942" s="29"/>
      <c r="F942" s="29"/>
      <c r="I942" s="176">
        <v>44061</v>
      </c>
      <c r="J942" s="177" t="s">
        <v>1590</v>
      </c>
    </row>
    <row r="943" spans="2:10">
      <c r="B943" s="169"/>
      <c r="C943" s="29"/>
      <c r="D943" s="29"/>
      <c r="E943" s="29"/>
      <c r="F943" s="29"/>
      <c r="I943" s="176">
        <v>44061</v>
      </c>
      <c r="J943" s="177" t="s">
        <v>1591</v>
      </c>
    </row>
    <row r="944" spans="2:10">
      <c r="B944" s="169"/>
      <c r="C944" s="29"/>
      <c r="D944" s="29"/>
      <c r="E944" s="29"/>
      <c r="F944" s="29"/>
      <c r="I944" s="176">
        <v>44061</v>
      </c>
      <c r="J944" s="177" t="s">
        <v>1592</v>
      </c>
    </row>
    <row r="945" spans="2:10">
      <c r="B945" s="169"/>
      <c r="C945" s="29"/>
      <c r="D945" s="29"/>
      <c r="E945" s="29"/>
      <c r="F945" s="29"/>
      <c r="I945" s="176">
        <v>44061</v>
      </c>
      <c r="J945" s="177" t="s">
        <v>1593</v>
      </c>
    </row>
    <row r="946" spans="2:10">
      <c r="B946" s="169"/>
      <c r="C946" s="29"/>
      <c r="D946" s="29"/>
      <c r="E946" s="29"/>
      <c r="F946" s="29"/>
      <c r="I946" s="176">
        <v>44061</v>
      </c>
      <c r="J946" s="177" t="s">
        <v>760</v>
      </c>
    </row>
    <row r="947" spans="2:10">
      <c r="B947" s="169"/>
      <c r="C947" s="29"/>
      <c r="D947" s="29"/>
      <c r="E947" s="29"/>
      <c r="F947" s="29"/>
      <c r="I947" s="176">
        <v>44061</v>
      </c>
      <c r="J947" s="177" t="s">
        <v>1594</v>
      </c>
    </row>
    <row r="948" spans="2:10">
      <c r="B948" s="169"/>
      <c r="C948" s="29"/>
      <c r="D948" s="29"/>
      <c r="E948" s="29"/>
      <c r="F948" s="29"/>
      <c r="I948" s="176">
        <v>44061</v>
      </c>
      <c r="J948" s="177" t="s">
        <v>1595</v>
      </c>
    </row>
    <row r="949" spans="2:10">
      <c r="B949" s="169"/>
      <c r="C949" s="29"/>
      <c r="D949" s="29"/>
      <c r="E949" s="29"/>
      <c r="F949" s="29"/>
      <c r="I949" s="176">
        <v>44061</v>
      </c>
      <c r="J949" s="177" t="s">
        <v>1596</v>
      </c>
    </row>
    <row r="950" spans="2:10">
      <c r="B950" s="169"/>
      <c r="C950" s="29"/>
      <c r="D950" s="29"/>
      <c r="E950" s="29"/>
      <c r="F950" s="29"/>
      <c r="I950" s="176">
        <v>44061</v>
      </c>
      <c r="J950" s="177" t="s">
        <v>1597</v>
      </c>
    </row>
    <row r="951" spans="2:10">
      <c r="B951" s="169"/>
      <c r="C951" s="29"/>
      <c r="D951" s="29"/>
      <c r="E951" s="29"/>
      <c r="F951" s="29"/>
      <c r="I951" s="176">
        <v>44061</v>
      </c>
      <c r="J951" s="177" t="s">
        <v>1598</v>
      </c>
    </row>
    <row r="952" spans="2:10">
      <c r="B952" s="169"/>
      <c r="C952" s="29"/>
      <c r="D952" s="29"/>
      <c r="E952" s="29"/>
      <c r="F952" s="29"/>
      <c r="I952" s="176">
        <v>44061</v>
      </c>
      <c r="J952" s="177" t="s">
        <v>1599</v>
      </c>
    </row>
    <row r="953" spans="2:10">
      <c r="B953" s="169"/>
      <c r="C953" s="29"/>
      <c r="D953" s="29"/>
      <c r="E953" s="29"/>
      <c r="F953" s="29"/>
      <c r="I953" s="176">
        <v>44062</v>
      </c>
      <c r="J953" s="177" t="s">
        <v>1600</v>
      </c>
    </row>
    <row r="954" spans="2:10">
      <c r="B954" s="169"/>
      <c r="C954" s="29"/>
      <c r="D954" s="29"/>
      <c r="E954" s="29"/>
      <c r="F954" s="29"/>
      <c r="I954" s="176">
        <v>44062</v>
      </c>
      <c r="J954" s="177" t="s">
        <v>1601</v>
      </c>
    </row>
    <row r="955" spans="2:10">
      <c r="B955" s="169"/>
      <c r="C955" s="29"/>
      <c r="D955" s="29"/>
      <c r="E955" s="29"/>
      <c r="F955" s="29"/>
      <c r="I955" s="176">
        <v>44062</v>
      </c>
      <c r="J955" s="177" t="s">
        <v>763</v>
      </c>
    </row>
    <row r="956" spans="2:10">
      <c r="B956" s="169"/>
      <c r="C956" s="29"/>
      <c r="D956" s="29"/>
      <c r="E956" s="29"/>
      <c r="F956" s="29"/>
      <c r="I956" s="176">
        <v>44063</v>
      </c>
      <c r="J956" s="177" t="s">
        <v>765</v>
      </c>
    </row>
    <row r="957" spans="2:10">
      <c r="B957" s="169"/>
      <c r="C957" s="29"/>
      <c r="D957" s="29"/>
      <c r="E957" s="29"/>
      <c r="F957" s="29"/>
      <c r="I957" s="176">
        <v>44063</v>
      </c>
      <c r="J957" s="177" t="s">
        <v>1602</v>
      </c>
    </row>
    <row r="958" spans="2:10">
      <c r="B958" s="169"/>
      <c r="C958" s="29"/>
      <c r="D958" s="29"/>
      <c r="E958" s="29"/>
      <c r="F958" s="29"/>
      <c r="I958" s="176">
        <v>44063</v>
      </c>
      <c r="J958" s="177" t="s">
        <v>1603</v>
      </c>
    </row>
    <row r="959" spans="2:10">
      <c r="B959" s="169"/>
      <c r="C959" s="29"/>
      <c r="D959" s="29"/>
      <c r="E959" s="29"/>
      <c r="F959" s="29"/>
      <c r="I959" s="176">
        <v>44063</v>
      </c>
      <c r="J959" s="177" t="s">
        <v>1604</v>
      </c>
    </row>
    <row r="960" spans="2:10">
      <c r="B960" s="169"/>
      <c r="C960" s="29"/>
      <c r="D960" s="29"/>
      <c r="E960" s="29"/>
      <c r="F960" s="29"/>
      <c r="I960" s="176">
        <v>44063</v>
      </c>
      <c r="J960" s="177" t="s">
        <v>1605</v>
      </c>
    </row>
    <row r="961" spans="2:10">
      <c r="B961" s="169"/>
      <c r="C961" s="29"/>
      <c r="D961" s="29"/>
      <c r="E961" s="29"/>
      <c r="F961" s="29"/>
      <c r="I961" s="176">
        <v>44063</v>
      </c>
      <c r="J961" s="177" t="s">
        <v>1606</v>
      </c>
    </row>
    <row r="962" spans="2:10">
      <c r="B962" s="169"/>
      <c r="C962" s="29"/>
      <c r="D962" s="29"/>
      <c r="E962" s="29"/>
      <c r="F962" s="29"/>
      <c r="I962" s="176">
        <v>44063</v>
      </c>
      <c r="J962" s="177" t="s">
        <v>1607</v>
      </c>
    </row>
    <row r="963" spans="2:10">
      <c r="B963" s="169"/>
      <c r="C963" s="29"/>
      <c r="D963" s="29"/>
      <c r="E963" s="29"/>
      <c r="F963" s="29"/>
      <c r="I963" s="176">
        <v>44063</v>
      </c>
      <c r="J963" s="177" t="s">
        <v>1608</v>
      </c>
    </row>
    <row r="964" spans="2:10">
      <c r="B964" s="169"/>
      <c r="C964" s="29"/>
      <c r="D964" s="29"/>
      <c r="E964" s="29"/>
      <c r="F964" s="29"/>
      <c r="I964" s="176">
        <v>44064</v>
      </c>
      <c r="J964" s="177" t="s">
        <v>1609</v>
      </c>
    </row>
    <row r="965" spans="2:10">
      <c r="B965" s="169"/>
      <c r="C965" s="29"/>
      <c r="D965" s="29"/>
      <c r="E965" s="29"/>
      <c r="F965" s="29"/>
      <c r="I965" s="176">
        <v>44064</v>
      </c>
      <c r="J965" s="177" t="s">
        <v>768</v>
      </c>
    </row>
    <row r="966" spans="2:10">
      <c r="B966" s="169"/>
      <c r="C966" s="29"/>
      <c r="D966" s="29"/>
      <c r="E966" s="29"/>
      <c r="F966" s="29"/>
      <c r="I966" s="176">
        <v>44064</v>
      </c>
      <c r="J966" s="177" t="s">
        <v>1610</v>
      </c>
    </row>
    <row r="967" spans="2:10">
      <c r="B967" s="169"/>
      <c r="C967" s="29"/>
      <c r="D967" s="29"/>
      <c r="E967" s="29"/>
      <c r="F967" s="29"/>
      <c r="I967" s="176">
        <v>44064</v>
      </c>
      <c r="J967" s="177" t="s">
        <v>1611</v>
      </c>
    </row>
    <row r="968" spans="2:10">
      <c r="B968" s="169"/>
      <c r="C968" s="29"/>
      <c r="D968" s="29"/>
      <c r="E968" s="29"/>
      <c r="F968" s="29"/>
      <c r="I968" s="176">
        <v>44064</v>
      </c>
      <c r="J968" s="177" t="s">
        <v>1612</v>
      </c>
    </row>
    <row r="969" spans="2:10">
      <c r="B969" s="169"/>
      <c r="C969" s="29"/>
      <c r="D969" s="29"/>
      <c r="E969" s="29"/>
      <c r="F969" s="29"/>
      <c r="I969" s="176">
        <v>44064</v>
      </c>
      <c r="J969" s="177" t="s">
        <v>1613</v>
      </c>
    </row>
    <row r="970" spans="2:10">
      <c r="B970" s="169"/>
      <c r="C970" s="29"/>
      <c r="D970" s="29"/>
      <c r="E970" s="29"/>
      <c r="F970" s="29"/>
      <c r="I970" s="176">
        <v>44064</v>
      </c>
      <c r="J970" s="177" t="s">
        <v>1614</v>
      </c>
    </row>
    <row r="971" spans="2:10">
      <c r="B971" s="169"/>
      <c r="C971" s="29"/>
      <c r="D971" s="29"/>
      <c r="E971" s="29"/>
      <c r="F971" s="29"/>
      <c r="I971" s="176">
        <v>44065</v>
      </c>
      <c r="J971" s="177" t="s">
        <v>771</v>
      </c>
    </row>
    <row r="972" spans="2:10">
      <c r="B972" s="169"/>
      <c r="C972" s="29"/>
      <c r="D972" s="29"/>
      <c r="E972" s="29"/>
      <c r="F972" s="29"/>
      <c r="I972" s="176">
        <v>44065</v>
      </c>
      <c r="J972" s="177" t="s">
        <v>1615</v>
      </c>
    </row>
    <row r="973" spans="2:10">
      <c r="B973" s="169"/>
      <c r="C973" s="29"/>
      <c r="D973" s="29"/>
      <c r="E973" s="29"/>
      <c r="F973" s="29"/>
      <c r="I973" s="176">
        <v>44065</v>
      </c>
      <c r="J973" s="177" t="s">
        <v>1616</v>
      </c>
    </row>
    <row r="974" spans="2:10">
      <c r="B974" s="169"/>
      <c r="C974" s="29"/>
      <c r="D974" s="29"/>
      <c r="E974" s="29"/>
      <c r="F974" s="29"/>
      <c r="I974" s="176">
        <v>44065</v>
      </c>
      <c r="J974" s="177" t="s">
        <v>1617</v>
      </c>
    </row>
    <row r="975" spans="2:10">
      <c r="B975" s="169"/>
      <c r="C975" s="29"/>
      <c r="D975" s="29"/>
      <c r="E975" s="29"/>
      <c r="F975" s="29"/>
      <c r="I975" s="176">
        <v>44066</v>
      </c>
      <c r="J975" s="177" t="s">
        <v>1618</v>
      </c>
    </row>
    <row r="976" spans="2:10">
      <c r="B976" s="169"/>
      <c r="C976" s="29"/>
      <c r="D976" s="29"/>
      <c r="E976" s="29"/>
      <c r="F976" s="29"/>
      <c r="I976" s="176">
        <v>44066</v>
      </c>
      <c r="J976" s="177" t="s">
        <v>1619</v>
      </c>
    </row>
    <row r="977" spans="2:10">
      <c r="B977" s="169"/>
      <c r="C977" s="29"/>
      <c r="D977" s="29"/>
      <c r="E977" s="29"/>
      <c r="F977" s="29"/>
      <c r="I977" s="176">
        <v>44066</v>
      </c>
      <c r="J977" s="177" t="s">
        <v>774</v>
      </c>
    </row>
    <row r="978" spans="2:10">
      <c r="B978" s="169"/>
      <c r="C978" s="29"/>
      <c r="D978" s="29"/>
      <c r="E978" s="29"/>
      <c r="F978" s="29"/>
      <c r="I978" s="176">
        <v>44066</v>
      </c>
      <c r="J978" s="177" t="s">
        <v>1620</v>
      </c>
    </row>
    <row r="979" spans="2:10">
      <c r="B979" s="169"/>
      <c r="C979" s="29"/>
      <c r="D979" s="29"/>
      <c r="E979" s="29"/>
      <c r="F979" s="29"/>
      <c r="I979" s="176">
        <v>44066</v>
      </c>
      <c r="J979" s="177" t="s">
        <v>1621</v>
      </c>
    </row>
    <row r="980" spans="2:10">
      <c r="B980" s="169"/>
      <c r="C980" s="29"/>
      <c r="D980" s="29"/>
      <c r="E980" s="29"/>
      <c r="F980" s="29"/>
      <c r="I980" s="176">
        <v>44066</v>
      </c>
      <c r="J980" s="177" t="s">
        <v>1622</v>
      </c>
    </row>
    <row r="981" spans="2:10">
      <c r="B981" s="169"/>
      <c r="C981" s="29"/>
      <c r="D981" s="29"/>
      <c r="E981" s="29"/>
      <c r="F981" s="29"/>
      <c r="I981" s="176">
        <v>44066</v>
      </c>
      <c r="J981" s="177" t="s">
        <v>1623</v>
      </c>
    </row>
    <row r="982" spans="2:10">
      <c r="B982" s="169"/>
      <c r="C982" s="29"/>
      <c r="D982" s="29"/>
      <c r="E982" s="29"/>
      <c r="F982" s="29"/>
      <c r="I982" s="176">
        <v>44066</v>
      </c>
      <c r="J982" s="177" t="s">
        <v>1624</v>
      </c>
    </row>
    <row r="983" spans="2:10">
      <c r="B983" s="169"/>
      <c r="C983" s="29"/>
      <c r="D983" s="29"/>
      <c r="E983" s="29"/>
      <c r="F983" s="29"/>
      <c r="I983" s="176">
        <v>44067</v>
      </c>
      <c r="J983" s="177" t="s">
        <v>1625</v>
      </c>
    </row>
    <row r="984" spans="2:10">
      <c r="B984" s="169"/>
      <c r="C984" s="29"/>
      <c r="D984" s="29"/>
      <c r="E984" s="29"/>
      <c r="F984" s="29"/>
      <c r="I984" s="176">
        <v>44067</v>
      </c>
      <c r="J984" s="177" t="s">
        <v>777</v>
      </c>
    </row>
    <row r="985" spans="2:10">
      <c r="B985" s="169"/>
      <c r="C985" s="29"/>
      <c r="D985" s="29"/>
      <c r="E985" s="29"/>
      <c r="F985" s="29"/>
      <c r="I985" s="176">
        <v>44067</v>
      </c>
      <c r="J985" s="177" t="s">
        <v>1626</v>
      </c>
    </row>
    <row r="986" spans="2:10">
      <c r="B986" s="169"/>
      <c r="C986" s="29"/>
      <c r="D986" s="29"/>
      <c r="E986" s="29"/>
      <c r="F986" s="29"/>
      <c r="I986" s="176">
        <v>44067</v>
      </c>
      <c r="J986" s="177" t="s">
        <v>1627</v>
      </c>
    </row>
    <row r="987" spans="2:10">
      <c r="B987" s="169"/>
      <c r="C987" s="29"/>
      <c r="D987" s="29"/>
      <c r="E987" s="29"/>
      <c r="F987" s="29"/>
      <c r="I987" s="176">
        <v>44067</v>
      </c>
      <c r="J987" s="177" t="s">
        <v>1628</v>
      </c>
    </row>
    <row r="988" spans="2:10">
      <c r="B988" s="169"/>
      <c r="C988" s="29"/>
      <c r="D988" s="29"/>
      <c r="E988" s="29"/>
      <c r="F988" s="29"/>
      <c r="I988" s="176">
        <v>44067</v>
      </c>
      <c r="J988" s="177" t="s">
        <v>1629</v>
      </c>
    </row>
    <row r="989" spans="2:10">
      <c r="B989" s="169"/>
      <c r="C989" s="29"/>
      <c r="D989" s="29"/>
      <c r="E989" s="29"/>
      <c r="F989" s="29"/>
      <c r="I989" s="176">
        <v>44067</v>
      </c>
      <c r="J989" s="177" t="s">
        <v>1630</v>
      </c>
    </row>
    <row r="990" spans="2:10">
      <c r="B990" s="169"/>
      <c r="C990" s="29"/>
      <c r="D990" s="29"/>
      <c r="E990" s="29"/>
      <c r="F990" s="29"/>
      <c r="I990" s="176">
        <v>44068</v>
      </c>
      <c r="J990" s="177" t="s">
        <v>1631</v>
      </c>
    </row>
    <row r="991" spans="2:10">
      <c r="B991" s="169"/>
      <c r="C991" s="29"/>
      <c r="D991" s="29"/>
      <c r="E991" s="29"/>
      <c r="F991" s="29"/>
      <c r="I991" s="176">
        <v>44068</v>
      </c>
      <c r="J991" s="177" t="s">
        <v>1632</v>
      </c>
    </row>
    <row r="992" spans="2:10">
      <c r="B992" s="169"/>
      <c r="C992" s="29"/>
      <c r="D992" s="29"/>
      <c r="E992" s="29"/>
      <c r="F992" s="29"/>
      <c r="I992" s="176">
        <v>44068</v>
      </c>
      <c r="J992" s="177" t="s">
        <v>779</v>
      </c>
    </row>
    <row r="993" spans="2:10">
      <c r="B993" s="169"/>
      <c r="C993" s="29"/>
      <c r="D993" s="29"/>
      <c r="E993" s="29"/>
      <c r="F993" s="29"/>
      <c r="I993" s="176">
        <v>44068</v>
      </c>
      <c r="J993" s="177" t="s">
        <v>1633</v>
      </c>
    </row>
    <row r="994" spans="2:10">
      <c r="B994" s="169"/>
      <c r="C994" s="29"/>
      <c r="D994" s="29"/>
      <c r="E994" s="29"/>
      <c r="F994" s="29"/>
      <c r="I994" s="176">
        <v>44068</v>
      </c>
      <c r="J994" s="177" t="s">
        <v>1634</v>
      </c>
    </row>
    <row r="995" spans="2:10">
      <c r="B995" s="169"/>
      <c r="C995" s="29"/>
      <c r="D995" s="29"/>
      <c r="E995" s="29"/>
      <c r="F995" s="29"/>
      <c r="I995" s="176">
        <v>44068</v>
      </c>
      <c r="J995" s="177" t="s">
        <v>1635</v>
      </c>
    </row>
    <row r="996" spans="2:10">
      <c r="B996" s="169"/>
      <c r="C996" s="29"/>
      <c r="D996" s="29"/>
      <c r="E996" s="29"/>
      <c r="F996" s="29"/>
      <c r="I996" s="176">
        <v>44068</v>
      </c>
      <c r="J996" s="177" t="s">
        <v>1636</v>
      </c>
    </row>
    <row r="997" spans="2:10">
      <c r="B997" s="169"/>
      <c r="C997" s="29"/>
      <c r="D997" s="29"/>
      <c r="E997" s="29"/>
      <c r="F997" s="29"/>
      <c r="I997" s="176">
        <v>44068</v>
      </c>
      <c r="J997" s="177" t="s">
        <v>1637</v>
      </c>
    </row>
    <row r="998" spans="2:10">
      <c r="B998" s="169"/>
      <c r="C998" s="29"/>
      <c r="D998" s="29"/>
      <c r="E998" s="29"/>
      <c r="F998" s="29"/>
      <c r="I998" s="176">
        <v>44068</v>
      </c>
      <c r="J998" s="177" t="s">
        <v>1638</v>
      </c>
    </row>
    <row r="999" spans="2:10">
      <c r="B999" s="169"/>
      <c r="C999" s="29"/>
      <c r="D999" s="29"/>
      <c r="E999" s="29"/>
      <c r="F999" s="29"/>
      <c r="I999" s="176">
        <v>44068</v>
      </c>
      <c r="J999" s="177" t="s">
        <v>1639</v>
      </c>
    </row>
    <row r="1000" spans="2:10">
      <c r="B1000" s="169"/>
      <c r="C1000" s="29"/>
      <c r="D1000" s="29"/>
      <c r="E1000" s="29"/>
      <c r="F1000" s="29"/>
      <c r="I1000" s="176">
        <v>44069</v>
      </c>
      <c r="J1000" s="177" t="s">
        <v>1640</v>
      </c>
    </row>
    <row r="1001" spans="2:10">
      <c r="B1001" s="169"/>
      <c r="C1001" s="29"/>
      <c r="D1001" s="29"/>
      <c r="E1001" s="29"/>
      <c r="F1001" s="29"/>
      <c r="I1001" s="176">
        <v>44069</v>
      </c>
      <c r="J1001" s="177" t="s">
        <v>1641</v>
      </c>
    </row>
    <row r="1002" spans="2:10">
      <c r="B1002" s="169"/>
      <c r="C1002" s="29"/>
      <c r="D1002" s="29"/>
      <c r="E1002" s="29"/>
      <c r="F1002" s="29"/>
      <c r="I1002" s="176">
        <v>44069</v>
      </c>
      <c r="J1002" s="177" t="s">
        <v>782</v>
      </c>
    </row>
    <row r="1003" spans="2:10">
      <c r="B1003" s="169"/>
      <c r="C1003" s="29"/>
      <c r="D1003" s="29"/>
      <c r="E1003" s="29"/>
      <c r="F1003" s="29"/>
      <c r="I1003" s="176">
        <v>44070</v>
      </c>
      <c r="J1003" s="177" t="s">
        <v>1642</v>
      </c>
    </row>
    <row r="1004" spans="2:10">
      <c r="B1004" s="169"/>
      <c r="C1004" s="29"/>
      <c r="D1004" s="29"/>
      <c r="E1004" s="29"/>
      <c r="F1004" s="29"/>
      <c r="I1004" s="176">
        <v>44070</v>
      </c>
      <c r="J1004" s="177" t="s">
        <v>1643</v>
      </c>
    </row>
    <row r="1005" spans="2:10">
      <c r="B1005" s="169"/>
      <c r="C1005" s="29"/>
      <c r="D1005" s="29"/>
      <c r="E1005" s="29"/>
      <c r="F1005" s="29"/>
      <c r="I1005" s="176">
        <v>44070</v>
      </c>
      <c r="J1005" s="177" t="s">
        <v>785</v>
      </c>
    </row>
    <row r="1006" spans="2:10">
      <c r="B1006" s="169"/>
      <c r="C1006" s="29"/>
      <c r="D1006" s="29"/>
      <c r="E1006" s="29"/>
      <c r="F1006" s="29"/>
      <c r="I1006" s="176">
        <v>44071</v>
      </c>
      <c r="J1006" s="177" t="s">
        <v>285</v>
      </c>
    </row>
    <row r="1007" spans="2:10">
      <c r="B1007" s="169"/>
      <c r="C1007" s="29"/>
      <c r="D1007" s="29"/>
      <c r="E1007" s="29"/>
      <c r="F1007" s="29"/>
      <c r="I1007" s="176">
        <v>44071</v>
      </c>
      <c r="J1007" s="177" t="s">
        <v>534</v>
      </c>
    </row>
    <row r="1008" spans="2:10">
      <c r="B1008" s="169"/>
      <c r="C1008" s="29"/>
      <c r="D1008" s="29"/>
      <c r="E1008" s="29"/>
      <c r="F1008" s="29"/>
      <c r="I1008" s="176">
        <v>44071</v>
      </c>
      <c r="J1008" s="177" t="s">
        <v>1644</v>
      </c>
    </row>
    <row r="1009" spans="2:10">
      <c r="B1009" s="169"/>
      <c r="C1009" s="29"/>
      <c r="D1009" s="29"/>
      <c r="E1009" s="29"/>
      <c r="F1009" s="29"/>
      <c r="I1009" s="176">
        <v>44071</v>
      </c>
      <c r="J1009" s="177" t="s">
        <v>1645</v>
      </c>
    </row>
    <row r="1010" spans="2:10">
      <c r="B1010" s="169"/>
      <c r="C1010" s="29"/>
      <c r="D1010" s="29"/>
      <c r="E1010" s="29"/>
      <c r="F1010" s="29"/>
      <c r="I1010" s="176">
        <v>44071</v>
      </c>
      <c r="J1010" s="177" t="s">
        <v>1646</v>
      </c>
    </row>
    <row r="1011" spans="2:10">
      <c r="B1011" s="169"/>
      <c r="C1011" s="29"/>
      <c r="D1011" s="29"/>
      <c r="E1011" s="29"/>
      <c r="F1011" s="29"/>
      <c r="I1011" s="176">
        <v>44071</v>
      </c>
      <c r="J1011" s="177" t="s">
        <v>1647</v>
      </c>
    </row>
    <row r="1012" spans="2:10">
      <c r="B1012" s="169"/>
      <c r="C1012" s="29"/>
      <c r="D1012" s="29"/>
      <c r="E1012" s="29"/>
      <c r="F1012" s="29"/>
      <c r="I1012" s="176">
        <v>44072</v>
      </c>
      <c r="J1012" s="177" t="s">
        <v>789</v>
      </c>
    </row>
    <row r="1013" spans="2:10">
      <c r="B1013" s="169"/>
      <c r="C1013" s="29"/>
      <c r="D1013" s="29"/>
      <c r="E1013" s="29"/>
      <c r="F1013" s="29"/>
      <c r="I1013" s="176">
        <v>44072</v>
      </c>
      <c r="J1013" s="177" t="s">
        <v>1648</v>
      </c>
    </row>
    <row r="1014" spans="2:10">
      <c r="B1014" s="169"/>
      <c r="C1014" s="29"/>
      <c r="D1014" s="29"/>
      <c r="E1014" s="29"/>
      <c r="F1014" s="29"/>
      <c r="I1014" s="176">
        <v>44072</v>
      </c>
      <c r="J1014" s="177" t="s">
        <v>1649</v>
      </c>
    </row>
    <row r="1015" spans="2:10">
      <c r="B1015" s="169"/>
      <c r="C1015" s="29"/>
      <c r="D1015" s="29"/>
      <c r="E1015" s="29"/>
      <c r="F1015" s="29"/>
      <c r="I1015" s="176">
        <v>44073</v>
      </c>
      <c r="J1015" s="177" t="s">
        <v>792</v>
      </c>
    </row>
    <row r="1016" spans="2:10">
      <c r="B1016" s="169"/>
      <c r="C1016" s="29"/>
      <c r="D1016" s="29"/>
      <c r="E1016" s="29"/>
      <c r="F1016" s="29"/>
      <c r="I1016" s="176">
        <v>44073</v>
      </c>
      <c r="J1016" s="177" t="s">
        <v>1650</v>
      </c>
    </row>
    <row r="1017" spans="2:10">
      <c r="B1017" s="169"/>
      <c r="C1017" s="29"/>
      <c r="D1017" s="29"/>
      <c r="E1017" s="29"/>
      <c r="F1017" s="29"/>
      <c r="I1017" s="176">
        <v>44074</v>
      </c>
      <c r="J1017" s="177" t="s">
        <v>795</v>
      </c>
    </row>
    <row r="1018" spans="2:10">
      <c r="B1018" s="169"/>
      <c r="C1018" s="29"/>
      <c r="D1018" s="29"/>
      <c r="E1018" s="29"/>
      <c r="F1018" s="29"/>
      <c r="I1018" s="176">
        <v>44075</v>
      </c>
      <c r="J1018" s="177" t="s">
        <v>1651</v>
      </c>
    </row>
    <row r="1019" spans="2:10">
      <c r="B1019" s="169"/>
      <c r="C1019" s="29"/>
      <c r="D1019" s="29"/>
      <c r="E1019" s="29"/>
      <c r="F1019" s="29"/>
      <c r="I1019" s="176">
        <v>44075</v>
      </c>
      <c r="J1019" s="177" t="s">
        <v>798</v>
      </c>
    </row>
    <row r="1020" spans="2:10">
      <c r="B1020" s="169"/>
      <c r="C1020" s="29"/>
      <c r="D1020" s="29"/>
      <c r="E1020" s="29"/>
      <c r="F1020" s="29"/>
      <c r="I1020" s="176">
        <v>44075</v>
      </c>
      <c r="J1020" s="177" t="s">
        <v>1652</v>
      </c>
    </row>
    <row r="1021" spans="2:10">
      <c r="B1021" s="169"/>
      <c r="C1021" s="29"/>
      <c r="D1021" s="29"/>
      <c r="E1021" s="29"/>
      <c r="F1021" s="29"/>
      <c r="I1021" s="176">
        <v>44076</v>
      </c>
      <c r="J1021" s="177" t="s">
        <v>800</v>
      </c>
    </row>
    <row r="1022" spans="2:10">
      <c r="B1022" s="169"/>
      <c r="C1022" s="29"/>
      <c r="D1022" s="29"/>
      <c r="E1022" s="29"/>
      <c r="F1022" s="29"/>
      <c r="I1022" s="176">
        <v>44077</v>
      </c>
      <c r="J1022" s="177" t="s">
        <v>1653</v>
      </c>
    </row>
    <row r="1023" spans="2:10">
      <c r="B1023" s="169"/>
      <c r="C1023" s="29"/>
      <c r="D1023" s="29"/>
      <c r="E1023" s="29"/>
      <c r="F1023" s="29"/>
      <c r="I1023" s="176">
        <v>44077</v>
      </c>
      <c r="J1023" s="177" t="s">
        <v>1654</v>
      </c>
    </row>
    <row r="1024" spans="2:10">
      <c r="B1024" s="169"/>
      <c r="C1024" s="29"/>
      <c r="D1024" s="29"/>
      <c r="E1024" s="29"/>
      <c r="F1024" s="29"/>
      <c r="I1024" s="176">
        <v>44077</v>
      </c>
      <c r="J1024" s="177" t="s">
        <v>803</v>
      </c>
    </row>
    <row r="1025" spans="2:10">
      <c r="B1025" s="169"/>
      <c r="C1025" s="29"/>
      <c r="D1025" s="29"/>
      <c r="E1025" s="29"/>
      <c r="F1025" s="29"/>
      <c r="I1025" s="176">
        <v>44077</v>
      </c>
      <c r="J1025" s="177" t="s">
        <v>1655</v>
      </c>
    </row>
    <row r="1026" spans="2:10">
      <c r="B1026" s="169"/>
      <c r="C1026" s="29"/>
      <c r="D1026" s="29"/>
      <c r="E1026" s="29"/>
      <c r="F1026" s="29"/>
      <c r="I1026" s="176">
        <v>44077</v>
      </c>
      <c r="J1026" s="177" t="s">
        <v>1656</v>
      </c>
    </row>
    <row r="1027" spans="2:10">
      <c r="B1027" s="169"/>
      <c r="C1027" s="29"/>
      <c r="D1027" s="29"/>
      <c r="E1027" s="29"/>
      <c r="F1027" s="29"/>
      <c r="I1027" s="176">
        <v>44077</v>
      </c>
      <c r="J1027" s="177" t="s">
        <v>1657</v>
      </c>
    </row>
    <row r="1028" spans="2:10">
      <c r="B1028" s="169"/>
      <c r="C1028" s="29"/>
      <c r="D1028" s="29"/>
      <c r="E1028" s="29"/>
      <c r="F1028" s="29"/>
      <c r="I1028" s="176">
        <v>44078</v>
      </c>
      <c r="J1028" s="177" t="s">
        <v>1658</v>
      </c>
    </row>
    <row r="1029" spans="2:10">
      <c r="B1029" s="169"/>
      <c r="C1029" s="29"/>
      <c r="D1029" s="29"/>
      <c r="E1029" s="29"/>
      <c r="F1029" s="29"/>
      <c r="I1029" s="176">
        <v>44078</v>
      </c>
      <c r="J1029" s="177" t="s">
        <v>1659</v>
      </c>
    </row>
    <row r="1030" spans="2:10">
      <c r="B1030" s="169"/>
      <c r="C1030" s="29"/>
      <c r="D1030" s="29"/>
      <c r="E1030" s="29"/>
      <c r="F1030" s="29"/>
      <c r="I1030" s="176">
        <v>44078</v>
      </c>
      <c r="J1030" s="177" t="s">
        <v>1660</v>
      </c>
    </row>
    <row r="1031" spans="2:10">
      <c r="B1031" s="169"/>
      <c r="C1031" s="29"/>
      <c r="D1031" s="29"/>
      <c r="E1031" s="29"/>
      <c r="F1031" s="29"/>
      <c r="I1031" s="176">
        <v>44078</v>
      </c>
      <c r="J1031" s="177" t="s">
        <v>1661</v>
      </c>
    </row>
    <row r="1032" spans="2:10">
      <c r="B1032" s="169"/>
      <c r="C1032" s="29"/>
      <c r="D1032" s="29"/>
      <c r="E1032" s="29"/>
      <c r="F1032" s="29"/>
      <c r="I1032" s="176">
        <v>44078</v>
      </c>
      <c r="J1032" s="177" t="s">
        <v>806</v>
      </c>
    </row>
    <row r="1033" spans="2:10">
      <c r="B1033" s="169"/>
      <c r="C1033" s="29"/>
      <c r="D1033" s="29"/>
      <c r="E1033" s="29"/>
      <c r="F1033" s="29"/>
      <c r="I1033" s="176">
        <v>44079</v>
      </c>
      <c r="J1033" s="177" t="s">
        <v>812</v>
      </c>
    </row>
    <row r="1034" spans="2:10">
      <c r="B1034" s="169"/>
      <c r="C1034" s="29"/>
      <c r="D1034" s="29"/>
      <c r="E1034" s="29"/>
      <c r="F1034" s="29"/>
      <c r="I1034" s="176">
        <v>44079</v>
      </c>
      <c r="J1034" s="177" t="s">
        <v>1662</v>
      </c>
    </row>
    <row r="1035" spans="2:10">
      <c r="B1035" s="169"/>
      <c r="C1035" s="29"/>
      <c r="D1035" s="29"/>
      <c r="E1035" s="29"/>
      <c r="F1035" s="29"/>
      <c r="I1035" s="176">
        <v>44079</v>
      </c>
      <c r="J1035" s="177" t="s">
        <v>809</v>
      </c>
    </row>
    <row r="1036" spans="2:10">
      <c r="B1036" s="169"/>
      <c r="C1036" s="29"/>
      <c r="D1036" s="29"/>
      <c r="E1036" s="29"/>
      <c r="F1036" s="29"/>
      <c r="I1036" s="176">
        <v>44080</v>
      </c>
      <c r="J1036" s="177" t="s">
        <v>1663</v>
      </c>
    </row>
    <row r="1037" spans="2:10">
      <c r="B1037" s="169"/>
      <c r="C1037" s="29"/>
      <c r="D1037" s="29"/>
      <c r="E1037" s="29"/>
      <c r="F1037" s="29"/>
      <c r="I1037" s="176">
        <v>44080</v>
      </c>
      <c r="J1037" s="177" t="s">
        <v>1664</v>
      </c>
    </row>
    <row r="1038" spans="2:10">
      <c r="B1038" s="169"/>
      <c r="C1038" s="29"/>
      <c r="D1038" s="29"/>
      <c r="E1038" s="29"/>
      <c r="F1038" s="29"/>
      <c r="I1038" s="176">
        <v>44080</v>
      </c>
      <c r="J1038" s="177" t="s">
        <v>1665</v>
      </c>
    </row>
    <row r="1039" spans="2:10">
      <c r="B1039" s="169"/>
      <c r="C1039" s="29"/>
      <c r="D1039" s="29"/>
      <c r="E1039" s="29"/>
      <c r="F1039" s="29"/>
      <c r="I1039" s="176">
        <v>44080</v>
      </c>
      <c r="J1039" s="177" t="s">
        <v>1666</v>
      </c>
    </row>
    <row r="1040" spans="2:10">
      <c r="B1040" s="169"/>
      <c r="C1040" s="29"/>
      <c r="D1040" s="29"/>
      <c r="E1040" s="29"/>
      <c r="F1040" s="29"/>
      <c r="I1040" s="176">
        <v>44080</v>
      </c>
      <c r="J1040" s="177" t="s">
        <v>1667</v>
      </c>
    </row>
    <row r="1041" spans="2:10">
      <c r="B1041" s="169"/>
      <c r="C1041" s="29"/>
      <c r="D1041" s="29"/>
      <c r="E1041" s="29"/>
      <c r="F1041" s="29"/>
      <c r="I1041" s="176">
        <v>44081</v>
      </c>
      <c r="J1041" s="177" t="s">
        <v>1668</v>
      </c>
    </row>
    <row r="1042" spans="2:10">
      <c r="B1042" s="169"/>
      <c r="C1042" s="29"/>
      <c r="D1042" s="29"/>
      <c r="E1042" s="29"/>
      <c r="F1042" s="29"/>
      <c r="I1042" s="176">
        <v>44081</v>
      </c>
      <c r="J1042" s="177" t="s">
        <v>1669</v>
      </c>
    </row>
    <row r="1043" spans="2:10">
      <c r="B1043" s="169"/>
      <c r="C1043" s="29"/>
      <c r="D1043" s="29"/>
      <c r="E1043" s="29"/>
      <c r="F1043" s="29"/>
      <c r="I1043" s="176">
        <v>44081</v>
      </c>
      <c r="J1043" s="177" t="s">
        <v>814</v>
      </c>
    </row>
    <row r="1044" spans="2:10">
      <c r="B1044" s="169"/>
      <c r="C1044" s="29"/>
      <c r="D1044" s="29"/>
      <c r="E1044" s="29"/>
      <c r="F1044" s="29"/>
      <c r="I1044" s="176">
        <v>44081</v>
      </c>
      <c r="J1044" s="177" t="s">
        <v>1670</v>
      </c>
    </row>
    <row r="1045" spans="2:10">
      <c r="B1045" s="169"/>
      <c r="C1045" s="29"/>
      <c r="D1045" s="29"/>
      <c r="E1045" s="29"/>
      <c r="F1045" s="29"/>
      <c r="I1045" s="176">
        <v>44082</v>
      </c>
      <c r="J1045" s="177" t="s">
        <v>1671</v>
      </c>
    </row>
    <row r="1046" spans="2:10">
      <c r="B1046" s="169"/>
      <c r="C1046" s="29"/>
      <c r="D1046" s="29"/>
      <c r="E1046" s="29"/>
      <c r="F1046" s="29"/>
      <c r="I1046" s="176">
        <v>44082</v>
      </c>
      <c r="J1046" s="177" t="s">
        <v>1672</v>
      </c>
    </row>
    <row r="1047" spans="2:10">
      <c r="B1047" s="169"/>
      <c r="C1047" s="29"/>
      <c r="D1047" s="29"/>
      <c r="E1047" s="29"/>
      <c r="F1047" s="29"/>
      <c r="I1047" s="176">
        <v>44082</v>
      </c>
      <c r="J1047" s="177" t="s">
        <v>1673</v>
      </c>
    </row>
    <row r="1048" spans="2:10">
      <c r="B1048" s="169"/>
      <c r="C1048" s="29"/>
      <c r="D1048" s="29"/>
      <c r="E1048" s="29"/>
      <c r="F1048" s="29"/>
      <c r="I1048" s="176">
        <v>44082</v>
      </c>
      <c r="J1048" s="177" t="s">
        <v>1674</v>
      </c>
    </row>
    <row r="1049" spans="2:10">
      <c r="B1049" s="169"/>
      <c r="C1049" s="29"/>
      <c r="D1049" s="29"/>
      <c r="E1049" s="29"/>
      <c r="F1049" s="29"/>
      <c r="I1049" s="176">
        <v>44082</v>
      </c>
      <c r="J1049" s="177" t="s">
        <v>1675</v>
      </c>
    </row>
    <row r="1050" spans="2:10">
      <c r="B1050" s="169"/>
      <c r="C1050" s="29"/>
      <c r="D1050" s="29"/>
      <c r="E1050" s="29"/>
      <c r="F1050" s="29"/>
      <c r="I1050" s="176">
        <v>44082</v>
      </c>
      <c r="J1050" s="177" t="s">
        <v>817</v>
      </c>
    </row>
    <row r="1051" spans="2:10">
      <c r="B1051" s="169"/>
      <c r="C1051" s="29"/>
      <c r="D1051" s="29"/>
      <c r="E1051" s="29"/>
      <c r="F1051" s="29"/>
      <c r="I1051" s="176">
        <v>44082</v>
      </c>
      <c r="J1051" s="177" t="s">
        <v>1676</v>
      </c>
    </row>
    <row r="1052" spans="2:10">
      <c r="B1052" s="169"/>
      <c r="C1052" s="29"/>
      <c r="D1052" s="29"/>
      <c r="E1052" s="29"/>
      <c r="F1052" s="29"/>
      <c r="I1052" s="176">
        <v>44082</v>
      </c>
      <c r="J1052" s="177" t="s">
        <v>1677</v>
      </c>
    </row>
    <row r="1053" spans="2:10">
      <c r="B1053" s="169"/>
      <c r="C1053" s="29"/>
      <c r="D1053" s="29"/>
      <c r="E1053" s="29"/>
      <c r="F1053" s="29"/>
      <c r="I1053" s="176">
        <v>44083</v>
      </c>
      <c r="J1053" s="177" t="s">
        <v>819</v>
      </c>
    </row>
    <row r="1054" spans="2:10">
      <c r="B1054" s="169"/>
      <c r="C1054" s="29"/>
      <c r="D1054" s="29"/>
      <c r="E1054" s="29"/>
      <c r="F1054" s="29"/>
      <c r="I1054" s="176">
        <v>44083</v>
      </c>
      <c r="J1054" s="177" t="s">
        <v>1678</v>
      </c>
    </row>
    <row r="1055" spans="2:10">
      <c r="B1055" s="169"/>
      <c r="C1055" s="29"/>
      <c r="D1055" s="29"/>
      <c r="E1055" s="29"/>
      <c r="F1055" s="29"/>
      <c r="I1055" s="176">
        <v>44083</v>
      </c>
      <c r="J1055" s="177" t="s">
        <v>1679</v>
      </c>
    </row>
    <row r="1056" spans="2:10">
      <c r="B1056" s="169"/>
      <c r="C1056" s="29"/>
      <c r="D1056" s="29"/>
      <c r="E1056" s="29"/>
      <c r="F1056" s="29"/>
      <c r="I1056" s="176">
        <v>44083</v>
      </c>
      <c r="J1056" s="177" t="s">
        <v>1680</v>
      </c>
    </row>
    <row r="1057" spans="2:10">
      <c r="B1057" s="169"/>
      <c r="C1057" s="29"/>
      <c r="D1057" s="29"/>
      <c r="E1057" s="29"/>
      <c r="F1057" s="29"/>
      <c r="I1057" s="176">
        <v>44083</v>
      </c>
      <c r="J1057" s="177" t="s">
        <v>1681</v>
      </c>
    </row>
    <row r="1058" spans="2:10">
      <c r="B1058" s="169"/>
      <c r="C1058" s="29"/>
      <c r="D1058" s="29"/>
      <c r="E1058" s="29"/>
      <c r="F1058" s="29"/>
      <c r="I1058" s="176">
        <v>44083</v>
      </c>
      <c r="J1058" s="177" t="s">
        <v>1682</v>
      </c>
    </row>
    <row r="1059" spans="2:10">
      <c r="B1059" s="169"/>
      <c r="C1059" s="29"/>
      <c r="D1059" s="29"/>
      <c r="E1059" s="29"/>
      <c r="F1059" s="29"/>
      <c r="I1059" s="176">
        <v>44084</v>
      </c>
      <c r="J1059" s="177" t="s">
        <v>1683</v>
      </c>
    </row>
    <row r="1060" spans="2:10">
      <c r="B1060" s="169"/>
      <c r="C1060" s="29"/>
      <c r="D1060" s="29"/>
      <c r="E1060" s="29"/>
      <c r="F1060" s="29"/>
      <c r="I1060" s="176">
        <v>44084</v>
      </c>
      <c r="J1060" s="177" t="s">
        <v>822</v>
      </c>
    </row>
    <row r="1061" spans="2:10">
      <c r="B1061" s="169"/>
      <c r="C1061" s="29"/>
      <c r="D1061" s="29"/>
      <c r="E1061" s="29"/>
      <c r="F1061" s="29"/>
      <c r="I1061" s="176">
        <v>44085</v>
      </c>
      <c r="J1061" s="177" t="s">
        <v>824</v>
      </c>
    </row>
    <row r="1062" spans="2:10">
      <c r="B1062" s="169"/>
      <c r="C1062" s="29"/>
      <c r="D1062" s="29"/>
      <c r="E1062" s="29"/>
      <c r="F1062" s="29"/>
      <c r="I1062" s="176">
        <v>44085</v>
      </c>
      <c r="J1062" s="177" t="s">
        <v>1684</v>
      </c>
    </row>
    <row r="1063" spans="2:10">
      <c r="B1063" s="169"/>
      <c r="C1063" s="29"/>
      <c r="D1063" s="29"/>
      <c r="E1063" s="29"/>
      <c r="F1063" s="29"/>
      <c r="I1063" s="176">
        <v>44085</v>
      </c>
      <c r="J1063" s="177" t="s">
        <v>1685</v>
      </c>
    </row>
    <row r="1064" spans="2:10">
      <c r="B1064" s="169"/>
      <c r="C1064" s="29"/>
      <c r="D1064" s="29"/>
      <c r="E1064" s="29"/>
      <c r="F1064" s="29"/>
      <c r="I1064" s="176">
        <v>44085</v>
      </c>
      <c r="J1064" s="177" t="s">
        <v>1686</v>
      </c>
    </row>
    <row r="1065" spans="2:10">
      <c r="B1065" s="169"/>
      <c r="C1065" s="29"/>
      <c r="D1065" s="29"/>
      <c r="E1065" s="29"/>
      <c r="F1065" s="29"/>
      <c r="I1065" s="176">
        <v>44085</v>
      </c>
      <c r="J1065" s="177" t="s">
        <v>1687</v>
      </c>
    </row>
    <row r="1066" spans="2:10">
      <c r="B1066" s="169"/>
      <c r="C1066" s="29"/>
      <c r="D1066" s="29"/>
      <c r="E1066" s="29"/>
      <c r="F1066" s="29"/>
      <c r="I1066" s="176">
        <v>44085</v>
      </c>
      <c r="J1066" s="177" t="s">
        <v>1688</v>
      </c>
    </row>
    <row r="1067" spans="2:10">
      <c r="B1067" s="169"/>
      <c r="C1067" s="29"/>
      <c r="D1067" s="29"/>
      <c r="E1067" s="29"/>
      <c r="F1067" s="29"/>
      <c r="I1067" s="176">
        <v>44085</v>
      </c>
      <c r="J1067" s="177" t="s">
        <v>1689</v>
      </c>
    </row>
    <row r="1068" spans="2:10">
      <c r="B1068" s="169"/>
      <c r="C1068" s="29"/>
      <c r="D1068" s="29"/>
      <c r="E1068" s="29"/>
      <c r="F1068" s="29"/>
      <c r="I1068" s="176">
        <v>44085</v>
      </c>
      <c r="J1068" s="177" t="s">
        <v>1690</v>
      </c>
    </row>
    <row r="1069" spans="2:10">
      <c r="B1069" s="169"/>
      <c r="C1069" s="29"/>
      <c r="D1069" s="29"/>
      <c r="E1069" s="29"/>
      <c r="F1069" s="29"/>
      <c r="I1069" s="176">
        <v>44086</v>
      </c>
      <c r="J1069" s="177" t="s">
        <v>827</v>
      </c>
    </row>
    <row r="1070" spans="2:10">
      <c r="B1070" s="169"/>
      <c r="C1070" s="29"/>
      <c r="D1070" s="29"/>
      <c r="E1070" s="29"/>
      <c r="F1070" s="29"/>
      <c r="I1070" s="176">
        <v>44087</v>
      </c>
      <c r="J1070" s="177" t="s">
        <v>830</v>
      </c>
    </row>
    <row r="1071" spans="2:10">
      <c r="B1071" s="169"/>
      <c r="C1071" s="29"/>
      <c r="D1071" s="29"/>
      <c r="E1071" s="29"/>
      <c r="F1071" s="29"/>
      <c r="I1071" s="176">
        <v>44087</v>
      </c>
      <c r="J1071" s="177" t="s">
        <v>1691</v>
      </c>
    </row>
    <row r="1072" spans="2:10">
      <c r="B1072" s="169"/>
      <c r="C1072" s="29"/>
      <c r="D1072" s="29"/>
      <c r="E1072" s="29"/>
      <c r="F1072" s="29"/>
      <c r="I1072" s="176">
        <v>44087</v>
      </c>
      <c r="J1072" s="177" t="s">
        <v>1692</v>
      </c>
    </row>
    <row r="1073" spans="2:10">
      <c r="B1073" s="169"/>
      <c r="C1073" s="29"/>
      <c r="D1073" s="29"/>
      <c r="E1073" s="29"/>
      <c r="F1073" s="29"/>
      <c r="I1073" s="176">
        <v>44088</v>
      </c>
      <c r="J1073" s="177" t="s">
        <v>834</v>
      </c>
    </row>
    <row r="1074" spans="2:10">
      <c r="B1074" s="169"/>
      <c r="C1074" s="29"/>
      <c r="D1074" s="29"/>
      <c r="E1074" s="29"/>
      <c r="F1074" s="29"/>
      <c r="I1074" s="176">
        <v>44088</v>
      </c>
      <c r="J1074" s="177" t="s">
        <v>833</v>
      </c>
    </row>
    <row r="1075" spans="2:10">
      <c r="B1075" s="169"/>
      <c r="C1075" s="29"/>
      <c r="D1075" s="29"/>
      <c r="E1075" s="29"/>
      <c r="F1075" s="29"/>
      <c r="I1075" s="176">
        <v>44089</v>
      </c>
      <c r="J1075" s="177" t="s">
        <v>1693</v>
      </c>
    </row>
    <row r="1076" spans="2:10">
      <c r="B1076" s="169"/>
      <c r="C1076" s="29"/>
      <c r="D1076" s="29"/>
      <c r="E1076" s="29"/>
      <c r="F1076" s="29"/>
      <c r="I1076" s="176">
        <v>44089</v>
      </c>
      <c r="J1076" s="177" t="s">
        <v>1694</v>
      </c>
    </row>
    <row r="1077" spans="2:10">
      <c r="B1077" s="169"/>
      <c r="C1077" s="29"/>
      <c r="D1077" s="29"/>
      <c r="E1077" s="29"/>
      <c r="F1077" s="29"/>
      <c r="I1077" s="176">
        <v>44089</v>
      </c>
      <c r="J1077" s="177" t="s">
        <v>1695</v>
      </c>
    </row>
    <row r="1078" spans="2:10">
      <c r="B1078" s="169"/>
      <c r="C1078" s="29"/>
      <c r="D1078" s="29"/>
      <c r="E1078" s="29"/>
      <c r="F1078" s="29"/>
      <c r="I1078" s="176">
        <v>44089</v>
      </c>
      <c r="J1078" s="177" t="s">
        <v>1696</v>
      </c>
    </row>
    <row r="1079" spans="2:10">
      <c r="B1079" s="169"/>
      <c r="C1079" s="29"/>
      <c r="D1079" s="29"/>
      <c r="E1079" s="29"/>
      <c r="F1079" s="29"/>
      <c r="I1079" s="176">
        <v>44089</v>
      </c>
      <c r="J1079" s="177" t="s">
        <v>1697</v>
      </c>
    </row>
    <row r="1080" spans="2:10">
      <c r="B1080" s="169"/>
      <c r="C1080" s="29"/>
      <c r="D1080" s="29"/>
      <c r="E1080" s="29"/>
      <c r="F1080" s="29"/>
      <c r="I1080" s="176">
        <v>44089</v>
      </c>
      <c r="J1080" s="177" t="s">
        <v>837</v>
      </c>
    </row>
    <row r="1081" spans="2:10">
      <c r="B1081" s="169"/>
      <c r="C1081" s="29"/>
      <c r="D1081" s="29"/>
      <c r="E1081" s="29"/>
      <c r="F1081" s="29"/>
      <c r="I1081" s="176">
        <v>44090</v>
      </c>
      <c r="J1081" s="177" t="s">
        <v>1698</v>
      </c>
    </row>
    <row r="1082" spans="2:10">
      <c r="B1082" s="169"/>
      <c r="C1082" s="29"/>
      <c r="D1082" s="29"/>
      <c r="E1082" s="29"/>
      <c r="F1082" s="29"/>
      <c r="I1082" s="176">
        <v>44090</v>
      </c>
      <c r="J1082" s="177" t="s">
        <v>1699</v>
      </c>
    </row>
    <row r="1083" spans="2:10">
      <c r="B1083" s="169"/>
      <c r="C1083" s="29"/>
      <c r="D1083" s="29"/>
      <c r="E1083" s="29"/>
      <c r="F1083" s="29"/>
      <c r="I1083" s="176">
        <v>44090</v>
      </c>
      <c r="J1083" s="177" t="s">
        <v>1700</v>
      </c>
    </row>
    <row r="1084" spans="2:10">
      <c r="B1084" s="169"/>
      <c r="C1084" s="29"/>
      <c r="D1084" s="29"/>
      <c r="E1084" s="29"/>
      <c r="F1084" s="29"/>
      <c r="I1084" s="176">
        <v>44090</v>
      </c>
      <c r="J1084" s="177" t="s">
        <v>1701</v>
      </c>
    </row>
    <row r="1085" spans="2:10">
      <c r="B1085" s="169"/>
      <c r="C1085" s="29"/>
      <c r="D1085" s="29"/>
      <c r="E1085" s="29"/>
      <c r="F1085" s="29"/>
      <c r="I1085" s="176">
        <v>44090</v>
      </c>
      <c r="J1085" s="177" t="s">
        <v>1702</v>
      </c>
    </row>
    <row r="1086" spans="2:10">
      <c r="B1086" s="169"/>
      <c r="C1086" s="29"/>
      <c r="D1086" s="29"/>
      <c r="E1086" s="29"/>
      <c r="F1086" s="29"/>
      <c r="I1086" s="176">
        <v>44091</v>
      </c>
      <c r="J1086" s="177" t="s">
        <v>1703</v>
      </c>
    </row>
    <row r="1087" spans="2:10">
      <c r="B1087" s="169"/>
      <c r="C1087" s="29"/>
      <c r="D1087" s="29"/>
      <c r="E1087" s="29"/>
      <c r="F1087" s="29"/>
      <c r="I1087" s="176">
        <v>44091</v>
      </c>
      <c r="J1087" s="177" t="s">
        <v>1704</v>
      </c>
    </row>
    <row r="1088" spans="2:10">
      <c r="B1088" s="169"/>
      <c r="C1088" s="29"/>
      <c r="D1088" s="29"/>
      <c r="E1088" s="29"/>
      <c r="F1088" s="29"/>
      <c r="I1088" s="176">
        <v>44091</v>
      </c>
      <c r="J1088" s="177" t="s">
        <v>1705</v>
      </c>
    </row>
    <row r="1089" spans="2:10">
      <c r="B1089" s="169"/>
      <c r="C1089" s="29"/>
      <c r="D1089" s="29"/>
      <c r="E1089" s="29"/>
      <c r="F1089" s="29"/>
      <c r="I1089" s="176">
        <v>44091</v>
      </c>
      <c r="J1089" s="177" t="s">
        <v>1706</v>
      </c>
    </row>
    <row r="1090" spans="2:10">
      <c r="B1090" s="169"/>
      <c r="C1090" s="29"/>
      <c r="D1090" s="29"/>
      <c r="E1090" s="29"/>
      <c r="F1090" s="29"/>
      <c r="I1090" s="176">
        <v>44091</v>
      </c>
      <c r="J1090" s="177" t="s">
        <v>1707</v>
      </c>
    </row>
    <row r="1091" spans="2:10">
      <c r="B1091" s="169"/>
      <c r="C1091" s="29"/>
      <c r="D1091" s="29"/>
      <c r="E1091" s="29"/>
      <c r="F1091" s="29"/>
      <c r="I1091" s="176">
        <v>44091</v>
      </c>
      <c r="J1091" s="177" t="s">
        <v>841</v>
      </c>
    </row>
    <row r="1092" spans="2:10">
      <c r="B1092" s="169"/>
      <c r="C1092" s="29"/>
      <c r="D1092" s="29"/>
      <c r="E1092" s="29"/>
      <c r="F1092" s="29"/>
      <c r="I1092" s="176">
        <v>44091</v>
      </c>
      <c r="J1092" s="177" t="s">
        <v>1708</v>
      </c>
    </row>
    <row r="1093" spans="2:10">
      <c r="B1093" s="169"/>
      <c r="C1093" s="29"/>
      <c r="D1093" s="29"/>
      <c r="E1093" s="29"/>
      <c r="F1093" s="29"/>
      <c r="I1093" s="176">
        <v>44091</v>
      </c>
      <c r="J1093" s="177" t="s">
        <v>1709</v>
      </c>
    </row>
    <row r="1094" spans="2:10">
      <c r="B1094" s="169"/>
      <c r="C1094" s="29"/>
      <c r="D1094" s="29"/>
      <c r="E1094" s="29"/>
      <c r="F1094" s="29"/>
      <c r="I1094" s="176">
        <v>44091</v>
      </c>
      <c r="J1094" s="177" t="s">
        <v>1710</v>
      </c>
    </row>
    <row r="1095" spans="2:10">
      <c r="B1095" s="169"/>
      <c r="C1095" s="29"/>
      <c r="D1095" s="29"/>
      <c r="E1095" s="29"/>
      <c r="F1095" s="29"/>
      <c r="I1095" s="176">
        <v>44092</v>
      </c>
      <c r="J1095" s="177" t="s">
        <v>1711</v>
      </c>
    </row>
    <row r="1096" spans="2:10">
      <c r="B1096" s="169"/>
      <c r="C1096" s="29"/>
      <c r="D1096" s="29"/>
      <c r="E1096" s="29"/>
      <c r="F1096" s="29"/>
      <c r="I1096" s="176">
        <v>44092</v>
      </c>
      <c r="J1096" s="177" t="s">
        <v>1712</v>
      </c>
    </row>
    <row r="1097" spans="2:10">
      <c r="B1097" s="169"/>
      <c r="C1097" s="29"/>
      <c r="D1097" s="29"/>
      <c r="E1097" s="29"/>
      <c r="F1097" s="29"/>
      <c r="I1097" s="176">
        <v>44092</v>
      </c>
      <c r="J1097" s="177" t="s">
        <v>1713</v>
      </c>
    </row>
    <row r="1098" spans="2:10">
      <c r="B1098" s="169"/>
      <c r="C1098" s="29"/>
      <c r="D1098" s="29"/>
      <c r="E1098" s="29"/>
      <c r="F1098" s="29"/>
      <c r="I1098" s="176">
        <v>44092</v>
      </c>
      <c r="J1098" s="177" t="s">
        <v>1714</v>
      </c>
    </row>
    <row r="1099" spans="2:10">
      <c r="B1099" s="169"/>
      <c r="C1099" s="29"/>
      <c r="D1099" s="29"/>
      <c r="E1099" s="29"/>
      <c r="F1099" s="29"/>
      <c r="I1099" s="176">
        <v>44092</v>
      </c>
      <c r="J1099" s="177" t="s">
        <v>844</v>
      </c>
    </row>
    <row r="1100" spans="2:10">
      <c r="B1100" s="169"/>
      <c r="C1100" s="29"/>
      <c r="D1100" s="29"/>
      <c r="E1100" s="29"/>
      <c r="F1100" s="29"/>
      <c r="I1100" s="176">
        <v>44092</v>
      </c>
      <c r="J1100" s="177" t="s">
        <v>1715</v>
      </c>
    </row>
    <row r="1101" spans="2:10">
      <c r="B1101" s="169"/>
      <c r="C1101" s="29"/>
      <c r="D1101" s="29"/>
      <c r="E1101" s="29"/>
      <c r="F1101" s="29"/>
      <c r="I1101" s="176">
        <v>44092</v>
      </c>
      <c r="J1101" s="177" t="s">
        <v>1716</v>
      </c>
    </row>
    <row r="1102" spans="2:10">
      <c r="B1102" s="169"/>
      <c r="C1102" s="29"/>
      <c r="D1102" s="29"/>
      <c r="E1102" s="29"/>
      <c r="F1102" s="29"/>
      <c r="I1102" s="176">
        <v>44092</v>
      </c>
      <c r="J1102" s="177" t="s">
        <v>1717</v>
      </c>
    </row>
    <row r="1103" spans="2:10">
      <c r="B1103" s="169"/>
      <c r="C1103" s="29"/>
      <c r="D1103" s="29"/>
      <c r="E1103" s="29"/>
      <c r="F1103" s="29"/>
      <c r="I1103" s="176">
        <v>44092</v>
      </c>
      <c r="J1103" s="177" t="s">
        <v>1718</v>
      </c>
    </row>
    <row r="1104" spans="2:10">
      <c r="B1104" s="169"/>
      <c r="C1104" s="29"/>
      <c r="D1104" s="29"/>
      <c r="E1104" s="29"/>
      <c r="F1104" s="29"/>
      <c r="I1104" s="176">
        <v>44092</v>
      </c>
      <c r="J1104" s="177" t="s">
        <v>1719</v>
      </c>
    </row>
    <row r="1105" spans="2:10">
      <c r="B1105" s="169"/>
      <c r="C1105" s="29"/>
      <c r="D1105" s="29"/>
      <c r="E1105" s="29"/>
      <c r="F1105" s="29"/>
      <c r="I1105" s="176">
        <v>44093</v>
      </c>
      <c r="J1105" s="177" t="s">
        <v>1720</v>
      </c>
    </row>
    <row r="1106" spans="2:10">
      <c r="B1106" s="169"/>
      <c r="C1106" s="29"/>
      <c r="D1106" s="29"/>
      <c r="E1106" s="29"/>
      <c r="F1106" s="29"/>
      <c r="I1106" s="176">
        <v>44093</v>
      </c>
      <c r="J1106" s="177" t="s">
        <v>1721</v>
      </c>
    </row>
    <row r="1107" spans="2:10">
      <c r="B1107" s="169"/>
      <c r="C1107" s="29"/>
      <c r="D1107" s="29"/>
      <c r="E1107" s="29"/>
      <c r="F1107" s="29"/>
      <c r="I1107" s="176">
        <v>44093</v>
      </c>
      <c r="J1107" s="177" t="s">
        <v>1722</v>
      </c>
    </row>
    <row r="1108" spans="2:10">
      <c r="B1108" s="169"/>
      <c r="C1108" s="29"/>
      <c r="D1108" s="29"/>
      <c r="E1108" s="29"/>
      <c r="F1108" s="29"/>
      <c r="I1108" s="176">
        <v>44093</v>
      </c>
      <c r="J1108" s="177" t="s">
        <v>872</v>
      </c>
    </row>
    <row r="1109" spans="2:10">
      <c r="B1109" s="169"/>
      <c r="C1109" s="29"/>
      <c r="D1109" s="29"/>
      <c r="E1109" s="29"/>
      <c r="F1109" s="29"/>
      <c r="I1109" s="176">
        <v>44094</v>
      </c>
      <c r="J1109" s="177" t="s">
        <v>849</v>
      </c>
    </row>
    <row r="1110" spans="2:10">
      <c r="B1110" s="169"/>
      <c r="C1110" s="29"/>
      <c r="D1110" s="29"/>
      <c r="E1110" s="29"/>
      <c r="F1110" s="29"/>
      <c r="I1110" s="176">
        <v>44094</v>
      </c>
      <c r="J1110" s="177" t="s">
        <v>1723</v>
      </c>
    </row>
    <row r="1111" spans="2:10">
      <c r="B1111" s="169"/>
      <c r="C1111" s="29"/>
      <c r="D1111" s="29"/>
      <c r="E1111" s="29"/>
      <c r="F1111" s="29"/>
      <c r="I1111" s="176">
        <v>44094</v>
      </c>
      <c r="J1111" s="177" t="s">
        <v>1724</v>
      </c>
    </row>
    <row r="1112" spans="2:10">
      <c r="B1112" s="169"/>
      <c r="C1112" s="29"/>
      <c r="D1112" s="29"/>
      <c r="E1112" s="29"/>
      <c r="F1112" s="29"/>
      <c r="I1112" s="176">
        <v>44095</v>
      </c>
      <c r="J1112" s="177" t="s">
        <v>1725</v>
      </c>
    </row>
    <row r="1113" spans="2:10">
      <c r="B1113" s="169"/>
      <c r="C1113" s="29"/>
      <c r="D1113" s="29"/>
      <c r="E1113" s="29"/>
      <c r="F1113" s="29"/>
      <c r="I1113" s="176">
        <v>44095</v>
      </c>
      <c r="J1113" s="177" t="s">
        <v>1726</v>
      </c>
    </row>
    <row r="1114" spans="2:10">
      <c r="B1114" s="169"/>
      <c r="C1114" s="29"/>
      <c r="D1114" s="29"/>
      <c r="E1114" s="29"/>
      <c r="F1114" s="29"/>
      <c r="I1114" s="176">
        <v>44095</v>
      </c>
      <c r="J1114" s="177" t="s">
        <v>1727</v>
      </c>
    </row>
    <row r="1115" spans="2:10">
      <c r="B1115" s="169"/>
      <c r="C1115" s="29"/>
      <c r="D1115" s="29"/>
      <c r="E1115" s="29"/>
      <c r="F1115" s="29"/>
      <c r="I1115" s="176">
        <v>44095</v>
      </c>
      <c r="J1115" s="177" t="s">
        <v>1728</v>
      </c>
    </row>
    <row r="1116" spans="2:10">
      <c r="B1116" s="169"/>
      <c r="C1116" s="29"/>
      <c r="D1116" s="29"/>
      <c r="E1116" s="29"/>
      <c r="F1116" s="29"/>
      <c r="I1116" s="176">
        <v>44095</v>
      </c>
      <c r="J1116" s="177" t="s">
        <v>1729</v>
      </c>
    </row>
    <row r="1117" spans="2:10">
      <c r="B1117" s="169"/>
      <c r="C1117" s="29"/>
      <c r="D1117" s="29"/>
      <c r="E1117" s="29"/>
      <c r="F1117" s="29"/>
      <c r="I1117" s="176">
        <v>44095</v>
      </c>
      <c r="J1117" s="177" t="s">
        <v>1730</v>
      </c>
    </row>
    <row r="1118" spans="2:10">
      <c r="B1118" s="169"/>
      <c r="C1118" s="29"/>
      <c r="D1118" s="29"/>
      <c r="E1118" s="29"/>
      <c r="F1118" s="29"/>
      <c r="I1118" s="176">
        <v>44095</v>
      </c>
      <c r="J1118" s="177" t="s">
        <v>851</v>
      </c>
    </row>
    <row r="1119" spans="2:10">
      <c r="B1119" s="169"/>
      <c r="C1119" s="29"/>
      <c r="D1119" s="29"/>
      <c r="E1119" s="29"/>
      <c r="F1119" s="29"/>
      <c r="I1119" s="176">
        <v>44096</v>
      </c>
      <c r="J1119" s="177" t="s">
        <v>854</v>
      </c>
    </row>
    <row r="1120" spans="2:10">
      <c r="B1120" s="169"/>
      <c r="C1120" s="29"/>
      <c r="D1120" s="29"/>
      <c r="E1120" s="29"/>
      <c r="F1120" s="29"/>
      <c r="I1120" s="176">
        <v>44096</v>
      </c>
      <c r="J1120" s="177" t="s">
        <v>1731</v>
      </c>
    </row>
    <row r="1121" spans="2:10">
      <c r="B1121" s="169"/>
      <c r="C1121" s="29"/>
      <c r="D1121" s="29"/>
      <c r="E1121" s="29"/>
      <c r="F1121" s="29"/>
      <c r="I1121" s="176">
        <v>44096</v>
      </c>
      <c r="J1121" s="177" t="s">
        <v>1732</v>
      </c>
    </row>
    <row r="1122" spans="2:10">
      <c r="B1122" s="169"/>
      <c r="C1122" s="29"/>
      <c r="D1122" s="29"/>
      <c r="E1122" s="29"/>
      <c r="F1122" s="29"/>
      <c r="I1122" s="176">
        <v>44096</v>
      </c>
      <c r="J1122" s="177" t="s">
        <v>1733</v>
      </c>
    </row>
    <row r="1123" spans="2:10">
      <c r="B1123" s="169"/>
      <c r="C1123" s="29"/>
      <c r="D1123" s="29"/>
      <c r="E1123" s="29"/>
      <c r="F1123" s="29"/>
      <c r="I1123" s="176">
        <v>44096</v>
      </c>
      <c r="J1123" s="177" t="s">
        <v>1734</v>
      </c>
    </row>
    <row r="1124" spans="2:10">
      <c r="B1124" s="169"/>
      <c r="C1124" s="29"/>
      <c r="D1124" s="29"/>
      <c r="E1124" s="29"/>
      <c r="F1124" s="29"/>
      <c r="I1124" s="176">
        <v>44097</v>
      </c>
      <c r="J1124" s="177" t="s">
        <v>857</v>
      </c>
    </row>
    <row r="1125" spans="2:10">
      <c r="B1125" s="169"/>
      <c r="C1125" s="29"/>
      <c r="D1125" s="29"/>
      <c r="E1125" s="29"/>
      <c r="F1125" s="29"/>
      <c r="I1125" s="176">
        <v>44098</v>
      </c>
      <c r="J1125" s="177" t="s">
        <v>1735</v>
      </c>
    </row>
    <row r="1126" spans="2:10">
      <c r="B1126" s="169"/>
      <c r="C1126" s="29"/>
      <c r="D1126" s="29"/>
      <c r="E1126" s="29"/>
      <c r="F1126" s="29"/>
      <c r="I1126" s="176">
        <v>44098</v>
      </c>
      <c r="J1126" s="177" t="s">
        <v>860</v>
      </c>
    </row>
    <row r="1127" spans="2:10">
      <c r="B1127" s="169"/>
      <c r="C1127" s="29"/>
      <c r="D1127" s="29"/>
      <c r="E1127" s="29"/>
      <c r="F1127" s="29"/>
      <c r="I1127" s="176">
        <v>44099</v>
      </c>
      <c r="J1127" s="177" t="s">
        <v>862</v>
      </c>
    </row>
    <row r="1128" spans="2:10">
      <c r="B1128" s="169"/>
      <c r="C1128" s="29"/>
      <c r="D1128" s="29"/>
      <c r="E1128" s="29"/>
      <c r="F1128" s="29"/>
      <c r="I1128" s="176">
        <v>44100</v>
      </c>
      <c r="J1128" s="177" t="s">
        <v>1736</v>
      </c>
    </row>
    <row r="1129" spans="2:10">
      <c r="B1129" s="169"/>
      <c r="C1129" s="29"/>
      <c r="D1129" s="29"/>
      <c r="E1129" s="29"/>
      <c r="F1129" s="29"/>
      <c r="I1129" s="176">
        <v>44100</v>
      </c>
      <c r="J1129" s="177" t="s">
        <v>264</v>
      </c>
    </row>
    <row r="1130" spans="2:10">
      <c r="B1130" s="169"/>
      <c r="C1130" s="29"/>
      <c r="D1130" s="29"/>
      <c r="E1130" s="29"/>
      <c r="F1130" s="29"/>
      <c r="I1130" s="176">
        <v>44101</v>
      </c>
      <c r="J1130" s="177" t="s">
        <v>1737</v>
      </c>
    </row>
    <row r="1131" spans="2:10">
      <c r="B1131" s="169"/>
      <c r="C1131" s="29"/>
      <c r="D1131" s="29"/>
      <c r="E1131" s="29"/>
      <c r="F1131" s="29"/>
      <c r="I1131" s="176">
        <v>44102</v>
      </c>
      <c r="J1131" s="177" t="s">
        <v>869</v>
      </c>
    </row>
    <row r="1132" spans="2:10">
      <c r="B1132" s="169"/>
      <c r="C1132" s="29"/>
      <c r="D1132" s="29"/>
      <c r="E1132" s="29"/>
      <c r="F1132" s="29"/>
      <c r="I1132" s="176">
        <v>44102</v>
      </c>
      <c r="J1132" s="177" t="s">
        <v>1738</v>
      </c>
    </row>
    <row r="1133" spans="2:10">
      <c r="B1133" s="169"/>
      <c r="C1133" s="29"/>
      <c r="D1133" s="29"/>
      <c r="E1133" s="29"/>
      <c r="F1133" s="29"/>
      <c r="I1133" s="176">
        <v>44103</v>
      </c>
      <c r="J1133" s="177" t="s">
        <v>1739</v>
      </c>
    </row>
    <row r="1134" spans="2:10">
      <c r="B1134" s="169"/>
      <c r="C1134" s="29"/>
      <c r="D1134" s="29"/>
      <c r="E1134" s="29"/>
      <c r="F1134" s="29"/>
      <c r="I1134" s="176">
        <v>44103</v>
      </c>
      <c r="J1134" s="177" t="s">
        <v>1740</v>
      </c>
    </row>
    <row r="1135" spans="2:10">
      <c r="B1135" s="169"/>
      <c r="C1135" s="29"/>
      <c r="D1135" s="29"/>
      <c r="E1135" s="29"/>
      <c r="F1135" s="29"/>
      <c r="I1135" s="176">
        <v>44103</v>
      </c>
      <c r="J1135" s="177" t="s">
        <v>1741</v>
      </c>
    </row>
    <row r="1136" spans="2:10">
      <c r="B1136" s="169"/>
      <c r="C1136" s="29"/>
      <c r="D1136" s="29"/>
      <c r="E1136" s="29"/>
      <c r="F1136" s="29"/>
      <c r="I1136" s="176">
        <v>44103</v>
      </c>
      <c r="J1136" s="177" t="s">
        <v>875</v>
      </c>
    </row>
    <row r="1137" spans="2:10">
      <c r="B1137" s="169"/>
      <c r="C1137" s="29"/>
      <c r="D1137" s="29"/>
      <c r="E1137" s="29"/>
      <c r="F1137" s="29"/>
      <c r="I1137" s="176">
        <v>44103</v>
      </c>
      <c r="J1137" s="177" t="s">
        <v>1742</v>
      </c>
    </row>
    <row r="1138" spans="2:10">
      <c r="B1138" s="169"/>
      <c r="C1138" s="29"/>
      <c r="D1138" s="29"/>
      <c r="E1138" s="29"/>
      <c r="F1138" s="29"/>
      <c r="I1138" s="176">
        <v>44103</v>
      </c>
      <c r="J1138" s="177" t="s">
        <v>1743</v>
      </c>
    </row>
    <row r="1139" spans="2:10">
      <c r="B1139" s="169"/>
      <c r="C1139" s="29"/>
      <c r="D1139" s="29"/>
      <c r="E1139" s="29"/>
      <c r="F1139" s="29"/>
      <c r="I1139" s="176">
        <v>44103</v>
      </c>
      <c r="J1139" s="177" t="s">
        <v>1744</v>
      </c>
    </row>
    <row r="1140" spans="2:10">
      <c r="B1140" s="169"/>
      <c r="C1140" s="29"/>
      <c r="D1140" s="29"/>
      <c r="E1140" s="29"/>
      <c r="F1140" s="29"/>
      <c r="I1140" s="176">
        <v>44103</v>
      </c>
      <c r="J1140" s="177" t="s">
        <v>1745</v>
      </c>
    </row>
    <row r="1141" spans="2:10">
      <c r="B1141" s="169"/>
      <c r="C1141" s="29"/>
      <c r="D1141" s="29"/>
      <c r="E1141" s="29"/>
      <c r="F1141" s="29"/>
      <c r="I1141" s="176">
        <v>44103</v>
      </c>
      <c r="J1141" s="177" t="s">
        <v>1746</v>
      </c>
    </row>
    <row r="1142" spans="2:10">
      <c r="B1142" s="169"/>
      <c r="C1142" s="29"/>
      <c r="D1142" s="29"/>
      <c r="E1142" s="29"/>
      <c r="F1142" s="29"/>
      <c r="I1142" s="176">
        <v>44103</v>
      </c>
      <c r="J1142" s="177" t="s">
        <v>1747</v>
      </c>
    </row>
    <row r="1143" spans="2:10">
      <c r="B1143" s="169"/>
      <c r="C1143" s="29"/>
      <c r="D1143" s="29"/>
      <c r="E1143" s="29"/>
      <c r="F1143" s="29"/>
      <c r="I1143" s="176">
        <v>44103</v>
      </c>
      <c r="J1143" s="177" t="s">
        <v>1748</v>
      </c>
    </row>
    <row r="1144" spans="2:10">
      <c r="B1144" s="169"/>
      <c r="C1144" s="29"/>
      <c r="D1144" s="29"/>
      <c r="E1144" s="29"/>
      <c r="F1144" s="29"/>
      <c r="I1144" s="176">
        <v>44103</v>
      </c>
      <c r="J1144" s="177" t="s">
        <v>1749</v>
      </c>
    </row>
    <row r="1145" spans="2:10">
      <c r="B1145" s="169"/>
      <c r="C1145" s="29"/>
      <c r="D1145" s="29"/>
      <c r="E1145" s="29"/>
      <c r="F1145" s="29"/>
      <c r="I1145" s="176">
        <v>44103</v>
      </c>
      <c r="J1145" s="177" t="s">
        <v>1750</v>
      </c>
    </row>
    <row r="1146" spans="2:10">
      <c r="B1146" s="169"/>
      <c r="C1146" s="29"/>
      <c r="D1146" s="29"/>
      <c r="E1146" s="29"/>
      <c r="F1146" s="29"/>
      <c r="I1146" s="176">
        <v>44103</v>
      </c>
      <c r="J1146" s="177" t="s">
        <v>1751</v>
      </c>
    </row>
    <row r="1147" spans="2:10">
      <c r="B1147" s="169"/>
      <c r="C1147" s="29"/>
      <c r="D1147" s="29"/>
      <c r="E1147" s="29"/>
      <c r="F1147" s="29"/>
      <c r="I1147" s="176">
        <v>44103</v>
      </c>
      <c r="J1147" s="177" t="s">
        <v>1752</v>
      </c>
    </row>
    <row r="1148" spans="2:10">
      <c r="B1148" s="169"/>
      <c r="C1148" s="29"/>
      <c r="D1148" s="29"/>
      <c r="E1148" s="29"/>
      <c r="F1148" s="29"/>
      <c r="I1148" s="176">
        <v>44104</v>
      </c>
      <c r="J1148" s="177" t="s">
        <v>1753</v>
      </c>
    </row>
    <row r="1149" spans="2:10">
      <c r="B1149" s="169"/>
      <c r="C1149" s="29"/>
      <c r="D1149" s="29"/>
      <c r="E1149" s="29"/>
      <c r="F1149" s="29"/>
      <c r="I1149" s="176">
        <v>44104</v>
      </c>
      <c r="J1149" s="177" t="s">
        <v>877</v>
      </c>
    </row>
    <row r="1150" spans="2:10">
      <c r="B1150" s="169"/>
      <c r="C1150" s="29"/>
      <c r="D1150" s="29"/>
      <c r="E1150" s="29"/>
      <c r="F1150" s="29"/>
      <c r="I1150" s="176">
        <v>44105</v>
      </c>
      <c r="J1150" s="177" t="s">
        <v>1754</v>
      </c>
    </row>
    <row r="1151" spans="2:10">
      <c r="B1151" s="169"/>
      <c r="C1151" s="29"/>
      <c r="D1151" s="29"/>
      <c r="E1151" s="29"/>
      <c r="F1151" s="29"/>
      <c r="I1151" s="176">
        <v>44105</v>
      </c>
      <c r="J1151" s="177" t="s">
        <v>1755</v>
      </c>
    </row>
    <row r="1152" spans="2:10">
      <c r="B1152" s="169"/>
      <c r="C1152" s="29"/>
      <c r="D1152" s="29"/>
      <c r="E1152" s="29"/>
      <c r="F1152" s="29"/>
      <c r="I1152" s="176">
        <v>44105</v>
      </c>
      <c r="J1152" s="177" t="s">
        <v>1756</v>
      </c>
    </row>
    <row r="1153" spans="2:10">
      <c r="B1153" s="169"/>
      <c r="C1153" s="29"/>
      <c r="D1153" s="29"/>
      <c r="E1153" s="29"/>
      <c r="F1153" s="29"/>
      <c r="I1153" s="176">
        <v>44105</v>
      </c>
      <c r="J1153" s="177" t="s">
        <v>1757</v>
      </c>
    </row>
    <row r="1154" spans="2:10">
      <c r="B1154" s="169"/>
      <c r="C1154" s="29"/>
      <c r="D1154" s="29"/>
      <c r="E1154" s="29"/>
      <c r="F1154" s="29"/>
      <c r="I1154" s="176">
        <v>44105</v>
      </c>
      <c r="J1154" s="177" t="s">
        <v>1758</v>
      </c>
    </row>
    <row r="1155" spans="2:10">
      <c r="B1155" s="169"/>
      <c r="C1155" s="29"/>
      <c r="D1155" s="29"/>
      <c r="E1155" s="29"/>
      <c r="F1155" s="29"/>
      <c r="I1155" s="176">
        <v>44105</v>
      </c>
      <c r="J1155" s="177" t="s">
        <v>1759</v>
      </c>
    </row>
    <row r="1156" spans="2:10">
      <c r="B1156" s="169"/>
      <c r="C1156" s="29"/>
      <c r="D1156" s="29"/>
      <c r="E1156" s="29"/>
      <c r="F1156" s="29"/>
      <c r="I1156" s="176">
        <v>44105</v>
      </c>
      <c r="J1156" s="177" t="s">
        <v>1760</v>
      </c>
    </row>
    <row r="1157" spans="2:10">
      <c r="B1157" s="169"/>
      <c r="C1157" s="29"/>
      <c r="D1157" s="29"/>
      <c r="E1157" s="29"/>
      <c r="F1157" s="29"/>
      <c r="I1157" s="176">
        <v>44106</v>
      </c>
      <c r="J1157" s="177" t="s">
        <v>881</v>
      </c>
    </row>
    <row r="1158" spans="2:10">
      <c r="B1158" s="169"/>
      <c r="C1158" s="29"/>
      <c r="D1158" s="29"/>
      <c r="E1158" s="29"/>
      <c r="F1158" s="29"/>
      <c r="I1158" s="176">
        <v>44107</v>
      </c>
      <c r="J1158" s="177" t="s">
        <v>1761</v>
      </c>
    </row>
    <row r="1159" spans="2:10">
      <c r="B1159" s="169"/>
      <c r="C1159" s="29"/>
      <c r="D1159" s="29"/>
      <c r="E1159" s="29"/>
      <c r="F1159" s="29"/>
      <c r="I1159" s="176">
        <v>44107</v>
      </c>
      <c r="J1159" s="177" t="s">
        <v>1762</v>
      </c>
    </row>
    <row r="1160" spans="2:10">
      <c r="B1160" s="169"/>
      <c r="C1160" s="29"/>
      <c r="D1160" s="29"/>
      <c r="E1160" s="29"/>
      <c r="F1160" s="29"/>
      <c r="I1160" s="176">
        <v>44107</v>
      </c>
      <c r="J1160" s="177" t="s">
        <v>884</v>
      </c>
    </row>
    <row r="1161" spans="2:10">
      <c r="B1161" s="169"/>
      <c r="C1161" s="29"/>
      <c r="D1161" s="29"/>
      <c r="E1161" s="29"/>
      <c r="F1161" s="29"/>
      <c r="I1161" s="176">
        <v>44107</v>
      </c>
      <c r="J1161" s="177" t="s">
        <v>1763</v>
      </c>
    </row>
    <row r="1162" spans="2:10">
      <c r="B1162" s="169"/>
      <c r="C1162" s="29"/>
      <c r="D1162" s="29"/>
      <c r="E1162" s="29"/>
      <c r="F1162" s="29"/>
      <c r="I1162" s="176">
        <v>44108</v>
      </c>
      <c r="J1162" s="177" t="s">
        <v>1764</v>
      </c>
    </row>
    <row r="1163" spans="2:10">
      <c r="B1163" s="169"/>
      <c r="C1163" s="29"/>
      <c r="D1163" s="29"/>
      <c r="E1163" s="29"/>
      <c r="F1163" s="29"/>
      <c r="I1163" s="176">
        <v>44108</v>
      </c>
      <c r="J1163" s="177" t="s">
        <v>1765</v>
      </c>
    </row>
    <row r="1164" spans="2:10">
      <c r="B1164" s="169"/>
      <c r="C1164" s="29"/>
      <c r="D1164" s="29"/>
      <c r="E1164" s="29"/>
      <c r="F1164" s="29"/>
      <c r="I1164" s="176">
        <v>44108</v>
      </c>
      <c r="J1164" s="177" t="s">
        <v>1766</v>
      </c>
    </row>
    <row r="1165" spans="2:10">
      <c r="B1165" s="169"/>
      <c r="C1165" s="29"/>
      <c r="D1165" s="29"/>
      <c r="E1165" s="29"/>
      <c r="F1165" s="29"/>
      <c r="I1165" s="176">
        <v>44108</v>
      </c>
      <c r="J1165" s="177" t="s">
        <v>1767</v>
      </c>
    </row>
    <row r="1166" spans="2:10">
      <c r="B1166" s="169"/>
      <c r="C1166" s="29"/>
      <c r="D1166" s="29"/>
      <c r="E1166" s="29"/>
      <c r="F1166" s="29"/>
      <c r="I1166" s="176">
        <v>44108</v>
      </c>
      <c r="J1166" s="177" t="s">
        <v>1768</v>
      </c>
    </row>
    <row r="1167" spans="2:10">
      <c r="B1167" s="169"/>
      <c r="C1167" s="29"/>
      <c r="D1167" s="29"/>
      <c r="E1167" s="29"/>
      <c r="F1167" s="29"/>
      <c r="I1167" s="176">
        <v>44108</v>
      </c>
      <c r="J1167" s="177" t="s">
        <v>1769</v>
      </c>
    </row>
    <row r="1168" spans="2:10">
      <c r="B1168" s="169"/>
      <c r="C1168" s="29"/>
      <c r="D1168" s="29"/>
      <c r="E1168" s="29"/>
      <c r="F1168" s="29"/>
      <c r="I1168" s="176">
        <v>44108</v>
      </c>
      <c r="J1168" s="177" t="s">
        <v>1770</v>
      </c>
    </row>
    <row r="1169" spans="2:10">
      <c r="B1169" s="169"/>
      <c r="C1169" s="29"/>
      <c r="D1169" s="29"/>
      <c r="E1169" s="29"/>
      <c r="F1169" s="29"/>
      <c r="I1169" s="176">
        <v>44108</v>
      </c>
      <c r="J1169" s="177" t="s">
        <v>1771</v>
      </c>
    </row>
    <row r="1170" spans="2:10">
      <c r="B1170" s="169"/>
      <c r="C1170" s="29"/>
      <c r="D1170" s="29"/>
      <c r="E1170" s="29"/>
      <c r="F1170" s="29"/>
      <c r="I1170" s="176">
        <v>44108</v>
      </c>
      <c r="J1170" s="177" t="s">
        <v>1772</v>
      </c>
    </row>
    <row r="1171" spans="2:10">
      <c r="B1171" s="169"/>
      <c r="C1171" s="29"/>
      <c r="D1171" s="29"/>
      <c r="E1171" s="29"/>
      <c r="F1171" s="29"/>
      <c r="I1171" s="176">
        <v>44108</v>
      </c>
      <c r="J1171" s="177" t="s">
        <v>1773</v>
      </c>
    </row>
    <row r="1172" spans="2:10">
      <c r="B1172" s="169"/>
      <c r="C1172" s="29"/>
      <c r="D1172" s="29"/>
      <c r="E1172" s="29"/>
      <c r="F1172" s="29"/>
      <c r="I1172" s="176">
        <v>44108</v>
      </c>
      <c r="J1172" s="177" t="s">
        <v>1774</v>
      </c>
    </row>
    <row r="1173" spans="2:10">
      <c r="B1173" s="169"/>
      <c r="C1173" s="29"/>
      <c r="D1173" s="29"/>
      <c r="E1173" s="29"/>
      <c r="F1173" s="29"/>
      <c r="I1173" s="176">
        <v>44108</v>
      </c>
      <c r="J1173" s="177" t="s">
        <v>1775</v>
      </c>
    </row>
    <row r="1174" spans="2:10">
      <c r="B1174" s="169"/>
      <c r="C1174" s="29"/>
      <c r="D1174" s="29"/>
      <c r="E1174" s="29"/>
      <c r="F1174" s="29"/>
      <c r="I1174" s="176">
        <v>44108</v>
      </c>
      <c r="J1174" s="177" t="s">
        <v>1776</v>
      </c>
    </row>
    <row r="1175" spans="2:10">
      <c r="B1175" s="169"/>
      <c r="C1175" s="29"/>
      <c r="D1175" s="29"/>
      <c r="E1175" s="29"/>
      <c r="F1175" s="29"/>
      <c r="I1175" s="176">
        <v>44108</v>
      </c>
      <c r="J1175" s="177" t="s">
        <v>1777</v>
      </c>
    </row>
    <row r="1176" spans="2:10">
      <c r="B1176" s="169"/>
      <c r="C1176" s="29"/>
      <c r="D1176" s="29"/>
      <c r="E1176" s="29"/>
      <c r="F1176" s="29"/>
      <c r="I1176" s="176">
        <v>44108</v>
      </c>
      <c r="J1176" s="177" t="s">
        <v>1778</v>
      </c>
    </row>
    <row r="1177" spans="2:10">
      <c r="B1177" s="169"/>
      <c r="C1177" s="29"/>
      <c r="D1177" s="29"/>
      <c r="E1177" s="29"/>
      <c r="F1177" s="29"/>
      <c r="I1177" s="176">
        <v>44108</v>
      </c>
      <c r="J1177" s="177" t="s">
        <v>887</v>
      </c>
    </row>
    <row r="1178" spans="2:10">
      <c r="B1178" s="169"/>
      <c r="C1178" s="29"/>
      <c r="D1178" s="29"/>
      <c r="E1178" s="29"/>
      <c r="F1178" s="29"/>
      <c r="I1178" s="176">
        <v>44108</v>
      </c>
      <c r="J1178" s="177" t="s">
        <v>1779</v>
      </c>
    </row>
    <row r="1179" spans="2:10">
      <c r="B1179" s="169"/>
      <c r="C1179" s="29"/>
      <c r="D1179" s="29"/>
      <c r="E1179" s="29"/>
      <c r="F1179" s="29"/>
      <c r="I1179" s="176">
        <v>44108</v>
      </c>
      <c r="J1179" s="177" t="s">
        <v>1780</v>
      </c>
    </row>
    <row r="1180" spans="2:10">
      <c r="B1180" s="169"/>
      <c r="C1180" s="29"/>
      <c r="D1180" s="29"/>
      <c r="E1180" s="29"/>
      <c r="F1180" s="29"/>
      <c r="I1180" s="176">
        <v>44108</v>
      </c>
      <c r="J1180" s="177" t="s">
        <v>1781</v>
      </c>
    </row>
    <row r="1181" spans="2:10">
      <c r="B1181" s="169"/>
      <c r="C1181" s="29"/>
      <c r="D1181" s="29"/>
      <c r="E1181" s="29"/>
      <c r="F1181" s="29"/>
      <c r="I1181" s="176">
        <v>44108</v>
      </c>
      <c r="J1181" s="177" t="s">
        <v>1782</v>
      </c>
    </row>
    <row r="1182" spans="2:10">
      <c r="B1182" s="169"/>
      <c r="C1182" s="29"/>
      <c r="D1182" s="29"/>
      <c r="E1182" s="29"/>
      <c r="F1182" s="29"/>
      <c r="I1182" s="176">
        <v>44108</v>
      </c>
      <c r="J1182" s="177" t="s">
        <v>1783</v>
      </c>
    </row>
    <row r="1183" spans="2:10">
      <c r="B1183" s="169"/>
      <c r="C1183" s="29"/>
      <c r="D1183" s="29"/>
      <c r="E1183" s="29"/>
      <c r="F1183" s="29"/>
      <c r="I1183" s="176">
        <v>44108</v>
      </c>
      <c r="J1183" s="177" t="s">
        <v>1784</v>
      </c>
    </row>
    <row r="1184" spans="2:10">
      <c r="B1184" s="169"/>
      <c r="C1184" s="29"/>
      <c r="D1184" s="29"/>
      <c r="E1184" s="29"/>
      <c r="F1184" s="29"/>
      <c r="I1184" s="176">
        <v>44109</v>
      </c>
      <c r="J1184" s="177" t="s">
        <v>1785</v>
      </c>
    </row>
    <row r="1185" spans="2:10">
      <c r="B1185" s="169"/>
      <c r="C1185" s="29"/>
      <c r="D1185" s="29"/>
      <c r="E1185" s="29"/>
      <c r="F1185" s="29"/>
      <c r="I1185" s="176">
        <v>44109</v>
      </c>
      <c r="J1185" s="177" t="s">
        <v>1786</v>
      </c>
    </row>
    <row r="1186" spans="2:10">
      <c r="B1186" s="169"/>
      <c r="C1186" s="29"/>
      <c r="D1186" s="29"/>
      <c r="E1186" s="29"/>
      <c r="F1186" s="29"/>
      <c r="I1186" s="176">
        <v>44109</v>
      </c>
      <c r="J1186" s="177" t="s">
        <v>1787</v>
      </c>
    </row>
    <row r="1187" spans="2:10">
      <c r="B1187" s="169"/>
      <c r="C1187" s="29"/>
      <c r="D1187" s="29"/>
      <c r="E1187" s="29"/>
      <c r="F1187" s="29"/>
      <c r="I1187" s="176">
        <v>44109</v>
      </c>
      <c r="J1187" s="177" t="s">
        <v>1788</v>
      </c>
    </row>
    <row r="1188" spans="2:10">
      <c r="B1188" s="169"/>
      <c r="C1188" s="29"/>
      <c r="D1188" s="29"/>
      <c r="E1188" s="29"/>
      <c r="F1188" s="29"/>
      <c r="I1188" s="176">
        <v>44109</v>
      </c>
      <c r="J1188" s="177" t="s">
        <v>890</v>
      </c>
    </row>
    <row r="1189" spans="2:10">
      <c r="B1189" s="169"/>
      <c r="C1189" s="29"/>
      <c r="D1189" s="29"/>
      <c r="E1189" s="29"/>
      <c r="F1189" s="29"/>
      <c r="I1189" s="176">
        <v>44109</v>
      </c>
      <c r="J1189" s="177" t="s">
        <v>1789</v>
      </c>
    </row>
    <row r="1190" spans="2:10">
      <c r="B1190" s="169"/>
      <c r="C1190" s="29"/>
      <c r="D1190" s="29"/>
      <c r="E1190" s="29"/>
      <c r="F1190" s="29"/>
      <c r="I1190" s="176">
        <v>44109</v>
      </c>
      <c r="J1190" s="177" t="s">
        <v>1790</v>
      </c>
    </row>
    <row r="1191" spans="2:10">
      <c r="B1191" s="169"/>
      <c r="C1191" s="29"/>
      <c r="D1191" s="29"/>
      <c r="E1191" s="29"/>
      <c r="F1191" s="29"/>
      <c r="I1191" s="176">
        <v>44109</v>
      </c>
      <c r="J1191" s="177" t="s">
        <v>1791</v>
      </c>
    </row>
    <row r="1192" spans="2:10">
      <c r="B1192" s="169"/>
      <c r="C1192" s="29"/>
      <c r="D1192" s="29"/>
      <c r="E1192" s="29"/>
      <c r="F1192" s="29"/>
      <c r="I1192" s="176">
        <v>44109</v>
      </c>
      <c r="J1192" s="177" t="s">
        <v>1792</v>
      </c>
    </row>
    <row r="1193" spans="2:10">
      <c r="B1193" s="169"/>
      <c r="C1193" s="29"/>
      <c r="D1193" s="29"/>
      <c r="E1193" s="29"/>
      <c r="F1193" s="29"/>
      <c r="I1193" s="176">
        <v>44109</v>
      </c>
      <c r="J1193" s="177" t="s">
        <v>1793</v>
      </c>
    </row>
    <row r="1194" spans="2:10">
      <c r="B1194" s="169"/>
      <c r="C1194" s="29"/>
      <c r="D1194" s="29"/>
      <c r="E1194" s="29"/>
      <c r="F1194" s="29"/>
      <c r="I1194" s="176">
        <v>44109</v>
      </c>
      <c r="J1194" s="177" t="s">
        <v>1794</v>
      </c>
    </row>
    <row r="1195" spans="2:10">
      <c r="B1195" s="169"/>
      <c r="C1195" s="29"/>
      <c r="D1195" s="29"/>
      <c r="E1195" s="29"/>
      <c r="F1195" s="29"/>
      <c r="I1195" s="176">
        <v>44109</v>
      </c>
      <c r="J1195" s="177" t="s">
        <v>1795</v>
      </c>
    </row>
    <row r="1196" spans="2:10">
      <c r="B1196" s="169"/>
      <c r="C1196" s="29"/>
      <c r="D1196" s="29"/>
      <c r="E1196" s="29"/>
      <c r="F1196" s="29"/>
      <c r="I1196" s="176">
        <v>44109</v>
      </c>
      <c r="J1196" s="177" t="s">
        <v>1796</v>
      </c>
    </row>
    <row r="1197" spans="2:10">
      <c r="B1197" s="169"/>
      <c r="C1197" s="29"/>
      <c r="D1197" s="29"/>
      <c r="E1197" s="29"/>
      <c r="F1197" s="29"/>
      <c r="I1197" s="176">
        <v>44109</v>
      </c>
      <c r="J1197" s="177" t="s">
        <v>1797</v>
      </c>
    </row>
    <row r="1198" spans="2:10">
      <c r="B1198" s="169"/>
      <c r="C1198" s="29"/>
      <c r="D1198" s="29"/>
      <c r="E1198" s="29"/>
      <c r="F1198" s="29"/>
      <c r="I1198" s="176">
        <v>44110</v>
      </c>
      <c r="J1198" s="177" t="s">
        <v>893</v>
      </c>
    </row>
    <row r="1199" spans="2:10">
      <c r="B1199" s="169"/>
      <c r="C1199" s="29"/>
      <c r="D1199" s="29"/>
      <c r="E1199" s="29"/>
      <c r="F1199" s="29"/>
      <c r="I1199" s="176">
        <v>44111</v>
      </c>
      <c r="J1199" s="177" t="s">
        <v>1798</v>
      </c>
    </row>
    <row r="1200" spans="2:10">
      <c r="B1200" s="169"/>
      <c r="C1200" s="29"/>
      <c r="D1200" s="29"/>
      <c r="E1200" s="29"/>
      <c r="F1200" s="29"/>
      <c r="I1200" s="176">
        <v>44111</v>
      </c>
      <c r="J1200" s="177" t="s">
        <v>896</v>
      </c>
    </row>
    <row r="1201" spans="2:10">
      <c r="B1201" s="169"/>
      <c r="C1201" s="29"/>
      <c r="D1201" s="29"/>
      <c r="E1201" s="29"/>
      <c r="F1201" s="29"/>
      <c r="I1201" s="176">
        <v>44111</v>
      </c>
      <c r="J1201" s="177" t="s">
        <v>1799</v>
      </c>
    </row>
    <row r="1202" spans="2:10">
      <c r="B1202" s="169"/>
      <c r="C1202" s="29"/>
      <c r="D1202" s="29"/>
      <c r="E1202" s="29"/>
      <c r="F1202" s="29"/>
      <c r="I1202" s="176">
        <v>44111</v>
      </c>
      <c r="J1202" s="177" t="s">
        <v>1800</v>
      </c>
    </row>
    <row r="1203" spans="2:10">
      <c r="B1203" s="169"/>
      <c r="C1203" s="29"/>
      <c r="D1203" s="29"/>
      <c r="E1203" s="29"/>
      <c r="F1203" s="29"/>
      <c r="I1203" s="176">
        <v>44112</v>
      </c>
      <c r="J1203" s="177" t="s">
        <v>1801</v>
      </c>
    </row>
    <row r="1204" spans="2:10">
      <c r="B1204" s="169"/>
      <c r="C1204" s="29"/>
      <c r="D1204" s="29"/>
      <c r="E1204" s="29"/>
      <c r="F1204" s="29"/>
      <c r="I1204" s="176">
        <v>44112</v>
      </c>
      <c r="J1204" s="177" t="s">
        <v>1802</v>
      </c>
    </row>
    <row r="1205" spans="2:10">
      <c r="B1205" s="169"/>
      <c r="C1205" s="29"/>
      <c r="D1205" s="29"/>
      <c r="E1205" s="29"/>
      <c r="F1205" s="29"/>
      <c r="I1205" s="176">
        <v>44112</v>
      </c>
      <c r="J1205" s="177" t="s">
        <v>898</v>
      </c>
    </row>
    <row r="1206" spans="2:10">
      <c r="B1206" s="169"/>
      <c r="C1206" s="29"/>
      <c r="D1206" s="29"/>
      <c r="E1206" s="29"/>
      <c r="F1206" s="29"/>
      <c r="I1206" s="176">
        <v>44112</v>
      </c>
      <c r="J1206" s="177" t="s">
        <v>1803</v>
      </c>
    </row>
    <row r="1207" spans="2:10">
      <c r="B1207" s="169"/>
      <c r="C1207" s="29"/>
      <c r="D1207" s="29"/>
      <c r="E1207" s="29"/>
      <c r="F1207" s="29"/>
      <c r="I1207" s="176">
        <v>44113</v>
      </c>
      <c r="J1207" s="177" t="s">
        <v>901</v>
      </c>
    </row>
    <row r="1208" spans="2:10">
      <c r="B1208" s="169"/>
      <c r="C1208" s="29"/>
      <c r="D1208" s="29"/>
      <c r="E1208" s="29"/>
      <c r="F1208" s="29"/>
      <c r="I1208" s="176">
        <v>44113</v>
      </c>
      <c r="J1208" s="177" t="s">
        <v>1804</v>
      </c>
    </row>
    <row r="1209" spans="2:10">
      <c r="B1209" s="169"/>
      <c r="C1209" s="29"/>
      <c r="D1209" s="29"/>
      <c r="E1209" s="29"/>
      <c r="F1209" s="29"/>
      <c r="I1209" s="176">
        <v>44113</v>
      </c>
      <c r="J1209" s="177" t="s">
        <v>1805</v>
      </c>
    </row>
    <row r="1210" spans="2:10">
      <c r="B1210" s="169"/>
      <c r="C1210" s="29"/>
      <c r="D1210" s="29"/>
      <c r="E1210" s="29"/>
      <c r="F1210" s="29"/>
      <c r="I1210" s="176">
        <v>44113</v>
      </c>
      <c r="J1210" s="177" t="s">
        <v>1806</v>
      </c>
    </row>
    <row r="1211" spans="2:10">
      <c r="B1211" s="169"/>
      <c r="C1211" s="29"/>
      <c r="D1211" s="29"/>
      <c r="E1211" s="29"/>
      <c r="F1211" s="29"/>
      <c r="I1211" s="176">
        <v>44113</v>
      </c>
      <c r="J1211" s="177" t="s">
        <v>1807</v>
      </c>
    </row>
    <row r="1212" spans="2:10">
      <c r="B1212" s="169"/>
      <c r="C1212" s="29"/>
      <c r="D1212" s="29"/>
      <c r="E1212" s="29"/>
      <c r="F1212" s="29"/>
      <c r="I1212" s="176">
        <v>44113</v>
      </c>
      <c r="J1212" s="177" t="s">
        <v>1808</v>
      </c>
    </row>
    <row r="1213" spans="2:10">
      <c r="B1213" s="169"/>
      <c r="C1213" s="29"/>
      <c r="D1213" s="29"/>
      <c r="E1213" s="29"/>
      <c r="F1213" s="29"/>
      <c r="I1213" s="176">
        <v>44113</v>
      </c>
      <c r="J1213" s="177" t="s">
        <v>1809</v>
      </c>
    </row>
    <row r="1214" spans="2:10">
      <c r="B1214" s="169"/>
      <c r="C1214" s="29"/>
      <c r="D1214" s="29"/>
      <c r="E1214" s="29"/>
      <c r="F1214" s="29"/>
      <c r="I1214" s="176">
        <v>44114</v>
      </c>
      <c r="J1214" s="177" t="s">
        <v>1810</v>
      </c>
    </row>
    <row r="1215" spans="2:10">
      <c r="B1215" s="169"/>
      <c r="C1215" s="29"/>
      <c r="D1215" s="29"/>
      <c r="E1215" s="29"/>
      <c r="F1215" s="29"/>
      <c r="I1215" s="176">
        <v>44114</v>
      </c>
      <c r="J1215" s="177" t="s">
        <v>904</v>
      </c>
    </row>
    <row r="1216" spans="2:10">
      <c r="B1216" s="169"/>
      <c r="C1216" s="29"/>
      <c r="D1216" s="29"/>
      <c r="E1216" s="29"/>
      <c r="F1216" s="29"/>
      <c r="I1216" s="176">
        <v>44114</v>
      </c>
      <c r="J1216" s="177" t="s">
        <v>1811</v>
      </c>
    </row>
    <row r="1217" spans="2:10">
      <c r="B1217" s="169"/>
      <c r="C1217" s="29"/>
      <c r="D1217" s="29"/>
      <c r="E1217" s="29"/>
      <c r="F1217" s="29"/>
      <c r="I1217" s="176">
        <v>44115</v>
      </c>
      <c r="J1217" s="177" t="s">
        <v>907</v>
      </c>
    </row>
    <row r="1218" spans="2:10">
      <c r="B1218" s="169"/>
      <c r="C1218" s="29"/>
      <c r="D1218" s="29"/>
      <c r="E1218" s="29"/>
      <c r="F1218" s="29"/>
      <c r="I1218" s="176">
        <v>44115</v>
      </c>
      <c r="J1218" s="177" t="s">
        <v>1812</v>
      </c>
    </row>
    <row r="1219" spans="2:10">
      <c r="B1219" s="169"/>
      <c r="C1219" s="29"/>
      <c r="D1219" s="29"/>
      <c r="E1219" s="29"/>
      <c r="F1219" s="29"/>
      <c r="I1219" s="176">
        <v>44116</v>
      </c>
      <c r="J1219" s="177" t="s">
        <v>1813</v>
      </c>
    </row>
    <row r="1220" spans="2:10">
      <c r="B1220" s="169"/>
      <c r="C1220" s="29"/>
      <c r="D1220" s="29"/>
      <c r="E1220" s="29"/>
      <c r="F1220" s="29"/>
      <c r="I1220" s="176">
        <v>44116</v>
      </c>
      <c r="J1220" s="177" t="s">
        <v>1814</v>
      </c>
    </row>
    <row r="1221" spans="2:10">
      <c r="B1221" s="169"/>
      <c r="C1221" s="29"/>
      <c r="D1221" s="29"/>
      <c r="E1221" s="29"/>
      <c r="F1221" s="29"/>
      <c r="I1221" s="176">
        <v>44116</v>
      </c>
      <c r="J1221" s="177" t="s">
        <v>1815</v>
      </c>
    </row>
    <row r="1222" spans="2:10">
      <c r="B1222" s="169"/>
      <c r="C1222" s="29"/>
      <c r="D1222" s="29"/>
      <c r="E1222" s="29"/>
      <c r="F1222" s="29"/>
      <c r="I1222" s="176">
        <v>44116</v>
      </c>
      <c r="J1222" s="177" t="s">
        <v>1816</v>
      </c>
    </row>
    <row r="1223" spans="2:10">
      <c r="B1223" s="169"/>
      <c r="C1223" s="29"/>
      <c r="D1223" s="29"/>
      <c r="E1223" s="29"/>
      <c r="F1223" s="29"/>
      <c r="I1223" s="176">
        <v>44116</v>
      </c>
      <c r="J1223" s="177" t="s">
        <v>910</v>
      </c>
    </row>
    <row r="1224" spans="2:10">
      <c r="B1224" s="169"/>
      <c r="C1224" s="29"/>
      <c r="D1224" s="29"/>
      <c r="E1224" s="29"/>
      <c r="F1224" s="29"/>
      <c r="I1224" s="176">
        <v>44117</v>
      </c>
      <c r="J1224" s="177" t="s">
        <v>913</v>
      </c>
    </row>
    <row r="1225" spans="2:10">
      <c r="B1225" s="169"/>
      <c r="C1225" s="29"/>
      <c r="D1225" s="29"/>
      <c r="E1225" s="29"/>
      <c r="F1225" s="29"/>
      <c r="I1225" s="176">
        <v>44118</v>
      </c>
      <c r="J1225" s="177" t="s">
        <v>1817</v>
      </c>
    </row>
    <row r="1226" spans="2:10">
      <c r="B1226" s="169"/>
      <c r="C1226" s="29"/>
      <c r="D1226" s="29"/>
      <c r="E1226" s="29"/>
      <c r="F1226" s="29"/>
      <c r="I1226" s="176">
        <v>44118</v>
      </c>
      <c r="J1226" s="177" t="s">
        <v>1818</v>
      </c>
    </row>
    <row r="1227" spans="2:10">
      <c r="B1227" s="169"/>
      <c r="C1227" s="29"/>
      <c r="D1227" s="29"/>
      <c r="E1227" s="29"/>
      <c r="F1227" s="29"/>
      <c r="I1227" s="176">
        <v>44118</v>
      </c>
      <c r="J1227" s="177" t="s">
        <v>1819</v>
      </c>
    </row>
    <row r="1228" spans="2:10">
      <c r="B1228" s="169"/>
      <c r="C1228" s="29"/>
      <c r="D1228" s="29"/>
      <c r="E1228" s="29"/>
      <c r="F1228" s="29"/>
      <c r="I1228" s="176">
        <v>44118</v>
      </c>
      <c r="J1228" s="177" t="s">
        <v>1820</v>
      </c>
    </row>
    <row r="1229" spans="2:10">
      <c r="B1229" s="169"/>
      <c r="C1229" s="29"/>
      <c r="D1229" s="29"/>
      <c r="E1229" s="29"/>
      <c r="F1229" s="29"/>
      <c r="I1229" s="176">
        <v>44118</v>
      </c>
      <c r="J1229" s="177" t="s">
        <v>916</v>
      </c>
    </row>
    <row r="1230" spans="2:10">
      <c r="B1230" s="169"/>
      <c r="C1230" s="29"/>
      <c r="D1230" s="29"/>
      <c r="E1230" s="29"/>
      <c r="F1230" s="29"/>
      <c r="I1230" s="176">
        <v>44119</v>
      </c>
      <c r="J1230" s="177" t="s">
        <v>1821</v>
      </c>
    </row>
    <row r="1231" spans="2:10">
      <c r="B1231" s="169"/>
      <c r="C1231" s="29"/>
      <c r="D1231" s="29"/>
      <c r="E1231" s="29"/>
      <c r="F1231" s="29"/>
      <c r="I1231" s="176">
        <v>44119</v>
      </c>
      <c r="J1231" s="177" t="s">
        <v>1822</v>
      </c>
    </row>
    <row r="1232" spans="2:10">
      <c r="B1232" s="169"/>
      <c r="C1232" s="29"/>
      <c r="D1232" s="29"/>
      <c r="E1232" s="29"/>
      <c r="F1232" s="29"/>
      <c r="I1232" s="176">
        <v>44119</v>
      </c>
      <c r="J1232" s="177" t="s">
        <v>920</v>
      </c>
    </row>
    <row r="1233" spans="2:10">
      <c r="B1233" s="169"/>
      <c r="C1233" s="29"/>
      <c r="D1233" s="29"/>
      <c r="E1233" s="29"/>
      <c r="F1233" s="29"/>
      <c r="I1233" s="176">
        <v>44119</v>
      </c>
      <c r="J1233" s="177" t="s">
        <v>1823</v>
      </c>
    </row>
    <row r="1234" spans="2:10">
      <c r="B1234" s="169"/>
      <c r="C1234" s="29"/>
      <c r="D1234" s="29"/>
      <c r="E1234" s="29"/>
      <c r="F1234" s="29"/>
      <c r="I1234" s="176">
        <v>44119</v>
      </c>
      <c r="J1234" s="177" t="s">
        <v>193</v>
      </c>
    </row>
    <row r="1235" spans="2:10">
      <c r="B1235" s="169"/>
      <c r="C1235" s="29"/>
      <c r="D1235" s="29"/>
      <c r="E1235" s="29"/>
      <c r="F1235" s="29"/>
      <c r="I1235" s="176">
        <v>44120</v>
      </c>
      <c r="J1235" s="177" t="s">
        <v>922</v>
      </c>
    </row>
    <row r="1236" spans="2:10">
      <c r="B1236" s="169"/>
      <c r="C1236" s="29"/>
      <c r="D1236" s="29"/>
      <c r="E1236" s="29"/>
      <c r="F1236" s="29"/>
      <c r="I1236" s="176">
        <v>44120</v>
      </c>
      <c r="J1236" s="177" t="s">
        <v>1824</v>
      </c>
    </row>
    <row r="1237" spans="2:10">
      <c r="B1237" s="169"/>
      <c r="C1237" s="29"/>
      <c r="D1237" s="29"/>
      <c r="E1237" s="29"/>
      <c r="F1237" s="29"/>
      <c r="I1237" s="176">
        <v>44120</v>
      </c>
      <c r="J1237" s="177" t="s">
        <v>1825</v>
      </c>
    </row>
    <row r="1238" spans="2:10">
      <c r="B1238" s="169"/>
      <c r="C1238" s="29"/>
      <c r="D1238" s="29"/>
      <c r="E1238" s="29"/>
      <c r="F1238" s="29"/>
      <c r="I1238" s="176">
        <v>44120</v>
      </c>
      <c r="J1238" s="177" t="s">
        <v>1826</v>
      </c>
    </row>
    <row r="1239" spans="2:10">
      <c r="B1239" s="169"/>
      <c r="C1239" s="29"/>
      <c r="D1239" s="29"/>
      <c r="E1239" s="29"/>
      <c r="F1239" s="29"/>
      <c r="I1239" s="176">
        <v>44121</v>
      </c>
      <c r="J1239" s="177" t="s">
        <v>925</v>
      </c>
    </row>
    <row r="1240" spans="2:10">
      <c r="B1240" s="169"/>
      <c r="C1240" s="29"/>
      <c r="D1240" s="29"/>
      <c r="E1240" s="29"/>
      <c r="F1240" s="29"/>
      <c r="I1240" s="176">
        <v>44121</v>
      </c>
      <c r="J1240" s="177" t="s">
        <v>1827</v>
      </c>
    </row>
    <row r="1241" spans="2:10">
      <c r="B1241" s="169"/>
      <c r="C1241" s="29"/>
      <c r="D1241" s="29"/>
      <c r="E1241" s="29"/>
      <c r="F1241" s="29"/>
      <c r="I1241" s="176">
        <v>44121</v>
      </c>
      <c r="J1241" s="177" t="s">
        <v>1828</v>
      </c>
    </row>
    <row r="1242" spans="2:10">
      <c r="B1242" s="169"/>
      <c r="C1242" s="29"/>
      <c r="D1242" s="29"/>
      <c r="E1242" s="29"/>
      <c r="F1242" s="29"/>
      <c r="I1242" s="176">
        <v>44121</v>
      </c>
      <c r="J1242" s="177" t="s">
        <v>1829</v>
      </c>
    </row>
    <row r="1243" spans="2:10">
      <c r="B1243" s="169"/>
      <c r="C1243" s="29"/>
      <c r="D1243" s="29"/>
      <c r="E1243" s="29"/>
      <c r="F1243" s="29"/>
      <c r="I1243" s="176">
        <v>44122</v>
      </c>
      <c r="J1243" s="177" t="s">
        <v>1830</v>
      </c>
    </row>
    <row r="1244" spans="2:10">
      <c r="B1244" s="169"/>
      <c r="C1244" s="29"/>
      <c r="D1244" s="29"/>
      <c r="E1244" s="29"/>
      <c r="F1244" s="29"/>
      <c r="I1244" s="176">
        <v>44122</v>
      </c>
      <c r="J1244" s="177" t="s">
        <v>1831</v>
      </c>
    </row>
    <row r="1245" spans="2:10">
      <c r="B1245" s="169"/>
      <c r="C1245" s="29"/>
      <c r="D1245" s="29"/>
      <c r="E1245" s="29"/>
      <c r="F1245" s="29"/>
      <c r="I1245" s="176">
        <v>44122</v>
      </c>
      <c r="J1245" s="177" t="s">
        <v>1832</v>
      </c>
    </row>
    <row r="1246" spans="2:10">
      <c r="B1246" s="169"/>
      <c r="C1246" s="29"/>
      <c r="D1246" s="29"/>
      <c r="E1246" s="29"/>
      <c r="F1246" s="29"/>
      <c r="I1246" s="176">
        <v>44122</v>
      </c>
      <c r="J1246" s="177" t="s">
        <v>1833</v>
      </c>
    </row>
    <row r="1247" spans="2:10">
      <c r="B1247" s="169"/>
      <c r="C1247" s="29"/>
      <c r="D1247" s="29"/>
      <c r="E1247" s="29"/>
      <c r="F1247" s="29"/>
      <c r="I1247" s="176">
        <v>44122</v>
      </c>
      <c r="J1247" s="177" t="s">
        <v>1834</v>
      </c>
    </row>
    <row r="1248" spans="2:10">
      <c r="B1248" s="169"/>
      <c r="C1248" s="29"/>
      <c r="D1248" s="29"/>
      <c r="E1248" s="29"/>
      <c r="F1248" s="29"/>
      <c r="I1248" s="176">
        <v>44122</v>
      </c>
      <c r="J1248" s="177" t="s">
        <v>928</v>
      </c>
    </row>
    <row r="1249" spans="2:10">
      <c r="B1249" s="169"/>
      <c r="C1249" s="29"/>
      <c r="D1249" s="29"/>
      <c r="E1249" s="29"/>
      <c r="F1249" s="29"/>
      <c r="I1249" s="176">
        <v>44122</v>
      </c>
      <c r="J1249" s="177" t="s">
        <v>1835</v>
      </c>
    </row>
    <row r="1250" spans="2:10">
      <c r="B1250" s="169"/>
      <c r="C1250" s="29"/>
      <c r="D1250" s="29"/>
      <c r="E1250" s="29"/>
      <c r="F1250" s="29"/>
      <c r="I1250" s="176">
        <v>44122</v>
      </c>
      <c r="J1250" s="177" t="s">
        <v>1836</v>
      </c>
    </row>
    <row r="1251" spans="2:10">
      <c r="B1251" s="169"/>
      <c r="C1251" s="29"/>
      <c r="D1251" s="29"/>
      <c r="E1251" s="29"/>
      <c r="F1251" s="29"/>
      <c r="I1251" s="176">
        <v>44122</v>
      </c>
      <c r="J1251" s="177" t="s">
        <v>1837</v>
      </c>
    </row>
    <row r="1252" spans="2:10">
      <c r="B1252" s="169"/>
      <c r="C1252" s="29"/>
      <c r="D1252" s="29"/>
      <c r="E1252" s="29"/>
      <c r="F1252" s="29"/>
      <c r="I1252" s="176">
        <v>44122</v>
      </c>
      <c r="J1252" s="177" t="s">
        <v>1838</v>
      </c>
    </row>
    <row r="1253" spans="2:10">
      <c r="B1253" s="169"/>
      <c r="C1253" s="29"/>
      <c r="D1253" s="29"/>
      <c r="E1253" s="29"/>
      <c r="F1253" s="29"/>
      <c r="I1253" s="176">
        <v>44123</v>
      </c>
      <c r="J1253" s="177" t="s">
        <v>931</v>
      </c>
    </row>
    <row r="1254" spans="2:10">
      <c r="B1254" s="169"/>
      <c r="C1254" s="29"/>
      <c r="D1254" s="29"/>
      <c r="E1254" s="29"/>
      <c r="F1254" s="29"/>
      <c r="I1254" s="176">
        <v>44123</v>
      </c>
      <c r="J1254" s="177" t="s">
        <v>1839</v>
      </c>
    </row>
    <row r="1255" spans="2:10">
      <c r="B1255" s="169"/>
      <c r="C1255" s="29"/>
      <c r="D1255" s="29"/>
      <c r="E1255" s="29"/>
      <c r="F1255" s="29"/>
      <c r="I1255" s="176">
        <v>44124</v>
      </c>
      <c r="J1255" s="177" t="s">
        <v>933</v>
      </c>
    </row>
    <row r="1256" spans="2:10">
      <c r="B1256" s="169"/>
      <c r="C1256" s="29"/>
      <c r="D1256" s="29"/>
      <c r="E1256" s="29"/>
      <c r="F1256" s="29"/>
      <c r="I1256" s="176">
        <v>44124</v>
      </c>
      <c r="J1256" s="177" t="s">
        <v>1840</v>
      </c>
    </row>
    <row r="1257" spans="2:10">
      <c r="B1257" s="169"/>
      <c r="C1257" s="29"/>
      <c r="D1257" s="29"/>
      <c r="E1257" s="29"/>
      <c r="F1257" s="29"/>
      <c r="I1257" s="176">
        <v>44124</v>
      </c>
      <c r="J1257" s="177" t="s">
        <v>1841</v>
      </c>
    </row>
    <row r="1258" spans="2:10">
      <c r="B1258" s="169"/>
      <c r="C1258" s="29"/>
      <c r="D1258" s="29"/>
      <c r="E1258" s="29"/>
      <c r="F1258" s="29"/>
      <c r="I1258" s="176">
        <v>44125</v>
      </c>
      <c r="J1258" s="177" t="s">
        <v>935</v>
      </c>
    </row>
    <row r="1259" spans="2:10">
      <c r="B1259" s="169"/>
      <c r="C1259" s="29"/>
      <c r="D1259" s="29"/>
      <c r="E1259" s="29"/>
      <c r="F1259" s="29"/>
      <c r="I1259" s="176">
        <v>44125</v>
      </c>
      <c r="J1259" s="177" t="s">
        <v>1842</v>
      </c>
    </row>
    <row r="1260" spans="2:10">
      <c r="B1260" s="169"/>
      <c r="C1260" s="29"/>
      <c r="D1260" s="29"/>
      <c r="E1260" s="29"/>
      <c r="F1260" s="29"/>
      <c r="I1260" s="176">
        <v>44125</v>
      </c>
      <c r="J1260" s="177" t="s">
        <v>1843</v>
      </c>
    </row>
    <row r="1261" spans="2:10">
      <c r="B1261" s="169"/>
      <c r="C1261" s="29"/>
      <c r="D1261" s="29"/>
      <c r="E1261" s="29"/>
      <c r="F1261" s="29"/>
      <c r="I1261" s="176">
        <v>44126</v>
      </c>
      <c r="J1261" s="177" t="s">
        <v>1844</v>
      </c>
    </row>
    <row r="1262" spans="2:10">
      <c r="B1262" s="169"/>
      <c r="C1262" s="29"/>
      <c r="D1262" s="29"/>
      <c r="E1262" s="29"/>
      <c r="F1262" s="29"/>
      <c r="I1262" s="176">
        <v>44126</v>
      </c>
      <c r="J1262" s="177" t="s">
        <v>1845</v>
      </c>
    </row>
    <row r="1263" spans="2:10">
      <c r="B1263" s="169"/>
      <c r="C1263" s="29"/>
      <c r="D1263" s="29"/>
      <c r="E1263" s="29"/>
      <c r="F1263" s="29"/>
      <c r="I1263" s="176">
        <v>44127</v>
      </c>
      <c r="J1263" s="177" t="s">
        <v>942</v>
      </c>
    </row>
    <row r="1264" spans="2:10">
      <c r="B1264" s="169"/>
      <c r="C1264" s="29"/>
      <c r="D1264" s="29"/>
      <c r="E1264" s="29"/>
      <c r="F1264" s="29"/>
      <c r="I1264" s="176">
        <v>44128</v>
      </c>
      <c r="J1264" s="177" t="s">
        <v>749</v>
      </c>
    </row>
    <row r="1265" spans="2:10">
      <c r="B1265" s="169"/>
      <c r="C1265" s="29"/>
      <c r="D1265" s="29"/>
      <c r="E1265" s="29"/>
      <c r="F1265" s="29"/>
      <c r="I1265" s="176">
        <v>44128</v>
      </c>
      <c r="J1265" s="177" t="s">
        <v>945</v>
      </c>
    </row>
    <row r="1266" spans="2:10">
      <c r="B1266" s="169"/>
      <c r="C1266" s="29"/>
      <c r="D1266" s="29"/>
      <c r="E1266" s="29"/>
      <c r="F1266" s="29"/>
      <c r="I1266" s="176">
        <v>44128</v>
      </c>
      <c r="J1266" s="177" t="s">
        <v>1846</v>
      </c>
    </row>
    <row r="1267" spans="2:10">
      <c r="B1267" s="169"/>
      <c r="C1267" s="29"/>
      <c r="D1267" s="29"/>
      <c r="E1267" s="29"/>
      <c r="F1267" s="29"/>
      <c r="I1267" s="176">
        <v>44129</v>
      </c>
      <c r="J1267" s="177" t="s">
        <v>948</v>
      </c>
    </row>
    <row r="1268" spans="2:10">
      <c r="B1268" s="169"/>
      <c r="C1268" s="29"/>
      <c r="D1268" s="29"/>
      <c r="E1268" s="29"/>
      <c r="F1268" s="29"/>
      <c r="I1268" s="176">
        <v>44129</v>
      </c>
      <c r="J1268" s="177" t="s">
        <v>1847</v>
      </c>
    </row>
    <row r="1269" spans="2:10">
      <c r="B1269" s="169"/>
      <c r="C1269" s="29"/>
      <c r="D1269" s="29"/>
      <c r="E1269" s="29"/>
      <c r="F1269" s="29"/>
      <c r="I1269" s="176">
        <v>44129</v>
      </c>
      <c r="J1269" s="177" t="s">
        <v>1848</v>
      </c>
    </row>
    <row r="1270" spans="2:10">
      <c r="B1270" s="169"/>
      <c r="C1270" s="29"/>
      <c r="D1270" s="29"/>
      <c r="E1270" s="29"/>
      <c r="F1270" s="29"/>
      <c r="I1270" s="176">
        <v>44129</v>
      </c>
      <c r="J1270" s="177" t="s">
        <v>1849</v>
      </c>
    </row>
    <row r="1271" spans="2:10">
      <c r="B1271" s="169"/>
      <c r="C1271" s="29"/>
      <c r="D1271" s="29"/>
      <c r="E1271" s="29"/>
      <c r="F1271" s="29"/>
      <c r="I1271" s="176">
        <v>44130</v>
      </c>
      <c r="J1271" s="177" t="s">
        <v>951</v>
      </c>
    </row>
    <row r="1272" spans="2:10">
      <c r="B1272" s="169"/>
      <c r="C1272" s="29"/>
      <c r="D1272" s="29"/>
      <c r="E1272" s="29"/>
      <c r="F1272" s="29"/>
      <c r="I1272" s="176">
        <v>44130</v>
      </c>
      <c r="J1272" s="177" t="s">
        <v>1850</v>
      </c>
    </row>
    <row r="1273" spans="2:10">
      <c r="B1273" s="169"/>
      <c r="C1273" s="29"/>
      <c r="D1273" s="29"/>
      <c r="E1273" s="29"/>
      <c r="F1273" s="29"/>
      <c r="I1273" s="176">
        <v>44131</v>
      </c>
      <c r="J1273" s="177" t="s">
        <v>954</v>
      </c>
    </row>
    <row r="1274" spans="2:10">
      <c r="B1274" s="169"/>
      <c r="C1274" s="29"/>
      <c r="D1274" s="29"/>
      <c r="E1274" s="29"/>
      <c r="F1274" s="29"/>
      <c r="I1274" s="176">
        <v>44131</v>
      </c>
      <c r="J1274" s="177" t="s">
        <v>1851</v>
      </c>
    </row>
    <row r="1275" spans="2:10">
      <c r="B1275" s="169"/>
      <c r="C1275" s="29"/>
      <c r="D1275" s="29"/>
      <c r="E1275" s="29"/>
      <c r="F1275" s="29"/>
      <c r="I1275" s="176">
        <v>44132</v>
      </c>
      <c r="J1275" s="177" t="s">
        <v>1852</v>
      </c>
    </row>
    <row r="1276" spans="2:10">
      <c r="B1276" s="169"/>
      <c r="C1276" s="29"/>
      <c r="D1276" s="29"/>
      <c r="E1276" s="29"/>
      <c r="F1276" s="29"/>
      <c r="I1276" s="176">
        <v>44132</v>
      </c>
      <c r="J1276" s="177" t="s">
        <v>1853</v>
      </c>
    </row>
    <row r="1277" spans="2:10">
      <c r="B1277" s="169"/>
      <c r="C1277" s="29"/>
      <c r="D1277" s="29"/>
      <c r="E1277" s="29"/>
      <c r="F1277" s="29"/>
      <c r="I1277" s="176">
        <v>44132</v>
      </c>
      <c r="J1277" s="177" t="s">
        <v>957</v>
      </c>
    </row>
    <row r="1278" spans="2:10">
      <c r="B1278" s="169"/>
      <c r="C1278" s="29"/>
      <c r="D1278" s="29"/>
      <c r="E1278" s="29"/>
      <c r="F1278" s="29"/>
      <c r="I1278" s="176">
        <v>44132</v>
      </c>
      <c r="J1278" s="177" t="s">
        <v>1854</v>
      </c>
    </row>
    <row r="1279" spans="2:10">
      <c r="B1279" s="169"/>
      <c r="C1279" s="29"/>
      <c r="D1279" s="29"/>
      <c r="E1279" s="29"/>
      <c r="F1279" s="29"/>
      <c r="I1279" s="176">
        <v>44133</v>
      </c>
      <c r="J1279" s="177" t="s">
        <v>960</v>
      </c>
    </row>
    <row r="1280" spans="2:10">
      <c r="B1280" s="169"/>
      <c r="C1280" s="29"/>
      <c r="D1280" s="29"/>
      <c r="E1280" s="29"/>
      <c r="F1280" s="29"/>
      <c r="I1280" s="176">
        <v>44134</v>
      </c>
      <c r="J1280" s="177" t="s">
        <v>963</v>
      </c>
    </row>
    <row r="1281" spans="2:10">
      <c r="B1281" s="169"/>
      <c r="C1281" s="29"/>
      <c r="D1281" s="29"/>
      <c r="E1281" s="29"/>
      <c r="F1281" s="29"/>
      <c r="I1281" s="176">
        <v>44134</v>
      </c>
      <c r="J1281" s="177" t="s">
        <v>1855</v>
      </c>
    </row>
    <row r="1282" spans="2:10">
      <c r="B1282" s="169"/>
      <c r="C1282" s="29"/>
      <c r="D1282" s="29"/>
      <c r="E1282" s="29"/>
      <c r="F1282" s="29"/>
      <c r="I1282" s="176">
        <v>44135</v>
      </c>
      <c r="J1282" s="177" t="s">
        <v>966</v>
      </c>
    </row>
    <row r="1283" spans="2:10">
      <c r="B1283" s="169"/>
      <c r="C1283" s="29"/>
      <c r="D1283" s="29"/>
      <c r="E1283" s="29"/>
      <c r="F1283" s="29"/>
      <c r="I1283" s="176">
        <v>44135</v>
      </c>
      <c r="J1283" s="177" t="s">
        <v>1856</v>
      </c>
    </row>
    <row r="1284" spans="2:10">
      <c r="B1284" s="169"/>
      <c r="C1284" s="29"/>
      <c r="D1284" s="29"/>
      <c r="E1284" s="29"/>
      <c r="F1284" s="29"/>
      <c r="I1284" s="176">
        <v>44136</v>
      </c>
      <c r="J1284" s="177" t="s">
        <v>1857</v>
      </c>
    </row>
    <row r="1285" spans="2:10">
      <c r="B1285" s="169"/>
      <c r="C1285" s="29"/>
      <c r="D1285" s="29"/>
      <c r="E1285" s="29"/>
      <c r="F1285" s="29"/>
      <c r="I1285" s="176">
        <v>44136</v>
      </c>
      <c r="J1285" s="177" t="s">
        <v>1858</v>
      </c>
    </row>
    <row r="1286" spans="2:10">
      <c r="B1286" s="169"/>
      <c r="C1286" s="29"/>
      <c r="D1286" s="29"/>
      <c r="E1286" s="29"/>
      <c r="F1286" s="29"/>
      <c r="I1286" s="176">
        <v>44136</v>
      </c>
      <c r="J1286" s="177" t="s">
        <v>1859</v>
      </c>
    </row>
    <row r="1287" spans="2:10">
      <c r="B1287" s="169"/>
      <c r="C1287" s="29"/>
      <c r="D1287" s="29"/>
      <c r="E1287" s="29"/>
      <c r="F1287" s="29"/>
      <c r="I1287" s="176">
        <v>44136</v>
      </c>
      <c r="J1287" s="177" t="s">
        <v>969</v>
      </c>
    </row>
    <row r="1288" spans="2:10">
      <c r="B1288" s="169"/>
      <c r="C1288" s="29"/>
      <c r="D1288" s="29"/>
      <c r="E1288" s="29"/>
      <c r="F1288" s="29"/>
      <c r="I1288" s="176">
        <v>44136</v>
      </c>
      <c r="J1288" s="177" t="s">
        <v>71</v>
      </c>
    </row>
    <row r="1289" spans="2:10">
      <c r="B1289" s="169"/>
      <c r="C1289" s="29"/>
      <c r="D1289" s="29"/>
      <c r="E1289" s="29"/>
      <c r="F1289" s="29"/>
      <c r="I1289" s="176">
        <v>44136</v>
      </c>
      <c r="J1289" s="177" t="s">
        <v>1860</v>
      </c>
    </row>
    <row r="1290" spans="2:10">
      <c r="B1290" s="169"/>
      <c r="C1290" s="29"/>
      <c r="D1290" s="29"/>
      <c r="E1290" s="29"/>
      <c r="F1290" s="29"/>
      <c r="I1290" s="176">
        <v>44137</v>
      </c>
      <c r="J1290" s="177" t="s">
        <v>971</v>
      </c>
    </row>
    <row r="1291" spans="2:10">
      <c r="B1291" s="169"/>
      <c r="C1291" s="29"/>
      <c r="D1291" s="29"/>
      <c r="E1291" s="29"/>
      <c r="F1291" s="29"/>
      <c r="I1291" s="176">
        <v>44138</v>
      </c>
      <c r="J1291" s="177" t="s">
        <v>1861</v>
      </c>
    </row>
    <row r="1292" spans="2:10">
      <c r="B1292" s="169"/>
      <c r="C1292" s="29"/>
      <c r="D1292" s="29"/>
      <c r="E1292" s="29"/>
      <c r="F1292" s="29"/>
      <c r="I1292" s="176">
        <v>44138</v>
      </c>
      <c r="J1292" s="177" t="s">
        <v>1862</v>
      </c>
    </row>
    <row r="1293" spans="2:10">
      <c r="B1293" s="169"/>
      <c r="C1293" s="29"/>
      <c r="D1293" s="29"/>
      <c r="E1293" s="29"/>
      <c r="F1293" s="29"/>
      <c r="I1293" s="176">
        <v>44138</v>
      </c>
      <c r="J1293" s="177" t="s">
        <v>1863</v>
      </c>
    </row>
    <row r="1294" spans="2:10">
      <c r="B1294" s="169"/>
      <c r="C1294" s="29"/>
      <c r="D1294" s="29"/>
      <c r="E1294" s="29"/>
      <c r="F1294" s="29"/>
      <c r="I1294" s="176">
        <v>44138</v>
      </c>
      <c r="J1294" s="177" t="s">
        <v>974</v>
      </c>
    </row>
    <row r="1295" spans="2:10">
      <c r="B1295" s="169"/>
      <c r="C1295" s="29"/>
      <c r="D1295" s="29"/>
      <c r="E1295" s="29"/>
      <c r="F1295" s="29"/>
      <c r="I1295" s="176">
        <v>44138</v>
      </c>
      <c r="J1295" s="177" t="s">
        <v>1864</v>
      </c>
    </row>
    <row r="1296" spans="2:10">
      <c r="B1296" s="169"/>
      <c r="C1296" s="29"/>
      <c r="D1296" s="29"/>
      <c r="E1296" s="29"/>
      <c r="F1296" s="29"/>
      <c r="I1296" s="176">
        <v>44138</v>
      </c>
      <c r="J1296" s="177" t="s">
        <v>1865</v>
      </c>
    </row>
    <row r="1297" spans="2:10">
      <c r="B1297" s="169"/>
      <c r="C1297" s="29"/>
      <c r="D1297" s="29"/>
      <c r="E1297" s="29"/>
      <c r="F1297" s="29"/>
      <c r="I1297" s="176">
        <v>44138</v>
      </c>
      <c r="J1297" s="177" t="s">
        <v>977</v>
      </c>
    </row>
    <row r="1298" spans="2:10">
      <c r="B1298" s="169"/>
      <c r="C1298" s="29"/>
      <c r="D1298" s="29"/>
      <c r="E1298" s="29"/>
      <c r="F1298" s="29"/>
      <c r="I1298" s="176">
        <v>44138</v>
      </c>
      <c r="J1298" s="177" t="s">
        <v>1866</v>
      </c>
    </row>
    <row r="1299" spans="2:10">
      <c r="B1299" s="169"/>
      <c r="C1299" s="29"/>
      <c r="D1299" s="29"/>
      <c r="E1299" s="29"/>
      <c r="F1299" s="29"/>
      <c r="I1299" s="176">
        <v>44139</v>
      </c>
      <c r="J1299" s="177" t="s">
        <v>1867</v>
      </c>
    </row>
    <row r="1300" spans="2:10">
      <c r="B1300" s="169"/>
      <c r="C1300" s="29"/>
      <c r="D1300" s="29"/>
      <c r="E1300" s="29"/>
      <c r="F1300" s="29"/>
      <c r="I1300" s="176">
        <v>44139</v>
      </c>
      <c r="J1300" s="177" t="s">
        <v>1868</v>
      </c>
    </row>
    <row r="1301" spans="2:10">
      <c r="B1301" s="169"/>
      <c r="C1301" s="29"/>
      <c r="D1301" s="29"/>
      <c r="E1301" s="29"/>
      <c r="F1301" s="29"/>
      <c r="I1301" s="176">
        <v>44139</v>
      </c>
      <c r="J1301" s="177" t="s">
        <v>1869</v>
      </c>
    </row>
    <row r="1302" spans="2:10">
      <c r="B1302" s="169"/>
      <c r="C1302" s="29"/>
      <c r="D1302" s="29"/>
      <c r="E1302" s="29"/>
      <c r="F1302" s="29"/>
      <c r="I1302" s="176">
        <v>44139</v>
      </c>
      <c r="J1302" s="177" t="s">
        <v>979</v>
      </c>
    </row>
    <row r="1303" spans="2:10">
      <c r="B1303" s="169"/>
      <c r="C1303" s="29"/>
      <c r="D1303" s="29"/>
      <c r="E1303" s="29"/>
      <c r="F1303" s="29"/>
      <c r="I1303" s="176">
        <v>44139</v>
      </c>
      <c r="J1303" s="177" t="s">
        <v>1870</v>
      </c>
    </row>
    <row r="1304" spans="2:10">
      <c r="B1304" s="169"/>
      <c r="C1304" s="29"/>
      <c r="D1304" s="29"/>
      <c r="E1304" s="29"/>
      <c r="F1304" s="29"/>
      <c r="I1304" s="176">
        <v>44139</v>
      </c>
      <c r="J1304" s="177" t="s">
        <v>1871</v>
      </c>
    </row>
    <row r="1305" spans="2:10">
      <c r="B1305" s="169"/>
      <c r="C1305" s="29"/>
      <c r="D1305" s="29"/>
      <c r="E1305" s="29"/>
      <c r="F1305" s="29"/>
      <c r="I1305" s="176">
        <v>44139</v>
      </c>
      <c r="J1305" s="177" t="s">
        <v>1872</v>
      </c>
    </row>
    <row r="1306" spans="2:10">
      <c r="B1306" s="169"/>
      <c r="C1306" s="29"/>
      <c r="D1306" s="29"/>
      <c r="E1306" s="29"/>
      <c r="F1306" s="29"/>
      <c r="I1306" s="176">
        <v>44139</v>
      </c>
      <c r="J1306" s="177" t="s">
        <v>1873</v>
      </c>
    </row>
    <row r="1307" spans="2:10">
      <c r="B1307" s="169"/>
      <c r="C1307" s="29"/>
      <c r="D1307" s="29"/>
      <c r="E1307" s="29"/>
      <c r="F1307" s="29"/>
      <c r="I1307" s="176">
        <v>44139</v>
      </c>
      <c r="J1307" s="177" t="s">
        <v>1874</v>
      </c>
    </row>
    <row r="1308" spans="2:10">
      <c r="B1308" s="169"/>
      <c r="C1308" s="29"/>
      <c r="D1308" s="29"/>
      <c r="E1308" s="29"/>
      <c r="F1308" s="29"/>
      <c r="I1308" s="176">
        <v>44139</v>
      </c>
      <c r="J1308" s="177" t="s">
        <v>1875</v>
      </c>
    </row>
    <row r="1309" spans="2:10">
      <c r="B1309" s="169"/>
      <c r="C1309" s="29"/>
      <c r="D1309" s="29"/>
      <c r="E1309" s="29"/>
      <c r="F1309" s="29"/>
      <c r="I1309" s="176">
        <v>44139</v>
      </c>
      <c r="J1309" s="177" t="s">
        <v>1876</v>
      </c>
    </row>
    <row r="1310" spans="2:10">
      <c r="B1310" s="169"/>
      <c r="C1310" s="29"/>
      <c r="D1310" s="29"/>
      <c r="E1310" s="29"/>
      <c r="F1310" s="29"/>
      <c r="I1310" s="176">
        <v>44139</v>
      </c>
      <c r="J1310" s="177" t="s">
        <v>1877</v>
      </c>
    </row>
    <row r="1311" spans="2:10">
      <c r="B1311" s="169"/>
      <c r="C1311" s="29"/>
      <c r="D1311" s="29"/>
      <c r="E1311" s="29"/>
      <c r="F1311" s="29"/>
      <c r="I1311" s="176">
        <v>44139</v>
      </c>
      <c r="J1311" s="177" t="s">
        <v>1878</v>
      </c>
    </row>
    <row r="1312" spans="2:10">
      <c r="B1312" s="169"/>
      <c r="C1312" s="29"/>
      <c r="D1312" s="29"/>
      <c r="E1312" s="29"/>
      <c r="F1312" s="29"/>
      <c r="I1312" s="176">
        <v>44139</v>
      </c>
      <c r="J1312" s="177" t="s">
        <v>1879</v>
      </c>
    </row>
    <row r="1313" spans="2:10">
      <c r="B1313" s="169"/>
      <c r="C1313" s="29"/>
      <c r="D1313" s="29"/>
      <c r="E1313" s="29"/>
      <c r="F1313" s="29"/>
      <c r="I1313" s="176">
        <v>44139</v>
      </c>
      <c r="J1313" s="177" t="s">
        <v>1880</v>
      </c>
    </row>
    <row r="1314" spans="2:10">
      <c r="B1314" s="169"/>
      <c r="C1314" s="29"/>
      <c r="D1314" s="29"/>
      <c r="E1314" s="29"/>
      <c r="F1314" s="29"/>
      <c r="I1314" s="176">
        <v>44139</v>
      </c>
      <c r="J1314" s="177" t="s">
        <v>1881</v>
      </c>
    </row>
    <row r="1315" spans="2:10">
      <c r="B1315" s="169"/>
      <c r="C1315" s="29"/>
      <c r="D1315" s="29"/>
      <c r="E1315" s="29"/>
      <c r="F1315" s="29"/>
      <c r="I1315" s="176">
        <v>44139</v>
      </c>
      <c r="J1315" s="177" t="s">
        <v>1882</v>
      </c>
    </row>
    <row r="1316" spans="2:10">
      <c r="B1316" s="169"/>
      <c r="C1316" s="29"/>
      <c r="D1316" s="29"/>
      <c r="E1316" s="29"/>
      <c r="F1316" s="29"/>
      <c r="I1316" s="176">
        <v>44139</v>
      </c>
      <c r="J1316" s="177" t="s">
        <v>1883</v>
      </c>
    </row>
    <row r="1317" spans="2:10">
      <c r="B1317" s="169"/>
      <c r="C1317" s="29"/>
      <c r="D1317" s="29"/>
      <c r="E1317" s="29"/>
      <c r="F1317" s="29"/>
      <c r="I1317" s="176">
        <v>44139</v>
      </c>
      <c r="J1317" s="177" t="s">
        <v>1884</v>
      </c>
    </row>
    <row r="1318" spans="2:10">
      <c r="B1318" s="169"/>
      <c r="C1318" s="29"/>
      <c r="D1318" s="29"/>
      <c r="E1318" s="29"/>
      <c r="F1318" s="29"/>
      <c r="I1318" s="176">
        <v>44139</v>
      </c>
      <c r="J1318" s="177" t="s">
        <v>1885</v>
      </c>
    </row>
    <row r="1319" spans="2:10">
      <c r="B1319" s="169"/>
      <c r="C1319" s="29"/>
      <c r="D1319" s="29"/>
      <c r="E1319" s="29"/>
      <c r="F1319" s="29"/>
      <c r="I1319" s="176">
        <v>44139</v>
      </c>
      <c r="J1319" s="177" t="s">
        <v>1886</v>
      </c>
    </row>
    <row r="1320" spans="2:10">
      <c r="B1320" s="169"/>
      <c r="C1320" s="29"/>
      <c r="D1320" s="29"/>
      <c r="E1320" s="29"/>
      <c r="F1320" s="29"/>
      <c r="I1320" s="176">
        <v>44140</v>
      </c>
      <c r="J1320" s="177" t="s">
        <v>1887</v>
      </c>
    </row>
    <row r="1321" spans="2:10">
      <c r="B1321" s="169"/>
      <c r="C1321" s="29"/>
      <c r="D1321" s="29"/>
      <c r="E1321" s="29"/>
      <c r="F1321" s="29"/>
      <c r="I1321" s="176">
        <v>44140</v>
      </c>
      <c r="J1321" s="177" t="s">
        <v>1888</v>
      </c>
    </row>
    <row r="1322" spans="2:10">
      <c r="B1322" s="169"/>
      <c r="C1322" s="29"/>
      <c r="D1322" s="29"/>
      <c r="E1322" s="29"/>
      <c r="F1322" s="29"/>
      <c r="I1322" s="176">
        <v>44140</v>
      </c>
      <c r="J1322" s="177" t="s">
        <v>1889</v>
      </c>
    </row>
    <row r="1323" spans="2:10">
      <c r="B1323" s="169"/>
      <c r="C1323" s="29"/>
      <c r="D1323" s="29"/>
      <c r="E1323" s="29"/>
      <c r="F1323" s="29"/>
      <c r="I1323" s="176">
        <v>44140</v>
      </c>
      <c r="J1323" s="177" t="s">
        <v>1890</v>
      </c>
    </row>
    <row r="1324" spans="2:10">
      <c r="B1324" s="169"/>
      <c r="C1324" s="29"/>
      <c r="D1324" s="29"/>
      <c r="E1324" s="29"/>
      <c r="F1324" s="29"/>
      <c r="I1324" s="176">
        <v>44140</v>
      </c>
      <c r="J1324" s="177" t="s">
        <v>1891</v>
      </c>
    </row>
    <row r="1325" spans="2:10">
      <c r="B1325" s="169"/>
      <c r="C1325" s="29"/>
      <c r="D1325" s="29"/>
      <c r="E1325" s="29"/>
      <c r="F1325" s="29"/>
      <c r="I1325" s="176">
        <v>44140</v>
      </c>
      <c r="J1325" s="177" t="s">
        <v>1892</v>
      </c>
    </row>
    <row r="1326" spans="2:10">
      <c r="B1326" s="169"/>
      <c r="C1326" s="29"/>
      <c r="D1326" s="29"/>
      <c r="E1326" s="29"/>
      <c r="F1326" s="29"/>
      <c r="I1326" s="176">
        <v>44140</v>
      </c>
      <c r="J1326" s="177" t="s">
        <v>1893</v>
      </c>
    </row>
    <row r="1327" spans="2:10">
      <c r="B1327" s="169"/>
      <c r="C1327" s="29"/>
      <c r="D1327" s="29"/>
      <c r="E1327" s="29"/>
      <c r="F1327" s="29"/>
      <c r="I1327" s="176">
        <v>44140</v>
      </c>
      <c r="J1327" s="177" t="s">
        <v>1894</v>
      </c>
    </row>
    <row r="1328" spans="2:10">
      <c r="B1328" s="169"/>
      <c r="C1328" s="29"/>
      <c r="D1328" s="29"/>
      <c r="E1328" s="29"/>
      <c r="F1328" s="29"/>
      <c r="I1328" s="176">
        <v>44140</v>
      </c>
      <c r="J1328" s="177" t="s">
        <v>1895</v>
      </c>
    </row>
    <row r="1329" spans="2:10">
      <c r="B1329" s="169"/>
      <c r="C1329" s="29"/>
      <c r="D1329" s="29"/>
      <c r="E1329" s="29"/>
      <c r="F1329" s="29"/>
      <c r="I1329" s="176">
        <v>44140</v>
      </c>
      <c r="J1329" s="177" t="s">
        <v>982</v>
      </c>
    </row>
    <row r="1330" spans="2:10">
      <c r="B1330" s="169"/>
      <c r="C1330" s="29"/>
      <c r="D1330" s="29"/>
      <c r="E1330" s="29"/>
      <c r="F1330" s="29"/>
      <c r="I1330" s="176">
        <v>44140</v>
      </c>
      <c r="J1330" s="177" t="s">
        <v>1896</v>
      </c>
    </row>
    <row r="1331" spans="2:10">
      <c r="B1331" s="169"/>
      <c r="C1331" s="29"/>
      <c r="D1331" s="29"/>
      <c r="E1331" s="29"/>
      <c r="F1331" s="29"/>
      <c r="I1331" s="176">
        <v>44140</v>
      </c>
      <c r="J1331" s="177" t="s">
        <v>1897</v>
      </c>
    </row>
    <row r="1332" spans="2:10">
      <c r="B1332" s="169"/>
      <c r="C1332" s="29"/>
      <c r="D1332" s="29"/>
      <c r="E1332" s="29"/>
      <c r="F1332" s="29"/>
      <c r="I1332" s="176">
        <v>44140</v>
      </c>
      <c r="J1332" s="177" t="s">
        <v>1898</v>
      </c>
    </row>
    <row r="1333" spans="2:10">
      <c r="B1333" s="169"/>
      <c r="C1333" s="29"/>
      <c r="D1333" s="29"/>
      <c r="E1333" s="29"/>
      <c r="F1333" s="29"/>
      <c r="I1333" s="176">
        <v>44140</v>
      </c>
      <c r="J1333" s="177" t="s">
        <v>1899</v>
      </c>
    </row>
    <row r="1334" spans="2:10">
      <c r="B1334" s="169"/>
      <c r="C1334" s="29"/>
      <c r="D1334" s="29"/>
      <c r="E1334" s="29"/>
      <c r="F1334" s="29"/>
      <c r="I1334" s="176">
        <v>44141</v>
      </c>
      <c r="J1334" s="177" t="s">
        <v>1900</v>
      </c>
    </row>
    <row r="1335" spans="2:10">
      <c r="B1335" s="169"/>
      <c r="C1335" s="29"/>
      <c r="D1335" s="29"/>
      <c r="E1335" s="29"/>
      <c r="F1335" s="29"/>
      <c r="I1335" s="176">
        <v>44141</v>
      </c>
      <c r="J1335" s="177" t="s">
        <v>1901</v>
      </c>
    </row>
    <row r="1336" spans="2:10">
      <c r="B1336" s="169"/>
      <c r="C1336" s="29"/>
      <c r="D1336" s="29"/>
      <c r="E1336" s="29"/>
      <c r="F1336" s="29"/>
      <c r="I1336" s="176">
        <v>44141</v>
      </c>
      <c r="J1336" s="177" t="s">
        <v>985</v>
      </c>
    </row>
    <row r="1337" spans="2:10">
      <c r="B1337" s="169"/>
      <c r="C1337" s="29"/>
      <c r="D1337" s="29"/>
      <c r="E1337" s="29"/>
      <c r="F1337" s="29"/>
      <c r="I1337" s="176">
        <v>44141</v>
      </c>
      <c r="J1337" s="177" t="s">
        <v>1902</v>
      </c>
    </row>
    <row r="1338" spans="2:10">
      <c r="B1338" s="169"/>
      <c r="C1338" s="29"/>
      <c r="D1338" s="29"/>
      <c r="E1338" s="29"/>
      <c r="F1338" s="29"/>
      <c r="I1338" s="176">
        <v>44141</v>
      </c>
      <c r="J1338" s="177" t="s">
        <v>1903</v>
      </c>
    </row>
    <row r="1339" spans="2:10">
      <c r="B1339" s="169"/>
      <c r="C1339" s="29"/>
      <c r="D1339" s="29"/>
      <c r="E1339" s="29"/>
      <c r="F1339" s="29"/>
      <c r="I1339" s="176">
        <v>44141</v>
      </c>
      <c r="J1339" s="177" t="s">
        <v>1904</v>
      </c>
    </row>
    <row r="1340" spans="2:10">
      <c r="B1340" s="169"/>
      <c r="C1340" s="29"/>
      <c r="D1340" s="29"/>
      <c r="E1340" s="29"/>
      <c r="F1340" s="29"/>
      <c r="I1340" s="176">
        <v>44141</v>
      </c>
      <c r="J1340" s="177" t="s">
        <v>1905</v>
      </c>
    </row>
    <row r="1341" spans="2:10">
      <c r="B1341" s="169"/>
      <c r="C1341" s="29"/>
      <c r="D1341" s="29"/>
      <c r="E1341" s="29"/>
      <c r="F1341" s="29"/>
      <c r="I1341" s="176">
        <v>44142</v>
      </c>
      <c r="J1341" s="177" t="s">
        <v>1906</v>
      </c>
    </row>
    <row r="1342" spans="2:10">
      <c r="B1342" s="169"/>
      <c r="C1342" s="29"/>
      <c r="D1342" s="29"/>
      <c r="E1342" s="29"/>
      <c r="F1342" s="29"/>
      <c r="I1342" s="176">
        <v>44142</v>
      </c>
      <c r="J1342" s="177" t="s">
        <v>988</v>
      </c>
    </row>
    <row r="1343" spans="2:10">
      <c r="B1343" s="169"/>
      <c r="C1343" s="29"/>
      <c r="D1343" s="29"/>
      <c r="E1343" s="29"/>
      <c r="F1343" s="29"/>
      <c r="I1343" s="176">
        <v>44142</v>
      </c>
      <c r="J1343" s="177" t="s">
        <v>1907</v>
      </c>
    </row>
    <row r="1344" spans="2:10">
      <c r="B1344" s="169"/>
      <c r="C1344" s="29"/>
      <c r="D1344" s="29"/>
      <c r="E1344" s="29"/>
      <c r="F1344" s="29"/>
      <c r="I1344" s="176">
        <v>44142</v>
      </c>
      <c r="J1344" s="177" t="s">
        <v>1908</v>
      </c>
    </row>
    <row r="1345" spans="2:10">
      <c r="B1345" s="169"/>
      <c r="C1345" s="29"/>
      <c r="D1345" s="29"/>
      <c r="E1345" s="29"/>
      <c r="F1345" s="29"/>
      <c r="I1345" s="176">
        <v>44142</v>
      </c>
      <c r="J1345" s="177" t="s">
        <v>1909</v>
      </c>
    </row>
    <row r="1346" spans="2:10">
      <c r="B1346" s="169"/>
      <c r="C1346" s="29"/>
      <c r="D1346" s="29"/>
      <c r="E1346" s="29"/>
      <c r="F1346" s="29"/>
      <c r="I1346" s="176">
        <v>44142</v>
      </c>
      <c r="J1346" s="177" t="s">
        <v>1910</v>
      </c>
    </row>
    <row r="1347" spans="2:10">
      <c r="B1347" s="169"/>
      <c r="C1347" s="29"/>
      <c r="D1347" s="29"/>
      <c r="E1347" s="29"/>
      <c r="F1347" s="29"/>
      <c r="I1347" s="176">
        <v>44142</v>
      </c>
      <c r="J1347" s="177" t="s">
        <v>1911</v>
      </c>
    </row>
    <row r="1348" spans="2:10">
      <c r="B1348" s="169"/>
      <c r="C1348" s="29"/>
      <c r="D1348" s="29"/>
      <c r="E1348" s="29"/>
      <c r="F1348" s="29"/>
      <c r="I1348" s="176">
        <v>44142</v>
      </c>
      <c r="J1348" s="177" t="s">
        <v>1912</v>
      </c>
    </row>
    <row r="1349" spans="2:10">
      <c r="B1349" s="169"/>
      <c r="C1349" s="29"/>
      <c r="D1349" s="29"/>
      <c r="E1349" s="29"/>
      <c r="F1349" s="29"/>
      <c r="I1349" s="176">
        <v>44142</v>
      </c>
      <c r="J1349" s="177" t="s">
        <v>1913</v>
      </c>
    </row>
    <row r="1350" spans="2:10">
      <c r="B1350" s="169"/>
      <c r="C1350" s="29"/>
      <c r="D1350" s="29"/>
      <c r="E1350" s="29"/>
      <c r="F1350" s="29"/>
      <c r="I1350" s="176">
        <v>44142</v>
      </c>
      <c r="J1350" s="177" t="s">
        <v>1914</v>
      </c>
    </row>
    <row r="1351" spans="2:10">
      <c r="B1351" s="169"/>
      <c r="C1351" s="29"/>
      <c r="D1351" s="29"/>
      <c r="E1351" s="29"/>
      <c r="F1351" s="29"/>
      <c r="I1351" s="176">
        <v>44142</v>
      </c>
      <c r="J1351" s="177" t="s">
        <v>1915</v>
      </c>
    </row>
    <row r="1352" spans="2:10">
      <c r="B1352" s="169"/>
      <c r="C1352" s="29"/>
      <c r="D1352" s="29"/>
      <c r="E1352" s="29"/>
      <c r="F1352" s="29"/>
      <c r="I1352" s="176">
        <v>44143</v>
      </c>
      <c r="J1352" s="177" t="s">
        <v>1916</v>
      </c>
    </row>
    <row r="1353" spans="2:10">
      <c r="B1353" s="169"/>
      <c r="C1353" s="29"/>
      <c r="D1353" s="29"/>
      <c r="E1353" s="29"/>
      <c r="F1353" s="29"/>
      <c r="I1353" s="176">
        <v>44143</v>
      </c>
      <c r="J1353" s="177" t="s">
        <v>1917</v>
      </c>
    </row>
    <row r="1354" spans="2:10">
      <c r="B1354" s="169"/>
      <c r="C1354" s="29"/>
      <c r="D1354" s="29"/>
      <c r="E1354" s="29"/>
      <c r="F1354" s="29"/>
      <c r="I1354" s="176">
        <v>44143</v>
      </c>
      <c r="J1354" s="177" t="s">
        <v>991</v>
      </c>
    </row>
    <row r="1355" spans="2:10">
      <c r="B1355" s="169"/>
      <c r="C1355" s="29"/>
      <c r="D1355" s="29"/>
      <c r="E1355" s="29"/>
      <c r="F1355" s="29"/>
      <c r="I1355" s="176">
        <v>44143</v>
      </c>
      <c r="J1355" s="177" t="s">
        <v>1918</v>
      </c>
    </row>
    <row r="1356" spans="2:10">
      <c r="B1356" s="169"/>
      <c r="C1356" s="29"/>
      <c r="D1356" s="29"/>
      <c r="E1356" s="29"/>
      <c r="F1356" s="29"/>
      <c r="I1356" s="176">
        <v>44144</v>
      </c>
      <c r="J1356" s="177" t="s">
        <v>1919</v>
      </c>
    </row>
    <row r="1357" spans="2:10">
      <c r="B1357" s="169"/>
      <c r="C1357" s="29"/>
      <c r="D1357" s="29"/>
      <c r="E1357" s="29"/>
      <c r="F1357" s="29"/>
      <c r="I1357" s="176">
        <v>44144</v>
      </c>
      <c r="J1357" s="177" t="s">
        <v>1920</v>
      </c>
    </row>
    <row r="1358" spans="2:10">
      <c r="B1358" s="169"/>
      <c r="C1358" s="29"/>
      <c r="D1358" s="29"/>
      <c r="E1358" s="29"/>
      <c r="F1358" s="29"/>
      <c r="I1358" s="176">
        <v>44144</v>
      </c>
      <c r="J1358" s="177" t="s">
        <v>1921</v>
      </c>
    </row>
    <row r="1359" spans="2:10">
      <c r="B1359" s="169"/>
      <c r="C1359" s="29"/>
      <c r="D1359" s="29"/>
      <c r="E1359" s="29"/>
      <c r="F1359" s="29"/>
      <c r="I1359" s="176">
        <v>44144</v>
      </c>
      <c r="J1359" s="177" t="s">
        <v>994</v>
      </c>
    </row>
    <row r="1360" spans="2:10">
      <c r="B1360" s="169"/>
      <c r="C1360" s="29"/>
      <c r="D1360" s="29"/>
      <c r="E1360" s="29"/>
      <c r="F1360" s="29"/>
      <c r="I1360" s="176">
        <v>44145</v>
      </c>
      <c r="J1360" s="177" t="s">
        <v>997</v>
      </c>
    </row>
    <row r="1361" spans="2:10">
      <c r="B1361" s="169"/>
      <c r="C1361" s="29"/>
      <c r="D1361" s="29"/>
      <c r="E1361" s="29"/>
      <c r="F1361" s="29"/>
      <c r="I1361" s="176">
        <v>44145</v>
      </c>
      <c r="J1361" s="177" t="s">
        <v>1922</v>
      </c>
    </row>
    <row r="1362" spans="2:10">
      <c r="B1362" s="169"/>
      <c r="C1362" s="29"/>
      <c r="D1362" s="29"/>
      <c r="E1362" s="29"/>
      <c r="F1362" s="29"/>
      <c r="I1362" s="176">
        <v>44145</v>
      </c>
      <c r="J1362" s="177" t="s">
        <v>1923</v>
      </c>
    </row>
    <row r="1363" spans="2:10">
      <c r="B1363" s="169"/>
      <c r="C1363" s="29"/>
      <c r="D1363" s="29"/>
      <c r="E1363" s="29"/>
      <c r="F1363" s="29"/>
      <c r="I1363" s="176">
        <v>44145</v>
      </c>
      <c r="J1363" s="177" t="s">
        <v>1924</v>
      </c>
    </row>
    <row r="1364" spans="2:10">
      <c r="B1364" s="169"/>
      <c r="C1364" s="29"/>
      <c r="D1364" s="29"/>
      <c r="E1364" s="29"/>
      <c r="F1364" s="29"/>
      <c r="I1364" s="176">
        <v>44145</v>
      </c>
      <c r="J1364" s="177" t="s">
        <v>1925</v>
      </c>
    </row>
    <row r="1365" spans="2:10">
      <c r="B1365" s="169"/>
      <c r="C1365" s="29"/>
      <c r="D1365" s="29"/>
      <c r="E1365" s="29"/>
      <c r="F1365" s="29"/>
      <c r="I1365" s="176">
        <v>44145</v>
      </c>
      <c r="J1365" s="177" t="s">
        <v>1926</v>
      </c>
    </row>
    <row r="1366" spans="2:10">
      <c r="B1366" s="169"/>
      <c r="C1366" s="29"/>
      <c r="D1366" s="29"/>
      <c r="E1366" s="29"/>
      <c r="F1366" s="29"/>
      <c r="I1366" s="176">
        <v>44145</v>
      </c>
      <c r="J1366" s="177" t="s">
        <v>1927</v>
      </c>
    </row>
    <row r="1367" spans="2:10">
      <c r="B1367" s="169"/>
      <c r="C1367" s="29"/>
      <c r="D1367" s="29"/>
      <c r="E1367" s="29"/>
      <c r="F1367" s="29"/>
      <c r="I1367" s="176">
        <v>44146</v>
      </c>
      <c r="J1367" s="177" t="s">
        <v>999</v>
      </c>
    </row>
    <row r="1368" spans="2:10">
      <c r="B1368" s="169"/>
      <c r="C1368" s="29"/>
      <c r="D1368" s="29"/>
      <c r="E1368" s="29"/>
      <c r="F1368" s="29"/>
      <c r="I1368" s="176">
        <v>44146</v>
      </c>
      <c r="J1368" s="177" t="s">
        <v>1928</v>
      </c>
    </row>
    <row r="1369" spans="2:10">
      <c r="B1369" s="169"/>
      <c r="C1369" s="29"/>
      <c r="D1369" s="29"/>
      <c r="E1369" s="29"/>
      <c r="F1369" s="29"/>
      <c r="I1369" s="176">
        <v>44147</v>
      </c>
      <c r="J1369" s="177" t="s">
        <v>1003</v>
      </c>
    </row>
    <row r="1370" spans="2:10">
      <c r="B1370" s="169"/>
      <c r="C1370" s="29"/>
      <c r="D1370" s="29"/>
      <c r="E1370" s="29"/>
      <c r="F1370" s="29"/>
      <c r="I1370" s="176">
        <v>44147</v>
      </c>
      <c r="J1370" s="177" t="s">
        <v>1929</v>
      </c>
    </row>
    <row r="1371" spans="2:10">
      <c r="B1371" s="169"/>
      <c r="C1371" s="29"/>
      <c r="D1371" s="29"/>
      <c r="E1371" s="29"/>
      <c r="F1371" s="29"/>
      <c r="I1371" s="176">
        <v>44147</v>
      </c>
      <c r="J1371" s="177" t="s">
        <v>1930</v>
      </c>
    </row>
    <row r="1372" spans="2:10">
      <c r="B1372" s="169"/>
      <c r="C1372" s="29"/>
      <c r="D1372" s="29"/>
      <c r="E1372" s="29"/>
      <c r="F1372" s="29"/>
      <c r="I1372" s="176">
        <v>44147</v>
      </c>
      <c r="J1372" s="177" t="s">
        <v>1931</v>
      </c>
    </row>
    <row r="1373" spans="2:10">
      <c r="B1373" s="169"/>
      <c r="C1373" s="29"/>
      <c r="D1373" s="29"/>
      <c r="E1373" s="29"/>
      <c r="F1373" s="29"/>
      <c r="I1373" s="176">
        <v>44148</v>
      </c>
      <c r="J1373" s="177" t="s">
        <v>1005</v>
      </c>
    </row>
    <row r="1374" spans="2:10">
      <c r="B1374" s="169"/>
      <c r="C1374" s="29"/>
      <c r="D1374" s="29"/>
      <c r="E1374" s="29"/>
      <c r="F1374" s="29"/>
      <c r="I1374" s="176">
        <v>44148</v>
      </c>
      <c r="J1374" s="177" t="s">
        <v>1932</v>
      </c>
    </row>
    <row r="1375" spans="2:10">
      <c r="B1375" s="169"/>
      <c r="C1375" s="29"/>
      <c r="D1375" s="29"/>
      <c r="E1375" s="29"/>
      <c r="F1375" s="29"/>
      <c r="I1375" s="176">
        <v>44148</v>
      </c>
      <c r="J1375" s="177" t="s">
        <v>1933</v>
      </c>
    </row>
    <row r="1376" spans="2:10">
      <c r="B1376" s="169"/>
      <c r="C1376" s="29"/>
      <c r="D1376" s="29"/>
      <c r="E1376" s="29"/>
      <c r="F1376" s="29"/>
      <c r="I1376" s="176">
        <v>44148</v>
      </c>
      <c r="J1376" s="177" t="s">
        <v>1934</v>
      </c>
    </row>
    <row r="1377" spans="2:10">
      <c r="B1377" s="169"/>
      <c r="C1377" s="29"/>
      <c r="D1377" s="29"/>
      <c r="E1377" s="29"/>
      <c r="F1377" s="29"/>
      <c r="I1377" s="176">
        <v>44149</v>
      </c>
      <c r="J1377" s="177" t="s">
        <v>1008</v>
      </c>
    </row>
    <row r="1378" spans="2:10">
      <c r="B1378" s="169"/>
      <c r="C1378" s="29"/>
      <c r="D1378" s="29"/>
      <c r="E1378" s="29"/>
      <c r="F1378" s="29"/>
      <c r="I1378" s="176">
        <v>44149</v>
      </c>
      <c r="J1378" s="177" t="s">
        <v>1935</v>
      </c>
    </row>
    <row r="1379" spans="2:10">
      <c r="B1379" s="169"/>
      <c r="C1379" s="29"/>
      <c r="D1379" s="29"/>
      <c r="E1379" s="29"/>
      <c r="F1379" s="29"/>
      <c r="I1379" s="176">
        <v>44150</v>
      </c>
      <c r="J1379" s="177" t="s">
        <v>1010</v>
      </c>
    </row>
    <row r="1380" spans="2:10">
      <c r="B1380" s="169"/>
      <c r="C1380" s="29"/>
      <c r="D1380" s="29"/>
      <c r="E1380" s="29"/>
      <c r="F1380" s="29"/>
      <c r="I1380" s="176">
        <v>44150</v>
      </c>
      <c r="J1380" s="177" t="s">
        <v>1936</v>
      </c>
    </row>
    <row r="1381" spans="2:10">
      <c r="B1381" s="169"/>
      <c r="C1381" s="29"/>
      <c r="D1381" s="29"/>
      <c r="E1381" s="29"/>
      <c r="F1381" s="29"/>
      <c r="I1381" s="176">
        <v>44150</v>
      </c>
      <c r="J1381" s="177" t="s">
        <v>1937</v>
      </c>
    </row>
    <row r="1382" spans="2:10">
      <c r="B1382" s="169"/>
      <c r="C1382" s="29"/>
      <c r="D1382" s="29"/>
      <c r="E1382" s="29"/>
      <c r="F1382" s="29"/>
      <c r="I1382" s="176">
        <v>44150</v>
      </c>
      <c r="J1382" s="177" t="s">
        <v>1938</v>
      </c>
    </row>
    <row r="1383" spans="2:10">
      <c r="B1383" s="169"/>
      <c r="C1383" s="29"/>
      <c r="D1383" s="29"/>
      <c r="E1383" s="29"/>
      <c r="F1383" s="29"/>
      <c r="I1383" s="176">
        <v>44150</v>
      </c>
      <c r="J1383" s="177" t="s">
        <v>1939</v>
      </c>
    </row>
    <row r="1384" spans="2:10">
      <c r="B1384" s="169"/>
      <c r="C1384" s="29"/>
      <c r="D1384" s="29"/>
      <c r="E1384" s="29"/>
      <c r="F1384" s="29"/>
      <c r="I1384" s="176">
        <v>44150</v>
      </c>
      <c r="J1384" s="177" t="s">
        <v>1940</v>
      </c>
    </row>
    <row r="1385" spans="2:10">
      <c r="B1385" s="169"/>
      <c r="C1385" s="29"/>
      <c r="D1385" s="29"/>
      <c r="E1385" s="29"/>
      <c r="F1385" s="29"/>
      <c r="I1385" s="176">
        <v>44150</v>
      </c>
      <c r="J1385" s="177" t="s">
        <v>1941</v>
      </c>
    </row>
    <row r="1386" spans="2:10">
      <c r="B1386" s="169"/>
      <c r="C1386" s="29"/>
      <c r="D1386" s="29"/>
      <c r="E1386" s="29"/>
      <c r="F1386" s="29"/>
      <c r="I1386" s="176">
        <v>44150</v>
      </c>
      <c r="J1386" s="177" t="s">
        <v>1942</v>
      </c>
    </row>
    <row r="1387" spans="2:10">
      <c r="B1387" s="169"/>
      <c r="C1387" s="29"/>
      <c r="D1387" s="29"/>
      <c r="E1387" s="29"/>
      <c r="F1387" s="29"/>
      <c r="I1387" s="176">
        <v>44150</v>
      </c>
      <c r="J1387" s="177" t="s">
        <v>1943</v>
      </c>
    </row>
    <row r="1388" spans="2:10">
      <c r="B1388" s="169"/>
      <c r="C1388" s="29"/>
      <c r="D1388" s="29"/>
      <c r="E1388" s="29"/>
      <c r="F1388" s="29"/>
      <c r="I1388" s="176">
        <v>44150</v>
      </c>
      <c r="J1388" s="177" t="s">
        <v>1944</v>
      </c>
    </row>
    <row r="1389" spans="2:10">
      <c r="B1389" s="169"/>
      <c r="C1389" s="29"/>
      <c r="D1389" s="29"/>
      <c r="E1389" s="29"/>
      <c r="F1389" s="29"/>
      <c r="I1389" s="176">
        <v>44150</v>
      </c>
      <c r="J1389" s="177" t="s">
        <v>1945</v>
      </c>
    </row>
    <row r="1390" spans="2:10">
      <c r="B1390" s="169"/>
      <c r="C1390" s="29"/>
      <c r="D1390" s="29"/>
      <c r="E1390" s="29"/>
      <c r="F1390" s="29"/>
      <c r="I1390" s="176">
        <v>44150</v>
      </c>
      <c r="J1390" s="177" t="s">
        <v>1946</v>
      </c>
    </row>
    <row r="1391" spans="2:10">
      <c r="B1391" s="169"/>
      <c r="C1391" s="29"/>
      <c r="D1391" s="29"/>
      <c r="E1391" s="29"/>
      <c r="F1391" s="29"/>
      <c r="I1391" s="176">
        <v>44151</v>
      </c>
      <c r="J1391" s="177" t="s">
        <v>1947</v>
      </c>
    </row>
    <row r="1392" spans="2:10">
      <c r="B1392" s="169"/>
      <c r="C1392" s="29"/>
      <c r="D1392" s="29"/>
      <c r="E1392" s="29"/>
      <c r="F1392" s="29"/>
      <c r="I1392" s="176">
        <v>44151</v>
      </c>
      <c r="J1392" s="177" t="s">
        <v>1948</v>
      </c>
    </row>
    <row r="1393" spans="2:10">
      <c r="B1393" s="169"/>
      <c r="C1393" s="29"/>
      <c r="D1393" s="29"/>
      <c r="E1393" s="29"/>
      <c r="F1393" s="29"/>
      <c r="I1393" s="176">
        <v>44151</v>
      </c>
      <c r="J1393" s="177" t="s">
        <v>1949</v>
      </c>
    </row>
    <row r="1394" spans="2:10">
      <c r="B1394" s="169"/>
      <c r="C1394" s="29"/>
      <c r="D1394" s="29"/>
      <c r="E1394" s="29"/>
      <c r="F1394" s="29"/>
      <c r="I1394" s="176">
        <v>44151</v>
      </c>
      <c r="J1394" s="177" t="s">
        <v>1950</v>
      </c>
    </row>
    <row r="1395" spans="2:10">
      <c r="B1395" s="169"/>
      <c r="C1395" s="29"/>
      <c r="D1395" s="29"/>
      <c r="E1395" s="29"/>
      <c r="F1395" s="29"/>
      <c r="I1395" s="176">
        <v>44151</v>
      </c>
      <c r="J1395" s="177" t="s">
        <v>1951</v>
      </c>
    </row>
    <row r="1396" spans="2:10">
      <c r="B1396" s="169"/>
      <c r="C1396" s="29"/>
      <c r="D1396" s="29"/>
      <c r="E1396" s="29"/>
      <c r="F1396" s="29"/>
      <c r="I1396" s="176">
        <v>44151</v>
      </c>
      <c r="J1396" s="177" t="s">
        <v>1952</v>
      </c>
    </row>
    <row r="1397" spans="2:10">
      <c r="B1397" s="169"/>
      <c r="C1397" s="29"/>
      <c r="D1397" s="29"/>
      <c r="E1397" s="29"/>
      <c r="F1397" s="29"/>
      <c r="I1397" s="176">
        <v>44151</v>
      </c>
      <c r="J1397" s="177" t="s">
        <v>1013</v>
      </c>
    </row>
    <row r="1398" spans="2:10">
      <c r="B1398" s="169"/>
      <c r="C1398" s="29"/>
      <c r="D1398" s="29"/>
      <c r="E1398" s="29"/>
      <c r="F1398" s="29"/>
      <c r="I1398" s="176">
        <v>44151</v>
      </c>
      <c r="J1398" s="177" t="s">
        <v>1953</v>
      </c>
    </row>
    <row r="1399" spans="2:10">
      <c r="B1399" s="169"/>
      <c r="C1399" s="29"/>
      <c r="D1399" s="29"/>
      <c r="E1399" s="29"/>
      <c r="F1399" s="29"/>
      <c r="I1399" s="176">
        <v>44151</v>
      </c>
      <c r="J1399" s="177" t="s">
        <v>1954</v>
      </c>
    </row>
    <row r="1400" spans="2:10">
      <c r="B1400" s="169"/>
      <c r="C1400" s="29"/>
      <c r="D1400" s="29"/>
      <c r="E1400" s="29"/>
      <c r="F1400" s="29"/>
      <c r="I1400" s="176">
        <v>44152</v>
      </c>
      <c r="J1400" s="177" t="s">
        <v>1955</v>
      </c>
    </row>
    <row r="1401" spans="2:10">
      <c r="B1401" s="169"/>
      <c r="C1401" s="29"/>
      <c r="D1401" s="29"/>
      <c r="E1401" s="29"/>
      <c r="F1401" s="29"/>
      <c r="I1401" s="176">
        <v>44152</v>
      </c>
      <c r="J1401" s="177" t="s">
        <v>1956</v>
      </c>
    </row>
    <row r="1402" spans="2:10">
      <c r="B1402" s="169"/>
      <c r="C1402" s="29"/>
      <c r="D1402" s="29"/>
      <c r="E1402" s="29"/>
      <c r="F1402" s="29"/>
      <c r="I1402" s="176">
        <v>44152</v>
      </c>
      <c r="J1402" s="177" t="s">
        <v>1957</v>
      </c>
    </row>
    <row r="1403" spans="2:10">
      <c r="B1403" s="169"/>
      <c r="C1403" s="29"/>
      <c r="D1403" s="29"/>
      <c r="E1403" s="29"/>
      <c r="F1403" s="29"/>
      <c r="I1403" s="176">
        <v>44152</v>
      </c>
      <c r="J1403" s="177" t="s">
        <v>1958</v>
      </c>
    </row>
    <row r="1404" spans="2:10">
      <c r="B1404" s="169"/>
      <c r="C1404" s="29"/>
      <c r="D1404" s="29"/>
      <c r="E1404" s="29"/>
      <c r="F1404" s="29"/>
      <c r="I1404" s="176">
        <v>44152</v>
      </c>
      <c r="J1404" s="177" t="s">
        <v>1959</v>
      </c>
    </row>
    <row r="1405" spans="2:10">
      <c r="B1405" s="169"/>
      <c r="C1405" s="29"/>
      <c r="D1405" s="29"/>
      <c r="E1405" s="29"/>
      <c r="F1405" s="29"/>
      <c r="I1405" s="176">
        <v>44152</v>
      </c>
      <c r="J1405" s="177" t="s">
        <v>1960</v>
      </c>
    </row>
    <row r="1406" spans="2:10">
      <c r="B1406" s="169"/>
      <c r="C1406" s="29"/>
      <c r="D1406" s="29"/>
      <c r="E1406" s="29"/>
      <c r="F1406" s="29"/>
      <c r="I1406" s="176">
        <v>44152</v>
      </c>
      <c r="J1406" s="177" t="s">
        <v>1961</v>
      </c>
    </row>
    <row r="1407" spans="2:10">
      <c r="B1407" s="169"/>
      <c r="C1407" s="29"/>
      <c r="D1407" s="29"/>
      <c r="E1407" s="29"/>
      <c r="F1407" s="29"/>
      <c r="I1407" s="176">
        <v>44152</v>
      </c>
      <c r="J1407" s="177" t="s">
        <v>1962</v>
      </c>
    </row>
    <row r="1408" spans="2:10">
      <c r="B1408" s="169"/>
      <c r="C1408" s="29"/>
      <c r="D1408" s="29"/>
      <c r="E1408" s="29"/>
      <c r="F1408" s="29"/>
      <c r="I1408" s="176">
        <v>44152</v>
      </c>
      <c r="J1408" s="177" t="s">
        <v>1963</v>
      </c>
    </row>
    <row r="1409" spans="2:10">
      <c r="B1409" s="169"/>
      <c r="C1409" s="29"/>
      <c r="D1409" s="29"/>
      <c r="E1409" s="29"/>
      <c r="F1409" s="29"/>
      <c r="I1409" s="176">
        <v>44152</v>
      </c>
      <c r="J1409" s="177" t="s">
        <v>1964</v>
      </c>
    </row>
    <row r="1410" spans="2:10">
      <c r="B1410" s="169"/>
      <c r="C1410" s="29"/>
      <c r="D1410" s="29"/>
      <c r="E1410" s="29"/>
      <c r="F1410" s="29"/>
      <c r="I1410" s="176">
        <v>44152</v>
      </c>
      <c r="J1410" s="177" t="s">
        <v>1965</v>
      </c>
    </row>
    <row r="1411" spans="2:10">
      <c r="B1411" s="169"/>
      <c r="C1411" s="29"/>
      <c r="D1411" s="29"/>
      <c r="E1411" s="29"/>
      <c r="F1411" s="29"/>
      <c r="I1411" s="176">
        <v>44152</v>
      </c>
      <c r="J1411" s="177" t="s">
        <v>1966</v>
      </c>
    </row>
    <row r="1412" spans="2:10">
      <c r="B1412" s="169"/>
      <c r="C1412" s="29"/>
      <c r="D1412" s="29"/>
      <c r="E1412" s="29"/>
      <c r="F1412" s="29"/>
      <c r="I1412" s="176">
        <v>44152</v>
      </c>
      <c r="J1412" s="177" t="s">
        <v>1967</v>
      </c>
    </row>
    <row r="1413" spans="2:10">
      <c r="B1413" s="169"/>
      <c r="C1413" s="29"/>
      <c r="D1413" s="29"/>
      <c r="E1413" s="29"/>
      <c r="F1413" s="29"/>
      <c r="I1413" s="176">
        <v>44152</v>
      </c>
      <c r="J1413" s="177" t="s">
        <v>1968</v>
      </c>
    </row>
    <row r="1414" spans="2:10">
      <c r="B1414" s="169"/>
      <c r="C1414" s="29"/>
      <c r="D1414" s="29"/>
      <c r="E1414" s="29"/>
      <c r="F1414" s="29"/>
      <c r="I1414" s="176">
        <v>44152</v>
      </c>
      <c r="J1414" s="177" t="s">
        <v>1969</v>
      </c>
    </row>
    <row r="1415" spans="2:10">
      <c r="B1415" s="169"/>
      <c r="C1415" s="29"/>
      <c r="D1415" s="29"/>
      <c r="E1415" s="29"/>
      <c r="F1415" s="29"/>
      <c r="I1415" s="176">
        <v>44152</v>
      </c>
      <c r="J1415" s="177" t="s">
        <v>1970</v>
      </c>
    </row>
    <row r="1416" spans="2:10">
      <c r="B1416" s="169"/>
      <c r="C1416" s="29"/>
      <c r="D1416" s="29"/>
      <c r="E1416" s="29"/>
      <c r="F1416" s="29"/>
      <c r="I1416" s="176">
        <v>44153</v>
      </c>
      <c r="J1416" s="177" t="s">
        <v>1018</v>
      </c>
    </row>
    <row r="1417" spans="2:10">
      <c r="B1417" s="169"/>
      <c r="C1417" s="29"/>
      <c r="D1417" s="29"/>
      <c r="E1417" s="29"/>
      <c r="F1417" s="29"/>
      <c r="I1417" s="176">
        <v>44154</v>
      </c>
      <c r="J1417" s="177" t="s">
        <v>1021</v>
      </c>
    </row>
    <row r="1418" spans="2:10">
      <c r="B1418" s="169"/>
      <c r="C1418" s="29"/>
      <c r="D1418" s="29"/>
      <c r="E1418" s="29"/>
      <c r="F1418" s="29"/>
      <c r="I1418" s="176">
        <v>44155</v>
      </c>
      <c r="J1418" s="177" t="s">
        <v>1971</v>
      </c>
    </row>
    <row r="1419" spans="2:10">
      <c r="B1419" s="169"/>
      <c r="C1419" s="29"/>
      <c r="D1419" s="29"/>
      <c r="E1419" s="29"/>
      <c r="F1419" s="29"/>
      <c r="I1419" s="176">
        <v>44155</v>
      </c>
      <c r="J1419" s="177" t="s">
        <v>1972</v>
      </c>
    </row>
    <row r="1420" spans="2:10">
      <c r="B1420" s="169"/>
      <c r="C1420" s="29"/>
      <c r="D1420" s="29"/>
      <c r="E1420" s="29"/>
      <c r="F1420" s="29"/>
      <c r="I1420" s="176">
        <v>44155</v>
      </c>
      <c r="J1420" s="177" t="s">
        <v>1024</v>
      </c>
    </row>
    <row r="1421" spans="2:10">
      <c r="B1421" s="169"/>
      <c r="C1421" s="29"/>
      <c r="D1421" s="29"/>
      <c r="E1421" s="29"/>
      <c r="F1421" s="29"/>
      <c r="I1421" s="176">
        <v>44155</v>
      </c>
      <c r="J1421" s="177" t="s">
        <v>1973</v>
      </c>
    </row>
    <row r="1422" spans="2:10">
      <c r="B1422" s="169"/>
      <c r="C1422" s="29"/>
      <c r="D1422" s="29"/>
      <c r="E1422" s="29"/>
      <c r="F1422" s="29"/>
      <c r="I1422" s="176">
        <v>44155</v>
      </c>
      <c r="J1422" s="177" t="s">
        <v>1974</v>
      </c>
    </row>
    <row r="1423" spans="2:10">
      <c r="B1423" s="169"/>
      <c r="C1423" s="29"/>
      <c r="D1423" s="29"/>
      <c r="E1423" s="29"/>
      <c r="F1423" s="29"/>
      <c r="I1423" s="176">
        <v>44156</v>
      </c>
      <c r="J1423" s="177" t="s">
        <v>1028</v>
      </c>
    </row>
    <row r="1424" spans="2:10">
      <c r="B1424" s="169"/>
      <c r="C1424" s="29"/>
      <c r="D1424" s="29"/>
      <c r="E1424" s="29"/>
      <c r="F1424" s="29"/>
      <c r="I1424" s="176">
        <v>44156</v>
      </c>
      <c r="J1424" s="177" t="s">
        <v>1975</v>
      </c>
    </row>
    <row r="1425" spans="2:10">
      <c r="B1425" s="169"/>
      <c r="C1425" s="29"/>
      <c r="D1425" s="29"/>
      <c r="E1425" s="29"/>
      <c r="F1425" s="29"/>
      <c r="I1425" s="176">
        <v>44157</v>
      </c>
      <c r="J1425" s="177" t="s">
        <v>1030</v>
      </c>
    </row>
    <row r="1426" spans="2:10">
      <c r="B1426" s="169"/>
      <c r="C1426" s="29"/>
      <c r="D1426" s="29"/>
      <c r="E1426" s="29"/>
      <c r="F1426" s="29"/>
      <c r="I1426" s="176">
        <v>44157</v>
      </c>
      <c r="J1426" s="177" t="s">
        <v>1976</v>
      </c>
    </row>
    <row r="1427" spans="2:10">
      <c r="B1427" s="169"/>
      <c r="C1427" s="29"/>
      <c r="D1427" s="29"/>
      <c r="E1427" s="29"/>
      <c r="F1427" s="29"/>
      <c r="I1427" s="176">
        <v>44157</v>
      </c>
      <c r="J1427" s="177" t="s">
        <v>1977</v>
      </c>
    </row>
    <row r="1428" spans="2:10">
      <c r="B1428" s="169"/>
      <c r="C1428" s="29"/>
      <c r="D1428" s="29"/>
      <c r="E1428" s="29"/>
      <c r="F1428" s="29"/>
      <c r="I1428" s="176">
        <v>44157</v>
      </c>
      <c r="J1428" s="177" t="s">
        <v>1978</v>
      </c>
    </row>
    <row r="1429" spans="2:10">
      <c r="B1429" s="169"/>
      <c r="C1429" s="29"/>
      <c r="D1429" s="29"/>
      <c r="E1429" s="29"/>
      <c r="F1429" s="29"/>
      <c r="I1429" s="176">
        <v>44157</v>
      </c>
      <c r="J1429" s="177" t="s">
        <v>1979</v>
      </c>
    </row>
    <row r="1430" spans="2:10">
      <c r="B1430" s="169"/>
      <c r="C1430" s="29"/>
      <c r="D1430" s="29"/>
      <c r="E1430" s="29"/>
      <c r="F1430" s="29"/>
      <c r="I1430" s="176">
        <v>44158</v>
      </c>
      <c r="J1430" s="177" t="s">
        <v>1033</v>
      </c>
    </row>
    <row r="1431" spans="2:10">
      <c r="B1431" s="169"/>
      <c r="C1431" s="29"/>
      <c r="D1431" s="29"/>
      <c r="E1431" s="29"/>
      <c r="F1431" s="29"/>
      <c r="I1431" s="176">
        <v>44158</v>
      </c>
      <c r="J1431" s="177" t="s">
        <v>1980</v>
      </c>
    </row>
    <row r="1432" spans="2:10">
      <c r="B1432" s="169"/>
      <c r="C1432" s="29"/>
      <c r="D1432" s="29"/>
      <c r="E1432" s="29"/>
      <c r="F1432" s="29"/>
      <c r="I1432" s="176">
        <v>44158</v>
      </c>
      <c r="J1432" s="177" t="s">
        <v>1981</v>
      </c>
    </row>
    <row r="1433" spans="2:10">
      <c r="B1433" s="169"/>
      <c r="C1433" s="29"/>
      <c r="D1433" s="29"/>
      <c r="E1433" s="29"/>
      <c r="F1433" s="29"/>
      <c r="I1433" s="176">
        <v>44158</v>
      </c>
      <c r="J1433" s="177" t="s">
        <v>1982</v>
      </c>
    </row>
    <row r="1434" spans="2:10">
      <c r="B1434" s="169"/>
      <c r="C1434" s="29"/>
      <c r="D1434" s="29"/>
      <c r="E1434" s="29"/>
      <c r="F1434" s="29"/>
      <c r="I1434" s="176">
        <v>44158</v>
      </c>
      <c r="J1434" s="177" t="s">
        <v>1983</v>
      </c>
    </row>
    <row r="1435" spans="2:10">
      <c r="B1435" s="169"/>
      <c r="C1435" s="29"/>
      <c r="D1435" s="29"/>
      <c r="E1435" s="29"/>
      <c r="F1435" s="29"/>
      <c r="I1435" s="176">
        <v>44159</v>
      </c>
      <c r="J1435" s="177" t="s">
        <v>1984</v>
      </c>
    </row>
    <row r="1436" spans="2:10">
      <c r="B1436" s="169"/>
      <c r="C1436" s="29"/>
      <c r="D1436" s="29"/>
      <c r="E1436" s="29"/>
      <c r="F1436" s="29"/>
      <c r="I1436" s="176">
        <v>44159</v>
      </c>
      <c r="J1436" s="177" t="s">
        <v>1036</v>
      </c>
    </row>
    <row r="1437" spans="2:10">
      <c r="B1437" s="169"/>
      <c r="C1437" s="29"/>
      <c r="D1437" s="29"/>
      <c r="E1437" s="29"/>
      <c r="F1437" s="29"/>
      <c r="I1437" s="176">
        <v>44159</v>
      </c>
      <c r="J1437" s="177" t="s">
        <v>1985</v>
      </c>
    </row>
    <row r="1438" spans="2:10">
      <c r="B1438" s="169"/>
      <c r="C1438" s="29"/>
      <c r="D1438" s="29"/>
      <c r="E1438" s="29"/>
      <c r="F1438" s="29"/>
      <c r="I1438" s="176">
        <v>44160</v>
      </c>
      <c r="J1438" s="177" t="s">
        <v>1986</v>
      </c>
    </row>
    <row r="1439" spans="2:10">
      <c r="B1439" s="169"/>
      <c r="C1439" s="29"/>
      <c r="D1439" s="29"/>
      <c r="E1439" s="29"/>
      <c r="F1439" s="29"/>
      <c r="I1439" s="176">
        <v>44160</v>
      </c>
      <c r="J1439" s="177" t="s">
        <v>1038</v>
      </c>
    </row>
    <row r="1440" spans="2:10">
      <c r="B1440" s="169"/>
      <c r="C1440" s="29"/>
      <c r="D1440" s="29"/>
      <c r="E1440" s="29"/>
      <c r="F1440" s="29"/>
      <c r="I1440" s="176">
        <v>44160</v>
      </c>
      <c r="J1440" s="177" t="s">
        <v>1987</v>
      </c>
    </row>
    <row r="1441" spans="2:10">
      <c r="B1441" s="169"/>
      <c r="C1441" s="29"/>
      <c r="D1441" s="29"/>
      <c r="E1441" s="29"/>
      <c r="F1441" s="29"/>
      <c r="I1441" s="176">
        <v>44161</v>
      </c>
      <c r="J1441" s="177" t="s">
        <v>1988</v>
      </c>
    </row>
    <row r="1442" spans="2:10">
      <c r="B1442" s="169"/>
      <c r="C1442" s="29"/>
      <c r="D1442" s="29"/>
      <c r="E1442" s="29"/>
      <c r="F1442" s="29"/>
      <c r="I1442" s="176">
        <v>44161</v>
      </c>
      <c r="J1442" s="177" t="s">
        <v>1041</v>
      </c>
    </row>
    <row r="1443" spans="2:10">
      <c r="B1443" s="169"/>
      <c r="C1443" s="29"/>
      <c r="D1443" s="29"/>
      <c r="E1443" s="29"/>
      <c r="F1443" s="29"/>
      <c r="I1443" s="176">
        <v>44161</v>
      </c>
      <c r="J1443" s="177" t="s">
        <v>1989</v>
      </c>
    </row>
    <row r="1444" spans="2:10">
      <c r="B1444" s="169"/>
      <c r="C1444" s="29"/>
      <c r="D1444" s="29"/>
      <c r="E1444" s="29"/>
      <c r="F1444" s="29"/>
      <c r="I1444" s="176">
        <v>44162</v>
      </c>
      <c r="J1444" s="177" t="s">
        <v>1990</v>
      </c>
    </row>
    <row r="1445" spans="2:10">
      <c r="B1445" s="169"/>
      <c r="C1445" s="29"/>
      <c r="D1445" s="29"/>
      <c r="E1445" s="29"/>
      <c r="F1445" s="29"/>
      <c r="I1445" s="176">
        <v>44162</v>
      </c>
      <c r="J1445" s="177" t="s">
        <v>1044</v>
      </c>
    </row>
    <row r="1446" spans="2:10">
      <c r="B1446" s="169"/>
      <c r="C1446" s="29"/>
      <c r="D1446" s="29"/>
      <c r="E1446" s="29"/>
      <c r="F1446" s="29"/>
      <c r="I1446" s="176">
        <v>44162</v>
      </c>
      <c r="J1446" s="177" t="s">
        <v>1991</v>
      </c>
    </row>
    <row r="1447" spans="2:10">
      <c r="B1447" s="169"/>
      <c r="C1447" s="29"/>
      <c r="D1447" s="29"/>
      <c r="E1447" s="29"/>
      <c r="F1447" s="29"/>
      <c r="I1447" s="176">
        <v>44163</v>
      </c>
      <c r="J1447" s="177" t="s">
        <v>1992</v>
      </c>
    </row>
    <row r="1448" spans="2:10">
      <c r="B1448" s="169"/>
      <c r="C1448" s="29"/>
      <c r="D1448" s="29"/>
      <c r="E1448" s="29"/>
      <c r="F1448" s="29"/>
      <c r="I1448" s="176">
        <v>44164</v>
      </c>
      <c r="J1448" s="177" t="s">
        <v>1050</v>
      </c>
    </row>
    <row r="1449" spans="2:10">
      <c r="B1449" s="169"/>
      <c r="C1449" s="29"/>
      <c r="D1449" s="29"/>
      <c r="E1449" s="29"/>
      <c r="F1449" s="29"/>
      <c r="I1449" s="176">
        <v>44165</v>
      </c>
      <c r="J1449" s="177" t="s">
        <v>1053</v>
      </c>
    </row>
    <row r="1450" spans="2:10">
      <c r="B1450" s="169"/>
      <c r="C1450" s="29"/>
      <c r="D1450" s="29"/>
      <c r="E1450" s="29"/>
      <c r="F1450" s="29"/>
      <c r="I1450" s="176">
        <v>44165</v>
      </c>
      <c r="J1450" s="177" t="s">
        <v>1993</v>
      </c>
    </row>
    <row r="1451" spans="2:10">
      <c r="B1451" s="169"/>
      <c r="C1451" s="29"/>
      <c r="D1451" s="29"/>
      <c r="E1451" s="29"/>
      <c r="F1451" s="29"/>
      <c r="I1451" s="176">
        <v>44165</v>
      </c>
      <c r="J1451" s="177" t="s">
        <v>1994</v>
      </c>
    </row>
    <row r="1452" spans="2:10">
      <c r="B1452" s="169"/>
      <c r="C1452" s="29"/>
      <c r="D1452" s="29"/>
      <c r="E1452" s="29"/>
      <c r="F1452" s="29"/>
      <c r="I1452" s="176">
        <v>44165</v>
      </c>
      <c r="J1452" s="177" t="s">
        <v>1995</v>
      </c>
    </row>
    <row r="1453" spans="2:10">
      <c r="B1453" s="169"/>
      <c r="C1453" s="29"/>
      <c r="D1453" s="29"/>
      <c r="E1453" s="29"/>
      <c r="F1453" s="29"/>
      <c r="I1453" s="176">
        <v>44165</v>
      </c>
      <c r="J1453" s="177" t="s">
        <v>1996</v>
      </c>
    </row>
    <row r="1454" spans="2:10">
      <c r="B1454" s="169"/>
      <c r="C1454" s="29"/>
      <c r="D1454" s="29"/>
      <c r="E1454" s="29"/>
      <c r="F1454" s="29"/>
      <c r="I1454" s="176">
        <v>44165</v>
      </c>
      <c r="J1454" s="177" t="s">
        <v>1997</v>
      </c>
    </row>
    <row r="1455" spans="2:10">
      <c r="B1455" s="169"/>
      <c r="C1455" s="29"/>
      <c r="D1455" s="29"/>
      <c r="E1455" s="29"/>
      <c r="F1455" s="29"/>
      <c r="I1455" s="176">
        <v>44165</v>
      </c>
      <c r="J1455" s="177" t="s">
        <v>1998</v>
      </c>
    </row>
    <row r="1456" spans="2:10">
      <c r="B1456" s="169"/>
      <c r="C1456" s="29"/>
      <c r="D1456" s="29"/>
      <c r="E1456" s="29"/>
      <c r="F1456" s="29"/>
      <c r="I1456" s="176">
        <v>44165</v>
      </c>
      <c r="J1456" s="177" t="s">
        <v>1999</v>
      </c>
    </row>
    <row r="1457" spans="2:10">
      <c r="B1457" s="169"/>
      <c r="C1457" s="29"/>
      <c r="D1457" s="29"/>
      <c r="E1457" s="29"/>
      <c r="F1457" s="29"/>
      <c r="I1457" s="176">
        <v>44165</v>
      </c>
      <c r="J1457" s="177" t="s">
        <v>2000</v>
      </c>
    </row>
    <row r="1458" spans="2:10">
      <c r="B1458" s="169"/>
      <c r="C1458" s="29"/>
      <c r="D1458" s="29"/>
      <c r="E1458" s="29"/>
      <c r="F1458" s="29"/>
      <c r="I1458" s="176">
        <v>44165</v>
      </c>
      <c r="J1458" s="177" t="s">
        <v>2001</v>
      </c>
    </row>
    <row r="1459" spans="2:10">
      <c r="B1459" s="169"/>
      <c r="C1459" s="29"/>
      <c r="D1459" s="29"/>
      <c r="E1459" s="29"/>
      <c r="F1459" s="29"/>
      <c r="I1459" s="176">
        <v>44165</v>
      </c>
      <c r="J1459" s="177" t="s">
        <v>2002</v>
      </c>
    </row>
    <row r="1460" spans="2:10">
      <c r="B1460" s="169"/>
      <c r="C1460" s="29"/>
      <c r="D1460" s="29"/>
      <c r="E1460" s="29"/>
      <c r="F1460" s="29"/>
      <c r="I1460" s="176">
        <v>44165</v>
      </c>
      <c r="J1460" s="177" t="s">
        <v>2003</v>
      </c>
    </row>
    <row r="1461" spans="2:10">
      <c r="B1461" s="169"/>
      <c r="C1461" s="29"/>
      <c r="D1461" s="29"/>
      <c r="E1461" s="29"/>
      <c r="F1461" s="29"/>
      <c r="I1461" s="176">
        <v>44166</v>
      </c>
      <c r="J1461" s="177" t="s">
        <v>2004</v>
      </c>
    </row>
    <row r="1462" spans="2:10">
      <c r="B1462" s="169"/>
      <c r="C1462" s="29"/>
      <c r="D1462" s="29"/>
      <c r="E1462" s="29"/>
      <c r="F1462" s="29"/>
      <c r="I1462" s="176">
        <v>44166</v>
      </c>
      <c r="J1462" s="177" t="s">
        <v>2005</v>
      </c>
    </row>
    <row r="1463" spans="2:10">
      <c r="B1463" s="169"/>
      <c r="C1463" s="29"/>
      <c r="D1463" s="29"/>
      <c r="E1463" s="29"/>
      <c r="F1463" s="29"/>
      <c r="I1463" s="176">
        <v>44166</v>
      </c>
      <c r="J1463" s="177" t="s">
        <v>2006</v>
      </c>
    </row>
    <row r="1464" spans="2:10">
      <c r="B1464" s="169"/>
      <c r="C1464" s="29"/>
      <c r="D1464" s="29"/>
      <c r="E1464" s="29"/>
      <c r="F1464" s="29"/>
      <c r="I1464" s="176">
        <v>44166</v>
      </c>
      <c r="J1464" s="177" t="s">
        <v>2007</v>
      </c>
    </row>
    <row r="1465" spans="2:10">
      <c r="B1465" s="169"/>
      <c r="C1465" s="29"/>
      <c r="D1465" s="29"/>
      <c r="E1465" s="29"/>
      <c r="F1465" s="29"/>
      <c r="I1465" s="176">
        <v>44166</v>
      </c>
      <c r="J1465" s="177" t="s">
        <v>2008</v>
      </c>
    </row>
    <row r="1466" spans="2:10">
      <c r="B1466" s="169"/>
      <c r="C1466" s="29"/>
      <c r="D1466" s="29"/>
      <c r="E1466" s="29"/>
      <c r="F1466" s="29"/>
      <c r="I1466" s="176">
        <v>44166</v>
      </c>
      <c r="J1466" s="177" t="s">
        <v>2009</v>
      </c>
    </row>
    <row r="1467" spans="2:10">
      <c r="B1467" s="169"/>
      <c r="C1467" s="29"/>
      <c r="D1467" s="29"/>
      <c r="E1467" s="29"/>
      <c r="F1467" s="29"/>
      <c r="I1467" s="176">
        <v>44166</v>
      </c>
      <c r="J1467" s="177" t="s">
        <v>2010</v>
      </c>
    </row>
    <row r="1468" spans="2:10">
      <c r="B1468" s="169"/>
      <c r="C1468" s="29"/>
      <c r="D1468" s="29"/>
      <c r="E1468" s="29"/>
      <c r="F1468" s="29"/>
      <c r="I1468" s="176">
        <v>44166</v>
      </c>
      <c r="J1468" s="177" t="s">
        <v>1056</v>
      </c>
    </row>
    <row r="1469" spans="2:10">
      <c r="B1469" s="169"/>
      <c r="C1469" s="29"/>
      <c r="D1469" s="29"/>
      <c r="E1469" s="29"/>
      <c r="F1469" s="29"/>
      <c r="I1469" s="176">
        <v>44166</v>
      </c>
      <c r="J1469" s="177" t="s">
        <v>2011</v>
      </c>
    </row>
    <row r="1470" spans="2:10">
      <c r="B1470" s="169"/>
      <c r="C1470" s="29"/>
      <c r="D1470" s="29"/>
      <c r="E1470" s="29"/>
      <c r="F1470" s="29"/>
      <c r="I1470" s="176">
        <v>44166</v>
      </c>
      <c r="J1470" s="177" t="s">
        <v>2012</v>
      </c>
    </row>
    <row r="1471" spans="2:10">
      <c r="B1471" s="169"/>
      <c r="C1471" s="29"/>
      <c r="D1471" s="29"/>
      <c r="E1471" s="29"/>
      <c r="F1471" s="29"/>
      <c r="I1471" s="176">
        <v>44166</v>
      </c>
      <c r="J1471" s="177" t="s">
        <v>2013</v>
      </c>
    </row>
    <row r="1472" spans="2:10">
      <c r="B1472" s="169"/>
      <c r="C1472" s="29"/>
      <c r="D1472" s="29"/>
      <c r="E1472" s="29"/>
      <c r="F1472" s="29"/>
      <c r="I1472" s="176">
        <v>44166</v>
      </c>
      <c r="J1472" s="177" t="s">
        <v>2014</v>
      </c>
    </row>
    <row r="1473" spans="2:10">
      <c r="B1473" s="169"/>
      <c r="C1473" s="29"/>
      <c r="D1473" s="29"/>
      <c r="E1473" s="29"/>
      <c r="F1473" s="29"/>
      <c r="I1473" s="176">
        <v>44167</v>
      </c>
      <c r="J1473" s="177" t="s">
        <v>2015</v>
      </c>
    </row>
    <row r="1474" spans="2:10">
      <c r="B1474" s="169"/>
      <c r="C1474" s="29"/>
      <c r="D1474" s="29"/>
      <c r="E1474" s="29"/>
      <c r="F1474" s="29"/>
      <c r="I1474" s="176">
        <v>44167</v>
      </c>
      <c r="J1474" s="177" t="s">
        <v>2016</v>
      </c>
    </row>
    <row r="1475" spans="2:10">
      <c r="B1475" s="169"/>
      <c r="C1475" s="29"/>
      <c r="D1475" s="29"/>
      <c r="E1475" s="29"/>
      <c r="F1475" s="29"/>
      <c r="I1475" s="176">
        <v>44167</v>
      </c>
      <c r="J1475" s="177" t="s">
        <v>1059</v>
      </c>
    </row>
    <row r="1476" spans="2:10">
      <c r="B1476" s="169"/>
      <c r="C1476" s="29"/>
      <c r="D1476" s="29"/>
      <c r="E1476" s="29"/>
      <c r="F1476" s="29"/>
      <c r="I1476" s="176">
        <v>44168</v>
      </c>
      <c r="J1476" s="177" t="s">
        <v>2017</v>
      </c>
    </row>
    <row r="1477" spans="2:10">
      <c r="B1477" s="169"/>
      <c r="C1477" s="29"/>
      <c r="D1477" s="29"/>
      <c r="E1477" s="29"/>
      <c r="F1477" s="29"/>
      <c r="I1477" s="176">
        <v>44168</v>
      </c>
      <c r="J1477" s="177" t="s">
        <v>2018</v>
      </c>
    </row>
    <row r="1478" spans="2:10">
      <c r="B1478" s="169"/>
      <c r="C1478" s="29"/>
      <c r="D1478" s="29"/>
      <c r="E1478" s="29"/>
      <c r="F1478" s="29"/>
      <c r="I1478" s="176">
        <v>44168</v>
      </c>
      <c r="J1478" s="177" t="s">
        <v>1062</v>
      </c>
    </row>
    <row r="1479" spans="2:10">
      <c r="B1479" s="169"/>
      <c r="C1479" s="29"/>
      <c r="D1479" s="29"/>
      <c r="E1479" s="29"/>
      <c r="F1479" s="29"/>
      <c r="I1479" s="176">
        <v>44169</v>
      </c>
      <c r="J1479" s="177" t="s">
        <v>2019</v>
      </c>
    </row>
    <row r="1480" spans="2:10">
      <c r="B1480" s="169"/>
      <c r="C1480" s="29"/>
      <c r="D1480" s="29"/>
      <c r="E1480" s="29"/>
      <c r="F1480" s="29"/>
      <c r="I1480" s="176">
        <v>44169</v>
      </c>
      <c r="J1480" s="177" t="s">
        <v>2020</v>
      </c>
    </row>
    <row r="1481" spans="2:10">
      <c r="B1481" s="169"/>
      <c r="C1481" s="29"/>
      <c r="D1481" s="29"/>
      <c r="E1481" s="29"/>
      <c r="F1481" s="29"/>
      <c r="I1481" s="176">
        <v>44169</v>
      </c>
      <c r="J1481" s="177" t="s">
        <v>2021</v>
      </c>
    </row>
    <row r="1482" spans="2:10">
      <c r="B1482" s="169"/>
      <c r="C1482" s="29"/>
      <c r="D1482" s="29"/>
      <c r="E1482" s="29"/>
      <c r="F1482" s="29"/>
      <c r="I1482" s="176">
        <v>44169</v>
      </c>
      <c r="J1482" s="177" t="s">
        <v>1065</v>
      </c>
    </row>
    <row r="1483" spans="2:10">
      <c r="B1483" s="169"/>
      <c r="C1483" s="29"/>
      <c r="D1483" s="29"/>
      <c r="E1483" s="29"/>
      <c r="F1483" s="29"/>
      <c r="I1483" s="176">
        <v>44169</v>
      </c>
      <c r="J1483" s="177" t="s">
        <v>2022</v>
      </c>
    </row>
    <row r="1484" spans="2:10">
      <c r="B1484" s="169"/>
      <c r="C1484" s="29"/>
      <c r="D1484" s="29"/>
      <c r="E1484" s="29"/>
      <c r="F1484" s="29"/>
      <c r="I1484" s="176">
        <v>44169</v>
      </c>
      <c r="J1484" s="177" t="s">
        <v>2023</v>
      </c>
    </row>
    <row r="1485" spans="2:10">
      <c r="B1485" s="169"/>
      <c r="C1485" s="29"/>
      <c r="D1485" s="29"/>
      <c r="E1485" s="29"/>
      <c r="F1485" s="29"/>
      <c r="I1485" s="176">
        <v>44169</v>
      </c>
      <c r="J1485" s="177" t="s">
        <v>2024</v>
      </c>
    </row>
    <row r="1486" spans="2:10">
      <c r="B1486" s="169"/>
      <c r="C1486" s="29"/>
      <c r="D1486" s="29"/>
      <c r="E1486" s="29"/>
      <c r="F1486" s="29"/>
      <c r="I1486" s="176">
        <v>44170</v>
      </c>
      <c r="J1486" s="177" t="s">
        <v>1068</v>
      </c>
    </row>
    <row r="1487" spans="2:10">
      <c r="B1487" s="169"/>
      <c r="C1487" s="29"/>
      <c r="D1487" s="29"/>
      <c r="E1487" s="29"/>
      <c r="F1487" s="29"/>
      <c r="I1487" s="176">
        <v>44170</v>
      </c>
      <c r="J1487" s="177" t="s">
        <v>2025</v>
      </c>
    </row>
    <row r="1488" spans="2:10">
      <c r="B1488" s="169"/>
      <c r="C1488" s="29"/>
      <c r="D1488" s="29"/>
      <c r="E1488" s="29"/>
      <c r="F1488" s="29"/>
      <c r="I1488" s="176">
        <v>44171</v>
      </c>
      <c r="J1488" s="177" t="s">
        <v>2026</v>
      </c>
    </row>
    <row r="1489" spans="2:10">
      <c r="B1489" s="169"/>
      <c r="C1489" s="29"/>
      <c r="D1489" s="29"/>
      <c r="E1489" s="29"/>
      <c r="F1489" s="29"/>
      <c r="I1489" s="176">
        <v>44171</v>
      </c>
      <c r="J1489" s="177" t="s">
        <v>2027</v>
      </c>
    </row>
    <row r="1490" spans="2:10">
      <c r="B1490" s="169"/>
      <c r="C1490" s="29"/>
      <c r="D1490" s="29"/>
      <c r="E1490" s="29"/>
      <c r="F1490" s="29"/>
      <c r="I1490" s="176">
        <v>44171</v>
      </c>
      <c r="J1490" s="177" t="s">
        <v>2028</v>
      </c>
    </row>
    <row r="1491" spans="2:10">
      <c r="B1491" s="169"/>
      <c r="C1491" s="29"/>
      <c r="D1491" s="29"/>
      <c r="E1491" s="29"/>
      <c r="F1491" s="29"/>
      <c r="I1491" s="176">
        <v>44171</v>
      </c>
      <c r="J1491" s="177" t="s">
        <v>2029</v>
      </c>
    </row>
    <row r="1492" spans="2:10">
      <c r="B1492" s="169"/>
      <c r="C1492" s="29"/>
      <c r="D1492" s="29"/>
      <c r="E1492" s="29"/>
      <c r="F1492" s="29"/>
      <c r="I1492" s="176">
        <v>44171</v>
      </c>
      <c r="J1492" s="177" t="s">
        <v>2030</v>
      </c>
    </row>
    <row r="1493" spans="2:10">
      <c r="B1493" s="169"/>
      <c r="C1493" s="29"/>
      <c r="D1493" s="29"/>
      <c r="E1493" s="29"/>
      <c r="F1493" s="29"/>
      <c r="I1493" s="176">
        <v>44171</v>
      </c>
      <c r="J1493" s="177" t="s">
        <v>2031</v>
      </c>
    </row>
    <row r="1494" spans="2:10">
      <c r="B1494" s="169"/>
      <c r="C1494" s="29"/>
      <c r="D1494" s="29"/>
      <c r="E1494" s="29"/>
      <c r="F1494" s="29"/>
      <c r="I1494" s="176">
        <v>44171</v>
      </c>
      <c r="J1494" s="177" t="s">
        <v>1070</v>
      </c>
    </row>
    <row r="1495" spans="2:10">
      <c r="B1495" s="169"/>
      <c r="C1495" s="29"/>
      <c r="D1495" s="29"/>
      <c r="E1495" s="29"/>
      <c r="F1495" s="29"/>
      <c r="I1495" s="176">
        <v>44171</v>
      </c>
      <c r="J1495" s="177" t="s">
        <v>2032</v>
      </c>
    </row>
    <row r="1496" spans="2:10">
      <c r="B1496" s="169"/>
      <c r="C1496" s="29"/>
      <c r="D1496" s="29"/>
      <c r="E1496" s="29"/>
      <c r="F1496" s="29"/>
      <c r="I1496" s="176">
        <v>44171</v>
      </c>
      <c r="J1496" s="177" t="s">
        <v>2033</v>
      </c>
    </row>
    <row r="1497" spans="2:10">
      <c r="B1497" s="169"/>
      <c r="C1497" s="29"/>
      <c r="D1497" s="29"/>
      <c r="E1497" s="29"/>
      <c r="F1497" s="29"/>
      <c r="I1497" s="176">
        <v>44171</v>
      </c>
      <c r="J1497" s="177" t="s">
        <v>2034</v>
      </c>
    </row>
    <row r="1498" spans="2:10">
      <c r="B1498" s="169"/>
      <c r="C1498" s="29"/>
      <c r="D1498" s="29"/>
      <c r="E1498" s="29"/>
      <c r="F1498" s="29"/>
      <c r="I1498" s="176">
        <v>44172</v>
      </c>
      <c r="J1498" s="177" t="s">
        <v>2035</v>
      </c>
    </row>
    <row r="1499" spans="2:10">
      <c r="B1499" s="169"/>
      <c r="C1499" s="29"/>
      <c r="D1499" s="29"/>
      <c r="E1499" s="29"/>
      <c r="F1499" s="29"/>
      <c r="I1499" s="176">
        <v>44172</v>
      </c>
      <c r="J1499" s="177" t="s">
        <v>1073</v>
      </c>
    </row>
    <row r="1500" spans="2:10">
      <c r="B1500" s="169"/>
      <c r="C1500" s="29"/>
      <c r="D1500" s="29"/>
      <c r="E1500" s="29"/>
      <c r="F1500" s="29"/>
      <c r="I1500" s="176">
        <v>44173</v>
      </c>
      <c r="J1500" s="177" t="s">
        <v>2036</v>
      </c>
    </row>
    <row r="1501" spans="2:10">
      <c r="B1501" s="169"/>
      <c r="C1501" s="29"/>
      <c r="D1501" s="29"/>
      <c r="E1501" s="29"/>
      <c r="F1501" s="29"/>
      <c r="I1501" s="176">
        <v>44173</v>
      </c>
      <c r="J1501" s="177" t="s">
        <v>2037</v>
      </c>
    </row>
    <row r="1502" spans="2:10">
      <c r="B1502" s="169"/>
      <c r="C1502" s="29"/>
      <c r="D1502" s="29"/>
      <c r="E1502" s="29"/>
      <c r="F1502" s="29"/>
      <c r="I1502" s="176">
        <v>44173</v>
      </c>
      <c r="J1502" s="177" t="s">
        <v>2038</v>
      </c>
    </row>
    <row r="1503" spans="2:10">
      <c r="B1503" s="169"/>
      <c r="C1503" s="29"/>
      <c r="D1503" s="29"/>
      <c r="E1503" s="29"/>
      <c r="F1503" s="29"/>
      <c r="I1503" s="176">
        <v>44174</v>
      </c>
      <c r="J1503" s="177" t="s">
        <v>1080</v>
      </c>
    </row>
    <row r="1504" spans="2:10">
      <c r="B1504" s="169"/>
      <c r="C1504" s="29"/>
      <c r="D1504" s="29"/>
      <c r="E1504" s="29"/>
      <c r="F1504" s="29"/>
      <c r="I1504" s="176">
        <v>44175</v>
      </c>
      <c r="J1504" s="177" t="s">
        <v>1082</v>
      </c>
    </row>
    <row r="1505" spans="2:10">
      <c r="B1505" s="169"/>
      <c r="C1505" s="29"/>
      <c r="D1505" s="29"/>
      <c r="E1505" s="29"/>
      <c r="F1505" s="29"/>
      <c r="I1505" s="176">
        <v>44176</v>
      </c>
      <c r="J1505" s="177" t="s">
        <v>1085</v>
      </c>
    </row>
    <row r="1506" spans="2:10">
      <c r="B1506" s="169"/>
      <c r="C1506" s="29"/>
      <c r="D1506" s="29"/>
      <c r="E1506" s="29"/>
      <c r="F1506" s="29"/>
      <c r="I1506" s="176">
        <v>44176</v>
      </c>
      <c r="J1506" s="177" t="s">
        <v>2039</v>
      </c>
    </row>
    <row r="1507" spans="2:10">
      <c r="B1507" s="169"/>
      <c r="C1507" s="29"/>
      <c r="D1507" s="29"/>
      <c r="E1507" s="29"/>
      <c r="F1507" s="29"/>
      <c r="I1507" s="176">
        <v>44176</v>
      </c>
      <c r="J1507" s="177" t="s">
        <v>2040</v>
      </c>
    </row>
    <row r="1508" spans="2:10">
      <c r="B1508" s="169"/>
      <c r="C1508" s="29"/>
      <c r="D1508" s="29"/>
      <c r="E1508" s="29"/>
      <c r="F1508" s="29"/>
      <c r="I1508" s="176">
        <v>44176</v>
      </c>
      <c r="J1508" s="177" t="s">
        <v>2041</v>
      </c>
    </row>
    <row r="1509" spans="2:10">
      <c r="B1509" s="169"/>
      <c r="C1509" s="29"/>
      <c r="D1509" s="29"/>
      <c r="E1509" s="29"/>
      <c r="F1509" s="29"/>
      <c r="I1509" s="176">
        <v>44176</v>
      </c>
      <c r="J1509" s="177" t="s">
        <v>2042</v>
      </c>
    </row>
    <row r="1510" spans="2:10">
      <c r="B1510" s="169"/>
      <c r="C1510" s="29"/>
      <c r="D1510" s="29"/>
      <c r="E1510" s="29"/>
      <c r="F1510" s="29"/>
      <c r="I1510" s="176">
        <v>44176</v>
      </c>
      <c r="J1510" s="177" t="s">
        <v>2043</v>
      </c>
    </row>
    <row r="1511" spans="2:10">
      <c r="B1511" s="169"/>
      <c r="C1511" s="29"/>
      <c r="D1511" s="29"/>
      <c r="E1511" s="29"/>
      <c r="F1511" s="29"/>
      <c r="I1511" s="176">
        <v>44176</v>
      </c>
      <c r="J1511" s="177" t="s">
        <v>2044</v>
      </c>
    </row>
    <row r="1512" spans="2:10">
      <c r="B1512" s="169"/>
      <c r="C1512" s="29"/>
      <c r="D1512" s="29"/>
      <c r="E1512" s="29"/>
      <c r="F1512" s="29"/>
      <c r="I1512" s="176">
        <v>44177</v>
      </c>
      <c r="J1512" s="177" t="s">
        <v>1088</v>
      </c>
    </row>
    <row r="1513" spans="2:10">
      <c r="B1513" s="169"/>
      <c r="C1513" s="29"/>
      <c r="D1513" s="29"/>
      <c r="E1513" s="29"/>
      <c r="F1513" s="29"/>
      <c r="I1513" s="176">
        <v>44177</v>
      </c>
      <c r="J1513" s="177" t="s">
        <v>2045</v>
      </c>
    </row>
    <row r="1514" spans="2:10">
      <c r="B1514" s="169"/>
      <c r="C1514" s="29"/>
      <c r="D1514" s="29"/>
      <c r="E1514" s="29"/>
      <c r="F1514" s="29"/>
      <c r="I1514" s="176">
        <v>44177</v>
      </c>
      <c r="J1514" s="177" t="s">
        <v>2046</v>
      </c>
    </row>
    <row r="1515" spans="2:10">
      <c r="B1515" s="169"/>
      <c r="C1515" s="29"/>
      <c r="D1515" s="29"/>
      <c r="E1515" s="29"/>
      <c r="F1515" s="29"/>
      <c r="I1515" s="176">
        <v>44177</v>
      </c>
      <c r="J1515" s="177" t="s">
        <v>2047</v>
      </c>
    </row>
    <row r="1516" spans="2:10">
      <c r="B1516" s="169"/>
      <c r="C1516" s="29"/>
      <c r="D1516" s="29"/>
      <c r="E1516" s="29"/>
      <c r="F1516" s="29"/>
      <c r="I1516" s="176">
        <v>44177</v>
      </c>
      <c r="J1516" s="177" t="s">
        <v>2048</v>
      </c>
    </row>
    <row r="1517" spans="2:10">
      <c r="B1517" s="169"/>
      <c r="C1517" s="29"/>
      <c r="D1517" s="29"/>
      <c r="E1517" s="29"/>
      <c r="F1517" s="29"/>
      <c r="I1517" s="176">
        <v>44178</v>
      </c>
      <c r="J1517" s="177" t="s">
        <v>2049</v>
      </c>
    </row>
    <row r="1518" spans="2:10">
      <c r="B1518" s="169"/>
      <c r="C1518" s="29"/>
      <c r="D1518" s="29"/>
      <c r="E1518" s="29"/>
      <c r="F1518" s="29"/>
      <c r="I1518" s="176">
        <v>44178</v>
      </c>
      <c r="J1518" s="177" t="s">
        <v>2050</v>
      </c>
    </row>
    <row r="1519" spans="2:10">
      <c r="B1519" s="169"/>
      <c r="C1519" s="29"/>
      <c r="D1519" s="29"/>
      <c r="E1519" s="29"/>
      <c r="F1519" s="29"/>
      <c r="I1519" s="176">
        <v>44178</v>
      </c>
      <c r="J1519" s="177" t="s">
        <v>2051</v>
      </c>
    </row>
    <row r="1520" spans="2:10">
      <c r="B1520" s="169"/>
      <c r="C1520" s="29"/>
      <c r="D1520" s="29"/>
      <c r="E1520" s="29"/>
      <c r="F1520" s="29"/>
      <c r="I1520" s="176">
        <v>44178</v>
      </c>
      <c r="J1520" s="177" t="s">
        <v>2052</v>
      </c>
    </row>
    <row r="1521" spans="2:10">
      <c r="B1521" s="169"/>
      <c r="C1521" s="29"/>
      <c r="D1521" s="29"/>
      <c r="E1521" s="29"/>
      <c r="F1521" s="29"/>
      <c r="I1521" s="176">
        <v>44178</v>
      </c>
      <c r="J1521" s="177" t="s">
        <v>2053</v>
      </c>
    </row>
    <row r="1522" spans="2:10">
      <c r="B1522" s="169"/>
      <c r="C1522" s="29"/>
      <c r="D1522" s="29"/>
      <c r="E1522" s="29"/>
      <c r="F1522" s="29"/>
      <c r="I1522" s="176">
        <v>44178</v>
      </c>
      <c r="J1522" s="177" t="s">
        <v>2054</v>
      </c>
    </row>
    <row r="1523" spans="2:10">
      <c r="B1523" s="169"/>
      <c r="C1523" s="29"/>
      <c r="D1523" s="29"/>
      <c r="E1523" s="29"/>
      <c r="F1523" s="29"/>
      <c r="I1523" s="176">
        <v>44178</v>
      </c>
      <c r="J1523" s="177" t="s">
        <v>2055</v>
      </c>
    </row>
    <row r="1524" spans="2:10">
      <c r="B1524" s="169"/>
      <c r="C1524" s="29"/>
      <c r="D1524" s="29"/>
      <c r="E1524" s="29"/>
      <c r="F1524" s="29"/>
      <c r="I1524" s="176">
        <v>44178</v>
      </c>
      <c r="J1524" s="177" t="s">
        <v>2056</v>
      </c>
    </row>
    <row r="1525" spans="2:10">
      <c r="B1525" s="169"/>
      <c r="C1525" s="29"/>
      <c r="D1525" s="29"/>
      <c r="E1525" s="29"/>
      <c r="F1525" s="29"/>
      <c r="I1525" s="176">
        <v>44178</v>
      </c>
      <c r="J1525" s="177" t="s">
        <v>2057</v>
      </c>
    </row>
    <row r="1526" spans="2:10">
      <c r="B1526" s="169"/>
      <c r="C1526" s="29"/>
      <c r="D1526" s="29"/>
      <c r="E1526" s="29"/>
      <c r="F1526" s="29"/>
      <c r="I1526" s="176">
        <v>44178</v>
      </c>
      <c r="J1526" s="177" t="s">
        <v>2058</v>
      </c>
    </row>
    <row r="1527" spans="2:10">
      <c r="B1527" s="169"/>
      <c r="C1527" s="29"/>
      <c r="D1527" s="29"/>
      <c r="E1527" s="29"/>
      <c r="F1527" s="29"/>
      <c r="I1527" s="176">
        <v>44178</v>
      </c>
      <c r="J1527" s="177" t="s">
        <v>2059</v>
      </c>
    </row>
    <row r="1528" spans="2:10">
      <c r="B1528" s="169"/>
      <c r="C1528" s="29"/>
      <c r="D1528" s="29"/>
      <c r="E1528" s="29"/>
      <c r="F1528" s="29"/>
      <c r="I1528" s="176">
        <v>44178</v>
      </c>
      <c r="J1528" s="177" t="s">
        <v>2060</v>
      </c>
    </row>
    <row r="1529" spans="2:10">
      <c r="B1529" s="169"/>
      <c r="C1529" s="29"/>
      <c r="D1529" s="29"/>
      <c r="E1529" s="29"/>
      <c r="F1529" s="29"/>
      <c r="I1529" s="176">
        <v>44179</v>
      </c>
      <c r="J1529" s="177" t="s">
        <v>1092</v>
      </c>
    </row>
    <row r="1530" spans="2:10">
      <c r="B1530" s="169"/>
      <c r="C1530" s="29"/>
      <c r="D1530" s="29"/>
      <c r="E1530" s="29"/>
      <c r="F1530" s="29"/>
      <c r="I1530" s="176">
        <v>44180</v>
      </c>
      <c r="J1530" s="177" t="s">
        <v>2061</v>
      </c>
    </row>
    <row r="1531" spans="2:10">
      <c r="B1531" s="169"/>
      <c r="C1531" s="29"/>
      <c r="D1531" s="29"/>
      <c r="E1531" s="29"/>
      <c r="F1531" s="29"/>
      <c r="I1531" s="176">
        <v>44180</v>
      </c>
      <c r="J1531" s="177" t="s">
        <v>2062</v>
      </c>
    </row>
    <row r="1532" spans="2:10">
      <c r="B1532" s="169"/>
      <c r="C1532" s="29"/>
      <c r="D1532" s="29"/>
      <c r="E1532" s="29"/>
      <c r="F1532" s="29"/>
      <c r="I1532" s="176">
        <v>44180</v>
      </c>
      <c r="J1532" s="177" t="s">
        <v>1095</v>
      </c>
    </row>
    <row r="1533" spans="2:10">
      <c r="B1533" s="169"/>
      <c r="C1533" s="29"/>
      <c r="D1533" s="29"/>
      <c r="E1533" s="29"/>
      <c r="F1533" s="29"/>
      <c r="I1533" s="176">
        <v>44181</v>
      </c>
      <c r="J1533" s="177" t="s">
        <v>2063</v>
      </c>
    </row>
    <row r="1534" spans="2:10">
      <c r="B1534" s="169"/>
      <c r="C1534" s="29"/>
      <c r="D1534" s="29"/>
      <c r="E1534" s="29"/>
      <c r="F1534" s="29"/>
      <c r="I1534" s="176">
        <v>44181</v>
      </c>
      <c r="J1534" s="177" t="s">
        <v>1098</v>
      </c>
    </row>
    <row r="1535" spans="2:10">
      <c r="B1535" s="169"/>
      <c r="C1535" s="29"/>
      <c r="D1535" s="29"/>
      <c r="E1535" s="29"/>
      <c r="F1535" s="29"/>
      <c r="I1535" s="176">
        <v>44181</v>
      </c>
      <c r="J1535" s="177" t="s">
        <v>2064</v>
      </c>
    </row>
    <row r="1536" spans="2:10">
      <c r="B1536" s="169"/>
      <c r="C1536" s="29"/>
      <c r="D1536" s="29"/>
      <c r="E1536" s="29"/>
      <c r="F1536" s="29"/>
      <c r="I1536" s="176">
        <v>44182</v>
      </c>
      <c r="J1536" s="177" t="s">
        <v>1100</v>
      </c>
    </row>
    <row r="1537" spans="2:10">
      <c r="B1537" s="169"/>
      <c r="C1537" s="29"/>
      <c r="D1537" s="29"/>
      <c r="E1537" s="29"/>
      <c r="F1537" s="29"/>
      <c r="I1537" s="176">
        <v>44182</v>
      </c>
      <c r="J1537" s="177" t="s">
        <v>2065</v>
      </c>
    </row>
    <row r="1538" spans="2:10">
      <c r="B1538" s="169"/>
      <c r="C1538" s="29"/>
      <c r="D1538" s="29"/>
      <c r="E1538" s="29"/>
      <c r="F1538" s="29"/>
      <c r="I1538" s="176">
        <v>44182</v>
      </c>
      <c r="J1538" s="177" t="s">
        <v>2066</v>
      </c>
    </row>
    <row r="1539" spans="2:10">
      <c r="B1539" s="169"/>
      <c r="C1539" s="29"/>
      <c r="D1539" s="29"/>
      <c r="E1539" s="29"/>
      <c r="F1539" s="29"/>
      <c r="I1539" s="176">
        <v>44182</v>
      </c>
      <c r="J1539" s="177" t="s">
        <v>2067</v>
      </c>
    </row>
    <row r="1540" spans="2:10">
      <c r="B1540" s="169"/>
      <c r="C1540" s="29"/>
      <c r="D1540" s="29"/>
      <c r="E1540" s="29"/>
      <c r="F1540" s="29"/>
      <c r="I1540" s="176">
        <v>44182</v>
      </c>
      <c r="J1540" s="177" t="s">
        <v>2068</v>
      </c>
    </row>
    <row r="1541" spans="2:10">
      <c r="B1541" s="169"/>
      <c r="C1541" s="29"/>
      <c r="D1541" s="29"/>
      <c r="E1541" s="29"/>
      <c r="F1541" s="29"/>
      <c r="I1541" s="176">
        <v>44183</v>
      </c>
      <c r="J1541" s="177" t="s">
        <v>2069</v>
      </c>
    </row>
    <row r="1542" spans="2:10">
      <c r="B1542" s="169"/>
      <c r="C1542" s="29"/>
      <c r="D1542" s="29"/>
      <c r="E1542" s="29"/>
      <c r="F1542" s="29"/>
      <c r="I1542" s="176">
        <v>44183</v>
      </c>
      <c r="J1542" s="177" t="s">
        <v>1102</v>
      </c>
    </row>
    <row r="1543" spans="2:10">
      <c r="B1543" s="169"/>
      <c r="C1543" s="29"/>
      <c r="D1543" s="29"/>
      <c r="E1543" s="29"/>
      <c r="F1543" s="29"/>
      <c r="I1543" s="176">
        <v>44183</v>
      </c>
      <c r="J1543" s="177" t="s">
        <v>2070</v>
      </c>
    </row>
    <row r="1544" spans="2:10">
      <c r="B1544" s="169"/>
      <c r="C1544" s="29"/>
      <c r="D1544" s="29"/>
      <c r="E1544" s="29"/>
      <c r="F1544" s="29"/>
      <c r="I1544" s="176">
        <v>44183</v>
      </c>
      <c r="J1544" s="177" t="s">
        <v>2071</v>
      </c>
    </row>
    <row r="1545" spans="2:10">
      <c r="B1545" s="169"/>
      <c r="C1545" s="29"/>
      <c r="D1545" s="29"/>
      <c r="E1545" s="29"/>
      <c r="F1545" s="29"/>
      <c r="I1545" s="176">
        <v>44184</v>
      </c>
      <c r="J1545" s="177" t="s">
        <v>1105</v>
      </c>
    </row>
    <row r="1546" spans="2:10">
      <c r="B1546" s="169"/>
      <c r="C1546" s="29"/>
      <c r="D1546" s="29"/>
      <c r="E1546" s="29"/>
      <c r="F1546" s="29"/>
      <c r="I1546" s="176">
        <v>44185</v>
      </c>
      <c r="J1546" s="177" t="s">
        <v>1108</v>
      </c>
    </row>
    <row r="1547" spans="2:10">
      <c r="B1547" s="169"/>
      <c r="C1547" s="29"/>
      <c r="D1547" s="29"/>
      <c r="E1547" s="29"/>
      <c r="F1547" s="29"/>
      <c r="I1547" s="176">
        <v>44185</v>
      </c>
      <c r="J1547" s="177" t="s">
        <v>2072</v>
      </c>
    </row>
    <row r="1548" spans="2:10">
      <c r="B1548" s="169"/>
      <c r="C1548" s="29"/>
      <c r="D1548" s="29"/>
      <c r="E1548" s="29"/>
      <c r="F1548" s="29"/>
      <c r="I1548" s="176">
        <v>44185</v>
      </c>
      <c r="J1548" s="177" t="s">
        <v>2073</v>
      </c>
    </row>
    <row r="1549" spans="2:10">
      <c r="B1549" s="169"/>
      <c r="C1549" s="29"/>
      <c r="D1549" s="29"/>
      <c r="E1549" s="29"/>
      <c r="F1549" s="29"/>
      <c r="I1549" s="176">
        <v>44185</v>
      </c>
      <c r="J1549" s="177" t="s">
        <v>2074</v>
      </c>
    </row>
    <row r="1550" spans="2:10">
      <c r="B1550" s="169"/>
      <c r="C1550" s="29"/>
      <c r="D1550" s="29"/>
      <c r="E1550" s="29"/>
      <c r="F1550" s="29"/>
      <c r="I1550" s="176">
        <v>44185</v>
      </c>
      <c r="J1550" s="177" t="s">
        <v>2075</v>
      </c>
    </row>
    <row r="1551" spans="2:10">
      <c r="B1551" s="169"/>
      <c r="C1551" s="29"/>
      <c r="D1551" s="29"/>
      <c r="E1551" s="29"/>
      <c r="F1551" s="29"/>
      <c r="I1551" s="176">
        <v>44185</v>
      </c>
      <c r="J1551" s="177" t="s">
        <v>2076</v>
      </c>
    </row>
    <row r="1552" spans="2:10">
      <c r="B1552" s="169"/>
      <c r="C1552" s="29"/>
      <c r="D1552" s="29"/>
      <c r="E1552" s="29"/>
      <c r="F1552" s="29"/>
      <c r="I1552" s="176">
        <v>44185</v>
      </c>
      <c r="J1552" s="177" t="s">
        <v>2077</v>
      </c>
    </row>
    <row r="1553" spans="2:10">
      <c r="B1553" s="169"/>
      <c r="C1553" s="29"/>
      <c r="D1553" s="29"/>
      <c r="E1553" s="29"/>
      <c r="F1553" s="29"/>
      <c r="I1553" s="176">
        <v>44186</v>
      </c>
      <c r="J1553" s="177" t="s">
        <v>1110</v>
      </c>
    </row>
    <row r="1554" spans="2:10">
      <c r="B1554" s="169"/>
      <c r="C1554" s="29"/>
      <c r="D1554" s="29"/>
      <c r="E1554" s="29"/>
      <c r="F1554" s="29"/>
      <c r="I1554" s="176">
        <v>44187</v>
      </c>
      <c r="J1554" s="177" t="s">
        <v>2078</v>
      </c>
    </row>
    <row r="1555" spans="2:10">
      <c r="B1555" s="169"/>
      <c r="C1555" s="29"/>
      <c r="D1555" s="29"/>
      <c r="E1555" s="29"/>
      <c r="F1555" s="29"/>
      <c r="I1555" s="176">
        <v>44187</v>
      </c>
      <c r="J1555" s="177" t="s">
        <v>1113</v>
      </c>
    </row>
    <row r="1556" spans="2:10">
      <c r="B1556" s="169"/>
      <c r="C1556" s="29"/>
      <c r="D1556" s="29"/>
      <c r="E1556" s="29"/>
      <c r="F1556" s="29"/>
      <c r="I1556" s="176">
        <v>44189</v>
      </c>
      <c r="J1556" s="177" t="s">
        <v>1118</v>
      </c>
    </row>
    <row r="1557" spans="2:10">
      <c r="B1557" s="169"/>
      <c r="C1557" s="29"/>
      <c r="D1557" s="29"/>
      <c r="E1557" s="29"/>
      <c r="F1557" s="29"/>
      <c r="I1557" s="176">
        <v>44189</v>
      </c>
      <c r="J1557" s="177" t="s">
        <v>2079</v>
      </c>
    </row>
    <row r="1558" spans="2:10">
      <c r="B1558" s="169"/>
      <c r="C1558" s="29"/>
      <c r="D1558" s="29"/>
      <c r="E1558" s="29"/>
      <c r="F1558" s="29"/>
      <c r="I1558" s="176">
        <v>44190</v>
      </c>
      <c r="J1558" s="177" t="s">
        <v>2080</v>
      </c>
    </row>
    <row r="1559" spans="2:10">
      <c r="B1559" s="169"/>
      <c r="C1559" s="29"/>
      <c r="D1559" s="29"/>
      <c r="E1559" s="29"/>
      <c r="F1559" s="29"/>
      <c r="I1559" s="176">
        <v>44190</v>
      </c>
      <c r="J1559" s="177" t="s">
        <v>2081</v>
      </c>
    </row>
    <row r="1560" spans="2:10">
      <c r="B1560" s="169"/>
      <c r="C1560" s="29"/>
      <c r="D1560" s="29"/>
      <c r="E1560" s="29"/>
      <c r="F1560" s="29"/>
      <c r="I1560" s="176">
        <v>44190</v>
      </c>
      <c r="J1560" s="177" t="s">
        <v>2082</v>
      </c>
    </row>
    <row r="1561" spans="2:10">
      <c r="B1561" s="169"/>
      <c r="C1561" s="29"/>
      <c r="D1561" s="29"/>
      <c r="E1561" s="29"/>
      <c r="F1561" s="29"/>
      <c r="I1561" s="176">
        <v>44190</v>
      </c>
      <c r="J1561" s="177" t="s">
        <v>2083</v>
      </c>
    </row>
    <row r="1562" spans="2:10">
      <c r="B1562" s="169"/>
      <c r="C1562" s="29"/>
      <c r="D1562" s="29"/>
      <c r="E1562" s="29"/>
      <c r="F1562" s="29"/>
      <c r="I1562" s="176">
        <v>44190</v>
      </c>
      <c r="J1562" s="177" t="s">
        <v>2084</v>
      </c>
    </row>
    <row r="1563" spans="2:10">
      <c r="B1563" s="169"/>
      <c r="C1563" s="29"/>
      <c r="D1563" s="29"/>
      <c r="E1563" s="29"/>
      <c r="F1563" s="29"/>
      <c r="I1563" s="176">
        <v>44190</v>
      </c>
      <c r="J1563" s="177" t="s">
        <v>2085</v>
      </c>
    </row>
    <row r="1564" spans="2:10">
      <c r="B1564" s="169"/>
      <c r="C1564" s="29"/>
      <c r="D1564" s="29"/>
      <c r="E1564" s="29"/>
      <c r="F1564" s="29"/>
      <c r="I1564" s="176">
        <v>44190</v>
      </c>
      <c r="J1564" s="177" t="s">
        <v>2086</v>
      </c>
    </row>
    <row r="1565" spans="2:10">
      <c r="B1565" s="169"/>
      <c r="C1565" s="29"/>
      <c r="D1565" s="29"/>
      <c r="E1565" s="29"/>
      <c r="F1565" s="29"/>
      <c r="I1565" s="176">
        <v>44190</v>
      </c>
      <c r="J1565" s="177" t="s">
        <v>73</v>
      </c>
    </row>
    <row r="1566" spans="2:10">
      <c r="B1566" s="169"/>
      <c r="C1566" s="29"/>
      <c r="D1566" s="29"/>
      <c r="E1566" s="29"/>
      <c r="F1566" s="29"/>
      <c r="I1566" s="176">
        <v>44190</v>
      </c>
      <c r="J1566" s="177" t="s">
        <v>2087</v>
      </c>
    </row>
    <row r="1567" spans="2:10">
      <c r="B1567" s="169"/>
      <c r="C1567" s="29"/>
      <c r="D1567" s="29"/>
      <c r="E1567" s="29"/>
      <c r="F1567" s="29"/>
      <c r="I1567" s="176">
        <v>44190</v>
      </c>
      <c r="J1567" s="177" t="s">
        <v>2088</v>
      </c>
    </row>
    <row r="1568" spans="2:10">
      <c r="B1568" s="169"/>
      <c r="C1568" s="29"/>
      <c r="D1568" s="29"/>
      <c r="E1568" s="29"/>
      <c r="F1568" s="29"/>
      <c r="I1568" s="176">
        <v>44191</v>
      </c>
      <c r="J1568" s="177" t="s">
        <v>2089</v>
      </c>
    </row>
    <row r="1569" spans="2:10">
      <c r="B1569" s="169"/>
      <c r="C1569" s="29"/>
      <c r="D1569" s="29"/>
      <c r="E1569" s="29"/>
      <c r="F1569" s="29"/>
      <c r="I1569" s="176">
        <v>44191</v>
      </c>
      <c r="J1569" s="177" t="s">
        <v>2090</v>
      </c>
    </row>
    <row r="1570" spans="2:10">
      <c r="B1570" s="169"/>
      <c r="C1570" s="29"/>
      <c r="D1570" s="29"/>
      <c r="E1570" s="29"/>
      <c r="F1570" s="29"/>
      <c r="I1570" s="176">
        <v>44191</v>
      </c>
      <c r="J1570" s="177" t="s">
        <v>2091</v>
      </c>
    </row>
    <row r="1571" spans="2:10">
      <c r="B1571" s="169"/>
      <c r="C1571" s="29"/>
      <c r="D1571" s="29"/>
      <c r="E1571" s="29"/>
      <c r="F1571" s="29"/>
      <c r="I1571" s="176">
        <v>44191</v>
      </c>
      <c r="J1571" s="177" t="s">
        <v>2092</v>
      </c>
    </row>
    <row r="1572" spans="2:10">
      <c r="B1572" s="169"/>
      <c r="C1572" s="29"/>
      <c r="D1572" s="29"/>
      <c r="E1572" s="29"/>
      <c r="F1572" s="29"/>
      <c r="I1572" s="176">
        <v>44191</v>
      </c>
      <c r="J1572" s="177" t="s">
        <v>2093</v>
      </c>
    </row>
    <row r="1573" spans="2:10">
      <c r="B1573" s="169"/>
      <c r="C1573" s="29"/>
      <c r="D1573" s="29"/>
      <c r="E1573" s="29"/>
      <c r="F1573" s="29"/>
      <c r="I1573" s="176">
        <v>44191</v>
      </c>
      <c r="J1573" s="177" t="s">
        <v>2094</v>
      </c>
    </row>
    <row r="1574" spans="2:10">
      <c r="B1574" s="169"/>
      <c r="C1574" s="29"/>
      <c r="D1574" s="29"/>
      <c r="E1574" s="29"/>
      <c r="F1574" s="29"/>
      <c r="I1574" s="176">
        <v>44191</v>
      </c>
      <c r="J1574" s="177" t="s">
        <v>2095</v>
      </c>
    </row>
    <row r="1575" spans="2:10">
      <c r="B1575" s="169"/>
      <c r="C1575" s="29"/>
      <c r="D1575" s="29"/>
      <c r="E1575" s="29"/>
      <c r="F1575" s="29"/>
      <c r="I1575" s="176">
        <v>44191</v>
      </c>
      <c r="J1575" s="177" t="s">
        <v>2096</v>
      </c>
    </row>
    <row r="1576" spans="2:10">
      <c r="B1576" s="169"/>
      <c r="C1576" s="29"/>
      <c r="D1576" s="29"/>
      <c r="E1576" s="29"/>
      <c r="F1576" s="29"/>
      <c r="I1576" s="176">
        <v>44191</v>
      </c>
      <c r="J1576" s="177" t="s">
        <v>2097</v>
      </c>
    </row>
    <row r="1577" spans="2:10">
      <c r="B1577" s="169"/>
      <c r="C1577" s="29"/>
      <c r="D1577" s="29"/>
      <c r="E1577" s="29"/>
      <c r="F1577" s="29"/>
      <c r="I1577" s="176">
        <v>44191</v>
      </c>
      <c r="J1577" s="177" t="s">
        <v>2098</v>
      </c>
    </row>
    <row r="1578" spans="2:10">
      <c r="B1578" s="169"/>
      <c r="C1578" s="29"/>
      <c r="D1578" s="29"/>
      <c r="E1578" s="29"/>
      <c r="F1578" s="29"/>
      <c r="I1578" s="176">
        <v>44191</v>
      </c>
      <c r="J1578" s="177" t="s">
        <v>2099</v>
      </c>
    </row>
    <row r="1579" spans="2:10">
      <c r="B1579" s="169"/>
      <c r="C1579" s="29"/>
      <c r="D1579" s="29"/>
      <c r="E1579" s="29"/>
      <c r="F1579" s="29"/>
      <c r="I1579" s="176">
        <v>44192</v>
      </c>
      <c r="J1579" s="177" t="s">
        <v>2100</v>
      </c>
    </row>
    <row r="1580" spans="2:10">
      <c r="B1580" s="169"/>
      <c r="C1580" s="29"/>
      <c r="D1580" s="29"/>
      <c r="E1580" s="29"/>
      <c r="F1580" s="29"/>
      <c r="I1580" s="176">
        <v>44192</v>
      </c>
      <c r="J1580" s="177" t="s">
        <v>2101</v>
      </c>
    </row>
    <row r="1581" spans="2:10">
      <c r="B1581" s="169"/>
      <c r="C1581" s="29"/>
      <c r="D1581" s="29"/>
      <c r="E1581" s="29"/>
      <c r="F1581" s="29"/>
      <c r="I1581" s="176">
        <v>44192</v>
      </c>
      <c r="J1581" s="177" t="s">
        <v>2102</v>
      </c>
    </row>
    <row r="1582" spans="2:10">
      <c r="B1582" s="169"/>
      <c r="C1582" s="29"/>
      <c r="D1582" s="29"/>
      <c r="E1582" s="29"/>
      <c r="F1582" s="29"/>
      <c r="I1582" s="176">
        <v>44193</v>
      </c>
      <c r="J1582" s="177" t="s">
        <v>2103</v>
      </c>
    </row>
    <row r="1583" spans="2:10">
      <c r="B1583" s="169"/>
      <c r="C1583" s="29"/>
      <c r="D1583" s="29"/>
      <c r="E1583" s="29"/>
      <c r="F1583" s="29"/>
      <c r="I1583" s="176">
        <v>44193</v>
      </c>
      <c r="J1583" s="177" t="s">
        <v>1127</v>
      </c>
    </row>
    <row r="1584" spans="2:10">
      <c r="B1584" s="169"/>
      <c r="C1584" s="29"/>
      <c r="D1584" s="29"/>
      <c r="E1584" s="29"/>
      <c r="F1584" s="29"/>
      <c r="I1584" s="176">
        <v>44193</v>
      </c>
      <c r="J1584" s="177" t="s">
        <v>2104</v>
      </c>
    </row>
    <row r="1585" spans="2:10">
      <c r="B1585" s="169"/>
      <c r="C1585" s="29"/>
      <c r="D1585" s="29"/>
      <c r="E1585" s="29"/>
      <c r="F1585" s="29"/>
      <c r="I1585" s="176">
        <v>44194</v>
      </c>
      <c r="J1585" s="177" t="s">
        <v>1130</v>
      </c>
    </row>
    <row r="1586" spans="2:10">
      <c r="B1586" s="169"/>
      <c r="C1586" s="29"/>
      <c r="D1586" s="29"/>
      <c r="E1586" s="29"/>
      <c r="F1586" s="29"/>
      <c r="I1586" s="176">
        <v>44195</v>
      </c>
      <c r="J1586" s="177" t="s">
        <v>1133</v>
      </c>
    </row>
    <row r="1587" spans="2:10">
      <c r="B1587" s="169"/>
      <c r="C1587" s="29"/>
      <c r="D1587" s="29"/>
      <c r="E1587" s="29"/>
      <c r="F1587" s="29"/>
      <c r="I1587" s="176">
        <v>44196</v>
      </c>
      <c r="J1587" s="177" t="s">
        <v>2105</v>
      </c>
    </row>
    <row r="1588" spans="2:10">
      <c r="B1588" s="169"/>
      <c r="C1588" s="29"/>
      <c r="D1588" s="29"/>
      <c r="E1588" s="29"/>
      <c r="F1588" s="29"/>
      <c r="I1588" s="176">
        <v>44196</v>
      </c>
      <c r="J1588" s="177" t="s">
        <v>2106</v>
      </c>
    </row>
    <row r="1589" spans="2:10">
      <c r="B1589" s="169"/>
      <c r="C1589" s="29"/>
      <c r="D1589" s="29"/>
      <c r="E1589" s="29"/>
      <c r="F1589" s="29"/>
      <c r="I1589" s="176">
        <v>44196</v>
      </c>
      <c r="J1589" s="177" t="s">
        <v>2107</v>
      </c>
    </row>
    <row r="1590" spans="2:10">
      <c r="I1590" s="181">
        <v>44196</v>
      </c>
      <c r="J1590" s="182" t="s">
        <v>1136</v>
      </c>
    </row>
  </sheetData>
  <autoFilter ref="B1:C37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CG58"/>
  <sheetViews>
    <sheetView showGridLines="0" zoomScaleNormal="100" workbookViewId="0">
      <selection activeCell="C3" sqref="C3"/>
    </sheetView>
  </sheetViews>
  <sheetFormatPr baseColWidth="10" defaultRowHeight="15"/>
  <cols>
    <col min="1" max="1" width="1.42578125" customWidth="1"/>
    <col min="2" max="2" width="3" customWidth="1"/>
    <col min="3" max="3" width="6.5703125" customWidth="1"/>
    <col min="4" max="4" width="1.140625" customWidth="1"/>
    <col min="5" max="5" width="4.28515625" customWidth="1"/>
    <col min="6" max="6" width="2.7109375" customWidth="1"/>
    <col min="7" max="7" width="8.5703125" customWidth="1"/>
    <col min="8" max="8" width="11.140625" customWidth="1"/>
    <col min="9" max="9" width="0.85546875" customWidth="1"/>
    <col min="10" max="10" width="6.5703125" customWidth="1"/>
    <col min="11" max="11" width="1.140625" customWidth="1"/>
    <col min="12" max="12" width="3.42578125" customWidth="1"/>
    <col min="13" max="13" width="2.42578125" customWidth="1"/>
    <col min="14" max="14" width="8.42578125" customWidth="1"/>
    <col min="15" max="15" width="12.28515625" customWidth="1"/>
    <col min="16" max="16" width="0.85546875" customWidth="1"/>
    <col min="17" max="17" width="6.5703125" customWidth="1"/>
    <col min="18" max="18" width="1.140625" customWidth="1"/>
    <col min="19" max="19" width="4" customWidth="1"/>
    <col min="20" max="20" width="2.42578125" customWidth="1"/>
    <col min="21" max="21" width="8.42578125" customWidth="1"/>
    <col min="22" max="22" width="12.28515625" customWidth="1"/>
    <col min="23" max="23" width="0.85546875" customWidth="1"/>
    <col min="24" max="24" width="6.5703125" customWidth="1"/>
    <col min="25" max="25" width="1.140625" customWidth="1"/>
    <col min="26" max="26" width="4" customWidth="1"/>
    <col min="27" max="27" width="2.42578125" customWidth="1"/>
    <col min="28" max="28" width="8.42578125" customWidth="1"/>
    <col min="29" max="29" width="12.28515625" customWidth="1"/>
    <col min="30" max="30" width="0.85546875" customWidth="1"/>
    <col min="31" max="31" width="6.5703125" customWidth="1"/>
    <col min="32" max="32" width="1.140625" customWidth="1"/>
    <col min="33" max="33" width="4" customWidth="1"/>
    <col min="34" max="34" width="2.42578125" customWidth="1"/>
    <col min="35" max="35" width="8.42578125" customWidth="1"/>
    <col min="36" max="36" width="12.28515625" customWidth="1"/>
    <col min="37" max="37" width="0.85546875" customWidth="1"/>
    <col min="38" max="38" width="6.5703125" customWidth="1"/>
    <col min="39" max="39" width="1.140625" customWidth="1"/>
    <col min="40" max="40" width="4" customWidth="1"/>
    <col min="41" max="41" width="2.42578125" customWidth="1"/>
    <col min="42" max="42" width="8.42578125" customWidth="1"/>
    <col min="43" max="43" width="12.28515625" customWidth="1"/>
    <col min="44" max="44" width="0.85546875" customWidth="1"/>
    <col min="45" max="45" width="6.5703125" customWidth="1"/>
    <col min="46" max="46" width="1.140625" customWidth="1"/>
    <col min="47" max="47" width="4" customWidth="1"/>
    <col min="48" max="48" width="2.42578125" customWidth="1"/>
    <col min="49" max="49" width="8.42578125" customWidth="1"/>
    <col min="50" max="50" width="12.28515625" customWidth="1"/>
    <col min="51" max="51" width="0.85546875" customWidth="1"/>
    <col min="52" max="52" width="6.5703125" customWidth="1"/>
    <col min="53" max="53" width="1.140625" customWidth="1"/>
    <col min="54" max="54" width="4" customWidth="1"/>
    <col min="55" max="55" width="2.42578125" customWidth="1"/>
    <col min="56" max="56" width="8.42578125" customWidth="1"/>
    <col min="57" max="57" width="12.28515625" customWidth="1"/>
    <col min="58" max="58" width="0.85546875" customWidth="1"/>
    <col min="59" max="59" width="6.5703125" customWidth="1"/>
    <col min="60" max="60" width="1.140625" customWidth="1"/>
    <col min="61" max="61" width="4" customWidth="1"/>
    <col min="62" max="62" width="2.42578125" customWidth="1"/>
    <col min="63" max="63" width="8.42578125" customWidth="1"/>
    <col min="64" max="64" width="12.28515625" customWidth="1"/>
    <col min="65" max="65" width="0.85546875" customWidth="1"/>
    <col min="66" max="66" width="6.5703125" customWidth="1"/>
    <col min="67" max="67" width="1.140625" customWidth="1"/>
    <col min="68" max="68" width="4" customWidth="1"/>
    <col min="69" max="69" width="2.42578125" customWidth="1"/>
    <col min="70" max="70" width="8.42578125" customWidth="1"/>
    <col min="71" max="71" width="12.28515625" customWidth="1"/>
    <col min="72" max="72" width="0.85546875" customWidth="1"/>
    <col min="73" max="73" width="6.5703125" customWidth="1"/>
    <col min="74" max="74" width="1.140625" customWidth="1"/>
    <col min="75" max="75" width="4" customWidth="1"/>
    <col min="76" max="76" width="2.42578125" customWidth="1"/>
    <col min="77" max="77" width="8.42578125" customWidth="1"/>
    <col min="78" max="78" width="12.28515625" customWidth="1"/>
    <col min="79" max="79" width="0.85546875" customWidth="1"/>
    <col min="80" max="80" width="6.5703125" customWidth="1"/>
    <col min="81" max="81" width="1.140625" customWidth="1"/>
    <col min="82" max="82" width="4" customWidth="1"/>
    <col min="83" max="83" width="2.42578125" customWidth="1"/>
    <col min="84" max="84" width="8.42578125" customWidth="1"/>
    <col min="85" max="85" width="12.28515625" customWidth="1"/>
  </cols>
  <sheetData>
    <row r="1" spans="1:85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5"/>
      <c r="P1" s="185"/>
      <c r="Q1" s="185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</row>
    <row r="2" spans="1:85">
      <c r="A2" s="186"/>
      <c r="B2" s="186"/>
      <c r="C2" s="186"/>
      <c r="D2" s="186">
        <f>MONTH(1&amp;H4)</f>
        <v>1</v>
      </c>
      <c r="E2" s="186"/>
      <c r="F2" s="186"/>
      <c r="G2" s="187"/>
      <c r="I2" s="187"/>
      <c r="J2" s="187"/>
      <c r="K2" s="187"/>
      <c r="L2" s="187"/>
      <c r="M2" s="187"/>
      <c r="O2" s="188"/>
      <c r="P2" s="188"/>
      <c r="Q2" s="188"/>
    </row>
    <row r="3" spans="1:85" ht="28.5">
      <c r="A3" s="186"/>
      <c r="B3" s="186"/>
      <c r="C3" s="186"/>
      <c r="D3" s="186"/>
      <c r="E3" s="186"/>
      <c r="F3" s="186"/>
      <c r="G3" s="189" t="s">
        <v>2108</v>
      </c>
      <c r="H3" s="190">
        <f>Parametre!C5</f>
        <v>2020</v>
      </c>
      <c r="I3" s="187"/>
      <c r="J3" s="187"/>
      <c r="K3" s="187"/>
      <c r="M3" s="187"/>
      <c r="O3" s="191" t="str">
        <f>"Jours Fériés, Lunes, Saints, Vacances &amp; Anniversaires de "&amp;TEXT(DATE($H$3,$B$4,1),"jj mmmm")&amp;" au "&amp;TEXT(DATE($H$3,$B$4+6,1)-1,"jj mmmm aaaa")</f>
        <v>Jours Fériés, Lunes, Saints, Vacances &amp; Anniversaires de 01 janvier au 30 juin 2020</v>
      </c>
      <c r="AZ3" s="191" t="str">
        <f>"Jours Fériés, Lunes, Saints, Vacances &amp; Anniversaires de "&amp;TEXT(DATE($H$3,$B$4+6,1),"jj mmmm")&amp;" au "&amp;TEXT(DATE($H$3,$B$4+12,1)-1,"jj mmmm aaaa")</f>
        <v>Jours Fériés, Lunes, Saints, Vacances &amp; Anniversaires de 01 juillet au 31 décembre 2020</v>
      </c>
    </row>
    <row r="4" spans="1:85">
      <c r="A4" s="192"/>
      <c r="B4" s="193">
        <f>MONTH(1&amp;H4)</f>
        <v>1</v>
      </c>
      <c r="C4" s="186"/>
      <c r="D4" s="186"/>
      <c r="F4" s="186"/>
      <c r="G4" s="189" t="s">
        <v>3</v>
      </c>
      <c r="H4" s="194" t="s">
        <v>0</v>
      </c>
      <c r="I4" s="187"/>
      <c r="J4" s="187"/>
      <c r="K4" s="187"/>
      <c r="M4" s="187"/>
    </row>
    <row r="5" spans="1:85">
      <c r="A5" s="186"/>
      <c r="B5" s="186"/>
      <c r="C5" s="186"/>
      <c r="D5" s="186"/>
      <c r="E5" s="186"/>
      <c r="F5" s="186"/>
      <c r="G5" s="187"/>
      <c r="H5" s="187"/>
      <c r="I5" s="187"/>
      <c r="J5" s="187"/>
      <c r="K5" s="187"/>
      <c r="L5" s="187"/>
      <c r="M5" s="187"/>
      <c r="O5" s="195"/>
      <c r="P5" s="196" t="s">
        <v>2109</v>
      </c>
      <c r="Q5" s="301">
        <f>DATE(H3,3,29.56+0.979*MOD(204-11*MOD(H3,19),30)-WEEKDAY(DATE(H3,3,28.56+0.979*MOD(204-11*MOD(H3,19),30))))</f>
        <v>43933</v>
      </c>
      <c r="R5" s="301"/>
      <c r="S5" s="301"/>
      <c r="T5" s="301"/>
      <c r="U5" s="301"/>
      <c r="V5" s="302"/>
    </row>
    <row r="6" spans="1:85">
      <c r="B6" s="187"/>
      <c r="C6" s="197"/>
      <c r="D6" s="187"/>
      <c r="E6" s="187"/>
      <c r="F6" s="187"/>
      <c r="G6" s="187"/>
      <c r="H6" s="187"/>
      <c r="I6" s="187"/>
      <c r="J6" s="187"/>
      <c r="K6" s="187"/>
      <c r="L6" s="187"/>
      <c r="M6" s="187"/>
    </row>
    <row r="7" spans="1:85" s="29" customFormat="1" ht="15.75" customHeight="1">
      <c r="C7" s="198" t="str">
        <f>PROPER(TEXT(C8,"mmmm"))</f>
        <v>Janvier</v>
      </c>
      <c r="D7" s="199"/>
      <c r="E7" s="200"/>
      <c r="F7" s="200"/>
      <c r="G7" s="303">
        <f>YEAR(C8)</f>
        <v>2020</v>
      </c>
      <c r="H7" s="304"/>
      <c r="J7" s="198" t="str">
        <f>PROPER(TEXT(J8,"mmmm"))</f>
        <v>Février</v>
      </c>
      <c r="K7" s="199"/>
      <c r="L7" s="200"/>
      <c r="M7" s="200"/>
      <c r="N7" s="303">
        <f>YEAR(J8)</f>
        <v>2020</v>
      </c>
      <c r="O7" s="304"/>
      <c r="Q7" s="198" t="str">
        <f>PROPER(TEXT(Q8,"mmmm"))</f>
        <v>Mars</v>
      </c>
      <c r="R7" s="199"/>
      <c r="S7" s="200"/>
      <c r="T7" s="200"/>
      <c r="U7" s="303">
        <f>YEAR(Q8)</f>
        <v>2020</v>
      </c>
      <c r="V7" s="304"/>
      <c r="X7" s="198" t="str">
        <f>PROPER(TEXT(X8,"mmmm"))</f>
        <v>Avril</v>
      </c>
      <c r="Y7" s="199"/>
      <c r="Z7" s="200"/>
      <c r="AA7" s="200"/>
      <c r="AB7" s="303">
        <f>YEAR(X8)</f>
        <v>2020</v>
      </c>
      <c r="AC7" s="304"/>
      <c r="AE7" s="198" t="str">
        <f>PROPER(TEXT(AE8,"mmmm"))</f>
        <v>Mai</v>
      </c>
      <c r="AF7" s="199"/>
      <c r="AG7" s="200"/>
      <c r="AH7" s="200"/>
      <c r="AI7" s="303">
        <f>YEAR(AE8)</f>
        <v>2020</v>
      </c>
      <c r="AJ7" s="304"/>
      <c r="AL7" s="198" t="str">
        <f>PROPER(TEXT(AL8,"mmmm"))</f>
        <v>Juin</v>
      </c>
      <c r="AM7" s="199"/>
      <c r="AN7" s="200"/>
      <c r="AO7" s="200"/>
      <c r="AP7" s="303">
        <f>YEAR(AL8)</f>
        <v>2020</v>
      </c>
      <c r="AQ7" s="304"/>
      <c r="AS7" s="198" t="str">
        <f>PROPER(TEXT(AS8,"mmmm"))</f>
        <v>Juillet</v>
      </c>
      <c r="AT7" s="199"/>
      <c r="AU7" s="200"/>
      <c r="AV7" s="200"/>
      <c r="AW7" s="303">
        <f>YEAR(AS8)</f>
        <v>2020</v>
      </c>
      <c r="AX7" s="304"/>
      <c r="AZ7" s="198" t="str">
        <f>PROPER(TEXT(AZ8,"mmmm"))</f>
        <v>Août</v>
      </c>
      <c r="BA7" s="199"/>
      <c r="BB7" s="200"/>
      <c r="BC7" s="200"/>
      <c r="BD7" s="303">
        <f>YEAR(AZ8)</f>
        <v>2020</v>
      </c>
      <c r="BE7" s="304"/>
      <c r="BG7" s="198" t="str">
        <f>PROPER(TEXT(BG8,"mmmm"))</f>
        <v>Septembre</v>
      </c>
      <c r="BH7" s="199"/>
      <c r="BI7" s="200"/>
      <c r="BJ7" s="262"/>
      <c r="BK7" s="200">
        <f>YEAR(BG8)</f>
        <v>2020</v>
      </c>
      <c r="BL7" s="201"/>
      <c r="BN7" s="198" t="str">
        <f>PROPER(TEXT(BN8,"mmmm"))</f>
        <v>Octobre</v>
      </c>
      <c r="BO7" s="199"/>
      <c r="BP7" s="200"/>
      <c r="BQ7" s="303">
        <v>2020</v>
      </c>
      <c r="BR7" s="303">
        <f>YEAR(BN8)</f>
        <v>2020</v>
      </c>
      <c r="BS7" s="304"/>
      <c r="BU7" s="198" t="str">
        <f>PROPER(TEXT(BU8,"mmmm"))</f>
        <v>Novembre</v>
      </c>
      <c r="BV7" s="199"/>
      <c r="BW7" s="199"/>
      <c r="BX7" s="199"/>
      <c r="BY7" s="299">
        <f>YEAR(BU8)</f>
        <v>2020</v>
      </c>
      <c r="BZ7" s="300"/>
      <c r="CB7" s="198" t="str">
        <f>PROPER(TEXT(CB8,"mmmm"))</f>
        <v>Décembre</v>
      </c>
      <c r="CC7" s="199"/>
      <c r="CD7" s="199"/>
      <c r="CE7" s="199"/>
      <c r="CF7" s="299">
        <f>YEAR(CB8)</f>
        <v>2020</v>
      </c>
      <c r="CG7" s="300"/>
    </row>
    <row r="8" spans="1:85" ht="15.75">
      <c r="B8" s="202">
        <v>1</v>
      </c>
      <c r="C8" s="203">
        <f>DATE($H$3,D2,1)</f>
        <v>43831</v>
      </c>
      <c r="D8" s="145"/>
      <c r="E8" s="204">
        <f>IF(WEEKDAY(C8)=4,INT(MOD(INT((C8-2)/7)+0.6,52+5/28))+1,"")</f>
        <v>1</v>
      </c>
      <c r="F8" s="205" t="str">
        <f>IF(ISERROR(VLOOKUP(C8,Lune!$A$2:$B$55,2,FALSE)),"",VLOOKUP(C8,Lune!$A$2:$B$55,2,FALSE))</f>
        <v/>
      </c>
      <c r="G8" s="206" t="str">
        <f>IFERROR(IF(COUNTIF(Saints!$C$2:$C$371,C8)=0,"",INDEX(Saints!$D$2:$D$371,MATCH(C8,Saints!$C$2:$C$371,0))),"")</f>
        <v>Maria</v>
      </c>
      <c r="H8" s="207" t="str">
        <f>IF(COUNTIF(Parametre!$C$27:$C$39,C8)=0,"",INDEX(Parametre!$B$27:$B$39,MATCH(C8,Parametre!$C$27:$C$39,0)))&amp;""&amp;IF(COUNTIF(Parametre!$I$45:$I$94,C8)=0,"",INDEX(Parametre!$K$45:$K$94,MATCH(C8,Parametre!$I$45:$I$94,0)))</f>
        <v>Jour de l'An</v>
      </c>
      <c r="J8" s="203">
        <f>DATE(YEAR(C8),MONTH(C8)+1,1)</f>
        <v>43862</v>
      </c>
      <c r="K8" s="145"/>
      <c r="L8" s="204">
        <f>IF(WEEKDAY(C8)=4,INT(MOD(INT((J8-2)/7)+0.6,52+5/28))+1,"")</f>
        <v>5</v>
      </c>
      <c r="M8" s="205" t="str">
        <f>IF(ISERROR(VLOOKUP(J8,Lune!$A$2:$B$55,2,FALSE)),"",VLOOKUP(J8,Lune!$A$2:$B$55,2,FALSE))</f>
        <v></v>
      </c>
      <c r="N8" s="206" t="str">
        <f>IFERROR(IF(COUNTIF(Saints!$C$2:$C$371,J8)=0,"",INDEX(Saints!$D$2:$D$371,MATCH(J8,Saints!$C$2:$C$371,0))),"")</f>
        <v>Ella</v>
      </c>
      <c r="O8" s="207" t="str">
        <f>IF(COUNTIF(Parametre!$C$27:$C$39,J8)=0,"",INDEX(Parametre!$B$27:$B$39,MATCH(J8,Parametre!$C$27:$C$39,0)))&amp;""&amp;IF(COUNTIF(Parametre!$I$45:$I$94,J8)=0,"",INDEX(Parametre!$K$45:$K$94,MATCH(J8,Parametre!$I$45:$I$94,0)))</f>
        <v/>
      </c>
      <c r="Q8" s="203">
        <f>DATE(YEAR(J8),MONTH(J8)+1,1)</f>
        <v>43891</v>
      </c>
      <c r="R8" s="145"/>
      <c r="S8" s="204">
        <f>IF(WEEKDAY(C8)=4,INT(MOD(INT((Q8-2)/7)+0.6,52+5/28))+1,"")</f>
        <v>9</v>
      </c>
      <c r="T8" s="205" t="str">
        <f>IF(ISERROR(VLOOKUP(Q8,Lune!$A$2:$B$55,2,FALSE)),"",VLOOKUP(Q8,Lune!$A$2:$B$55,2,FALSE))</f>
        <v/>
      </c>
      <c r="U8" s="206" t="str">
        <f>IFERROR(IF(COUNTIF(Saints!$C$2:$C$371,Q8)=0,"",INDEX(Saints!$D$2:$D$371,MATCH(Q8,Saints!$C$2:$C$371,0))),"")</f>
        <v>Aubin</v>
      </c>
      <c r="V8" s="207" t="str">
        <f>IF(COUNTIF(Parametre!$C$27:$C$39,Q8)=0,"",INDEX(Parametre!$B$27:$B$39,MATCH(Q8,Parametre!$C$27:$C$39,0)))&amp;""&amp;IF(COUNTIF(Parametre!$I$45:$I$94,Q8)=0,"",INDEX(Parametre!$K$45:$K$94,MATCH(Q8,Parametre!$I$45:$I$94,0)))</f>
        <v>F. Grds-Mères</v>
      </c>
      <c r="X8" s="208">
        <f>DATE(YEAR(Q8),MONTH(Q8)+1,1)</f>
        <v>43922</v>
      </c>
      <c r="Y8" s="209"/>
      <c r="Z8" s="204">
        <f>IF(WEEKDAY(C8)=4,INT(MOD(INT((X8-2)/7)+0.6,52+5/28))+1,"")</f>
        <v>14</v>
      </c>
      <c r="AA8" s="205" t="str">
        <f>IF(ISERROR(VLOOKUP(X8,Lune!$A$2:$B$55,2,FALSE)),"",VLOOKUP(X8,Lune!$A$2:$B$55,2,FALSE))</f>
        <v></v>
      </c>
      <c r="AB8" s="206" t="str">
        <f>IFERROR(IF(COUNTIF(Saints!$C$2:$C$371,X8)=0,"",INDEX(Saints!$D$2:$D$371,MATCH(X8,Saints!$C$2:$C$371,0))),"")</f>
        <v>Hugues</v>
      </c>
      <c r="AC8" s="207" t="str">
        <f>IF(COUNTIF(Parametre!$C$27:$C$39,X8)=0,"",INDEX(Parametre!$B$27:$B$39,MATCH(X8,Parametre!$C$27:$C$39,0)))&amp;""&amp;IF(COUNTIF(Parametre!$I$45:$I$94,X8)=0,"",INDEX(Parametre!$K$45:$K$94,MATCH(X8,Parametre!$I$45:$I$94,0)))</f>
        <v>16 an Kelyan</v>
      </c>
      <c r="AE8" s="208">
        <f>DATE(YEAR(X8),MONTH(X8)+1,1)</f>
        <v>43952</v>
      </c>
      <c r="AF8" s="209"/>
      <c r="AG8" s="210">
        <f>IF(WEEKDAY(C8)=4,INT(MOD(INT((AE8-2)/7)+0.6,52+5/28))+1,"")</f>
        <v>18</v>
      </c>
      <c r="AH8" s="205" t="str">
        <f>IF(ISERROR(VLOOKUP(AE8,Lune!$A$2:$B$55,2,FALSE)),"",VLOOKUP(AE8,Lune!$A$2:$B$55,2,FALSE))</f>
        <v/>
      </c>
      <c r="AI8" s="206" t="str">
        <f>IFERROR(IF(COUNTIF(Saints!$C$2:$C$371,AE8)=0,"",INDEX(Saints!$D$2:$D$371,MATCH(AE8,Saints!$C$2:$C$371,0))),"")</f>
        <v>Muguet</v>
      </c>
      <c r="AJ8" s="211" t="str">
        <f>IF(COUNTIF(Parametre!$C$27:$C$39,AE8)=0,"",INDEX(Parametre!$B$27:$B$39,MATCH(AE8,Parametre!$C$27:$C$39,0)))&amp;""&amp;IF(COUNTIF(Parametre!$I$45:$I$94,AE8)=0,"",INDEX(Parametre!$K$45:$K$94,MATCH(AE8,Parametre!$I$45:$I$94,0)))</f>
        <v>Fête du travail</v>
      </c>
      <c r="AL8" s="208">
        <f>DATE(YEAR(AE8),MONTH(AE8)+1,1)</f>
        <v>43983</v>
      </c>
      <c r="AM8" s="209"/>
      <c r="AN8" s="213">
        <f>INT(MOD(INT((AL8-2)/7)+3/5,52+5/28))+1</f>
        <v>23</v>
      </c>
      <c r="AO8" s="205" t="str">
        <f>IF(ISERROR(VLOOKUP(AL8,Lune!$A$2:$B$55,2,FALSE)),"",VLOOKUP(AL8,Lune!$A$2:$B$55,2,FALSE))</f>
        <v/>
      </c>
      <c r="AP8" s="206" t="str">
        <f>IFERROR(IF(COUNTIF(Saints!$C$2:$C$371,AL8)=0,"",INDEX(Saints!$D$2:$D$371,MATCH(AL8,Saints!$C$2:$C$371,0))),"")</f>
        <v>Justin</v>
      </c>
      <c r="AQ8" s="211" t="str">
        <f>IF(COUNTIF(Parametre!$C$27:$C$39,AL8)=0,"",INDEX(Parametre!$B$27:$B$39,MATCH(AL8,Parametre!$C$27:$C$39,0)))&amp;"-"&amp;IF(COUNTIF(Parametre!$I$45:$I$94,AL8)=0,"",INDEX(Parametre!$K$45:$K$94,MATCH(AL8,Parametre!$I$45:$I$94,0)))</f>
        <v>Lun Pent.-61 an M. Claire</v>
      </c>
      <c r="AS8" s="208">
        <f>DATE(YEAR(AL8),MONTH(AL8)+1,1)</f>
        <v>44013</v>
      </c>
      <c r="AT8" s="209"/>
      <c r="AU8" s="210">
        <f>INT(MOD(INT((AS8-2)/7)+3/5,52+5/28))+1</f>
        <v>27</v>
      </c>
      <c r="AV8" s="205" t="str">
        <f>IF(ISERROR(VLOOKUP(AS8,Lune!$A$2:$B$55,2,FALSE)),"",VLOOKUP(AS8,Lune!$A$2:$B$55,2,FALSE))</f>
        <v/>
      </c>
      <c r="AW8" s="206" t="str">
        <f>IFERROR(IF(COUNTIF(Saints!$C$2:$C$371,AS8)=0,"",INDEX(Saints!$D$2:$D$371,MATCH(AS8,Saints!$C$2:$C$371,0))),"")</f>
        <v>Thierry</v>
      </c>
      <c r="AX8" s="211" t="str">
        <f>IF(COUNTIF(Parametre!$C$27:$C$39,AS8)=0,"",INDEX(Parametre!$B$27:$B$39,MATCH(AS8,Parametre!$C$27:$C$39,0)))&amp;""&amp;IF(COUNTIF(Parametre!$I$45:$I$94,AS8)=0,"",INDEX(Parametre!$K$45:$K$94,MATCH(AS8,Parametre!$I$45:$I$94,0)))</f>
        <v/>
      </c>
      <c r="AZ8" s="208">
        <f>DATE(YEAR(AS8),MONTH(AS8)+1,1)</f>
        <v>44044</v>
      </c>
      <c r="BA8" s="209"/>
      <c r="BB8" s="210">
        <f>INT(MOD(INT((AZ8-2)/7)+3/5,52+5/28))+1</f>
        <v>31</v>
      </c>
      <c r="BC8" s="205" t="str">
        <f>IF(ISERROR(VLOOKUP(AZ8,Lune!$A$2:$B$55,2,FALSE)),"",VLOOKUP(AZ8,Lune!$A$2:$B$55,2,FALSE))</f>
        <v/>
      </c>
      <c r="BD8" s="206" t="str">
        <f>IFERROR(IF(COUNTIF(Saints!$C$2:$C$371,AZ8)=0,"",INDEX(Saints!$D$2:$D$371,MATCH(AZ8,Saints!$C$2:$C$371,0))),"")</f>
        <v>Alphonse</v>
      </c>
      <c r="BE8" s="211" t="str">
        <f>IF(COUNTIF(Parametre!$C$27:$C$39,AZ8)=0,"",INDEX(Parametre!$B$27:$B$39,MATCH(AZ8,Parametre!$C$27:$C$39,0)))&amp;""&amp;IF(COUNTIF(Parametre!$I$45:$I$94,AZ8)=0,"",INDEX(Parametre!$K$45:$K$94,MATCH(AZ8,Parametre!$I$45:$I$94,0)))</f>
        <v/>
      </c>
      <c r="BG8" s="208">
        <f>DATE(YEAR(AZ8),MONTH(AZ8)+1,1)</f>
        <v>44075</v>
      </c>
      <c r="BH8" s="209"/>
      <c r="BI8" s="210">
        <f>INT(MOD(INT((BG8-2)/7)+3/5,52+5/28))+1</f>
        <v>36</v>
      </c>
      <c r="BJ8" s="205" t="str">
        <f>IF(ISERROR(VLOOKUP(BG8,Lune!$A$2:$B$55,2,FALSE)),"",VLOOKUP(BG8,Lune!$A$2:$B$55,2,FALSE))</f>
        <v/>
      </c>
      <c r="BK8" s="206" t="str">
        <f>IFERROR(IF(COUNTIF(Saints!$C$2:$C$371,BG8)=0,"",INDEX(Saints!$D$2:$D$371,MATCH(BG8,Saints!$C$2:$C$371,0))),"")</f>
        <v>Gilles</v>
      </c>
      <c r="BL8" s="211" t="str">
        <f>IF(COUNTIF(Parametre!$C$27:$C$39,BG8)=0,"",INDEX(Parametre!$B$27:$B$39,MATCH(BG8,Parametre!$C$27:$C$39,0)))&amp;""&amp;IF(COUNTIF(Parametre!$I$45:$I$94,BG8)=0,"",INDEX(Parametre!$K$45:$K$94,MATCH(BG8,Parametre!$I$45:$I$94,0)))</f>
        <v>40 an Gwénaëlle</v>
      </c>
      <c r="BN8" s="212">
        <f>DATE(YEAR(BG8),MONTH(BG8)+1,1)</f>
        <v>44105</v>
      </c>
      <c r="BO8" s="145"/>
      <c r="BP8" s="213">
        <f>INT(MOD(INT((BN8-2)/7)+3/5,52+5/28))+1</f>
        <v>40</v>
      </c>
      <c r="BQ8" s="205" t="str">
        <f>IF(ISERROR(VLOOKUP(BN8,Lune!$A$2:$B$55,2,FALSE)),"",VLOOKUP(BN8,Lune!$A$2:$B$55,2,FALSE))</f>
        <v></v>
      </c>
      <c r="BR8" s="206" t="str">
        <f>IFERROR(IF(COUNTIF(Saints!$C$2:$C$371,BN8)=0,"",INDEX(Saints!$D$2:$D$371,MATCH(BN8,Saints!$C$2:$C$371,0))),"")</f>
        <v>Thérèse</v>
      </c>
      <c r="BS8" s="211" t="str">
        <f>IF(COUNTIF(Parametre!$C$27:$C$39,BN8)=0,"",INDEX(Parametre!$B$27:$B$39,MATCH(BN8,Parametre!$C$27:$C$39,0)))&amp;""&amp;IF(COUNTIF(Parametre!$I$45:$I$94,BN8)=0,"",INDEX(Parametre!$K$45:$K$94,MATCH(BN8,Parametre!$I$45:$I$94,0)))</f>
        <v/>
      </c>
      <c r="BU8" s="212">
        <f>DATE(YEAR(BN8),MONTH(BN8)+1,1)</f>
        <v>44136</v>
      </c>
      <c r="BV8" s="145"/>
      <c r="BW8" s="213">
        <f>INT(MOD(INT((BU8-2)/7)+3/5,52+5/28))+1</f>
        <v>44</v>
      </c>
      <c r="BX8" s="205" t="str">
        <f>IF(ISERROR(VLOOKUP(BU8,Lune!$A$2:$B$55,2,FALSE)),"",VLOOKUP(BU8,Lune!$A$2:$B$55,2,FALSE))</f>
        <v/>
      </c>
      <c r="BY8" s="206" t="str">
        <f>IFERROR(IF(COUNTIF(Saints!$C$2:$C$371,BU8)=0,"",INDEX(Saints!$D$2:$D$371,MATCH(BU8,Saints!$C$2:$C$371,0))),"")</f>
        <v>Mathurin</v>
      </c>
      <c r="BZ8" s="211" t="str">
        <f>IF(COUNTIF(Parametre!$C$27:$C$39,BU8)=0,"",INDEX(Parametre!$B$27:$B$39,MATCH(BU8,Parametre!$C$27:$C$39,0)))&amp;""&amp;IF(COUNTIF(Parametre!$I$45:$I$94,BU8)=0,"",INDEX(Parametre!$K$45:$K$94,MATCH(BU8,Parametre!$I$45:$I$94,0)))</f>
        <v>Toussaint</v>
      </c>
      <c r="CB8" s="212">
        <f>DATE(YEAR(BU8),MONTH(BU8)+1,1)</f>
        <v>44166</v>
      </c>
      <c r="CC8" s="145"/>
      <c r="CD8" s="213">
        <f>INT(MOD(INT((CB8-2)/7)+3/5,52+5/28))+1</f>
        <v>49</v>
      </c>
      <c r="CE8" s="205" t="str">
        <f>IF(ISERROR(VLOOKUP(CB8,Lune!$A$2:$B$55,2,FALSE)),"",VLOOKUP(CB8,Lune!$A$2:$B$55,2,FALSE))</f>
        <v/>
      </c>
      <c r="CF8" s="206" t="str">
        <f>IFERROR(IF(COUNTIF(Saints!$C$2:$C$371,CB8)=0,"",INDEX(Saints!$D$2:$D$371,MATCH(CB8,Saints!$C$2:$C$371,0))),"")</f>
        <v>Florence</v>
      </c>
      <c r="CG8" s="211" t="str">
        <f>IF(COUNTIF(Parametre!$C$27:$C$39,CB8)=0,"",INDEX(Parametre!$B$27:$B$39,MATCH(CB8,Parametre!$C$27:$C$39,0)))&amp;" "&amp;IF(COUNTIF(Parametre!$I$45:$I$94,CB8)=0,"",INDEX(Parametre!$K$45:$K$94,MATCH(CB8,Parametre!$I$45:$I$94,0)))</f>
        <v xml:space="preserve"> </v>
      </c>
    </row>
    <row r="9" spans="1:85" ht="15.75">
      <c r="B9" s="202">
        <v>2</v>
      </c>
      <c r="C9" s="203">
        <f>C8+1</f>
        <v>43832</v>
      </c>
      <c r="D9" s="145"/>
      <c r="E9" s="204" t="str">
        <f>IF(WEEKDAY(C9)=2,INT(MOD(INT((C9-2)/7)+0.6,52+5/28))+1,"")</f>
        <v/>
      </c>
      <c r="F9" s="205" t="str">
        <f>IF(ISERROR(VLOOKUP(C9,Lune!$A$2:$B$55,2,FALSE)),"",VLOOKUP(C9,Lune!$A$2:$B$55,2,FALSE))</f>
        <v/>
      </c>
      <c r="G9" s="206" t="str">
        <f>IFERROR(IF(COUNTIF(Saints!$C$2:$C$371,C9)=0,"",INDEX(Saints!$D$2:$D$371,MATCH(C9,Saints!$C$2:$C$371,0))),"")</f>
        <v>Basile</v>
      </c>
      <c r="H9" s="207" t="str">
        <f>IF(COUNTIF(Parametre!$C$27:$C$39,C9)=0,"",INDEX(Parametre!$B$27:$B$39,MATCH(C9,Parametre!$C$27:$C$39,0)))&amp;""&amp;IF(COUNTIF(Parametre!$I$45:$I$94,C9)=0,"",INDEX(Parametre!$K$45:$K$94,MATCH(C9,Parametre!$I$45:$I$94,0)))</f>
        <v/>
      </c>
      <c r="J9" s="203">
        <f>J8+1</f>
        <v>43863</v>
      </c>
      <c r="K9" s="145"/>
      <c r="L9" s="204" t="str">
        <f>IF(WEEKDAY(J9)=2,INT(MOD(INT((J9-2)/7)+0.6,52+5/28))+1,"")</f>
        <v/>
      </c>
      <c r="M9" s="205" t="str">
        <f>IF(ISERROR(VLOOKUP(J9,Lune!$A$2:$B$55,2,FALSE)),"",VLOOKUP(J9,Lune!$A$2:$B$55,2,FALSE))</f>
        <v/>
      </c>
      <c r="N9" s="206" t="str">
        <f>IFERROR(IF(COUNTIF(Saints!$C$2:$C$371,J9)=0,"",INDEX(Saints!$D$2:$D$371,MATCH(J9,Saints!$C$2:$C$371,0))),"")</f>
        <v>Théophane</v>
      </c>
      <c r="O9" s="207" t="str">
        <f>IF(COUNTIF(Parametre!$C$27:$C$39,J9)=0,"",INDEX(Parametre!$B$27:$B$39,MATCH(J9,Parametre!$C$27:$C$39,0)))&amp;""&amp;IF(COUNTIF(Parametre!$I$45:$I$94,J9)=0,"",INDEX(Parametre!$K$45:$K$94,MATCH(J9,Parametre!$I$45:$I$94,0)))</f>
        <v>Chandeleur</v>
      </c>
      <c r="Q9" s="203">
        <f>Q8+1</f>
        <v>43892</v>
      </c>
      <c r="R9" s="145"/>
      <c r="S9" s="204">
        <f>IFERROR(IF(WEEKDAY(Q9)=2,INT(MOD(INT((Q9-2)/7)+0.6,52+5/28))+1,""),"")</f>
        <v>10</v>
      </c>
      <c r="T9" s="205" t="str">
        <f>IF(ISERROR(VLOOKUP(Q9,Lune!$A$2:$B$55,2,FALSE)),"",VLOOKUP(Q9,Lune!$A$2:$B$55,2,FALSE))</f>
        <v></v>
      </c>
      <c r="U9" s="206" t="str">
        <f>IFERROR(IF(COUNTIF(Saints!$C$2:$C$371,Q9)=0,"",INDEX(Saints!$D$2:$D$371,MATCH(Q9,Saints!$C$2:$C$371,0))),"")</f>
        <v>Joévin</v>
      </c>
      <c r="V9" s="207" t="str">
        <f>IF(COUNTIF(Parametre!$C$27:$C$39,Q9)=0,"",INDEX(Parametre!$B$27:$B$39,MATCH(Q9,Parametre!$C$27:$C$39,0)))&amp;""&amp;IF(COUNTIF(Parametre!$I$45:$I$94,Q9)=0,"",INDEX(Parametre!$K$45:$K$94,MATCH(Q9,Parametre!$I$45:$I$94,0)))</f>
        <v/>
      </c>
      <c r="X9" s="212">
        <f>X8+1</f>
        <v>43923</v>
      </c>
      <c r="Y9" s="145"/>
      <c r="Z9" s="204" t="str">
        <f>IF(WEEKDAY(X9)=2,INT(MOD(INT((X9-2)/7)+0.6,52+5/28))+1,"")</f>
        <v/>
      </c>
      <c r="AA9" s="205" t="str">
        <f>IF(ISERROR(VLOOKUP(X9,Lune!$A$2:$B$55,2,FALSE)),"",VLOOKUP(X9,Lune!$A$2:$B$55,2,FALSE))</f>
        <v/>
      </c>
      <c r="AB9" s="206" t="str">
        <f>IFERROR(IF(COUNTIF(Saints!$C$2:$C$371,X9)=0,"",INDEX(Saints!$D$2:$D$371,MATCH(X9,Saints!$C$2:$C$371,0))),"")</f>
        <v>Sandrine</v>
      </c>
      <c r="AC9" s="207" t="str">
        <f>IF(COUNTIF(Parametre!$C$27:$C$39,X9)=0,"",INDEX(Parametre!$B$27:$B$39,MATCH(X9,Parametre!$C$27:$C$39,0)))&amp;""&amp;IF(COUNTIF(Parametre!$I$45:$I$94,X9)=0,"",INDEX(Parametre!$K$45:$K$94,MATCH(X9,Parametre!$I$45:$I$94,0)))</f>
        <v/>
      </c>
      <c r="AE9" s="212">
        <f>AE8+1</f>
        <v>43953</v>
      </c>
      <c r="AF9" s="145"/>
      <c r="AG9" s="213" t="str">
        <f>IFERROR(IF(WEEKDAY(AE9)=2,INT(MOD(INT((AE9-2)/7)+0.6,52+5/28))+1,""),"")</f>
        <v/>
      </c>
      <c r="AH9" s="205" t="str">
        <f>IF(ISERROR(VLOOKUP(AE9,[1]Lune!$A$2:$B$55,2,FALSE)),"",VLOOKUP(AE9,[1]Lune!$A$2:$B$55,2,FALSE))</f>
        <v/>
      </c>
      <c r="AI9" s="206" t="str">
        <f>IFERROR(IF(COUNTIF(Saints!$C$2:$C$371,AE9)=0,"",INDEX(Saints!$D$2:$D$371,MATCH(AE9,Saints!$C$2:$C$371,0))),"")</f>
        <v>Boris</v>
      </c>
      <c r="AJ9" s="211" t="str">
        <f>IF(COUNTIF(Parametre!$C$27:$C$39,AE9)=0,"",INDEX(Parametre!$B$27:$B$39,MATCH(AE9,Parametre!$C$27:$C$39,0)))&amp;""&amp;IF(COUNTIF(Parametre!$I$45:$I$94,AE9)=0,"",INDEX(Parametre!$K$45:$K$94,MATCH(AE9,Parametre!$I$45:$I$94,0)))</f>
        <v/>
      </c>
      <c r="AL9" s="212">
        <f>AL8+1</f>
        <v>43984</v>
      </c>
      <c r="AM9" s="145"/>
      <c r="AN9" s="213" t="str">
        <f>IFERROR(IF(WEEKDAY(AL9)=2,INT(MOD(INT((AL9-2)/7)+0.6,52+5/28))+1,""),"")</f>
        <v/>
      </c>
      <c r="AO9" s="205" t="str">
        <f>IF(ISERROR(VLOOKUP(AL9,Lune!$A$2:$B$55,2,FALSE)),"",VLOOKUP(AL9,Lune!$A$2:$B$55,2,FALSE))</f>
        <v/>
      </c>
      <c r="AP9" s="206" t="str">
        <f>IFERROR(IF(COUNTIF(Saints!$C$2:$C$371,AL9)=0,"",INDEX(Saints!$D$2:$D$371,MATCH(AL9,Saints!$C$2:$C$371,0))),"")</f>
        <v>Blandine</v>
      </c>
      <c r="AQ9" s="211" t="str">
        <f>IF(COUNTIF(Parametre!$C$27:$C$39,AL9)=0,"",INDEX(Parametre!$B$27:$B$39,MATCH(AL9,Parametre!$C$27:$C$39,0)))&amp;""&amp;IF(COUNTIF(Parametre!$I$45:$I$94,AL9)=0,"",INDEX(Parametre!$K$45:$K$94,MATCH(AL9,Parametre!$I$45:$I$94,0)))</f>
        <v/>
      </c>
      <c r="AS9" s="212">
        <f>AS8+1</f>
        <v>44014</v>
      </c>
      <c r="AT9" s="145"/>
      <c r="AU9" s="213" t="str">
        <f>IFERROR(IF(WEEKDAY(AS9)=2,INT(MOD(INT((AS9-2)/7)+0.6,52+5/28))+1,""),"")</f>
        <v/>
      </c>
      <c r="AV9" s="205" t="str">
        <f>IF(ISERROR(VLOOKUP(AS9,Lune!$A$2:$B$55,2,FALSE)),"",VLOOKUP(AS9,Lune!$A$2:$B$55,2,FALSE))</f>
        <v/>
      </c>
      <c r="AW9" s="206" t="str">
        <f>IFERROR(IF(COUNTIF(Saints!$C$2:$C$371,AS9)=0,"",INDEX(Saints!$D$2:$D$371,MATCH(AS9,Saints!$C$2:$C$371,0))),"")</f>
        <v>Martinien</v>
      </c>
      <c r="AX9" s="211" t="str">
        <f>IF(COUNTIF(Parametre!$C$27:$C$39,AS9)=0,"",INDEX(Parametre!$B$27:$B$39,MATCH(AS9,Parametre!$C$27:$C$39,0)))&amp;""&amp;IF(COUNTIF(Parametre!$I$45:$I$94,AS9)=0,"",INDEX(Parametre!$K$45:$K$94,MATCH(AS9,Parametre!$I$45:$I$94,0)))</f>
        <v/>
      </c>
      <c r="AZ9" s="212">
        <f>AZ8+1</f>
        <v>44045</v>
      </c>
      <c r="BA9" s="145"/>
      <c r="BB9" s="213" t="str">
        <f>IFERROR(IF(WEEKDAY(AZ9)=2,INT(MOD(INT((AZ9-2)/7)+0.6,52+5/28))+1,""),"")</f>
        <v/>
      </c>
      <c r="BC9" s="205" t="str">
        <f>IF(ISERROR(VLOOKUP(AZ9,Lune!$A$2:$B$55,2,FALSE)),"",VLOOKUP(AZ9,Lune!$A$2:$B$55,2,FALSE))</f>
        <v/>
      </c>
      <c r="BD9" s="206" t="str">
        <f>IFERROR(IF(COUNTIF(Saints!$C$2:$C$371,AZ9)=0,"",INDEX(Saints!$D$2:$D$371,MATCH(AZ9,Saints!$C$2:$C$371,0))),"")</f>
        <v xml:space="preserve">Julien </v>
      </c>
      <c r="BE9" s="211" t="str">
        <f>IF(COUNTIF(Parametre!$C$27:$C$39,AZ9)=0,"",INDEX(Parametre!$B$27:$B$39,MATCH(AZ9,Parametre!$C$27:$C$39,0)))&amp;""&amp;IF(COUNTIF(Parametre!$I$45:$I$94,AZ9)=0,"",INDEX(Parametre!$K$45:$K$94,MATCH(AZ9,Parametre!$I$45:$I$94,0)))</f>
        <v/>
      </c>
      <c r="BG9" s="212">
        <f>BG8+1</f>
        <v>44076</v>
      </c>
      <c r="BH9" s="145"/>
      <c r="BI9" s="213" t="str">
        <f>IFERROR(IF(WEEKDAY(BG9)=2,INT(MOD(INT((BG9-2)/7)+0.6,52+5/28))+1,""),"")</f>
        <v/>
      </c>
      <c r="BJ9" s="205" t="str">
        <f>IF(ISERROR(VLOOKUP(BG9,Lune!$A$2:$B$55,2,FALSE)),"",VLOOKUP(BG9,Lune!$A$2:$B$55,2,FALSE))</f>
        <v></v>
      </c>
      <c r="BK9" s="206" t="str">
        <f>IFERROR(IF(COUNTIF(Saints!$C$2:$C$371,BG9)=0,"",INDEX(Saints!$D$2:$D$371,MATCH(BG9,Saints!$C$2:$C$371,0))),"")</f>
        <v>Ingrid</v>
      </c>
      <c r="BL9" s="211" t="str">
        <f>IF(COUNTIF(Parametre!$C$27:$C$39,BG9)=0,"",INDEX(Parametre!$B$27:$B$39,MATCH(BG9,Parametre!$C$27:$C$39,0)))&amp;""&amp;IF(COUNTIF(Parametre!$I$45:$I$94,BG9)=0,"",INDEX(Parametre!$K$45:$K$94,MATCH(BG9,Parametre!$I$45:$I$94,0)))</f>
        <v/>
      </c>
      <c r="BN9" s="212">
        <f>BN8+1</f>
        <v>44106</v>
      </c>
      <c r="BO9" s="145"/>
      <c r="BP9" s="213" t="str">
        <f>IFERROR(IF(WEEKDAY(BN9)=2,INT(MOD(INT((BN9-2)/7)+0.6,52+5/28))+1,""),"")</f>
        <v/>
      </c>
      <c r="BQ9" s="205" t="str">
        <f>IF(ISERROR(VLOOKUP(BN9,Lune!$A$2:$B$55,2,FALSE)),"",VLOOKUP(BN9,Lune!$A$2:$B$55,2,FALSE))</f>
        <v/>
      </c>
      <c r="BR9" s="206" t="str">
        <f>IFERROR(IF(COUNTIF(Saints!$C$2:$C$371,BN9)=0,"",INDEX(Saints!$D$2:$D$371,MATCH(BN9,Saints!$C$2:$C$371,0))),"")</f>
        <v>Léger</v>
      </c>
      <c r="BS9" s="211" t="str">
        <f>IF(COUNTIF(Parametre!$C$27:$C$39,BN9)=0,"",INDEX(Parametre!$B$27:$B$39,MATCH(BN9,Parametre!$C$27:$C$39,0)))&amp;""&amp;IF(COUNTIF(Parametre!$I$45:$I$94,BN9)=0,"",INDEX(Parametre!$K$45:$K$94,MATCH(BN9,Parametre!$I$45:$I$94,0)))</f>
        <v/>
      </c>
      <c r="BU9" s="212">
        <f>BU8+1</f>
        <v>44137</v>
      </c>
      <c r="BV9" s="145"/>
      <c r="BW9" s="213">
        <f>IFERROR(IF(WEEKDAY(BU9)=2,INT(MOD(INT((BU9-2)/7)+0.6,52+5/28))+1,""),"")</f>
        <v>45</v>
      </c>
      <c r="BX9" s="205" t="str">
        <f>IF(ISERROR(VLOOKUP(BU9,Lune!$A$2:$B$55,2,FALSE)),"",VLOOKUP(BU9,Lune!$A$2:$B$55,2,FALSE))</f>
        <v/>
      </c>
      <c r="BY9" s="206" t="str">
        <f>IFERROR(IF(COUNTIF(Saints!$C$2:$C$371,BU9)=0,"",INDEX(Saints!$D$2:$D$371,MATCH(BU9,Saints!$C$2:$C$371,0))),"")</f>
        <v>Défunts</v>
      </c>
      <c r="BZ9" s="211" t="str">
        <f>IF(COUNTIF(Parametre!$C$27:$C$39,BU9)=0,"",INDEX(Parametre!$B$27:$B$39,MATCH(BU9,Parametre!$C$27:$C$39,0)))&amp;""&amp;IF(COUNTIF(Parametre!$I$45:$I$94,BU9)=0,"",INDEX(Parametre!$K$45:$K$94,MATCH(BU9,Parametre!$I$45:$I$94,0)))</f>
        <v/>
      </c>
      <c r="CB9" s="212">
        <f>CB8+1</f>
        <v>44167</v>
      </c>
      <c r="CC9" s="145"/>
      <c r="CD9" s="213" t="str">
        <f>IFERROR(IF(WEEKDAY(CB9)=2,INT(MOD(INT((CB9-2)/7)+0.6,52+5/28))+1,""),"")</f>
        <v/>
      </c>
      <c r="CE9" s="205" t="str">
        <f>IF(ISERROR(VLOOKUP(CB9,Lune!$A$2:$B$55,2,FALSE)),"",VLOOKUP(CB9,Lune!$A$2:$B$55,2,FALSE))</f>
        <v/>
      </c>
      <c r="CF9" s="206" t="str">
        <f>IFERROR(IF(COUNTIF(Saints!$C$2:$C$371,CB9)=0,"",INDEX(Saints!$D$2:$D$371,MATCH(CB9,Saints!$C$2:$C$371,0))),"")</f>
        <v>Viviane</v>
      </c>
      <c r="CG9" s="211" t="str">
        <f>IF(COUNTIF(Parametre!$C$27:$C$39,CB9)=0,"",INDEX(Parametre!$B$27:$B$39,MATCH(CB9,Parametre!$C$27:$C$39,0)))&amp;" "&amp;IF(COUNTIF(Parametre!$I$45:$I$94,CB9)=0,"",INDEX(Parametre!$K$45:$K$94,MATCH(CB9,Parametre!$I$45:$I$94,0)))</f>
        <v xml:space="preserve"> </v>
      </c>
    </row>
    <row r="10" spans="1:85" ht="15.75">
      <c r="B10" s="202">
        <v>3</v>
      </c>
      <c r="C10" s="203">
        <f>C9+1</f>
        <v>43833</v>
      </c>
      <c r="D10" s="145"/>
      <c r="E10" s="214" t="str">
        <f t="shared" ref="E10:E38" si="0">IF(WEEKDAY(C10)=2,INT(MOD(INT((C10-2)/7)+0.6,52+5/28))+1,"")</f>
        <v/>
      </c>
      <c r="F10" s="205" t="str">
        <f>IF(ISERROR(VLOOKUP(C10,Lune!$A$2:$B$55,2,FALSE)),"",VLOOKUP(C10,Lune!$A$2:$B$55,2,FALSE))</f>
        <v></v>
      </c>
      <c r="G10" s="206" t="str">
        <f>IFERROR(IF(COUNTIF(Saints!$C$2:$C$371,C10)=0,"",INDEX(Saints!$D$2:$D$371,MATCH(C10,Saints!$C$2:$C$371,0))),"")</f>
        <v>Geneviève</v>
      </c>
      <c r="H10" s="207" t="str">
        <f>IF(COUNTIF(Parametre!$C$27:$C$39,C10)=0,"",INDEX(Parametre!$B$27:$B$39,MATCH(C10,Parametre!$C$27:$C$39,0)))&amp;""&amp;IF(COUNTIF(Parametre!$I$45:$I$94,C10)=0,"",INDEX(Parametre!$K$45:$K$94,MATCH(C10,Parametre!$I$45:$I$94,0)))</f>
        <v/>
      </c>
      <c r="J10" s="203">
        <f t="shared" ref="J10:J35" si="1">J9+1</f>
        <v>43864</v>
      </c>
      <c r="K10" s="145"/>
      <c r="L10" s="204">
        <f t="shared" ref="L10:L35" si="2">IF(WEEKDAY(J10)=2,INT(MOD(INT((J10-2)/7)+0.6,52+5/28))+1,"")</f>
        <v>6</v>
      </c>
      <c r="M10" s="205" t="str">
        <f>IF(ISERROR(VLOOKUP(J10,Lune!$A$2:$B$55,2,FALSE)),"",VLOOKUP(J10,Lune!$A$2:$B$55,2,FALSE))</f>
        <v/>
      </c>
      <c r="N10" s="206" t="str">
        <f>IFERROR(IF(COUNTIF(Saints!$C$2:$C$371,J10)=0,"",INDEX(Saints!$D$2:$D$371,MATCH(J10,Saints!$C$2:$C$371,0))),"")</f>
        <v>Blaise</v>
      </c>
      <c r="O10" s="207" t="str">
        <f>IF(COUNTIF(Parametre!$C$27:$C$39,J10)=0,"",INDEX(Parametre!$B$27:$B$39,MATCH(J10,Parametre!$C$27:$C$39,0)))&amp;""&amp;IF(COUNTIF(Parametre!$I$45:$I$94,J10)=0,"",INDEX(Parametre!$K$45:$K$94,MATCH(J10,Parametre!$I$45:$I$94,0)))</f>
        <v/>
      </c>
      <c r="Q10" s="203">
        <f t="shared" ref="Q10:Q35" si="3">Q9+1</f>
        <v>43893</v>
      </c>
      <c r="R10" s="145"/>
      <c r="S10" s="204" t="str">
        <f t="shared" ref="S10:S38" si="4">IF(WEEKDAY(Q10)=2,INT(MOD(INT((Q10-2)/7)+0.6,52+5/28))+1,"")</f>
        <v/>
      </c>
      <c r="T10" s="205" t="str">
        <f>IF(ISERROR(VLOOKUP(Q10,Lune!$A$2:$B$55,2,FALSE)),"",VLOOKUP(Q10,Lune!$A$2:$B$55,2,FALSE))</f>
        <v/>
      </c>
      <c r="U10" s="206" t="str">
        <f>IFERROR(IF(COUNTIF(Saints!$C$2:$C$371,Q10)=0,"",INDEX(Saints!$D$2:$D$371,MATCH(Q10,Saints!$C$2:$C$371,0))),"")</f>
        <v>Guénolé</v>
      </c>
      <c r="V10" s="207" t="str">
        <f>IF(COUNTIF(Parametre!$C$27:$C$39,Q10)=0,"",INDEX(Parametre!$B$27:$B$39,MATCH(Q10,Parametre!$C$27:$C$39,0)))&amp;""&amp;IF(COUNTIF(Parametre!$I$45:$I$94,Q10)=0,"",INDEX(Parametre!$K$45:$K$94,MATCH(Q10,Parametre!$I$45:$I$94,0)))</f>
        <v/>
      </c>
      <c r="X10" s="212">
        <f t="shared" ref="X10:X35" si="5">X9+1</f>
        <v>43924</v>
      </c>
      <c r="Y10" s="145"/>
      <c r="Z10" s="204" t="str">
        <f t="shared" ref="Z10:Z37" si="6">IF(WEEKDAY(X10)=2,INT(MOD(INT((X10-2)/7)+0.6,52+5/28))+1,"")</f>
        <v/>
      </c>
      <c r="AA10" s="205" t="str">
        <f>IF(ISERROR(VLOOKUP(X10,Lune!$A$2:$B$55,2,FALSE)),"",VLOOKUP(X10,Lune!$A$2:$B$55,2,FALSE))</f>
        <v/>
      </c>
      <c r="AB10" s="206" t="str">
        <f>IFERROR(IF(COUNTIF(Saints!$C$2:$C$371,X10)=0,"",INDEX(Saints!$D$2:$D$371,MATCH(X10,Saints!$C$2:$C$371,0))),"")</f>
        <v>Richard</v>
      </c>
      <c r="AC10" s="207" t="str">
        <f>IF(COUNTIF(Parametre!$C$27:$C$39,X10)=0,"",INDEX(Parametre!$B$27:$B$39,MATCH(X10,Parametre!$C$27:$C$39,0)))&amp;""&amp;IF(COUNTIF(Parametre!$I$45:$I$94,X10)=0,"",INDEX(Parametre!$K$45:$K$94,MATCH(X10,Parametre!$I$45:$I$94,0)))</f>
        <v/>
      </c>
      <c r="AE10" s="212">
        <f t="shared" ref="AE10:AE35" si="7">AE9+1</f>
        <v>43954</v>
      </c>
      <c r="AF10" s="145"/>
      <c r="AG10" s="213" t="str">
        <f t="shared" ref="AG10:AG37" si="8">IF(WEEKDAY(AE10)=2,INT(MOD(INT((AE10-2)/7)+0.6,52+5/28))+1,"")</f>
        <v/>
      </c>
      <c r="AH10" s="205" t="str">
        <f>IF(ISERROR(VLOOKUP(AE10,[1]Lune!$A$2:$B$55,2,FALSE)),"",VLOOKUP(AE10,[1]Lune!$A$2:$B$55,2,FALSE))</f>
        <v/>
      </c>
      <c r="AI10" s="206" t="str">
        <f>IFERROR(IF(COUNTIF(Saints!$C$2:$C$371,AE10)=0,"",INDEX(Saints!$D$2:$D$371,MATCH(AE10,Saints!$C$2:$C$371,0))),"")</f>
        <v>Philippe</v>
      </c>
      <c r="AJ10" s="211" t="str">
        <f>IF(COUNTIF(Parametre!$C$27:$C$39,AE10)=0,"",INDEX(Parametre!$B$27:$B$39,MATCH(AE10,Parametre!$C$27:$C$39,0)))&amp;""&amp;IF(COUNTIF(Parametre!$I$45:$I$94,AE10)=0,"",INDEX(Parametre!$K$45:$K$94,MATCH(AE10,Parametre!$I$45:$I$94,0)))</f>
        <v/>
      </c>
      <c r="AL10" s="212">
        <f t="shared" ref="AL10:AL15" si="9">AL9+1</f>
        <v>43985</v>
      </c>
      <c r="AM10" s="145"/>
      <c r="AN10" s="213" t="str">
        <f t="shared" ref="AN10" si="10">IF(WEEKDAY(AL10)=2,INT(MOD(INT((AL10-2)/7)+0.6,52+5/28))+1,"")</f>
        <v/>
      </c>
      <c r="AO10" s="205" t="str">
        <f>IF(ISERROR(VLOOKUP(AL10,Lune!$A$2:$B$55,2,FALSE)),"",VLOOKUP(AL10,Lune!$A$2:$B$55,2,FALSE))</f>
        <v/>
      </c>
      <c r="AP10" s="206" t="str">
        <f>IFERROR(IF(COUNTIF(Saints!$C$2:$C$371,AL10)=0,"",INDEX(Saints!$D$2:$D$371,MATCH(AL10,Saints!$C$2:$C$371,0))),"")</f>
        <v>Kévin</v>
      </c>
      <c r="AQ10" s="211" t="str">
        <f>IF(COUNTIF(Parametre!$C$27:$C$39,AL10)=0,"",INDEX(Parametre!$B$27:$B$39,MATCH(AL10,Parametre!$C$27:$C$39,0)))&amp;""&amp;IF(COUNTIF(Parametre!$I$45:$I$94,AL10)=0,"",INDEX(Parametre!$K$45:$K$94,MATCH(AL10,Parametre!$I$45:$I$94,0)))</f>
        <v/>
      </c>
      <c r="AS10" s="212">
        <f t="shared" ref="AS10:AS15" si="11">AS9+1</f>
        <v>44015</v>
      </c>
      <c r="AT10" s="145"/>
      <c r="AU10" s="213" t="str">
        <f t="shared" ref="AU10" si="12">IF(WEEKDAY(AS10)=2,INT(MOD(INT((AS10-2)/7)+0.6,52+5/28))+1,"")</f>
        <v/>
      </c>
      <c r="AV10" s="205" t="str">
        <f>IF(ISERROR(VLOOKUP(AS10,Lune!$A$2:$B$55,2,FALSE)),"",VLOOKUP(AS10,Lune!$A$2:$B$55,2,FALSE))</f>
        <v/>
      </c>
      <c r="AW10" s="206" t="str">
        <f>IFERROR(IF(COUNTIF(Saints!$C$2:$C$371,AS10)=0,"",INDEX(Saints!$D$2:$D$371,MATCH(AS10,Saints!$C$2:$C$371,0))),"")</f>
        <v>Thomas</v>
      </c>
      <c r="AX10" s="211" t="str">
        <f>IF(COUNTIF(Parametre!$C$27:$C$39,AS10)=0,"",INDEX(Parametre!$B$27:$B$39,MATCH(AS10,Parametre!$C$27:$C$39,0)))&amp;""&amp;IF(COUNTIF(Parametre!$I$45:$I$94,AS10)=0,"",INDEX(Parametre!$K$45:$K$94,MATCH(AS10,Parametre!$I$45:$I$94,0)))</f>
        <v/>
      </c>
      <c r="AZ10" s="212">
        <f t="shared" ref="AZ10:AZ35" si="13">AZ9+1</f>
        <v>44046</v>
      </c>
      <c r="BA10" s="145"/>
      <c r="BB10" s="213">
        <f t="shared" ref="BB10:BB37" si="14">IF(WEEKDAY(AZ10)=2,INT(MOD(INT((AZ10-2)/7)+0.6,52+5/28))+1,"")</f>
        <v>32</v>
      </c>
      <c r="BC10" s="205" t="str">
        <f>IF(ISERROR(VLOOKUP(AZ10,Lune!$A$2:$B$55,2,FALSE)),"",VLOOKUP(AZ10,Lune!$A$2:$B$55,2,FALSE))</f>
        <v></v>
      </c>
      <c r="BD10" s="206" t="str">
        <f>IFERROR(IF(COUNTIF(Saints!$C$2:$C$371,AZ10)=0,"",INDEX(Saints!$D$2:$D$371,MATCH(AZ10,Saints!$C$2:$C$371,0))),"")</f>
        <v>Lydie</v>
      </c>
      <c r="BE10" s="211" t="str">
        <f>IF(COUNTIF(Parametre!$C$27:$C$39,AZ10)=0,"",INDEX(Parametre!$B$27:$B$39,MATCH(AZ10,Parametre!$C$27:$C$39,0)))&amp;""&amp;IF(COUNTIF(Parametre!$I$45:$I$94,AZ10)=0,"",INDEX(Parametre!$K$45:$K$94,MATCH(AZ10,Parametre!$I$45:$I$94,0)))</f>
        <v/>
      </c>
      <c r="BG10" s="212">
        <f t="shared" ref="BG10:BG35" si="15">BG9+1</f>
        <v>44077</v>
      </c>
      <c r="BH10" s="145"/>
      <c r="BI10" s="213" t="str">
        <f t="shared" ref="BI10:BI37" si="16">IF(WEEKDAY(BG10)=2,INT(MOD(INT((BG10-2)/7)+0.6,52+5/28))+1,"")</f>
        <v/>
      </c>
      <c r="BJ10" s="205" t="str">
        <f>IF(ISERROR(VLOOKUP(BG10,Lune!$A$2:$B$55,2,FALSE)),"",VLOOKUP(BG10,Lune!$A$2:$B$55,2,FALSE))</f>
        <v/>
      </c>
      <c r="BK10" s="206" t="str">
        <f>IFERROR(IF(COUNTIF(Saints!$C$2:$C$371,BG10)=0,"",INDEX(Saints!$D$2:$D$371,MATCH(BG10,Saints!$C$2:$C$371,0))),"")</f>
        <v>Grégoire</v>
      </c>
      <c r="BL10" s="211" t="str">
        <f>IF(COUNTIF(Parametre!$C$27:$C$39,BG10)=0,"",INDEX(Parametre!$B$27:$B$39,MATCH(BG10,Parametre!$C$27:$C$39,0)))&amp;""&amp;IF(COUNTIF(Parametre!$I$45:$I$94,BG10)=0,"",INDEX(Parametre!$K$45:$K$94,MATCH(BG10,Parametre!$I$45:$I$94,0)))</f>
        <v/>
      </c>
      <c r="BN10" s="212">
        <f t="shared" ref="BN10:BN35" si="17">BN9+1</f>
        <v>44107</v>
      </c>
      <c r="BO10" s="145"/>
      <c r="BP10" s="213" t="str">
        <f t="shared" ref="BP10:BP37" si="18">IF(WEEKDAY(BN10)=2,INT(MOD(INT((BN10-2)/7)+0.6,52+5/28))+1,"")</f>
        <v/>
      </c>
      <c r="BQ10" s="205" t="str">
        <f>IF(ISERROR(VLOOKUP(BN10,Lune!$A$2:$B$55,2,FALSE)),"",VLOOKUP(BN10,Lune!$A$2:$B$55,2,FALSE))</f>
        <v/>
      </c>
      <c r="BR10" s="206" t="str">
        <f>IFERROR(IF(COUNTIF(Saints!$C$2:$C$371,BN10)=0,"",INDEX(Saints!$D$2:$D$371,MATCH(BN10,Saints!$C$2:$C$371,0))),"")</f>
        <v>Gérard</v>
      </c>
      <c r="BS10" s="211" t="str">
        <f>IF(COUNTIF(Parametre!$C$27:$C$39,BN10)=0,"",INDEX(Parametre!$B$27:$B$39,MATCH(BN10,Parametre!$C$27:$C$39,0)))&amp;""&amp;IF(COUNTIF(Parametre!$I$45:$I$94,BN10)=0,"",INDEX(Parametre!$K$45:$K$94,MATCH(BN10,Parametre!$I$45:$I$94,0)))</f>
        <v/>
      </c>
      <c r="BU10" s="212">
        <f t="shared" ref="BU10:BU35" si="19">BU9+1</f>
        <v>44138</v>
      </c>
      <c r="BV10" s="145"/>
      <c r="BW10" s="213" t="str">
        <f t="shared" ref="BW10:BW37" si="20">IF(WEEKDAY(BU10)=2,INT(MOD(INT((BU10-2)/7)+0.6,52+5/28))+1,"")</f>
        <v/>
      </c>
      <c r="BX10" s="205" t="str">
        <f>IF(ISERROR(VLOOKUP(BU10,Lune!$A$2:$B$55,2,FALSE)),"",VLOOKUP(BU10,Lune!$A$2:$B$55,2,FALSE))</f>
        <v/>
      </c>
      <c r="BY10" s="206" t="str">
        <f>IFERROR(IF(COUNTIF(Saints!$C$2:$C$371,BU10)=0,"",INDEX(Saints!$D$2:$D$371,MATCH(BU10,Saints!$C$2:$C$371,0))),"")</f>
        <v>Gwénaëlle</v>
      </c>
      <c r="BZ10" s="211" t="str">
        <f>IF(COUNTIF(Parametre!$C$27:$C$39,BU10)=0,"",INDEX(Parametre!$B$27:$B$39,MATCH(BU10,Parametre!$C$27:$C$39,0)))&amp;""&amp;IF(COUNTIF(Parametre!$I$45:$I$94,BU10)=0,"",INDEX(Parametre!$K$45:$K$94,MATCH(BU10,Parametre!$I$45:$I$94,0)))</f>
        <v/>
      </c>
      <c r="CB10" s="212">
        <f t="shared" ref="CB10:CB35" si="21">CB9+1</f>
        <v>44168</v>
      </c>
      <c r="CC10" s="145"/>
      <c r="CD10" s="213" t="str">
        <f t="shared" ref="CD10:CD37" si="22">IF(WEEKDAY(CB10)=2,INT(MOD(INT((CB10-2)/7)+0.6,52+5/28))+1,"")</f>
        <v/>
      </c>
      <c r="CE10" s="205" t="str">
        <f>IF(ISERROR(VLOOKUP(CB10,Lune!$A$2:$B$55,2,FALSE)),"",VLOOKUP(CB10,Lune!$A$2:$B$55,2,FALSE))</f>
        <v/>
      </c>
      <c r="CF10" s="206" t="str">
        <f>IFERROR(IF(COUNTIF(Saints!$C$2:$C$371,CB10)=0,"",INDEX(Saints!$D$2:$D$371,MATCH(CB10,Saints!$C$2:$C$371,0))),"")</f>
        <v>Xavier</v>
      </c>
      <c r="CG10" s="211" t="str">
        <f>IF(COUNTIF(Parametre!$C$27:$C$39,CB10)=0,"",INDEX(Parametre!$B$27:$B$39,MATCH(CB10,Parametre!$C$27:$C$39,0)))&amp;" "&amp;IF(COUNTIF(Parametre!$I$45:$I$94,CB10)=0,"",INDEX(Parametre!$K$45:$K$94,MATCH(CB10,Parametre!$I$45:$I$94,0)))</f>
        <v xml:space="preserve"> </v>
      </c>
    </row>
    <row r="11" spans="1:85" ht="15.75">
      <c r="B11" s="202">
        <v>4</v>
      </c>
      <c r="C11" s="203">
        <f>C10+1</f>
        <v>43834</v>
      </c>
      <c r="D11" s="145"/>
      <c r="E11" s="214" t="str">
        <f t="shared" si="0"/>
        <v/>
      </c>
      <c r="F11" s="205" t="str">
        <f>IF(ISERROR(VLOOKUP(C11,Lune!$A$2:$B$55,2,FALSE)),"",VLOOKUP(C11,Lune!$A$2:$B$55,2,FALSE))</f>
        <v/>
      </c>
      <c r="G11" s="206" t="str">
        <f>IFERROR(IF(COUNTIF(Saints!$C$2:$C$371,C11)=0,"",INDEX(Saints!$D$2:$D$371,MATCH(C11,Saints!$C$2:$C$371,0))),"")</f>
        <v>Odilon</v>
      </c>
      <c r="H11" s="207" t="str">
        <f>IF(COUNTIF(Parametre!$C$27:$C$39,C11)=0,"",INDEX(Parametre!$B$27:$B$39,MATCH(C11,Parametre!$C$27:$C$39,0)))&amp;""&amp;IF(COUNTIF(Parametre!$I$45:$I$94,C11)=0,"",INDEX(Parametre!$K$45:$K$94,MATCH(C11,Parametre!$I$45:$I$94,0)))</f>
        <v/>
      </c>
      <c r="J11" s="203">
        <f t="shared" si="1"/>
        <v>43865</v>
      </c>
      <c r="K11" s="145"/>
      <c r="L11" s="65" t="str">
        <f t="shared" si="2"/>
        <v/>
      </c>
      <c r="M11" s="205" t="str">
        <f>IF(ISERROR(VLOOKUP(J11,Lune!$A$2:$B$55,2,FALSE)),"",VLOOKUP(J11,Lune!$A$2:$B$55,2,FALSE))</f>
        <v/>
      </c>
      <c r="N11" s="206" t="str">
        <f>IFERROR(IF(COUNTIF(Saints!$C$2:$C$371,J11)=0,"",INDEX(Saints!$D$2:$D$371,MATCH(J11,Saints!$C$2:$C$371,0))),"")</f>
        <v>Véronique</v>
      </c>
      <c r="O11" s="207" t="str">
        <f>IF(COUNTIF(Parametre!$C$27:$C$39,J11)=0,"",INDEX(Parametre!$B$27:$B$39,MATCH(J11,Parametre!$C$27:$C$39,0)))&amp;""&amp;IF(COUNTIF(Parametre!$I$45:$I$94,J11)=0,"",INDEX(Parametre!$K$45:$K$94,MATCH(J11,Parametre!$I$45:$I$94,0)))</f>
        <v/>
      </c>
      <c r="Q11" s="203">
        <f t="shared" si="3"/>
        <v>43894</v>
      </c>
      <c r="R11" s="145"/>
      <c r="S11" s="65" t="str">
        <f t="shared" si="4"/>
        <v/>
      </c>
      <c r="T11" s="205" t="str">
        <f>IF(ISERROR(VLOOKUP(Q11,Lune!$A$2:$B$55,2,FALSE)),"",VLOOKUP(Q11,Lune!$A$2:$B$55,2,FALSE))</f>
        <v/>
      </c>
      <c r="U11" s="206" t="str">
        <f>IFERROR(IF(COUNTIF(Saints!$C$2:$C$371,Q11)=0,"",INDEX(Saints!$D$2:$D$371,MATCH(Q11,Saints!$C$2:$C$371,0))),"")</f>
        <v>Casimir</v>
      </c>
      <c r="V11" s="207" t="str">
        <f>IF(COUNTIF(Parametre!$C$27:$C$39,Q11)=0,"",INDEX(Parametre!$B$27:$B$39,MATCH(Q11,Parametre!$C$27:$C$39,0)))&amp;""&amp;IF(COUNTIF(Parametre!$I$45:$I$94,Q11)=0,"",INDEX(Parametre!$K$45:$K$94,MATCH(Q11,Parametre!$I$45:$I$94,0)))</f>
        <v/>
      </c>
      <c r="X11" s="212">
        <f t="shared" si="5"/>
        <v>43925</v>
      </c>
      <c r="Y11" s="145"/>
      <c r="Z11" s="65" t="str">
        <f t="shared" si="6"/>
        <v/>
      </c>
      <c r="AA11" s="205" t="str">
        <f>IF(ISERROR(VLOOKUP(X11,Lune!$A$2:$B$55,2,FALSE)),"",VLOOKUP(X11,Lune!$A$2:$B$55,2,FALSE))</f>
        <v/>
      </c>
      <c r="AB11" s="206" t="str">
        <f>IFERROR(IF(COUNTIF(Saints!$C$2:$C$371,X11)=0,"",INDEX(Saints!$D$2:$D$371,MATCH(X11,Saints!$C$2:$C$371,0))),"")</f>
        <v>Isidore</v>
      </c>
      <c r="AC11" s="207" t="str">
        <f>IF(COUNTIF(Parametre!$C$27:$C$39,X11)=0,"",INDEX(Parametre!$B$27:$B$39,MATCH(X11,Parametre!$C$27:$C$39,0)))&amp;""&amp;IF(COUNTIF(Parametre!$I$45:$I$94,X11)=0,"",INDEX(Parametre!$K$45:$K$94,MATCH(X11,Parametre!$I$45:$I$94,0)))</f>
        <v/>
      </c>
      <c r="AE11" s="212">
        <f t="shared" si="7"/>
        <v>43955</v>
      </c>
      <c r="AF11" s="145"/>
      <c r="AG11" s="213">
        <f t="shared" si="8"/>
        <v>19</v>
      </c>
      <c r="AH11" s="205" t="str">
        <f>IF(ISERROR(VLOOKUP(AE11,[1]Lune!$A$2:$B$55,2,FALSE)),"",VLOOKUP(AE11,[1]Lune!$A$2:$B$55,2,FALSE))</f>
        <v/>
      </c>
      <c r="AI11" s="206" t="str">
        <f>IFERROR(IF(COUNTIF(Saints!$C$2:$C$371,AE11)=0,"",INDEX(Saints!$D$2:$D$371,MATCH(AE11,Saints!$C$2:$C$371,0))),"")</f>
        <v>Sylvain</v>
      </c>
      <c r="AJ11" s="211" t="str">
        <f>IF(COUNTIF(Parametre!$C$27:$C$39,AE11)=0,"",INDEX(Parametre!$B$27:$B$39,MATCH(AE11,Parametre!$C$27:$C$39,0)))&amp;""&amp;IF(COUNTIF(Parametre!$I$45:$I$94,AE11)=0,"",INDEX(Parametre!$K$45:$K$94,MATCH(AE11,Parametre!$I$45:$I$94,0)))</f>
        <v/>
      </c>
      <c r="AL11" s="212">
        <f t="shared" si="9"/>
        <v>43986</v>
      </c>
      <c r="AM11" s="145"/>
      <c r="AN11" s="213" t="str">
        <f t="shared" ref="AN11" si="23">IFERROR(IF(WEEKDAY(AL11)=2,INT(MOD(INT((AL11-2)/7)+0.6,52+5/28))+1,""),"")</f>
        <v/>
      </c>
      <c r="AO11" s="205" t="str">
        <f>IF(ISERROR(VLOOKUP(AL11,Lune!$A$2:$B$55,2,FALSE)),"",VLOOKUP(AL11,Lune!$A$2:$B$55,2,FALSE))</f>
        <v/>
      </c>
      <c r="AP11" s="206" t="str">
        <f>IFERROR(IF(COUNTIF(Saints!$C$2:$C$371,AL11)=0,"",INDEX(Saints!$D$2:$D$371,MATCH(AL11,Saints!$C$2:$C$371,0))),"")</f>
        <v>Clothilde</v>
      </c>
      <c r="AQ11" s="211" t="str">
        <f>IF(COUNTIF(Parametre!$C$27:$C$39,AL11)=0,"",INDEX(Parametre!$B$27:$B$39,MATCH(AL11,Parametre!$C$27:$C$39,0)))&amp;""&amp;IF(COUNTIF(Parametre!$I$45:$I$94,AL11)=0,"",INDEX(Parametre!$K$45:$K$94,MATCH(AL11,Parametre!$I$45:$I$94,0)))</f>
        <v/>
      </c>
      <c r="AS11" s="212">
        <f t="shared" si="11"/>
        <v>44016</v>
      </c>
      <c r="AT11" s="145"/>
      <c r="AU11" s="213" t="str">
        <f t="shared" ref="AU11" si="24">IFERROR(IF(WEEKDAY(AS11)=2,INT(MOD(INT((AS11-2)/7)+0.6,52+5/28))+1,""),"")</f>
        <v/>
      </c>
      <c r="AV11" s="205" t="str">
        <f>IF(ISERROR(VLOOKUP(AS11,Lune!$A$2:$B$55,2,FALSE)),"",VLOOKUP(AS11,Lune!$A$2:$B$55,2,FALSE))</f>
        <v/>
      </c>
      <c r="AW11" s="206" t="str">
        <f>IFERROR(IF(COUNTIF(Saints!$C$2:$C$371,AS11)=0,"",INDEX(Saints!$D$2:$D$371,MATCH(AS11,Saints!$C$2:$C$371,0))),"")</f>
        <v>Florent</v>
      </c>
      <c r="AX11" s="211" t="str">
        <f>IF(COUNTIF(Parametre!$C$27:$C$39,AS11)=0,"",INDEX(Parametre!$B$27:$B$39,MATCH(AS11,Parametre!$C$27:$C$39,0)))&amp;""&amp;IF(COUNTIF(Parametre!$I$45:$I$94,AS11)=0,"",INDEX(Parametre!$K$45:$K$94,MATCH(AS11,Parametre!$I$45:$I$94,0)))</f>
        <v/>
      </c>
      <c r="AZ11" s="212">
        <f t="shared" si="13"/>
        <v>44047</v>
      </c>
      <c r="BA11" s="145"/>
      <c r="BB11" s="213" t="str">
        <f t="shared" si="14"/>
        <v/>
      </c>
      <c r="BC11" s="205" t="str">
        <f>IF(ISERROR(VLOOKUP(AZ11,Lune!$A$2:$B$55,2,FALSE)),"",VLOOKUP(AZ11,Lune!$A$2:$B$55,2,FALSE))</f>
        <v/>
      </c>
      <c r="BD11" s="206" t="str">
        <f>IFERROR(IF(COUNTIF(Saints!$C$2:$C$371,AZ11)=0,"",INDEX(Saints!$D$2:$D$371,MATCH(AZ11,Saints!$C$2:$C$371,0))),"")</f>
        <v>Vianney</v>
      </c>
      <c r="BE11" s="211" t="str">
        <f>IF(COUNTIF(Parametre!$C$27:$C$39,AZ11)=0,"",INDEX(Parametre!$B$27:$B$39,MATCH(AZ11,Parametre!$C$27:$C$39,0)))&amp;""&amp;IF(COUNTIF(Parametre!$I$45:$I$94,AZ11)=0,"",INDEX(Parametre!$K$45:$K$94,MATCH(AZ11,Parametre!$I$45:$I$94,0)))</f>
        <v/>
      </c>
      <c r="BG11" s="212">
        <f t="shared" si="15"/>
        <v>44078</v>
      </c>
      <c r="BH11" s="145"/>
      <c r="BI11" s="213" t="str">
        <f t="shared" si="16"/>
        <v/>
      </c>
      <c r="BJ11" s="205" t="str">
        <f>IF(ISERROR(VLOOKUP(BG11,Lune!$A$2:$B$55,2,FALSE)),"",VLOOKUP(BG11,Lune!$A$2:$B$55,2,FALSE))</f>
        <v/>
      </c>
      <c r="BK11" s="206" t="str">
        <f>IFERROR(IF(COUNTIF(Saints!$C$2:$C$371,BG11)=0,"",INDEX(Saints!$D$2:$D$371,MATCH(BG11,Saints!$C$2:$C$371,0))),"")</f>
        <v>Rosalie</v>
      </c>
      <c r="BL11" s="211" t="str">
        <f>IF(COUNTIF(Parametre!$C$27:$C$39,BG11)=0,"",INDEX(Parametre!$B$27:$B$39,MATCH(BG11,Parametre!$C$27:$C$39,0)))&amp;""&amp;IF(COUNTIF(Parametre!$I$45:$I$94,BG11)=0,"",INDEX(Parametre!$K$45:$K$94,MATCH(BG11,Parametre!$I$45:$I$94,0)))</f>
        <v/>
      </c>
      <c r="BN11" s="212">
        <f t="shared" si="17"/>
        <v>44108</v>
      </c>
      <c r="BO11" s="145"/>
      <c r="BP11" s="213" t="str">
        <f t="shared" si="18"/>
        <v/>
      </c>
      <c r="BQ11" s="205" t="str">
        <f>IF(ISERROR(VLOOKUP(BN11,Lune!$A$2:$B$55,2,FALSE)),"",VLOOKUP(BN11,Lune!$A$2:$B$55,2,FALSE))</f>
        <v/>
      </c>
      <c r="BR11" s="206" t="str">
        <f>IFERROR(IF(COUNTIF(Saints!$C$2:$C$371,BN11)=0,"",INDEX(Saints!$D$2:$D$371,MATCH(BN11,Saints!$C$2:$C$371,0))),"")</f>
        <v>François</v>
      </c>
      <c r="BS11" s="211" t="str">
        <f>IF(COUNTIF(Parametre!$C$27:$C$39,BN11)=0,"",INDEX(Parametre!$B$27:$B$39,MATCH(BN11,Parametre!$C$27:$C$39,0)))&amp;""&amp;IF(COUNTIF(Parametre!$I$45:$I$94,BN11)=0,"",INDEX(Parametre!$K$45:$K$94,MATCH(BN11,Parametre!$I$45:$I$94,0)))</f>
        <v>F. Grds-Pères</v>
      </c>
      <c r="BU11" s="212">
        <f t="shared" si="19"/>
        <v>44139</v>
      </c>
      <c r="BV11" s="145"/>
      <c r="BW11" s="213" t="str">
        <f t="shared" si="20"/>
        <v/>
      </c>
      <c r="BX11" s="205" t="str">
        <f>IF(ISERROR(VLOOKUP(BU11,Lune!$A$2:$B$55,2,FALSE)),"",VLOOKUP(BU11,Lune!$A$2:$B$55,2,FALSE))</f>
        <v/>
      </c>
      <c r="BY11" s="206" t="str">
        <f>IFERROR(IF(COUNTIF(Saints!$C$2:$C$371,BU11)=0,"",INDEX(Saints!$D$2:$D$371,MATCH(BU11,Saints!$C$2:$C$371,0))),"")</f>
        <v>Charles</v>
      </c>
      <c r="BZ11" s="211" t="str">
        <f>IF(COUNTIF(Parametre!$C$27:$C$39,BU11)=0,"",INDEX(Parametre!$B$27:$B$39,MATCH(BU11,Parametre!$C$27:$C$39,0)))&amp;""&amp;IF(COUNTIF(Parametre!$I$45:$I$94,BU11)=0,"",INDEX(Parametre!$K$45:$K$94,MATCH(BU11,Parametre!$I$45:$I$94,0)))</f>
        <v/>
      </c>
      <c r="CB11" s="212">
        <f t="shared" si="21"/>
        <v>44169</v>
      </c>
      <c r="CC11" s="145"/>
      <c r="CD11" s="213" t="str">
        <f t="shared" si="22"/>
        <v/>
      </c>
      <c r="CE11" s="205" t="str">
        <f>IF(ISERROR(VLOOKUP(CB11,Lune!$A$2:$B$55,2,FALSE)),"",VLOOKUP(CB11,Lune!$A$2:$B$55,2,FALSE))</f>
        <v/>
      </c>
      <c r="CF11" s="206" t="str">
        <f>IFERROR(IF(COUNTIF(Saints!$C$2:$C$371,CB11)=0,"",INDEX(Saints!$D$2:$D$371,MATCH(CB11,Saints!$C$2:$C$371,0))),"")</f>
        <v>Barbara</v>
      </c>
      <c r="CG11" s="211" t="str">
        <f>IF(COUNTIF(Parametre!$C$27:$C$39,CB11)=0,"",INDEX(Parametre!$B$27:$B$39,MATCH(CB11,Parametre!$C$27:$C$39,0)))&amp;" "&amp;IF(COUNTIF(Parametre!$I$45:$I$94,CB11)=0,"",INDEX(Parametre!$K$45:$K$94,MATCH(CB11,Parametre!$I$45:$I$94,0)))</f>
        <v xml:space="preserve"> </v>
      </c>
    </row>
    <row r="12" spans="1:85" ht="15.75">
      <c r="B12" s="202">
        <v>5</v>
      </c>
      <c r="C12" s="203">
        <f t="shared" ref="C12:C35" si="25">C11+1</f>
        <v>43835</v>
      </c>
      <c r="D12" s="145"/>
      <c r="E12" s="215" t="str">
        <f t="shared" si="0"/>
        <v/>
      </c>
      <c r="F12" s="205" t="str">
        <f>IF(ISERROR(VLOOKUP(C12,Lune!$A$2:$B$55,2,FALSE)),"",VLOOKUP(C12,Lune!$A$2:$B$55,2,FALSE))</f>
        <v/>
      </c>
      <c r="G12" s="206" t="str">
        <f>IFERROR(IF(COUNTIF(Saints!$C$2:$C$371,C12)=0,"",INDEX(Saints!$D$2:$D$371,MATCH(C12,Saints!$C$2:$C$371,0))),"")</f>
        <v>Edouard</v>
      </c>
      <c r="H12" s="207" t="str">
        <f>IF(COUNTIF(Parametre!$C$27:$C$39,C12)=0,"",INDEX(Parametre!$B$27:$B$39,MATCH(C12,Parametre!$C$27:$C$39,0)))&amp;""&amp;IF(COUNTIF(Parametre!$I$45:$I$94,C12)=0,"",INDEX(Parametre!$K$45:$K$94,MATCH(C12,Parametre!$I$45:$I$94,0)))</f>
        <v>Ephiphanie</v>
      </c>
      <c r="J12" s="203">
        <f t="shared" si="1"/>
        <v>43866</v>
      </c>
      <c r="K12" s="145"/>
      <c r="L12" s="65" t="str">
        <f t="shared" si="2"/>
        <v/>
      </c>
      <c r="M12" s="205" t="str">
        <f>IF(ISERROR(VLOOKUP(J12,Lune!$A$2:$B$55,2,FALSE)),"",VLOOKUP(J12,Lune!$A$2:$B$55,2,FALSE))</f>
        <v/>
      </c>
      <c r="N12" s="206" t="str">
        <f>IFERROR(IF(COUNTIF(Saints!$C$2:$C$371,J12)=0,"",INDEX(Saints!$D$2:$D$371,MATCH(J12,Saints!$C$2:$C$371,0))),"")</f>
        <v>Agathe</v>
      </c>
      <c r="O12" s="207" t="str">
        <f>IF(COUNTIF(Parametre!$C$27:$C$39,J12)=0,"",INDEX(Parametre!$B$27:$B$39,MATCH(J12,Parametre!$C$27:$C$39,0)))&amp;""&amp;IF(COUNTIF(Parametre!$I$45:$I$94,J12)=0,"",INDEX(Parametre!$K$45:$K$94,MATCH(J12,Parametre!$I$45:$I$94,0)))</f>
        <v/>
      </c>
      <c r="Q12" s="203">
        <f t="shared" si="3"/>
        <v>43895</v>
      </c>
      <c r="R12" s="145"/>
      <c r="S12" s="65" t="str">
        <f t="shared" si="4"/>
        <v/>
      </c>
      <c r="T12" s="205" t="str">
        <f>IF(ISERROR(VLOOKUP(Q12,Lune!$A$2:$B$55,2,FALSE)),"",VLOOKUP(Q12,Lune!$A$2:$B$55,2,FALSE))</f>
        <v/>
      </c>
      <c r="U12" s="206" t="str">
        <f>IFERROR(IF(COUNTIF(Saints!$C$2:$C$371,Q12)=0,"",INDEX(Saints!$D$2:$D$371,MATCH(Q12,Saints!$C$2:$C$371,0))),"")</f>
        <v>Olive</v>
      </c>
      <c r="V12" s="207" t="str">
        <f>IF(COUNTIF(Parametre!$C$27:$C$39,Q12)=0,"",INDEX(Parametre!$B$27:$B$39,MATCH(Q12,Parametre!$C$27:$C$39,0)))&amp;""&amp;IF(COUNTIF(Parametre!$I$45:$I$94,Q12)=0,"",INDEX(Parametre!$K$45:$K$94,MATCH(Q12,Parametre!$I$45:$I$94,0)))</f>
        <v/>
      </c>
      <c r="X12" s="212">
        <f t="shared" si="5"/>
        <v>43926</v>
      </c>
      <c r="Y12" s="145"/>
      <c r="Z12" s="65" t="str">
        <f t="shared" si="6"/>
        <v/>
      </c>
      <c r="AA12" s="205" t="str">
        <f>IF(ISERROR(VLOOKUP(X12,Lune!$A$2:$B$55,2,FALSE)),"",VLOOKUP(X12,Lune!$A$2:$B$55,2,FALSE))</f>
        <v/>
      </c>
      <c r="AB12" s="206" t="str">
        <f>IFERROR(IF(COUNTIF(Saints!$C$2:$C$371,X12)=0,"",INDEX(Saints!$D$2:$D$371,MATCH(X12,Saints!$C$2:$C$371,0))),"")</f>
        <v>Irène</v>
      </c>
      <c r="AC12" s="207" t="str">
        <f>IF(COUNTIF(Parametre!$C$27:$C$39,X12)=0,"",INDEX(Parametre!$B$27:$B$39,MATCH(X12,Parametre!$C$27:$C$39,0)))&amp;""&amp;IF(COUNTIF(Parametre!$I$45:$I$94,X12)=0,"",INDEX(Parametre!$K$45:$K$94,MATCH(X12,Parametre!$I$45:$I$94,0)))</f>
        <v/>
      </c>
      <c r="AE12" s="212">
        <f t="shared" si="7"/>
        <v>43956</v>
      </c>
      <c r="AF12" s="145"/>
      <c r="AG12" s="213" t="str">
        <f t="shared" si="8"/>
        <v/>
      </c>
      <c r="AH12" s="205" t="str">
        <f>IF(ISERROR(VLOOKUP(AE12,[1]Lune!$A$2:$B$55,2,FALSE)),"",VLOOKUP(AE12,[1]Lune!$A$2:$B$55,2,FALSE))</f>
        <v/>
      </c>
      <c r="AI12" s="206" t="str">
        <f>IFERROR(IF(COUNTIF(Saints!$C$2:$C$371,AE12)=0,"",INDEX(Saints!$D$2:$D$371,MATCH(AE12,Saints!$C$2:$C$371,0))),"")</f>
        <v>Judith</v>
      </c>
      <c r="AJ12" s="211" t="str">
        <f>IF(COUNTIF(Parametre!$C$27:$C$39,AE12)=0,"",INDEX(Parametre!$B$27:$B$39,MATCH(AE12,Parametre!$C$27:$C$39,0)))&amp;""&amp;IF(COUNTIF(Parametre!$I$45:$I$94,AE12)=0,"",INDEX(Parametre!$K$45:$K$94,MATCH(AE12,Parametre!$I$45:$I$94,0)))</f>
        <v/>
      </c>
      <c r="AL12" s="212">
        <f t="shared" si="9"/>
        <v>43987</v>
      </c>
      <c r="AM12" s="145"/>
      <c r="AN12" s="213" t="str">
        <f t="shared" ref="AN12" si="26">IF(WEEKDAY(AL12)=2,INT(MOD(INT((AL12-2)/7)+0.6,52+5/28))+1,"")</f>
        <v/>
      </c>
      <c r="AO12" s="205" t="str">
        <f>IF(ISERROR(VLOOKUP(AL12,Lune!$A$2:$B$55,2,FALSE)),"",VLOOKUP(AL12,Lune!$A$2:$B$55,2,FALSE))</f>
        <v></v>
      </c>
      <c r="AP12" s="206" t="str">
        <f>IFERROR(IF(COUNTIF(Saints!$C$2:$C$371,AL12)=0,"",INDEX(Saints!$D$2:$D$371,MATCH(AL12,Saints!$C$2:$C$371,0))),"")</f>
        <v>Igor</v>
      </c>
      <c r="AQ12" s="211" t="str">
        <f>IF(COUNTIF(Parametre!$C$27:$C$39,AL12)=0,"",INDEX(Parametre!$B$27:$B$39,MATCH(AL12,Parametre!$C$27:$C$39,0)))&amp;""&amp;IF(COUNTIF(Parametre!$I$45:$I$94,AL12)=0,"",INDEX(Parametre!$K$45:$K$94,MATCH(AL12,Parametre!$I$45:$I$94,0)))</f>
        <v/>
      </c>
      <c r="AS12" s="212">
        <f t="shared" si="11"/>
        <v>44017</v>
      </c>
      <c r="AT12" s="145"/>
      <c r="AU12" s="213" t="str">
        <f t="shared" ref="AU12" si="27">IF(WEEKDAY(AS12)=2,INT(MOD(INT((AS12-2)/7)+0.6,52+5/28))+1,"")</f>
        <v/>
      </c>
      <c r="AV12" s="205" t="str">
        <f>IF(ISERROR(VLOOKUP(AS12,Lune!$A$2:$B$55,2,FALSE)),"",VLOOKUP(AS12,Lune!$A$2:$B$55,2,FALSE))</f>
        <v></v>
      </c>
      <c r="AW12" s="206" t="str">
        <f>IFERROR(IF(COUNTIF(Saints!$C$2:$C$371,AS12)=0,"",INDEX(Saints!$D$2:$D$371,MATCH(AS12,Saints!$C$2:$C$371,0))),"")</f>
        <v>Antoine</v>
      </c>
      <c r="AX12" s="211" t="str">
        <f>IF(COUNTIF(Parametre!$C$27:$C$39,AS12)=0,"",INDEX(Parametre!$B$27:$B$39,MATCH(AS12,Parametre!$C$27:$C$39,0)))&amp;""&amp;IF(COUNTIF(Parametre!$I$45:$I$94,AS12)=0,"",INDEX(Parametre!$K$45:$K$94,MATCH(AS12,Parametre!$I$45:$I$94,0)))</f>
        <v/>
      </c>
      <c r="AZ12" s="212">
        <f t="shared" si="13"/>
        <v>44048</v>
      </c>
      <c r="BA12" s="145"/>
      <c r="BB12" s="213" t="str">
        <f t="shared" si="14"/>
        <v/>
      </c>
      <c r="BC12" s="205" t="str">
        <f>IF(ISERROR(VLOOKUP(AZ12,Lune!$A$2:$B$55,2,FALSE)),"",VLOOKUP(AZ12,Lune!$A$2:$B$55,2,FALSE))</f>
        <v/>
      </c>
      <c r="BD12" s="206" t="str">
        <f>IFERROR(IF(COUNTIF(Saints!$C$2:$C$371,AZ12)=0,"",INDEX(Saints!$D$2:$D$371,MATCH(AZ12,Saints!$C$2:$C$371,0))),"")</f>
        <v>Abel</v>
      </c>
      <c r="BE12" s="211" t="str">
        <f>IF(COUNTIF(Parametre!$C$27:$C$39,AZ12)=0,"",INDEX(Parametre!$B$27:$B$39,MATCH(AZ12,Parametre!$C$27:$C$39,0)))&amp;""&amp;IF(COUNTIF(Parametre!$I$45:$I$94,AZ12)=0,"",INDEX(Parametre!$K$45:$K$94,MATCH(AZ12,Parametre!$I$45:$I$94,0)))</f>
        <v/>
      </c>
      <c r="BG12" s="212">
        <f t="shared" si="15"/>
        <v>44079</v>
      </c>
      <c r="BH12" s="145"/>
      <c r="BI12" s="213" t="str">
        <f t="shared" si="16"/>
        <v/>
      </c>
      <c r="BJ12" s="205" t="str">
        <f>IF(ISERROR(VLOOKUP(BG12,Lune!$A$2:$B$55,2,FALSE)),"",VLOOKUP(BG12,Lune!$A$2:$B$55,2,FALSE))</f>
        <v/>
      </c>
      <c r="BK12" s="206" t="str">
        <f>IFERROR(IF(COUNTIF(Saints!$C$2:$C$371,BG12)=0,"",INDEX(Saints!$D$2:$D$371,MATCH(BG12,Saints!$C$2:$C$371,0))),"")</f>
        <v>Raïssa</v>
      </c>
      <c r="BL12" s="211" t="str">
        <f>IF(COUNTIF(Parametre!$C$27:$C$39,BG12)=0,"",INDEX(Parametre!$B$27:$B$39,MATCH(BG12,Parametre!$C$27:$C$39,0)))&amp;""&amp;IF(COUNTIF(Parametre!$I$45:$I$94,BG12)=0,"",INDEX(Parametre!$K$45:$K$94,MATCH(BG12,Parametre!$I$45:$I$94,0)))</f>
        <v/>
      </c>
      <c r="BN12" s="212">
        <f t="shared" si="17"/>
        <v>44109</v>
      </c>
      <c r="BO12" s="145"/>
      <c r="BP12" s="213">
        <f t="shared" si="18"/>
        <v>41</v>
      </c>
      <c r="BQ12" s="205" t="str">
        <f>IF(ISERROR(VLOOKUP(BN12,Lune!$A$2:$B$55,2,FALSE)),"",VLOOKUP(BN12,Lune!$A$2:$B$55,2,FALSE))</f>
        <v/>
      </c>
      <c r="BR12" s="206" t="str">
        <f>IFERROR(IF(COUNTIF(Saints!$C$2:$C$371,BN12)=0,"",INDEX(Saints!$D$2:$D$371,MATCH(BN12,Saints!$C$2:$C$371,0))),"")</f>
        <v>Fleur</v>
      </c>
      <c r="BS12" s="211" t="str">
        <f>IF(COUNTIF(Parametre!$C$27:$C$39,BN12)=0,"",INDEX(Parametre!$B$27:$B$39,MATCH(BN12,Parametre!$C$27:$C$39,0)))&amp;""&amp;IF(COUNTIF(Parametre!$I$45:$I$94,BN12)=0,"",INDEX(Parametre!$K$45:$K$94,MATCH(BN12,Parametre!$I$45:$I$94,0)))</f>
        <v/>
      </c>
      <c r="BU12" s="212">
        <f t="shared" si="19"/>
        <v>44140</v>
      </c>
      <c r="BV12" s="145"/>
      <c r="BW12" s="213" t="str">
        <f t="shared" si="20"/>
        <v/>
      </c>
      <c r="BX12" s="205" t="str">
        <f>IF(ISERROR(VLOOKUP(BU12,Lune!$A$2:$B$55,2,FALSE)),"",VLOOKUP(BU12,Lune!$A$2:$B$55,2,FALSE))</f>
        <v/>
      </c>
      <c r="BY12" s="206" t="str">
        <f>IFERROR(IF(COUNTIF(Saints!$C$2:$C$371,BU12)=0,"",INDEX(Saints!$D$2:$D$371,MATCH(BU12,Saints!$C$2:$C$371,0))),"")</f>
        <v>Sylvie</v>
      </c>
      <c r="BZ12" s="211" t="str">
        <f>IF(COUNTIF(Parametre!$C$27:$C$39,BU12)=0,"",INDEX(Parametre!$B$27:$B$39,MATCH(BU12,Parametre!$C$27:$C$39,0)))&amp;""&amp;IF(COUNTIF(Parametre!$I$45:$I$94,BU12)=0,"",INDEX(Parametre!$K$45:$K$94,MATCH(BU12,Parametre!$I$45:$I$94,0)))</f>
        <v/>
      </c>
      <c r="CB12" s="212">
        <f t="shared" si="21"/>
        <v>44170</v>
      </c>
      <c r="CC12" s="145"/>
      <c r="CD12" s="213" t="str">
        <f t="shared" si="22"/>
        <v/>
      </c>
      <c r="CE12" s="205" t="str">
        <f>IF(ISERROR(VLOOKUP(CB12,Lune!$A$2:$B$55,2,FALSE)),"",VLOOKUP(CB12,Lune!$A$2:$B$55,2,FALSE))</f>
        <v/>
      </c>
      <c r="CF12" s="206" t="str">
        <f>IFERROR(IF(COUNTIF(Saints!$C$2:$C$371,CB12)=0,"",INDEX(Saints!$D$2:$D$371,MATCH(CB12,Saints!$C$2:$C$371,0))),"")</f>
        <v>Gérald</v>
      </c>
      <c r="CG12" s="211" t="str">
        <f>IF(COUNTIF(Parametre!$C$27:$C$39,CB12)=0,"",INDEX(Parametre!$B$27:$B$39,MATCH(CB12,Parametre!$C$27:$C$39,0)))&amp;" "&amp;IF(COUNTIF(Parametre!$I$45:$I$94,CB12)=0,"",INDEX(Parametre!$K$45:$K$94,MATCH(CB12,Parametre!$I$45:$I$94,0)))</f>
        <v xml:space="preserve"> </v>
      </c>
    </row>
    <row r="13" spans="1:85" ht="15.75">
      <c r="B13" s="202">
        <v>6</v>
      </c>
      <c r="C13" s="203">
        <f t="shared" si="25"/>
        <v>43836</v>
      </c>
      <c r="D13" s="145"/>
      <c r="E13" s="204">
        <f t="shared" si="0"/>
        <v>2</v>
      </c>
      <c r="F13" s="205" t="str">
        <f>IF(ISERROR(VLOOKUP(C13,Lune!$A$2:$B$55,2,FALSE)),"",VLOOKUP(C13,Lune!$A$2:$B$55,2,FALSE))</f>
        <v/>
      </c>
      <c r="G13" s="206" t="str">
        <f>IFERROR(IF(COUNTIF(Saints!$C$2:$C$371,C13)=0,"",INDEX(Saints!$D$2:$D$371,MATCH(C13,Saints!$C$2:$C$371,0))),"")</f>
        <v>Mélaine</v>
      </c>
      <c r="H13" s="207" t="str">
        <f>IF(COUNTIF(Parametre!$C$27:$C$39,C13)=0,"",INDEX(Parametre!$B$27:$B$39,MATCH(C13,Parametre!$C$27:$C$39,0)))&amp;""&amp;IF(COUNTIF(Parametre!$I$45:$I$94,C13)=0,"",INDEX(Parametre!$K$45:$K$94,MATCH(C13,Parametre!$I$45:$I$94,0)))</f>
        <v/>
      </c>
      <c r="J13" s="203">
        <f t="shared" si="1"/>
        <v>43867</v>
      </c>
      <c r="K13" s="145"/>
      <c r="L13" s="204" t="str">
        <f t="shared" si="2"/>
        <v/>
      </c>
      <c r="M13" s="205" t="str">
        <f>IF(ISERROR(VLOOKUP(J13,Lune!$A$2:$B$55,2,FALSE)),"",VLOOKUP(J13,Lune!$A$2:$B$55,2,FALSE))</f>
        <v/>
      </c>
      <c r="N13" s="206" t="str">
        <f>IFERROR(IF(COUNTIF(Saints!$C$2:$C$371,J13)=0,"",INDEX(Saints!$D$2:$D$371,MATCH(J13,Saints!$C$2:$C$371,0))),"")</f>
        <v>Gaston</v>
      </c>
      <c r="O13" s="207" t="str">
        <f>IF(COUNTIF(Parametre!$C$27:$C$39,J13)=0,"",INDEX(Parametre!$B$27:$B$39,MATCH(J13,Parametre!$C$27:$C$39,0)))&amp;""&amp;IF(COUNTIF(Parametre!$I$45:$I$94,J13)=0,"",INDEX(Parametre!$K$45:$K$94,MATCH(J13,Parametre!$I$45:$I$94,0)))</f>
        <v/>
      </c>
      <c r="Q13" s="203">
        <f t="shared" si="3"/>
        <v>43896</v>
      </c>
      <c r="R13" s="145"/>
      <c r="S13" s="204" t="str">
        <f t="shared" si="4"/>
        <v/>
      </c>
      <c r="T13" s="205" t="str">
        <f>IF(ISERROR(VLOOKUP(Q13,Lune!$A$2:$B$55,2,FALSE)),"",VLOOKUP(Q13,Lune!$A$2:$B$55,2,FALSE))</f>
        <v/>
      </c>
      <c r="U13" s="206" t="str">
        <f>IFERROR(IF(COUNTIF(Saints!$C$2:$C$371,Q13)=0,"",INDEX(Saints!$D$2:$D$371,MATCH(Q13,Saints!$C$2:$C$371,0))),"")</f>
        <v>Colette</v>
      </c>
      <c r="V13" s="207" t="str">
        <f>IF(COUNTIF(Parametre!$C$27:$C$39,Q13)=0,"",INDEX(Parametre!$B$27:$B$39,MATCH(Q13,Parametre!$C$27:$C$39,0)))&amp;""&amp;IF(COUNTIF(Parametre!$I$45:$I$94,Q13)=0,"",INDEX(Parametre!$K$45:$K$94,MATCH(Q13,Parametre!$I$45:$I$94,0)))</f>
        <v/>
      </c>
      <c r="X13" s="212">
        <f t="shared" si="5"/>
        <v>43927</v>
      </c>
      <c r="Y13" s="145"/>
      <c r="Z13" s="204">
        <f t="shared" si="6"/>
        <v>15</v>
      </c>
      <c r="AA13" s="205" t="str">
        <f>IF(ISERROR(VLOOKUP(X13,Lune!$A$2:$B$55,2,FALSE)),"",VLOOKUP(X13,Lune!$A$2:$B$55,2,FALSE))</f>
        <v/>
      </c>
      <c r="AB13" s="206" t="str">
        <f>IFERROR(IF(COUNTIF(Saints!$C$2:$C$371,X13)=0,"",INDEX(Saints!$D$2:$D$371,MATCH(X13,Saints!$C$2:$C$371,0))),"")</f>
        <v>Marcellin</v>
      </c>
      <c r="AC13" s="207" t="str">
        <f>IF(COUNTIF(Parametre!$C$27:$C$39,X13)=0,"",INDEX(Parametre!$B$27:$B$39,MATCH(X13,Parametre!$C$27:$C$39,0)))&amp;""&amp;IF(COUNTIF(Parametre!$I$45:$I$94,X13)=0,"",INDEX(Parametre!$K$45:$K$94,MATCH(X13,Parametre!$I$45:$I$94,0)))</f>
        <v/>
      </c>
      <c r="AE13" s="212">
        <f t="shared" si="7"/>
        <v>43957</v>
      </c>
      <c r="AF13" s="145"/>
      <c r="AG13" s="213" t="str">
        <f t="shared" si="8"/>
        <v/>
      </c>
      <c r="AH13" s="205" t="str">
        <f>IF(ISERROR(VLOOKUP(AE13,[1]Lune!$A$2:$B$55,2,FALSE)),"",VLOOKUP(AE13,[1]Lune!$A$2:$B$55,2,FALSE))</f>
        <v/>
      </c>
      <c r="AI13" s="206" t="str">
        <f>IFERROR(IF(COUNTIF(Saints!$C$2:$C$371,AE13)=0,"",INDEX(Saints!$D$2:$D$371,MATCH(AE13,Saints!$C$2:$C$371,0))),"")</f>
        <v>Prudence</v>
      </c>
      <c r="AJ13" s="211" t="str">
        <f>IF(COUNTIF(Parametre!$C$27:$C$39,AE13)=0,"",INDEX(Parametre!$B$27:$B$39,MATCH(AE13,Parametre!$C$27:$C$39,0)))&amp;""&amp;IF(COUNTIF(Parametre!$I$45:$I$94,AE13)=0,"",INDEX(Parametre!$K$45:$K$94,MATCH(AE13,Parametre!$I$45:$I$94,0)))</f>
        <v/>
      </c>
      <c r="AL13" s="212">
        <f t="shared" si="9"/>
        <v>43988</v>
      </c>
      <c r="AM13" s="145"/>
      <c r="AN13" s="213" t="str">
        <f t="shared" ref="AN13" si="28">IFERROR(IF(WEEKDAY(AL13)=2,INT(MOD(INT((AL13-2)/7)+0.6,52+5/28))+1,""),"")</f>
        <v/>
      </c>
      <c r="AO13" s="205" t="str">
        <f>IF(ISERROR(VLOOKUP(AL13,Lune!$A$2:$B$55,2,FALSE)),"",VLOOKUP(AL13,Lune!$A$2:$B$55,2,FALSE))</f>
        <v/>
      </c>
      <c r="AP13" s="206" t="str">
        <f>IFERROR(IF(COUNTIF(Saints!$C$2:$C$371,AL13)=0,"",INDEX(Saints!$D$2:$D$371,MATCH(AL13,Saints!$C$2:$C$371,0))),"")</f>
        <v>Norbert</v>
      </c>
      <c r="AQ13" s="211" t="str">
        <f>IF(COUNTIF(Parametre!$C$27:$C$39,AL13)=0,"",INDEX(Parametre!$B$27:$B$39,MATCH(AL13,Parametre!$C$27:$C$39,0)))&amp;""&amp;IF(COUNTIF(Parametre!$I$45:$I$94,AL13)=0,"",INDEX(Parametre!$K$45:$K$94,MATCH(AL13,Parametre!$I$45:$I$94,0)))</f>
        <v/>
      </c>
      <c r="AS13" s="212">
        <f t="shared" si="11"/>
        <v>44018</v>
      </c>
      <c r="AT13" s="145"/>
      <c r="AU13" s="213">
        <f t="shared" ref="AU13" si="29">IFERROR(IF(WEEKDAY(AS13)=2,INT(MOD(INT((AS13-2)/7)+0.6,52+5/28))+1,""),"")</f>
        <v>28</v>
      </c>
      <c r="AV13" s="205" t="str">
        <f>IF(ISERROR(VLOOKUP(AS13,Lune!$A$2:$B$55,2,FALSE)),"",VLOOKUP(AS13,Lune!$A$2:$B$55,2,FALSE))</f>
        <v/>
      </c>
      <c r="AW13" s="206" t="str">
        <f>IFERROR(IF(COUNTIF(Saints!$C$2:$C$371,AS13)=0,"",INDEX(Saints!$D$2:$D$371,MATCH(AS13,Saints!$C$2:$C$371,0))),"")</f>
        <v>Mariette</v>
      </c>
      <c r="AX13" s="211" t="str">
        <f>IF(COUNTIF(Parametre!$C$27:$C$39,AS13)=0,"",INDEX(Parametre!$B$27:$B$39,MATCH(AS13,Parametre!$C$27:$C$39,0)))&amp;""&amp;IF(COUNTIF(Parametre!$I$45:$I$94,AS13)=0,"",INDEX(Parametre!$K$45:$K$94,MATCH(AS13,Parametre!$I$45:$I$94,0)))</f>
        <v/>
      </c>
      <c r="AZ13" s="212">
        <f t="shared" si="13"/>
        <v>44049</v>
      </c>
      <c r="BA13" s="145"/>
      <c r="BB13" s="213" t="str">
        <f t="shared" si="14"/>
        <v/>
      </c>
      <c r="BC13" s="205" t="str">
        <f>IF(ISERROR(VLOOKUP(AZ13,Lune!$A$2:$B$55,2,FALSE)),"",VLOOKUP(AZ13,Lune!$A$2:$B$55,2,FALSE))</f>
        <v/>
      </c>
      <c r="BD13" s="206" t="str">
        <f>IFERROR(IF(COUNTIF(Saints!$C$2:$C$371,AZ13)=0,"",INDEX(Saints!$D$2:$D$371,MATCH(AZ13,Saints!$C$2:$C$371,0))),"")</f>
        <v>Octavien</v>
      </c>
      <c r="BE13" s="211" t="str">
        <f>IF(COUNTIF(Parametre!$C$27:$C$39,AZ13)=0,"",INDEX(Parametre!$B$27:$B$39,MATCH(AZ13,Parametre!$C$27:$C$39,0)))&amp;""&amp;IF(COUNTIF(Parametre!$I$45:$I$94,AZ13)=0,"",INDEX(Parametre!$K$45:$K$94,MATCH(AZ13,Parametre!$I$45:$I$94,0)))</f>
        <v/>
      </c>
      <c r="BG13" s="212">
        <f t="shared" si="15"/>
        <v>44080</v>
      </c>
      <c r="BH13" s="145"/>
      <c r="BI13" s="213" t="str">
        <f t="shared" si="16"/>
        <v/>
      </c>
      <c r="BJ13" s="205" t="str">
        <f>IF(ISERROR(VLOOKUP(BG13,Lune!$A$2:$B$55,2,FALSE)),"",VLOOKUP(BG13,Lune!$A$2:$B$55,2,FALSE))</f>
        <v/>
      </c>
      <c r="BK13" s="206" t="str">
        <f>IFERROR(IF(COUNTIF(Saints!$C$2:$C$371,BG13)=0,"",INDEX(Saints!$D$2:$D$371,MATCH(BG13,Saints!$C$2:$C$371,0))),"")</f>
        <v>Bertrand</v>
      </c>
      <c r="BL13" s="211" t="str">
        <f>IF(COUNTIF(Parametre!$C$27:$C$39,BG13)=0,"",INDEX(Parametre!$B$27:$B$39,MATCH(BG13,Parametre!$C$27:$C$39,0)))&amp;""&amp;IF(COUNTIF(Parametre!$I$45:$I$94,BG13)=0,"",INDEX(Parametre!$K$45:$K$94,MATCH(BG13,Parametre!$I$45:$I$94,0)))</f>
        <v>71 an J. Marie</v>
      </c>
      <c r="BN13" s="212">
        <f t="shared" si="17"/>
        <v>44110</v>
      </c>
      <c r="BO13" s="145"/>
      <c r="BP13" s="213" t="str">
        <f t="shared" si="18"/>
        <v/>
      </c>
      <c r="BQ13" s="205" t="str">
        <f>IF(ISERROR(VLOOKUP(BN13,Lune!$A$2:$B$55,2,FALSE)),"",VLOOKUP(BN13,Lune!$A$2:$B$55,2,FALSE))</f>
        <v/>
      </c>
      <c r="BR13" s="206" t="str">
        <f>IFERROR(IF(COUNTIF(Saints!$C$2:$C$371,BN13)=0,"",INDEX(Saints!$D$2:$D$371,MATCH(BN13,Saints!$C$2:$C$371,0))),"")</f>
        <v>Bruno</v>
      </c>
      <c r="BS13" s="211" t="str">
        <f>IF(COUNTIF(Parametre!$C$27:$C$39,BN13)=0,"",INDEX(Parametre!$B$27:$B$39,MATCH(BN13,Parametre!$C$27:$C$39,0)))&amp;""&amp;IF(COUNTIF(Parametre!$I$45:$I$94,BN13)=0,"",INDEX(Parametre!$K$45:$K$94,MATCH(BN13,Parametre!$I$45:$I$94,0)))</f>
        <v/>
      </c>
      <c r="BU13" s="212">
        <f t="shared" si="19"/>
        <v>44141</v>
      </c>
      <c r="BV13" s="145"/>
      <c r="BW13" s="213" t="str">
        <f t="shared" si="20"/>
        <v/>
      </c>
      <c r="BX13" s="205" t="str">
        <f>IF(ISERROR(VLOOKUP(BU13,Lune!$A$2:$B$55,2,FALSE)),"",VLOOKUP(BU13,Lune!$A$2:$B$55,2,FALSE))</f>
        <v/>
      </c>
      <c r="BY13" s="206" t="str">
        <f>IFERROR(IF(COUNTIF(Saints!$C$2:$C$371,BU13)=0,"",INDEX(Saints!$D$2:$D$371,MATCH(BU13,Saints!$C$2:$C$371,0))),"")</f>
        <v>Bertille</v>
      </c>
      <c r="BZ13" s="211" t="str">
        <f>IF(COUNTIF(Parametre!$C$27:$C$39,BU13)=0,"",INDEX(Parametre!$B$27:$B$39,MATCH(BU13,Parametre!$C$27:$C$39,0)))&amp;""&amp;IF(COUNTIF(Parametre!$I$45:$I$94,BU13)=0,"",INDEX(Parametre!$K$45:$K$94,MATCH(BU13,Parametre!$I$45:$I$94,0)))</f>
        <v/>
      </c>
      <c r="CB13" s="212">
        <f t="shared" si="21"/>
        <v>44171</v>
      </c>
      <c r="CC13" s="145"/>
      <c r="CD13" s="213" t="str">
        <f t="shared" si="22"/>
        <v/>
      </c>
      <c r="CE13" s="205" t="str">
        <f>IF(ISERROR(VLOOKUP(CB13,Lune!$A$2:$B$55,2,FALSE)),"",VLOOKUP(CB13,Lune!$A$2:$B$55,2,FALSE))</f>
        <v/>
      </c>
      <c r="CF13" s="206" t="str">
        <f>IFERROR(IF(COUNTIF(Saints!$C$2:$C$371,CB13)=0,"",INDEX(Saints!$D$2:$D$371,MATCH(CB13,Saints!$C$2:$C$371,0))),"")</f>
        <v>Nicolas</v>
      </c>
      <c r="CG13" s="211" t="str">
        <f>IF(COUNTIF(Parametre!$C$27:$C$39,CB13)=0,"",INDEX(Parametre!$B$27:$B$39,MATCH(CB13,Parametre!$C$27:$C$39,0)))&amp;" "&amp;IF(COUNTIF(Parametre!$I$45:$I$94,CB13)=0,"",INDEX(Parametre!$K$45:$K$94,MATCH(CB13,Parametre!$I$45:$I$94,0)))</f>
        <v xml:space="preserve"> </v>
      </c>
    </row>
    <row r="14" spans="1:85" ht="15.75">
      <c r="B14" s="202">
        <v>7</v>
      </c>
      <c r="C14" s="203">
        <f t="shared" si="25"/>
        <v>43837</v>
      </c>
      <c r="D14" s="145"/>
      <c r="E14" s="214" t="str">
        <f t="shared" si="0"/>
        <v/>
      </c>
      <c r="F14" s="205" t="str">
        <f>IF(ISERROR(VLOOKUP(C14,Lune!$A$2:$B$55,2,FALSE)),"",VLOOKUP(C14,Lune!$A$2:$B$55,2,FALSE))</f>
        <v/>
      </c>
      <c r="G14" s="206" t="str">
        <f>IFERROR(IF(COUNTIF(Saints!$C$2:$C$371,C14)=0,"",INDEX(Saints!$D$2:$D$371,MATCH(C14,Saints!$C$2:$C$371,0))),"")</f>
        <v>Raymond</v>
      </c>
      <c r="H14" s="207" t="str">
        <f>IF(COUNTIF(Parametre!$C$27:$C$39,C14)=0,"",INDEX(Parametre!$B$27:$B$39,MATCH(C14,Parametre!$C$27:$C$39,0)))&amp;""&amp;IF(COUNTIF(Parametre!$I$45:$I$94,C14)=0,"",INDEX(Parametre!$K$45:$K$94,MATCH(C14,Parametre!$I$45:$I$94,0)))</f>
        <v/>
      </c>
      <c r="J14" s="203">
        <f t="shared" si="1"/>
        <v>43868</v>
      </c>
      <c r="K14" s="145"/>
      <c r="L14" s="204" t="str">
        <f t="shared" si="2"/>
        <v/>
      </c>
      <c r="M14" s="205" t="str">
        <f>IF(ISERROR(VLOOKUP(J14,Lune!$A$2:$B$55,2,FALSE)),"",VLOOKUP(J14,Lune!$A$2:$B$55,2,FALSE))</f>
        <v/>
      </c>
      <c r="N14" s="206" t="str">
        <f>IFERROR(IF(COUNTIF(Saints!$C$2:$C$371,J14)=0,"",INDEX(Saints!$D$2:$D$371,MATCH(J14,Saints!$C$2:$C$371,0))),"")</f>
        <v>Eugénie</v>
      </c>
      <c r="O14" s="207" t="str">
        <f>IF(COUNTIF(Parametre!$C$27:$C$39,J14)=0,"",INDEX(Parametre!$B$27:$B$39,MATCH(J14,Parametre!$C$27:$C$39,0)))&amp;""&amp;IF(COUNTIF(Parametre!$I$45:$I$94,J14)=0,"",INDEX(Parametre!$K$45:$K$94,MATCH(J14,Parametre!$I$45:$I$94,0)))</f>
        <v/>
      </c>
      <c r="Q14" s="203">
        <f t="shared" si="3"/>
        <v>43897</v>
      </c>
      <c r="R14" s="145"/>
      <c r="S14" s="204" t="str">
        <f t="shared" si="4"/>
        <v/>
      </c>
      <c r="T14" s="205" t="str">
        <f>IF(ISERROR(VLOOKUP(Q14,Lune!$A$2:$B$55,2,FALSE)),"",VLOOKUP(Q14,Lune!$A$2:$B$55,2,FALSE))</f>
        <v/>
      </c>
      <c r="U14" s="206" t="str">
        <f>IFERROR(IF(COUNTIF(Saints!$C$2:$C$371,Q14)=0,"",INDEX(Saints!$D$2:$D$371,MATCH(Q14,Saints!$C$2:$C$371,0))),"")</f>
        <v>Félicité</v>
      </c>
      <c r="V14" s="207" t="str">
        <f>IF(COUNTIF(Parametre!$C$27:$C$39,Q14)=0,"",INDEX(Parametre!$B$27:$B$39,MATCH(Q14,Parametre!$C$27:$C$39,0)))&amp;""&amp;IF(COUNTIF(Parametre!$I$45:$I$94,Q14)=0,"",INDEX(Parametre!$K$45:$K$94,MATCH(Q14,Parametre!$I$45:$I$94,0)))</f>
        <v/>
      </c>
      <c r="X14" s="212">
        <f t="shared" si="5"/>
        <v>43928</v>
      </c>
      <c r="Y14" s="145"/>
      <c r="Z14" s="204" t="str">
        <f t="shared" si="6"/>
        <v/>
      </c>
      <c r="AA14" s="205" t="str">
        <f>IF(ISERROR(VLOOKUP(X14,Lune!$A$2:$B$55,2,FALSE)),"",VLOOKUP(X14,Lune!$A$2:$B$55,2,FALSE))</f>
        <v/>
      </c>
      <c r="AB14" s="206" t="str">
        <f>IFERROR(IF(COUNTIF(Saints!$C$2:$C$371,X14)=0,"",INDEX(Saints!$D$2:$D$371,MATCH(X14,Saints!$C$2:$C$371,0))),"")</f>
        <v>J.B. de la Salle</v>
      </c>
      <c r="AC14" s="207" t="str">
        <f>IF(COUNTIF(Parametre!$C$27:$C$39,X14)=0,"",INDEX(Parametre!$B$27:$B$39,MATCH(X14,Parametre!$C$27:$C$39,0)))&amp;""&amp;IF(COUNTIF(Parametre!$I$45:$I$94,X14)=0,"",INDEX(Parametre!$K$45:$K$94,MATCH(X14,Parametre!$I$45:$I$94,0)))</f>
        <v/>
      </c>
      <c r="AE14" s="212">
        <f t="shared" si="7"/>
        <v>43958</v>
      </c>
      <c r="AF14" s="145"/>
      <c r="AG14" s="213" t="str">
        <f t="shared" si="8"/>
        <v/>
      </c>
      <c r="AH14" s="205" t="str">
        <f>IF(ISERROR(VLOOKUP(AE14,[1]Lune!$A$2:$B$55,2,FALSE)),"",VLOOKUP(AE14,[1]Lune!$A$2:$B$55,2,FALSE))</f>
        <v></v>
      </c>
      <c r="AI14" s="206" t="str">
        <f>IFERROR(IF(COUNTIF(Saints!$C$2:$C$371,AE14)=0,"",INDEX(Saints!$D$2:$D$371,MATCH(AE14,Saints!$C$2:$C$371,0))),"")</f>
        <v>Gisèle</v>
      </c>
      <c r="AJ14" s="211" t="str">
        <f>IF(COUNTIF(Parametre!$C$27:$C$39,AE14)=0,"",INDEX(Parametre!$B$27:$B$39,MATCH(AE14,Parametre!$C$27:$C$39,0)))&amp;""&amp;IF(COUNTIF(Parametre!$I$45:$I$94,AE14)=0,"",INDEX(Parametre!$K$45:$K$94,MATCH(AE14,Parametre!$I$45:$I$94,0)))</f>
        <v/>
      </c>
      <c r="AL14" s="212">
        <f t="shared" si="9"/>
        <v>43989</v>
      </c>
      <c r="AM14" s="145"/>
      <c r="AN14" s="213" t="str">
        <f t="shared" ref="AN14" si="30">IF(WEEKDAY(AL14)=2,INT(MOD(INT((AL14-2)/7)+0.6,52+5/28))+1,"")</f>
        <v/>
      </c>
      <c r="AO14" s="205" t="str">
        <f>IF(ISERROR(VLOOKUP(AL14,Lune!$A$2:$B$55,2,FALSE)),"",VLOOKUP(AL14,Lune!$A$2:$B$55,2,FALSE))</f>
        <v/>
      </c>
      <c r="AP14" s="206" t="str">
        <f>IFERROR(IF(COUNTIF(Saints!$C$2:$C$371,AL14)=0,"",INDEX(Saints!$D$2:$D$371,MATCH(AL14,Saints!$C$2:$C$371,0))),"")</f>
        <v>Gilbert</v>
      </c>
      <c r="AQ14" s="211" t="str">
        <f>IF(COUNTIF(Parametre!$C$27:$C$39,AL14)=0,"",INDEX(Parametre!$B$27:$B$39,MATCH(AL14,Parametre!$C$27:$C$39,0)))&amp;""&amp;IF(COUNTIF(Parametre!$I$45:$I$94,AL14)=0,"",INDEX(Parametre!$K$45:$K$94,MATCH(AL14,Parametre!$I$45:$I$94,0)))</f>
        <v>F. des mères</v>
      </c>
      <c r="AS14" s="212">
        <f t="shared" si="11"/>
        <v>44019</v>
      </c>
      <c r="AT14" s="145"/>
      <c r="AU14" s="213" t="str">
        <f t="shared" ref="AU14" si="31">IF(WEEKDAY(AS14)=2,INT(MOD(INT((AS14-2)/7)+0.6,52+5/28))+1,"")</f>
        <v/>
      </c>
      <c r="AV14" s="205" t="str">
        <f>IF(ISERROR(VLOOKUP(AS14,Lune!$A$2:$B$55,2,FALSE)),"",VLOOKUP(AS14,Lune!$A$2:$B$55,2,FALSE))</f>
        <v/>
      </c>
      <c r="AW14" s="206" t="str">
        <f>IFERROR(IF(COUNTIF(Saints!$C$2:$C$371,AS14)=0,"",INDEX(Saints!$D$2:$D$371,MATCH(AS14,Saints!$C$2:$C$371,0))),"")</f>
        <v>Raoul</v>
      </c>
      <c r="AX14" s="211" t="str">
        <f>IF(COUNTIF(Parametre!$C$27:$C$39,AS14)=0,"",INDEX(Parametre!$B$27:$B$39,MATCH(AS14,Parametre!$C$27:$C$39,0)))&amp;""&amp;IF(COUNTIF(Parametre!$I$45:$I$94,AS14)=0,"",INDEX(Parametre!$K$45:$K$94,MATCH(AS14,Parametre!$I$45:$I$94,0)))</f>
        <v>12 an Mathéo</v>
      </c>
      <c r="AZ14" s="212">
        <f t="shared" si="13"/>
        <v>44050</v>
      </c>
      <c r="BA14" s="145"/>
      <c r="BB14" s="213" t="str">
        <f t="shared" si="14"/>
        <v/>
      </c>
      <c r="BC14" s="205" t="str">
        <f>IF(ISERROR(VLOOKUP(AZ14,Lune!$A$2:$B$55,2,FALSE)),"",VLOOKUP(AZ14,Lune!$A$2:$B$55,2,FALSE))</f>
        <v/>
      </c>
      <c r="BD14" s="206" t="str">
        <f>IFERROR(IF(COUNTIF(Saints!$C$2:$C$371,AZ14)=0,"",INDEX(Saints!$D$2:$D$371,MATCH(AZ14,Saints!$C$2:$C$371,0))),"")</f>
        <v>Gaétan</v>
      </c>
      <c r="BE14" s="211" t="str">
        <f>IF(COUNTIF(Parametre!$C$27:$C$39,AZ14)=0,"",INDEX(Parametre!$B$27:$B$39,MATCH(AZ14,Parametre!$C$27:$C$39,0)))&amp;""&amp;IF(COUNTIF(Parametre!$I$45:$I$94,AZ14)=0,"",INDEX(Parametre!$K$45:$K$94,MATCH(AZ14,Parametre!$I$45:$I$94,0)))</f>
        <v/>
      </c>
      <c r="BG14" s="212">
        <f t="shared" si="15"/>
        <v>44081</v>
      </c>
      <c r="BH14" s="145"/>
      <c r="BI14" s="213">
        <f t="shared" si="16"/>
        <v>37</v>
      </c>
      <c r="BJ14" s="205" t="str">
        <f>IF(ISERROR(VLOOKUP(BG14,Lune!$A$2:$B$55,2,FALSE)),"",VLOOKUP(BG14,Lune!$A$2:$B$55,2,FALSE))</f>
        <v/>
      </c>
      <c r="BK14" s="206" t="str">
        <f>IFERROR(IF(COUNTIF(Saints!$C$2:$C$371,BG14)=0,"",INDEX(Saints!$D$2:$D$371,MATCH(BG14,Saints!$C$2:$C$371,0))),"")</f>
        <v>Reine</v>
      </c>
      <c r="BL14" s="211" t="str">
        <f>IF(COUNTIF(Parametre!$C$27:$C$39,BG14)=0,"",INDEX(Parametre!$B$27:$B$39,MATCH(BG14,Parametre!$C$27:$C$39,0)))&amp;""&amp;IF(COUNTIF(Parametre!$I$45:$I$94,BG14)=0,"",INDEX(Parametre!$K$45:$K$94,MATCH(BG14,Parametre!$I$45:$I$94,0)))</f>
        <v/>
      </c>
      <c r="BN14" s="212">
        <f t="shared" si="17"/>
        <v>44111</v>
      </c>
      <c r="BO14" s="145"/>
      <c r="BP14" s="213" t="str">
        <f t="shared" si="18"/>
        <v/>
      </c>
      <c r="BQ14" s="205" t="str">
        <f>IF(ISERROR(VLOOKUP(BN14,Lune!$A$2:$B$55,2,FALSE)),"",VLOOKUP(BN14,Lune!$A$2:$B$55,2,FALSE))</f>
        <v/>
      </c>
      <c r="BR14" s="206" t="str">
        <f>IFERROR(IF(COUNTIF(Saints!$C$2:$C$371,BN14)=0,"",INDEX(Saints!$D$2:$D$371,MATCH(BN14,Saints!$C$2:$C$371,0))),"")</f>
        <v>Serge</v>
      </c>
      <c r="BS14" s="211" t="str">
        <f>IF(COUNTIF(Parametre!$C$27:$C$39,BN14)=0,"",INDEX(Parametre!$B$27:$B$39,MATCH(BN14,Parametre!$C$27:$C$39,0)))&amp;""&amp;IF(COUNTIF(Parametre!$I$45:$I$94,BN14)=0,"",INDEX(Parametre!$K$45:$K$94,MATCH(BN14,Parametre!$I$45:$I$94,0)))</f>
        <v/>
      </c>
      <c r="BU14" s="212">
        <f t="shared" si="19"/>
        <v>44142</v>
      </c>
      <c r="BV14" s="145"/>
      <c r="BW14" s="213" t="str">
        <f t="shared" si="20"/>
        <v/>
      </c>
      <c r="BX14" s="205" t="str">
        <f>IF(ISERROR(VLOOKUP(BU14,Lune!$A$2:$B$55,2,FALSE)),"",VLOOKUP(BU14,Lune!$A$2:$B$55,2,FALSE))</f>
        <v/>
      </c>
      <c r="BY14" s="206" t="str">
        <f>IFERROR(IF(COUNTIF(Saints!$C$2:$C$371,BU14)=0,"",INDEX(Saints!$D$2:$D$371,MATCH(BU14,Saints!$C$2:$C$371,0))),"")</f>
        <v>Carine</v>
      </c>
      <c r="BZ14" s="211" t="str">
        <f>IF(COUNTIF(Parametre!$C$27:$C$39,BU14)=0,"",INDEX(Parametre!$B$27:$B$39,MATCH(BU14,Parametre!$C$27:$C$39,0)))&amp;""&amp;IF(COUNTIF(Parametre!$I$45:$I$94,BU14)=0,"",INDEX(Parametre!$K$45:$K$94,MATCH(BU14,Parametre!$I$45:$I$94,0)))</f>
        <v/>
      </c>
      <c r="CB14" s="212">
        <f t="shared" si="21"/>
        <v>44172</v>
      </c>
      <c r="CC14" s="145"/>
      <c r="CD14" s="213">
        <f t="shared" si="22"/>
        <v>50</v>
      </c>
      <c r="CE14" s="205" t="str">
        <f>IF(ISERROR(VLOOKUP(CB14,Lune!$A$2:$B$55,2,FALSE)),"",VLOOKUP(CB14,Lune!$A$2:$B$55,2,FALSE))</f>
        <v></v>
      </c>
      <c r="CF14" s="206" t="str">
        <f>IFERROR(IF(COUNTIF(Saints!$C$2:$C$371,CB14)=0,"",INDEX(Saints!$D$2:$D$371,MATCH(CB14,Saints!$C$2:$C$371,0))),"")</f>
        <v>Ambroise</v>
      </c>
      <c r="CG14" s="211" t="str">
        <f>IF(COUNTIF(Parametre!$C$27:$C$39,CB14)=0,"",INDEX(Parametre!$B$27:$B$39,MATCH(CB14,Parametre!$C$27:$C$39,0)))&amp;" "&amp;IF(COUNTIF(Parametre!$I$45:$I$94,CB14)=0,"",INDEX(Parametre!$K$45:$K$94,MATCH(CB14,Parametre!$I$45:$I$94,0)))</f>
        <v xml:space="preserve"> </v>
      </c>
    </row>
    <row r="15" spans="1:85" ht="15.75">
      <c r="B15" s="202">
        <v>8</v>
      </c>
      <c r="C15" s="203">
        <f t="shared" si="25"/>
        <v>43838</v>
      </c>
      <c r="D15" s="145"/>
      <c r="E15" s="214" t="str">
        <f t="shared" si="0"/>
        <v/>
      </c>
      <c r="F15" s="205" t="str">
        <f>IF(ISERROR(VLOOKUP(C15,Lune!$A$2:$B$55,2,FALSE)),"",VLOOKUP(C15,Lune!$A$2:$B$55,2,FALSE))</f>
        <v/>
      </c>
      <c r="G15" s="206" t="str">
        <f>IFERROR(IF(COUNTIF(Saints!$C$2:$C$371,C15)=0,"",INDEX(Saints!$D$2:$D$371,MATCH(C15,Saints!$C$2:$C$371,0))),"")</f>
        <v>Lucien</v>
      </c>
      <c r="H15" s="207" t="str">
        <f>IF(COUNTIF(Parametre!$C$27:$C$39,C15)=0,"",INDEX(Parametre!$B$27:$B$39,MATCH(C15,Parametre!$C$27:$C$39,0)))&amp;""&amp;IF(COUNTIF(Parametre!$I$45:$I$94,C15)=0,"",INDEX(Parametre!$K$45:$K$94,MATCH(C15,Parametre!$I$45:$I$94,0)))</f>
        <v/>
      </c>
      <c r="J15" s="203">
        <f t="shared" si="1"/>
        <v>43869</v>
      </c>
      <c r="K15" s="145"/>
      <c r="L15" s="204" t="str">
        <f t="shared" si="2"/>
        <v/>
      </c>
      <c r="M15" s="205" t="str">
        <f>IF(ISERROR(VLOOKUP(J15,Lune!$A$2:$B$55,2,FALSE)),"",VLOOKUP(J15,Lune!$A$2:$B$55,2,FALSE))</f>
        <v/>
      </c>
      <c r="N15" s="206" t="str">
        <f>IFERROR(IF(COUNTIF(Saints!$C$2:$C$371,J15)=0,"",INDEX(Saints!$D$2:$D$371,MATCH(J15,Saints!$C$2:$C$371,0))),"")</f>
        <v>Jacqueline</v>
      </c>
      <c r="O15" s="207" t="str">
        <f>IF(COUNTIF(Parametre!$C$27:$C$39,J15)=0,"",INDEX(Parametre!$B$27:$B$39,MATCH(J15,Parametre!$C$27:$C$39,0)))&amp;""&amp;IF(COUNTIF(Parametre!$I$45:$I$94,J15)=0,"",INDEX(Parametre!$K$45:$K$94,MATCH(J15,Parametre!$I$45:$I$94,0)))</f>
        <v/>
      </c>
      <c r="Q15" s="203">
        <f t="shared" si="3"/>
        <v>43898</v>
      </c>
      <c r="R15" s="145"/>
      <c r="S15" s="204" t="str">
        <f t="shared" si="4"/>
        <v/>
      </c>
      <c r="T15" s="205" t="str">
        <f>IF(ISERROR(VLOOKUP(Q15,Lune!$A$2:$B$55,2,FALSE)),"",VLOOKUP(Q15,Lune!$A$2:$B$55,2,FALSE))</f>
        <v/>
      </c>
      <c r="U15" s="206" t="str">
        <f>IFERROR(IF(COUNTIF(Saints!$C$2:$C$371,Q15)=0,"",INDEX(Saints!$D$2:$D$371,MATCH(Q15,Saints!$C$2:$C$371,0))),"")</f>
        <v>Jean de Dieu</v>
      </c>
      <c r="V15" s="207" t="str">
        <f>IF(COUNTIF(Parametre!$C$27:$C$39,Q15)=0,"",INDEX(Parametre!$B$27:$B$39,MATCH(Q15,Parametre!$C$27:$C$39,0)))&amp;""&amp;IF(COUNTIF(Parametre!$I$45:$I$94,Q15)=0,"",INDEX(Parametre!$K$45:$K$94,MATCH(Q15,Parametre!$I$45:$I$94,0)))</f>
        <v/>
      </c>
      <c r="X15" s="212">
        <f t="shared" si="5"/>
        <v>43929</v>
      </c>
      <c r="Y15" s="145"/>
      <c r="Z15" s="204" t="str">
        <f t="shared" si="6"/>
        <v/>
      </c>
      <c r="AA15" s="205" t="str">
        <f>IF(ISERROR(VLOOKUP(X15,Lune!$A$2:$B$55,2,FALSE)),"",VLOOKUP(X15,Lune!$A$2:$B$55,2,FALSE))</f>
        <v></v>
      </c>
      <c r="AB15" s="206" t="str">
        <f>IFERROR(IF(COUNTIF(Saints!$C$2:$C$371,X15)=0,"",INDEX(Saints!$D$2:$D$371,MATCH(X15,Saints!$C$2:$C$371,0))),"")</f>
        <v>Julie</v>
      </c>
      <c r="AC15" s="207" t="str">
        <f>IF(COUNTIF(Parametre!$C$27:$C$39,X15)=0,"",INDEX(Parametre!$B$27:$B$39,MATCH(X15,Parametre!$C$27:$C$39,0)))&amp;""&amp;IF(COUNTIF(Parametre!$I$45:$I$94,X15)=0,"",INDEX(Parametre!$K$45:$K$94,MATCH(X15,Parametre!$I$45:$I$94,0)))</f>
        <v/>
      </c>
      <c r="AE15" s="212">
        <f t="shared" si="7"/>
        <v>43959</v>
      </c>
      <c r="AF15" s="145"/>
      <c r="AG15" s="213" t="str">
        <f t="shared" si="8"/>
        <v/>
      </c>
      <c r="AH15" s="205" t="str">
        <f>IF(ISERROR(VLOOKUP(AE15,[1]Lune!$A$2:$B$55,2,FALSE)),"",VLOOKUP(AE15,[1]Lune!$A$2:$B$55,2,FALSE))</f>
        <v/>
      </c>
      <c r="AI15" s="206" t="str">
        <f>IFERROR(IF(COUNTIF(Saints!$C$2:$C$371,AE15)=0,"",INDEX(Saints!$D$2:$D$371,MATCH(AE15,Saints!$C$2:$C$371,0))),"")</f>
        <v>Désiré</v>
      </c>
      <c r="AJ15" s="211" t="str">
        <f>IF(COUNTIF(Parametre!$C$27:$C$39,AE15)=0,"",INDEX(Parametre!$B$27:$B$39,MATCH(AE15,Parametre!$C$27:$C$39,0)))&amp;""&amp;IF(COUNTIF(Parametre!$I$45:$I$94,AE15)=0,"",INDEX(Parametre!$K$45:$K$94,MATCH(AE15,Parametre!$I$45:$I$94,0)))</f>
        <v>Victoire 1945</v>
      </c>
      <c r="AL15" s="212">
        <f t="shared" si="9"/>
        <v>43990</v>
      </c>
      <c r="AM15" s="145"/>
      <c r="AN15" s="213">
        <f t="shared" ref="AN15" si="32">IFERROR(IF(WEEKDAY(AL15)=2,INT(MOD(INT((AL15-2)/7)+0.6,52+5/28))+1,""),"")</f>
        <v>24</v>
      </c>
      <c r="AO15" s="205" t="str">
        <f>IF(ISERROR(VLOOKUP(AL15,Lune!$A$2:$B$55,2,FALSE)),"",VLOOKUP(AL15,Lune!$A$2:$B$55,2,FALSE))</f>
        <v/>
      </c>
      <c r="AP15" s="206" t="str">
        <f>IFERROR(IF(COUNTIF(Saints!$C$2:$C$371,AL15)=0,"",INDEX(Saints!$D$2:$D$371,MATCH(AL15,Saints!$C$2:$C$371,0))),"")</f>
        <v>Médard</v>
      </c>
      <c r="AQ15" s="211" t="str">
        <f>IF(COUNTIF(Parametre!$C$27:$C$39,AL15)=0,"",INDEX(Parametre!$B$27:$B$39,MATCH(AL15,Parametre!$C$27:$C$39,0)))&amp;""&amp;IF(COUNTIF(Parametre!$I$45:$I$94,AL15)=0,"",INDEX(Parametre!$K$45:$K$94,MATCH(AL15,Parametre!$I$45:$I$94,0)))</f>
        <v>12 an Clara</v>
      </c>
      <c r="AS15" s="212">
        <f t="shared" si="11"/>
        <v>44020</v>
      </c>
      <c r="AT15" s="145"/>
      <c r="AU15" s="213" t="str">
        <f t="shared" ref="AU15" si="33">IFERROR(IF(WEEKDAY(AS15)=2,INT(MOD(INT((AS15-2)/7)+0.6,52+5/28))+1,""),"")</f>
        <v/>
      </c>
      <c r="AV15" s="205" t="str">
        <f>IF(ISERROR(VLOOKUP(AS15,Lune!$A$2:$B$55,2,FALSE)),"",VLOOKUP(AS15,Lune!$A$2:$B$55,2,FALSE))</f>
        <v/>
      </c>
      <c r="AW15" s="206" t="str">
        <f>IFERROR(IF(COUNTIF(Saints!$C$2:$C$371,AS15)=0,"",INDEX(Saints!$D$2:$D$371,MATCH(AS15,Saints!$C$2:$C$371,0))),"")</f>
        <v>Thibaut</v>
      </c>
      <c r="AX15" s="211" t="str">
        <f>IF(COUNTIF(Parametre!$C$27:$C$39,AS15)=0,"",INDEX(Parametre!$B$27:$B$39,MATCH(AS15,Parametre!$C$27:$C$39,0)))&amp;""&amp;IF(COUNTIF(Parametre!$I$45:$I$94,AS15)=0,"",INDEX(Parametre!$K$45:$K$94,MATCH(AS15,Parametre!$I$45:$I$94,0)))</f>
        <v/>
      </c>
      <c r="AZ15" s="212">
        <f t="shared" si="13"/>
        <v>44051</v>
      </c>
      <c r="BA15" s="145"/>
      <c r="BB15" s="213" t="str">
        <f t="shared" si="14"/>
        <v/>
      </c>
      <c r="BC15" s="205" t="str">
        <f>IF(ISERROR(VLOOKUP(AZ15,Lune!$A$2:$B$55,2,FALSE)),"",VLOOKUP(AZ15,Lune!$A$2:$B$55,2,FALSE))</f>
        <v/>
      </c>
      <c r="BD15" s="206" t="str">
        <f>IFERROR(IF(COUNTIF(Saints!$C$2:$C$371,AZ15)=0,"",INDEX(Saints!$D$2:$D$371,MATCH(AZ15,Saints!$C$2:$C$371,0))),"")</f>
        <v>Dominique</v>
      </c>
      <c r="BE15" s="211" t="str">
        <f>IF(COUNTIF(Parametre!$C$27:$C$39,AZ15)=0,"",INDEX(Parametre!$B$27:$B$39,MATCH(AZ15,Parametre!$C$27:$C$39,0)))&amp;""&amp;IF(COUNTIF(Parametre!$I$45:$I$94,AZ15)=0,"",INDEX(Parametre!$K$45:$K$94,MATCH(AZ15,Parametre!$I$45:$I$94,0)))</f>
        <v/>
      </c>
      <c r="BG15" s="212">
        <f t="shared" si="15"/>
        <v>44082</v>
      </c>
      <c r="BH15" s="145"/>
      <c r="BI15" s="213" t="str">
        <f t="shared" si="16"/>
        <v/>
      </c>
      <c r="BJ15" s="205" t="str">
        <f>IF(ISERROR(VLOOKUP(BG15,Lune!$A$2:$B$55,2,FALSE)),"",VLOOKUP(BG15,Lune!$A$2:$B$55,2,FALSE))</f>
        <v/>
      </c>
      <c r="BK15" s="206" t="str">
        <f>IFERROR(IF(COUNTIF(Saints!$C$2:$C$371,BG15)=0,"",INDEX(Saints!$D$2:$D$371,MATCH(BG15,Saints!$C$2:$C$371,0))),"")</f>
        <v>Adrien</v>
      </c>
      <c r="BL15" s="211" t="str">
        <f>IF(COUNTIF(Parametre!$C$27:$C$39,BG15)=0,"",INDEX(Parametre!$B$27:$B$39,MATCH(BG15,Parametre!$C$27:$C$39,0)))&amp;""&amp;IF(COUNTIF(Parametre!$I$45:$I$94,BG15)=0,"",INDEX(Parametre!$K$45:$K$94,MATCH(BG15,Parametre!$I$45:$I$94,0)))</f>
        <v/>
      </c>
      <c r="BN15" s="212">
        <f t="shared" si="17"/>
        <v>44112</v>
      </c>
      <c r="BO15" s="145"/>
      <c r="BP15" s="213" t="str">
        <f t="shared" si="18"/>
        <v/>
      </c>
      <c r="BQ15" s="205" t="str">
        <f>IF(ISERROR(VLOOKUP(BN15,Lune!$A$2:$B$55,2,FALSE)),"",VLOOKUP(BN15,Lune!$A$2:$B$55,2,FALSE))</f>
        <v/>
      </c>
      <c r="BR15" s="206" t="str">
        <f>IFERROR(IF(COUNTIF(Saints!$C$2:$C$371,BN15)=0,"",INDEX(Saints!$D$2:$D$371,MATCH(BN15,Saints!$C$2:$C$371,0))),"")</f>
        <v>Pélagie</v>
      </c>
      <c r="BS15" s="211" t="str">
        <f>IF(COUNTIF(Parametre!$C$27:$C$39,BN15)=0,"",INDEX(Parametre!$B$27:$B$39,MATCH(BN15,Parametre!$C$27:$C$39,0)))&amp;""&amp;IF(COUNTIF(Parametre!$I$45:$I$94,BN15)=0,"",INDEX(Parametre!$K$45:$K$94,MATCH(BN15,Parametre!$I$45:$I$94,0)))</f>
        <v/>
      </c>
      <c r="BU15" s="212">
        <f t="shared" si="19"/>
        <v>44143</v>
      </c>
      <c r="BV15" s="145"/>
      <c r="BW15" s="213" t="str">
        <f t="shared" si="20"/>
        <v/>
      </c>
      <c r="BX15" s="205" t="str">
        <f>IF(ISERROR(VLOOKUP(BU15,Lune!$A$2:$B$55,2,FALSE)),"",VLOOKUP(BU15,Lune!$A$2:$B$55,2,FALSE))</f>
        <v></v>
      </c>
      <c r="BY15" s="206" t="str">
        <f>IFERROR(IF(COUNTIF(Saints!$C$2:$C$371,BU15)=0,"",INDEX(Saints!$D$2:$D$371,MATCH(BU15,Saints!$C$2:$C$371,0))),"")</f>
        <v>Geoffroy</v>
      </c>
      <c r="BZ15" s="211" t="str">
        <f>IF(COUNTIF(Parametre!$C$27:$C$39,BU15)=0,"",INDEX(Parametre!$B$27:$B$39,MATCH(BU15,Parametre!$C$27:$C$39,0)))&amp;""&amp;IF(COUNTIF(Parametre!$I$45:$I$94,BU15)=0,"",INDEX(Parametre!$K$45:$K$94,MATCH(BU15,Parametre!$I$45:$I$94,0)))</f>
        <v/>
      </c>
      <c r="CB15" s="212">
        <f t="shared" si="21"/>
        <v>44173</v>
      </c>
      <c r="CC15" s="145"/>
      <c r="CD15" s="213" t="str">
        <f t="shared" si="22"/>
        <v/>
      </c>
      <c r="CE15" s="205" t="str">
        <f>IF(ISERROR(VLOOKUP(CB15,Lune!$A$2:$B$55,2,FALSE)),"",VLOOKUP(CB15,Lune!$A$2:$B$55,2,FALSE))</f>
        <v/>
      </c>
      <c r="CF15" s="206" t="str">
        <f>IFERROR(IF(COUNTIF(Saints!$C$2:$C$371,CB15)=0,"",INDEX(Saints!$D$2:$D$371,MATCH(CB15,Saints!$C$2:$C$371,0))),"")</f>
        <v>Conception</v>
      </c>
      <c r="CG15" s="211" t="str">
        <f>IF(COUNTIF(Parametre!$C$27:$C$39,CB15)=0,"",INDEX(Parametre!$B$27:$B$39,MATCH(CB15,Parametre!$C$27:$C$39,0)))&amp;""&amp;IF(COUNTIF(Parametre!$I$45:$I$94,CB15)=0,"",INDEX(Parametre!$K$45:$K$94,MATCH(CB15,Parametre!$I$45:$I$94,0)))</f>
        <v>41 an Maud</v>
      </c>
    </row>
    <row r="16" spans="1:85" ht="15.75">
      <c r="B16" s="202">
        <v>9</v>
      </c>
      <c r="C16" s="203">
        <f t="shared" si="25"/>
        <v>43839</v>
      </c>
      <c r="D16" s="145"/>
      <c r="E16" s="214" t="str">
        <f t="shared" si="0"/>
        <v/>
      </c>
      <c r="F16" s="205" t="str">
        <f>IF(ISERROR(VLOOKUP(C16,Lune!$A$2:$B$55,2,FALSE)),"",VLOOKUP(C16,Lune!$A$2:$B$55,2,FALSE))</f>
        <v/>
      </c>
      <c r="G16" s="206" t="str">
        <f>IFERROR(IF(COUNTIF(Saints!$C$2:$C$371,C16)=0,"",INDEX(Saints!$D$2:$D$371,MATCH(C16,Saints!$C$2:$C$371,0))),"")</f>
        <v>Alix</v>
      </c>
      <c r="H16" s="207" t="str">
        <f>IF(COUNTIF(Parametre!$C$27:$C$39,C16)=0,"",INDEX(Parametre!$B$27:$B$39,MATCH(C16,Parametre!$C$27:$C$39,0)))&amp;""&amp;IF(COUNTIF(Parametre!$I$45:$I$94,C16)=0,"",INDEX(Parametre!$K$45:$K$94,MATCH(C16,Parametre!$I$45:$I$94,0)))</f>
        <v/>
      </c>
      <c r="J16" s="203">
        <f t="shared" si="1"/>
        <v>43870</v>
      </c>
      <c r="K16" s="145"/>
      <c r="L16" s="204" t="str">
        <f t="shared" si="2"/>
        <v/>
      </c>
      <c r="M16" s="205" t="str">
        <f>IF(ISERROR(VLOOKUP(J16,Lune!$A$2:$B$55,2,FALSE)),"",VLOOKUP(J16,Lune!$A$2:$B$55,2,FALSE))</f>
        <v></v>
      </c>
      <c r="N16" s="206" t="str">
        <f>IFERROR(IF(COUNTIF(Saints!$C$2:$C$371,J16)=0,"",INDEX(Saints!$D$2:$D$371,MATCH(J16,Saints!$C$2:$C$371,0))),"")</f>
        <v>Apolline</v>
      </c>
      <c r="O16" s="207" t="str">
        <f>IF(COUNTIF(Parametre!$C$27:$C$39,J16)=0,"",INDEX(Parametre!$B$27:$B$39,MATCH(J16,Parametre!$C$27:$C$39,0)))&amp;""&amp;IF(COUNTIF(Parametre!$I$45:$I$94,J16)=0,"",INDEX(Parametre!$K$45:$K$94,MATCH(J16,Parametre!$I$45:$I$94,0)))</f>
        <v>9 an Maxence</v>
      </c>
      <c r="Q16" s="203">
        <f t="shared" si="3"/>
        <v>43899</v>
      </c>
      <c r="R16" s="145"/>
      <c r="S16" s="204">
        <f t="shared" si="4"/>
        <v>11</v>
      </c>
      <c r="T16" s="205" t="str">
        <f>IF(ISERROR(VLOOKUP(Q16,Lune!$A$2:$B$55,2,FALSE)),"",VLOOKUP(Q16,Lune!$A$2:$B$55,2,FALSE))</f>
        <v></v>
      </c>
      <c r="U16" s="206" t="str">
        <f>IFERROR(IF(COUNTIF(Saints!$C$2:$C$371,Q16)=0,"",INDEX(Saints!$D$2:$D$371,MATCH(Q16,Saints!$C$2:$C$371,0))),"")</f>
        <v>Françoise</v>
      </c>
      <c r="V16" s="207" t="str">
        <f>IF(COUNTIF(Parametre!$C$27:$C$39,Q16)=0,"",INDEX(Parametre!$B$27:$B$39,MATCH(Q16,Parametre!$C$27:$C$39,0)))&amp;""&amp;IF(COUNTIF(Parametre!$I$45:$I$94,Q16)=0,"",INDEX(Parametre!$K$45:$K$94,MATCH(Q16,Parametre!$I$45:$I$94,0)))</f>
        <v/>
      </c>
      <c r="X16" s="212">
        <f t="shared" si="5"/>
        <v>43930</v>
      </c>
      <c r="Y16" s="145"/>
      <c r="Z16" s="204" t="str">
        <f t="shared" si="6"/>
        <v/>
      </c>
      <c r="AA16" s="205" t="str">
        <f>IF(ISERROR(VLOOKUP(X16,Lune!$A$2:$B$55,2,FALSE)),"",VLOOKUP(X16,Lune!$A$2:$B$55,2,FALSE))</f>
        <v/>
      </c>
      <c r="AB16" s="206" t="str">
        <f>IFERROR(IF(COUNTIF(Saints!$C$2:$C$371,X16)=0,"",INDEX(Saints!$D$2:$D$371,MATCH(X16,Saints!$C$2:$C$371,0))),"")</f>
        <v>Gauthier</v>
      </c>
      <c r="AC16" s="207" t="str">
        <f>IF(COUNTIF(Parametre!$C$27:$C$39,X16)=0,"",INDEX(Parametre!$B$27:$B$39,MATCH(X16,Parametre!$C$27:$C$39,0)))&amp;""&amp;IF(COUNTIF(Parametre!$I$45:$I$94,X16)=0,"",INDEX(Parametre!$K$45:$K$94,MATCH(X16,Parametre!$I$45:$I$94,0)))</f>
        <v/>
      </c>
      <c r="AE16" s="212">
        <f t="shared" si="7"/>
        <v>43960</v>
      </c>
      <c r="AF16" s="145"/>
      <c r="AG16" s="213" t="str">
        <f t="shared" si="8"/>
        <v/>
      </c>
      <c r="AH16" s="205" t="str">
        <f>IF(ISERROR(VLOOKUP(AE16,[1]Lune!$A$2:$B$55,2,FALSE)),"",VLOOKUP(AE16,[1]Lune!$A$2:$B$55,2,FALSE))</f>
        <v/>
      </c>
      <c r="AI16" s="206" t="str">
        <f>IFERROR(IF(COUNTIF(Saints!$C$2:$C$371,AE16)=0,"",INDEX(Saints!$D$2:$D$371,MATCH(AE16,Saints!$C$2:$C$371,0))),"")</f>
        <v>Pâcome</v>
      </c>
      <c r="AJ16" s="211" t="str">
        <f>IF(COUNTIF(Parametre!$C$27:$C$39,AE16)=0,"",INDEX(Parametre!$B$27:$B$39,MATCH(AE16,Parametre!$C$27:$C$39,0)))&amp;""&amp;IF(COUNTIF(Parametre!$I$45:$I$94,AE16)=0,"",INDEX(Parametre!$K$45:$K$94,MATCH(AE16,Parametre!$I$45:$I$94,0)))</f>
        <v/>
      </c>
      <c r="AL16" s="212">
        <f>AL15+1</f>
        <v>43991</v>
      </c>
      <c r="AM16" s="145"/>
      <c r="AN16" s="213" t="str">
        <f>IFERROR(IF(WEEKDAY(AL16)=2,INT(MOD(INT((AL16-2)/7)+0.6,52+5/28))+1,""),"")</f>
        <v/>
      </c>
      <c r="AO16" s="205" t="str">
        <f>IF(ISERROR(VLOOKUP(AL16,Lune!$A$2:$B$55,2,FALSE)),"",VLOOKUP(AL16,Lune!$A$2:$B$55,2,FALSE))</f>
        <v/>
      </c>
      <c r="AP16" s="206" t="str">
        <f>IFERROR(IF(COUNTIF(Saints!$C$2:$C$371,AL16)=0,"",INDEX(Saints!$D$2:$D$371,MATCH(AL16,Saints!$C$2:$C$371,0))),"")</f>
        <v>Diane</v>
      </c>
      <c r="AQ16" s="211" t="str">
        <f>IF(COUNTIF(Parametre!$C$27:$C$39,AL16)=0,"",INDEX(Parametre!$B$27:$B$39,MATCH(AL16,Parametre!$C$27:$C$39,0)))&amp;""&amp;IF(COUNTIF(Parametre!$I$45:$I$94,AL16)=0,"",INDEX(Parametre!$K$45:$K$94,MATCH(AL16,Parametre!$I$45:$I$94,0)))</f>
        <v/>
      </c>
      <c r="AS16" s="212">
        <f>AS15+1</f>
        <v>44021</v>
      </c>
      <c r="AT16" s="145"/>
      <c r="AU16" s="213" t="str">
        <f>IFERROR(IF(WEEKDAY(AS16)=2,INT(MOD(INT((AS16-2)/7)+0.6,52+5/28))+1,""),"")</f>
        <v/>
      </c>
      <c r="AV16" s="205" t="str">
        <f>IF(ISERROR(VLOOKUP(AS16,Lune!$A$2:$B$55,2,FALSE)),"",VLOOKUP(AS16,Lune!$A$2:$B$55,2,FALSE))</f>
        <v/>
      </c>
      <c r="AW16" s="206" t="str">
        <f>IFERROR(IF(COUNTIF(Saints!$C$2:$C$371,AS16)=0,"",INDEX(Saints!$D$2:$D$371,MATCH(AS16,Saints!$C$2:$C$371,0))),"")</f>
        <v>Amandine</v>
      </c>
      <c r="AX16" s="211" t="str">
        <f>IF(COUNTIF(Parametre!$C$27:$C$39,AS16)=0,"",INDEX(Parametre!$B$27:$B$39,MATCH(AS16,Parametre!$C$27:$C$39,0)))&amp;""&amp;IF(COUNTIF(Parametre!$I$45:$I$94,AS16)=0,"",INDEX(Parametre!$K$45:$K$94,MATCH(AS16,Parametre!$I$45:$I$94,0)))</f>
        <v/>
      </c>
      <c r="AZ16" s="212">
        <f t="shared" si="13"/>
        <v>44052</v>
      </c>
      <c r="BA16" s="145"/>
      <c r="BB16" s="213" t="str">
        <f t="shared" si="14"/>
        <v/>
      </c>
      <c r="BC16" s="205" t="str">
        <f>IF(ISERROR(VLOOKUP(AZ16,Lune!$A$2:$B$55,2,FALSE)),"",VLOOKUP(AZ16,Lune!$A$2:$B$55,2,FALSE))</f>
        <v/>
      </c>
      <c r="BD16" s="206" t="str">
        <f>IFERROR(IF(COUNTIF(Saints!$C$2:$C$371,AZ16)=0,"",INDEX(Saints!$D$2:$D$371,MATCH(AZ16,Saints!$C$2:$C$371,0))),"")</f>
        <v>Amour</v>
      </c>
      <c r="BE16" s="211" t="str">
        <f>IF(COUNTIF(Parametre!$C$27:$C$39,AZ16)=0,"",INDEX(Parametre!$B$27:$B$39,MATCH(AZ16,Parametre!$C$27:$C$39,0)))&amp;""&amp;IF(COUNTIF(Parametre!$I$45:$I$94,AZ16)=0,"",INDEX(Parametre!$K$45:$K$94,MATCH(AZ16,Parametre!$I$45:$I$94,0)))</f>
        <v/>
      </c>
      <c r="BG16" s="212">
        <f t="shared" si="15"/>
        <v>44083</v>
      </c>
      <c r="BH16" s="145"/>
      <c r="BI16" s="213" t="str">
        <f t="shared" si="16"/>
        <v/>
      </c>
      <c r="BJ16" s="205" t="str">
        <f>IF(ISERROR(VLOOKUP(BG16,Lune!$A$2:$B$55,2,FALSE)),"",VLOOKUP(BG16,Lune!$A$2:$B$55,2,FALSE))</f>
        <v/>
      </c>
      <c r="BK16" s="206" t="str">
        <f>IFERROR(IF(COUNTIF(Saints!$C$2:$C$371,BG16)=0,"",INDEX(Saints!$D$2:$D$371,MATCH(BG16,Saints!$C$2:$C$371,0))),"")</f>
        <v>Alain</v>
      </c>
      <c r="BL16" s="211" t="str">
        <f>IF(COUNTIF(Parametre!$C$27:$C$39,BG16)=0,"",INDEX(Parametre!$B$27:$B$39,MATCH(BG16,Parametre!$C$27:$C$39,0)))&amp;""&amp;IF(COUNTIF(Parametre!$I$45:$I$94,BG16)=0,"",INDEX(Parametre!$K$45:$K$94,MATCH(BG16,Parametre!$I$45:$I$94,0)))</f>
        <v/>
      </c>
      <c r="BN16" s="212">
        <f t="shared" si="17"/>
        <v>44113</v>
      </c>
      <c r="BO16" s="145"/>
      <c r="BP16" s="213" t="str">
        <f t="shared" si="18"/>
        <v/>
      </c>
      <c r="BQ16" s="205" t="str">
        <f>IF(ISERROR(VLOOKUP(BN16,Lune!$A$2:$B$55,2,FALSE)),"",VLOOKUP(BN16,Lune!$A$2:$B$55,2,FALSE))</f>
        <v></v>
      </c>
      <c r="BR16" s="206" t="str">
        <f>IFERROR(IF(COUNTIF(Saints!$C$2:$C$371,BN16)=0,"",INDEX(Saints!$D$2:$D$371,MATCH(BN16,Saints!$C$2:$C$371,0))),"")</f>
        <v>Denis</v>
      </c>
      <c r="BS16" s="211" t="str">
        <f>IF(COUNTIF(Parametre!$C$27:$C$39,BN16)=0,"",INDEX(Parametre!$B$27:$B$39,MATCH(BN16,Parametre!$C$27:$C$39,0)))&amp;""&amp;IF(COUNTIF(Parametre!$I$45:$I$94,BN16)=0,"",INDEX(Parametre!$K$45:$K$94,MATCH(BN16,Parametre!$I$45:$I$94,0)))</f>
        <v/>
      </c>
      <c r="BU16" s="212">
        <f t="shared" si="19"/>
        <v>44144</v>
      </c>
      <c r="BV16" s="145"/>
      <c r="BW16" s="213">
        <f t="shared" si="20"/>
        <v>46</v>
      </c>
      <c r="BX16" s="205" t="str">
        <f>IF(ISERROR(VLOOKUP(BU16,Lune!$A$2:$B$55,2,FALSE)),"",VLOOKUP(BU16,Lune!$A$2:$B$55,2,FALSE))</f>
        <v/>
      </c>
      <c r="BY16" s="206" t="str">
        <f>IFERROR(IF(COUNTIF(Saints!$C$2:$C$371,BU16)=0,"",INDEX(Saints!$D$2:$D$371,MATCH(BU16,Saints!$C$2:$C$371,0))),"")</f>
        <v>Théodore</v>
      </c>
      <c r="BZ16" s="211" t="str">
        <f>IF(COUNTIF(Parametre!$C$27:$C$39,BU16)=0,"",INDEX(Parametre!$B$27:$B$39,MATCH(BU16,Parametre!$C$27:$C$39,0)))&amp;""&amp;IF(COUNTIF(Parametre!$I$45:$I$94,BU16)=0,"",INDEX(Parametre!$K$45:$K$94,MATCH(BU16,Parametre!$I$45:$I$94,0)))</f>
        <v/>
      </c>
      <c r="CB16" s="212">
        <f t="shared" si="21"/>
        <v>44174</v>
      </c>
      <c r="CC16" s="145"/>
      <c r="CD16" s="213" t="str">
        <f t="shared" si="22"/>
        <v/>
      </c>
      <c r="CE16" s="205" t="str">
        <f>IF(ISERROR(VLOOKUP(CB16,Lune!$A$2:$B$55,2,FALSE)),"",VLOOKUP(CB16,Lune!$A$2:$B$55,2,FALSE))</f>
        <v/>
      </c>
      <c r="CF16" s="206" t="str">
        <f>IFERROR(IF(COUNTIF(Saints!$C$2:$C$371,CB16)=0,"",INDEX(Saints!$D$2:$D$371,MATCH(CB16,Saints!$C$2:$C$371,0))),"")</f>
        <v>P. Fourier</v>
      </c>
      <c r="CG16" s="211" t="str">
        <f>IF(COUNTIF(Parametre!$C$27:$C$39,CB16)=0,"",INDEX(Parametre!$B$27:$B$39,MATCH(CB16,Parametre!$C$27:$C$39,0)))&amp;" "&amp;IF(COUNTIF(Parametre!$I$45:$I$94,CB16)=0,"",INDEX(Parametre!$K$45:$K$94,MATCH(CB16,Parametre!$I$45:$I$94,0)))</f>
        <v xml:space="preserve"> </v>
      </c>
    </row>
    <row r="17" spans="2:85" ht="15.75">
      <c r="B17" s="202">
        <v>10</v>
      </c>
      <c r="C17" s="203">
        <f t="shared" si="25"/>
        <v>43840</v>
      </c>
      <c r="D17" s="145"/>
      <c r="E17" s="214" t="str">
        <f t="shared" si="0"/>
        <v/>
      </c>
      <c r="F17" s="205" t="str">
        <f>IF(ISERROR(VLOOKUP(C17,Lune!$A$2:$B$55,2,FALSE)),"",VLOOKUP(C17,Lune!$A$2:$B$55,2,FALSE))</f>
        <v></v>
      </c>
      <c r="G17" s="206" t="str">
        <f>IFERROR(IF(COUNTIF(Saints!$C$2:$C$371,C17)=0,"",INDEX(Saints!$D$2:$D$371,MATCH(C17,Saints!$C$2:$C$371,0))),"")</f>
        <v>Guillaume</v>
      </c>
      <c r="H17" s="207" t="str">
        <f>IF(COUNTIF(Parametre!$C$27:$C$39,C17)=0,"",INDEX(Parametre!$B$27:$B$39,MATCH(C17,Parametre!$C$27:$C$39,0)))&amp;""&amp;IF(COUNTIF(Parametre!$I$45:$I$94,C17)=0,"",INDEX(Parametre!$K$45:$K$94,MATCH(C17,Parametre!$I$45:$I$94,0)))</f>
        <v/>
      </c>
      <c r="J17" s="203">
        <f t="shared" si="1"/>
        <v>43871</v>
      </c>
      <c r="K17" s="145"/>
      <c r="L17" s="204">
        <f t="shared" si="2"/>
        <v>7</v>
      </c>
      <c r="M17" s="205" t="str">
        <f>IF(ISERROR(VLOOKUP(J17,Lune!$A$2:$B$55,2,FALSE)),"",VLOOKUP(J17,Lune!$A$2:$B$55,2,FALSE))</f>
        <v/>
      </c>
      <c r="N17" s="206" t="str">
        <f>IFERROR(IF(COUNTIF(Saints!$C$2:$C$371,J17)=0,"",INDEX(Saints!$D$2:$D$371,MATCH(J17,Saints!$C$2:$C$371,0))),"")</f>
        <v>Arnaud</v>
      </c>
      <c r="O17" s="207" t="str">
        <f>IF(COUNTIF(Parametre!$C$27:$C$39,J17)=0,"",INDEX(Parametre!$B$27:$B$39,MATCH(J17,Parametre!$C$27:$C$39,0)))&amp;""&amp;IF(COUNTIF(Parametre!$I$45:$I$94,J17)=0,"",INDEX(Parametre!$K$45:$K$94,MATCH(J17,Parametre!$I$45:$I$94,0)))</f>
        <v/>
      </c>
      <c r="Q17" s="203">
        <f t="shared" si="3"/>
        <v>43900</v>
      </c>
      <c r="R17" s="145"/>
      <c r="S17" s="204" t="str">
        <f t="shared" si="4"/>
        <v/>
      </c>
      <c r="T17" s="205" t="str">
        <f>IF(ISERROR(VLOOKUP(Q17,Lune!$A$2:$B$55,2,FALSE)),"",VLOOKUP(Q17,Lune!$A$2:$B$55,2,FALSE))</f>
        <v/>
      </c>
      <c r="U17" s="206" t="str">
        <f>IFERROR(IF(COUNTIF(Saints!$C$2:$C$371,Q17)=0,"",INDEX(Saints!$D$2:$D$371,MATCH(Q17,Saints!$C$2:$C$371,0))),"")</f>
        <v>Vivien</v>
      </c>
      <c r="V17" s="207" t="str">
        <f>IF(COUNTIF(Parametre!$C$27:$C$39,Q17)=0,"",INDEX(Parametre!$B$27:$B$39,MATCH(Q17,Parametre!$C$27:$C$39,0)))&amp;""&amp;IF(COUNTIF(Parametre!$I$45:$I$94,Q17)=0,"",INDEX(Parametre!$K$45:$K$94,MATCH(Q17,Parametre!$I$45:$I$94,0)))</f>
        <v/>
      </c>
      <c r="X17" s="212">
        <f t="shared" si="5"/>
        <v>43931</v>
      </c>
      <c r="Y17" s="145"/>
      <c r="Z17" s="204" t="str">
        <f t="shared" si="6"/>
        <v/>
      </c>
      <c r="AA17" s="205" t="str">
        <f>IF(ISERROR(VLOOKUP(X17,Lune!$A$2:$B$55,2,FALSE)),"",VLOOKUP(X17,Lune!$A$2:$B$55,2,FALSE))</f>
        <v/>
      </c>
      <c r="AB17" s="206" t="str">
        <f>IFERROR(IF(COUNTIF(Saints!$C$2:$C$371,X17)=0,"",INDEX(Saints!$D$2:$D$371,MATCH(X17,Saints!$C$2:$C$371,0))),"")</f>
        <v>Fulbert</v>
      </c>
      <c r="AC17" s="207" t="str">
        <f>IF(COUNTIF(Parametre!$C$27:$C$39,X17)=0,"",INDEX(Parametre!$B$27:$B$39,MATCH(X17,Parametre!$C$27:$C$39,0)))&amp;""&amp;IF(COUNTIF(Parametre!$I$45:$I$94,X17)=0,"",INDEX(Parametre!$K$45:$K$94,MATCH(X17,Parametre!$I$45:$I$94,0)))</f>
        <v>Vendredi Saint</v>
      </c>
      <c r="AE17" s="212">
        <f t="shared" si="7"/>
        <v>43961</v>
      </c>
      <c r="AF17" s="145"/>
      <c r="AG17" s="213" t="str">
        <f t="shared" si="8"/>
        <v/>
      </c>
      <c r="AH17" s="205" t="str">
        <f>IF(ISERROR(VLOOKUP(AE17,[1]Lune!$A$2:$B$55,2,FALSE)),"",VLOOKUP(AE17,[1]Lune!$A$2:$B$55,2,FALSE))</f>
        <v/>
      </c>
      <c r="AI17" s="206" t="str">
        <f>IFERROR(IF(COUNTIF(Saints!$C$2:$C$371,AE17)=0,"",INDEX(Saints!$D$2:$D$371,MATCH(AE17,Saints!$C$2:$C$371,0))),"")</f>
        <v>Solange</v>
      </c>
      <c r="AJ17" s="211" t="str">
        <f>IF(COUNTIF(Parametre!$C$27:$C$39,AE17)=0,"",INDEX(Parametre!$B$27:$B$39,MATCH(AE17,Parametre!$C$27:$C$39,0)))&amp;""&amp;IF(COUNTIF(Parametre!$I$45:$I$94,AE17)=0,"",INDEX(Parametre!$K$45:$K$94,MATCH(AE17,Parametre!$I$45:$I$94,0)))</f>
        <v/>
      </c>
      <c r="AL17" s="212">
        <f t="shared" ref="AL17:AL21" si="34">AL16+1</f>
        <v>43992</v>
      </c>
      <c r="AM17" s="145"/>
      <c r="AN17" s="213" t="str">
        <f t="shared" ref="AN17" si="35">IF(WEEKDAY(AL17)=2,INT(MOD(INT((AL17-2)/7)+0.6,52+5/28))+1,"")</f>
        <v/>
      </c>
      <c r="AO17" s="205" t="str">
        <f>IF(ISERROR(VLOOKUP(AL17,Lune!$A$2:$B$55,2,FALSE)),"",VLOOKUP(AL17,Lune!$A$2:$B$55,2,FALSE))</f>
        <v/>
      </c>
      <c r="AP17" s="206" t="str">
        <f>IFERROR(IF(COUNTIF(Saints!$C$2:$C$371,AL17)=0,"",INDEX(Saints!$D$2:$D$371,MATCH(AL17,Saints!$C$2:$C$371,0))),"")</f>
        <v>Landry</v>
      </c>
      <c r="AQ17" s="211" t="str">
        <f>IF(COUNTIF(Parametre!$C$27:$C$39,AL17)=0,"",INDEX(Parametre!$B$27:$B$39,MATCH(AL17,Parametre!$C$27:$C$39,0)))&amp;""&amp;IF(COUNTIF(Parametre!$I$45:$I$94,AL17)=0,"",INDEX(Parametre!$K$45:$K$94,MATCH(AL17,Parametre!$I$45:$I$94,0)))</f>
        <v/>
      </c>
      <c r="AS17" s="212">
        <f t="shared" ref="AS17:AS22" si="36">AS16+1</f>
        <v>44022</v>
      </c>
      <c r="AT17" s="145"/>
      <c r="AU17" s="213" t="str">
        <f t="shared" ref="AU17" si="37">IF(WEEKDAY(AS17)=2,INT(MOD(INT((AS17-2)/7)+0.6,52+5/28))+1,"")</f>
        <v/>
      </c>
      <c r="AV17" s="205" t="str">
        <f>IF(ISERROR(VLOOKUP(AS17,Lune!$A$2:$B$55,2,FALSE)),"",VLOOKUP(AS17,Lune!$A$2:$B$55,2,FALSE))</f>
        <v/>
      </c>
      <c r="AW17" s="206" t="str">
        <f>IFERROR(IF(COUNTIF(Saints!$C$2:$C$371,AS17)=0,"",INDEX(Saints!$D$2:$D$371,MATCH(AS17,Saints!$C$2:$C$371,0))),"")</f>
        <v>Ulrich</v>
      </c>
      <c r="AX17" s="211" t="str">
        <f>IF(COUNTIF(Parametre!$C$27:$C$39,AS17)=0,"",INDEX(Parametre!$B$27:$B$39,MATCH(AS17,Parametre!$C$27:$C$39,0)))&amp;""&amp;IF(COUNTIF(Parametre!$I$45:$I$94,AS17)=0,"",INDEX(Parametre!$K$45:$K$94,MATCH(AS17,Parametre!$I$45:$I$94,0)))</f>
        <v/>
      </c>
      <c r="AZ17" s="212">
        <f t="shared" si="13"/>
        <v>44053</v>
      </c>
      <c r="BA17" s="145"/>
      <c r="BB17" s="213">
        <f t="shared" si="14"/>
        <v>33</v>
      </c>
      <c r="BC17" s="205" t="str">
        <f>IF(ISERROR(VLOOKUP(AZ17,Lune!$A$2:$B$55,2,FALSE)),"",VLOOKUP(AZ17,Lune!$A$2:$B$55,2,FALSE))</f>
        <v/>
      </c>
      <c r="BD17" s="206" t="str">
        <f>IFERROR(IF(COUNTIF(Saints!$C$2:$C$371,AZ17)=0,"",INDEX(Saints!$D$2:$D$371,MATCH(AZ17,Saints!$C$2:$C$371,0))),"")</f>
        <v>Laurent</v>
      </c>
      <c r="BE17" s="211" t="str">
        <f>IF(COUNTIF(Parametre!$C$27:$C$39,AZ17)=0,"",INDEX(Parametre!$B$27:$B$39,MATCH(AZ17,Parametre!$C$27:$C$39,0)))&amp;""&amp;IF(COUNTIF(Parametre!$I$45:$I$94,AZ17)=0,"",INDEX(Parametre!$K$45:$K$94,MATCH(AZ17,Parametre!$I$45:$I$94,0)))</f>
        <v/>
      </c>
      <c r="BG17" s="212">
        <f t="shared" si="15"/>
        <v>44084</v>
      </c>
      <c r="BH17" s="145"/>
      <c r="BI17" s="213" t="str">
        <f t="shared" si="16"/>
        <v/>
      </c>
      <c r="BJ17" s="205" t="str">
        <f>IF(ISERROR(VLOOKUP(BG17,Lune!$A$2:$B$55,2,FALSE)),"",VLOOKUP(BG17,Lune!$A$2:$B$55,2,FALSE))</f>
        <v></v>
      </c>
      <c r="BK17" s="206" t="str">
        <f>IFERROR(IF(COUNTIF(Saints!$C$2:$C$371,BG17)=0,"",INDEX(Saints!$D$2:$D$371,MATCH(BG17,Saints!$C$2:$C$371,0))),"")</f>
        <v>Inès</v>
      </c>
      <c r="BL17" s="211" t="str">
        <f>IF(COUNTIF(Parametre!$C$27:$C$39,BG17)=0,"",INDEX(Parametre!$B$27:$B$39,MATCH(BG17,Parametre!$C$27:$C$39,0)))&amp;""&amp;IF(COUNTIF(Parametre!$I$45:$I$94,BG17)=0,"",INDEX(Parametre!$K$45:$K$94,MATCH(BG17,Parametre!$I$45:$I$94,0)))</f>
        <v/>
      </c>
      <c r="BN17" s="212">
        <f t="shared" si="17"/>
        <v>44114</v>
      </c>
      <c r="BO17" s="145"/>
      <c r="BP17" s="213" t="str">
        <f t="shared" si="18"/>
        <v/>
      </c>
      <c r="BQ17" s="205" t="str">
        <f>IF(ISERROR(VLOOKUP(BN17,Lune!$A$2:$B$55,2,FALSE)),"",VLOOKUP(BN17,Lune!$A$2:$B$55,2,FALSE))</f>
        <v/>
      </c>
      <c r="BR17" s="206" t="str">
        <f>IFERROR(IF(COUNTIF(Saints!$C$2:$C$371,BN17)=0,"",INDEX(Saints!$D$2:$D$371,MATCH(BN17,Saints!$C$2:$C$371,0))),"")</f>
        <v>Ghislain</v>
      </c>
      <c r="BS17" s="211" t="str">
        <f>IF(COUNTIF(Parametre!$C$27:$C$39,BN17)=0,"",INDEX(Parametre!$B$27:$B$39,MATCH(BN17,Parametre!$C$27:$C$39,0)))&amp;""&amp;IF(COUNTIF(Parametre!$I$45:$I$94,BN17)=0,"",INDEX(Parametre!$K$45:$K$94,MATCH(BN17,Parametre!$I$45:$I$94,0)))</f>
        <v/>
      </c>
      <c r="BU17" s="212">
        <f t="shared" si="19"/>
        <v>44145</v>
      </c>
      <c r="BV17" s="145"/>
      <c r="BW17" s="213" t="str">
        <f t="shared" si="20"/>
        <v/>
      </c>
      <c r="BX17" s="205" t="str">
        <f>IF(ISERROR(VLOOKUP(BU17,Lune!$A$2:$B$55,2,FALSE)),"",VLOOKUP(BU17,Lune!$A$2:$B$55,2,FALSE))</f>
        <v/>
      </c>
      <c r="BY17" s="206" t="str">
        <f>IFERROR(IF(COUNTIF(Saints!$C$2:$C$371,BU17)=0,"",INDEX(Saints!$D$2:$D$371,MATCH(BU17,Saints!$C$2:$C$371,0))),"")</f>
        <v>Léon</v>
      </c>
      <c r="BZ17" s="211" t="str">
        <f>IF(COUNTIF(Parametre!$C$27:$C$39,BU17)=0,"",INDEX(Parametre!$B$27:$B$39,MATCH(BU17,Parametre!$C$27:$C$39,0)))&amp;""&amp;IF(COUNTIF(Parametre!$I$45:$I$94,BU17)=0,"",INDEX(Parametre!$K$45:$K$94,MATCH(BU17,Parametre!$I$45:$I$94,0)))</f>
        <v/>
      </c>
      <c r="CB17" s="212">
        <f t="shared" si="21"/>
        <v>44175</v>
      </c>
      <c r="CC17" s="145"/>
      <c r="CD17" s="213" t="str">
        <f t="shared" si="22"/>
        <v/>
      </c>
      <c r="CE17" s="205" t="str">
        <f>IF(ISERROR(VLOOKUP(CB17,Lune!$A$2:$B$55,2,FALSE)),"",VLOOKUP(CB17,Lune!$A$2:$B$55,2,FALSE))</f>
        <v/>
      </c>
      <c r="CF17" s="206" t="str">
        <f>IFERROR(IF(COUNTIF(Saints!$C$2:$C$371,CB17)=0,"",INDEX(Saints!$D$2:$D$371,MATCH(CB17,Saints!$C$2:$C$371,0))),"")</f>
        <v>Romaric</v>
      </c>
      <c r="CG17" s="211" t="str">
        <f>IF(COUNTIF(Parametre!$C$27:$C$39,CB17)=0,"",INDEX(Parametre!$B$27:$B$39,MATCH(CB17,Parametre!$C$27:$C$39,0)))&amp;" "&amp;IF(COUNTIF(Parametre!$I$45:$I$94,CB17)=0,"",INDEX(Parametre!$K$45:$K$94,MATCH(CB17,Parametre!$I$45:$I$94,0)))</f>
        <v xml:space="preserve"> </v>
      </c>
    </row>
    <row r="18" spans="2:85" ht="15.75">
      <c r="B18" s="202">
        <v>11</v>
      </c>
      <c r="C18" s="203">
        <f t="shared" si="25"/>
        <v>43841</v>
      </c>
      <c r="D18" s="145"/>
      <c r="E18" s="214" t="str">
        <f t="shared" si="0"/>
        <v/>
      </c>
      <c r="F18" s="205" t="str">
        <f>IF(ISERROR(VLOOKUP(C18,Lune!$A$2:$B$55,2,FALSE)),"",VLOOKUP(C18,Lune!$A$2:$B$55,2,FALSE))</f>
        <v/>
      </c>
      <c r="G18" s="206" t="str">
        <f>IFERROR(IF(COUNTIF(Saints!$C$2:$C$371,C18)=0,"",INDEX(Saints!$D$2:$D$371,MATCH(C18,Saints!$C$2:$C$371,0))),"")</f>
        <v>Paulin</v>
      </c>
      <c r="H18" s="207" t="str">
        <f>IF(COUNTIF(Parametre!$C$27:$C$39,C18)=0,"",INDEX(Parametre!$B$27:$B$39,MATCH(C18,Parametre!$C$27:$C$39,0)))&amp;""&amp;IF(COUNTIF(Parametre!$I$45:$I$94,C18)=0,"",INDEX(Parametre!$K$45:$K$94,MATCH(C18,Parametre!$I$45:$I$94,0)))</f>
        <v/>
      </c>
      <c r="J18" s="203">
        <f t="shared" si="1"/>
        <v>43872</v>
      </c>
      <c r="K18" s="145"/>
      <c r="L18" s="204" t="str">
        <f t="shared" si="2"/>
        <v/>
      </c>
      <c r="M18" s="205" t="str">
        <f>IF(ISERROR(VLOOKUP(J18,Lune!$A$2:$B$55,2,FALSE)),"",VLOOKUP(J18,Lune!$A$2:$B$55,2,FALSE))</f>
        <v/>
      </c>
      <c r="N18" s="206" t="str">
        <f>IFERROR(IF(COUNTIF(Saints!$C$2:$C$371,J18)=0,"",INDEX(Saints!$D$2:$D$371,MATCH(J18,Saints!$C$2:$C$371,0))),"")</f>
        <v>ND de Lourdes</v>
      </c>
      <c r="O18" s="207" t="str">
        <f>IF(COUNTIF(Parametre!$C$27:$C$39,J18)=0,"",INDEX(Parametre!$B$27:$B$39,MATCH(J18,Parametre!$C$27:$C$39,0)))&amp;""&amp;IF(COUNTIF(Parametre!$I$45:$I$94,J18)=0,"",INDEX(Parametre!$K$45:$K$94,MATCH(J18,Parametre!$I$45:$I$94,0)))</f>
        <v/>
      </c>
      <c r="Q18" s="203">
        <f t="shared" si="3"/>
        <v>43901</v>
      </c>
      <c r="R18" s="145"/>
      <c r="S18" s="204" t="str">
        <f t="shared" si="4"/>
        <v/>
      </c>
      <c r="T18" s="205" t="str">
        <f>IF(ISERROR(VLOOKUP(Q18,Lune!$A$2:$B$55,2,FALSE)),"",VLOOKUP(Q18,Lune!$A$2:$B$55,2,FALSE))</f>
        <v/>
      </c>
      <c r="U18" s="206" t="str">
        <f>IFERROR(IF(COUNTIF(Saints!$C$2:$C$371,Q18)=0,"",INDEX(Saints!$D$2:$D$371,MATCH(Q18,Saints!$C$2:$C$371,0))),"")</f>
        <v>Rosine</v>
      </c>
      <c r="V18" s="207" t="str">
        <f>IF(COUNTIF(Parametre!$C$27:$C$39,Q18)=0,"",INDEX(Parametre!$B$27:$B$39,MATCH(Q18,Parametre!$C$27:$C$39,0)))&amp;""&amp;IF(COUNTIF(Parametre!$I$45:$I$94,Q18)=0,"",INDEX(Parametre!$K$45:$K$94,MATCH(Q18,Parametre!$I$45:$I$94,0)))</f>
        <v/>
      </c>
      <c r="X18" s="212">
        <f t="shared" si="5"/>
        <v>43932</v>
      </c>
      <c r="Y18" s="145"/>
      <c r="Z18" s="204" t="str">
        <f t="shared" si="6"/>
        <v/>
      </c>
      <c r="AA18" s="205" t="str">
        <f>IF(ISERROR(VLOOKUP(X18,Lune!$A$2:$B$55,2,FALSE)),"",VLOOKUP(X18,Lune!$A$2:$B$55,2,FALSE))</f>
        <v/>
      </c>
      <c r="AB18" s="206" t="str">
        <f>IFERROR(IF(COUNTIF(Saints!$C$2:$C$371,X18)=0,"",INDEX(Saints!$D$2:$D$371,MATCH(X18,Saints!$C$2:$C$371,0))),"")</f>
        <v>Stanislas</v>
      </c>
      <c r="AC18" s="207" t="str">
        <f>IF(COUNTIF(Parametre!$C$27:$C$39,X18)=0,"",INDEX(Parametre!$B$27:$B$39,MATCH(X18,Parametre!$C$27:$C$39,0)))&amp;""&amp;IF(COUNTIF(Parametre!$I$45:$I$94,X18)=0,"",INDEX(Parametre!$K$45:$K$94,MATCH(X18,Parametre!$I$45:$I$94,0)))</f>
        <v/>
      </c>
      <c r="AE18" s="212">
        <f t="shared" si="7"/>
        <v>43962</v>
      </c>
      <c r="AF18" s="145"/>
      <c r="AG18" s="213">
        <f t="shared" si="8"/>
        <v>20</v>
      </c>
      <c r="AH18" s="205" t="str">
        <f>IF(ISERROR(VLOOKUP(AE18,[1]Lune!$A$2:$B$55,2,FALSE)),"",VLOOKUP(AE18,[1]Lune!$A$2:$B$55,2,FALSE))</f>
        <v/>
      </c>
      <c r="AI18" s="206" t="str">
        <f>IFERROR(IF(COUNTIF(Saints!$C$2:$C$371,AE18)=0,"",INDEX(Saints!$D$2:$D$371,MATCH(AE18,Saints!$C$2:$C$371,0))),"")</f>
        <v>Estelle</v>
      </c>
      <c r="AJ18" s="211" t="str">
        <f>IF(COUNTIF(Parametre!$C$27:$C$39,AE18)=0,"",INDEX(Parametre!$B$27:$B$39,MATCH(AE18,Parametre!$C$27:$C$39,0)))&amp;""&amp;IF(COUNTIF(Parametre!$I$45:$I$94,AE18)=0,"",INDEX(Parametre!$K$45:$K$94,MATCH(AE18,Parametre!$I$45:$I$94,0)))</f>
        <v/>
      </c>
      <c r="AL18" s="212">
        <f t="shared" si="34"/>
        <v>43993</v>
      </c>
      <c r="AM18" s="145"/>
      <c r="AN18" s="213" t="str">
        <f t="shared" ref="AN18" si="38">IFERROR(IF(WEEKDAY(AL18)=2,INT(MOD(INT((AL18-2)/7)+0.6,52+5/28))+1,""),"")</f>
        <v/>
      </c>
      <c r="AO18" s="205" t="str">
        <f>IF(ISERROR(VLOOKUP(AL18,Lune!$A$2:$B$55,2,FALSE)),"",VLOOKUP(AL18,Lune!$A$2:$B$55,2,FALSE))</f>
        <v/>
      </c>
      <c r="AP18" s="206" t="str">
        <f>IFERROR(IF(COUNTIF(Saints!$C$2:$C$371,AL18)=0,"",INDEX(Saints!$D$2:$D$371,MATCH(AL18,Saints!$C$2:$C$371,0))),"")</f>
        <v>Barnabé</v>
      </c>
      <c r="AQ18" s="211" t="str">
        <f>IF(COUNTIF(Parametre!$C$27:$C$39,AL18)=0,"",INDEX(Parametre!$B$27:$B$39,MATCH(AL18,Parametre!$C$27:$C$39,0)))&amp;""&amp;IF(COUNTIF(Parametre!$I$45:$I$94,AL18)=0,"",INDEX(Parametre!$K$45:$K$94,MATCH(AL18,Parametre!$I$45:$I$94,0)))</f>
        <v/>
      </c>
      <c r="AS18" s="212">
        <f t="shared" si="36"/>
        <v>44023</v>
      </c>
      <c r="AT18" s="145"/>
      <c r="AU18" s="213" t="str">
        <f t="shared" ref="AU18" si="39">IFERROR(IF(WEEKDAY(AS18)=2,INT(MOD(INT((AS18-2)/7)+0.6,52+5/28))+1,""),"")</f>
        <v/>
      </c>
      <c r="AV18" s="205" t="str">
        <f>IF(ISERROR(VLOOKUP(AS18,Lune!$A$2:$B$55,2,FALSE)),"",VLOOKUP(AS18,Lune!$A$2:$B$55,2,FALSE))</f>
        <v/>
      </c>
      <c r="AW18" s="206" t="str">
        <f>IFERROR(IF(COUNTIF(Saints!$C$2:$C$371,AS18)=0,"",INDEX(Saints!$D$2:$D$371,MATCH(AS18,Saints!$C$2:$C$371,0))),"")</f>
        <v>Benoît</v>
      </c>
      <c r="AX18" s="211" t="str">
        <f>IF(COUNTIF(Parametre!$C$27:$C$39,AS18)=0,"",INDEX(Parametre!$B$27:$B$39,MATCH(AS18,Parametre!$C$27:$C$39,0)))&amp;""&amp;IF(COUNTIF(Parametre!$I$45:$I$94,AS18)=0,"",INDEX(Parametre!$K$45:$K$94,MATCH(AS18,Parametre!$I$45:$I$94,0)))</f>
        <v/>
      </c>
      <c r="AZ18" s="212">
        <f t="shared" si="13"/>
        <v>44054</v>
      </c>
      <c r="BA18" s="145"/>
      <c r="BB18" s="213" t="str">
        <f t="shared" si="14"/>
        <v/>
      </c>
      <c r="BC18" s="205" t="str">
        <f>IF(ISERROR(VLOOKUP(AZ18,Lune!$A$2:$B$55,2,FALSE)),"",VLOOKUP(AZ18,Lune!$A$2:$B$55,2,FALSE))</f>
        <v></v>
      </c>
      <c r="BD18" s="206" t="str">
        <f>IFERROR(IF(COUNTIF(Saints!$C$2:$C$371,AZ18)=0,"",INDEX(Saints!$D$2:$D$371,MATCH(AZ18,Saints!$C$2:$C$371,0))),"")</f>
        <v>Claire</v>
      </c>
      <c r="BE18" s="211" t="str">
        <f>IF(COUNTIF(Parametre!$C$27:$C$39,AZ18)=0,"",INDEX(Parametre!$B$27:$B$39,MATCH(AZ18,Parametre!$C$27:$C$39,0)))&amp;""&amp;IF(COUNTIF(Parametre!$I$45:$I$94,AZ18)=0,"",INDEX(Parametre!$K$45:$K$94,MATCH(AZ18,Parametre!$I$45:$I$94,0)))</f>
        <v/>
      </c>
      <c r="BG18" s="212">
        <f t="shared" si="15"/>
        <v>44085</v>
      </c>
      <c r="BH18" s="145"/>
      <c r="BI18" s="213" t="str">
        <f t="shared" si="16"/>
        <v/>
      </c>
      <c r="BJ18" s="205" t="str">
        <f>IF(ISERROR(VLOOKUP(BG18,Lune!$A$2:$B$55,2,FALSE)),"",VLOOKUP(BG18,Lune!$A$2:$B$55,2,FALSE))</f>
        <v/>
      </c>
      <c r="BK18" s="206" t="str">
        <f>IFERROR(IF(COUNTIF(Saints!$C$2:$C$371,BG18)=0,"",INDEX(Saints!$D$2:$D$371,MATCH(BG18,Saints!$C$2:$C$371,0))),"")</f>
        <v>Adelphe</v>
      </c>
      <c r="BL18" s="211" t="str">
        <f>IF(COUNTIF(Parametre!$C$27:$C$39,BG18)=0,"",INDEX(Parametre!$B$27:$B$39,MATCH(BG18,Parametre!$C$27:$C$39,0)))&amp;""&amp;IF(COUNTIF(Parametre!$I$45:$I$94,BG18)=0,"",INDEX(Parametre!$K$45:$K$94,MATCH(BG18,Parametre!$I$45:$I$94,0)))</f>
        <v/>
      </c>
      <c r="BN18" s="212">
        <f t="shared" si="17"/>
        <v>44115</v>
      </c>
      <c r="BO18" s="145"/>
      <c r="BP18" s="213" t="str">
        <f t="shared" si="18"/>
        <v/>
      </c>
      <c r="BQ18" s="205" t="str">
        <f>IF(ISERROR(VLOOKUP(BN18,Lune!$A$2:$B$55,2,FALSE)),"",VLOOKUP(BN18,Lune!$A$2:$B$55,2,FALSE))</f>
        <v/>
      </c>
      <c r="BR18" s="206" t="str">
        <f>IFERROR(IF(COUNTIF(Saints!$C$2:$C$371,BN18)=0,"",INDEX(Saints!$D$2:$D$371,MATCH(BN18,Saints!$C$2:$C$371,0))),"")</f>
        <v>Firmin</v>
      </c>
      <c r="BS18" s="211" t="str">
        <f>IF(COUNTIF(Parametre!$C$27:$C$39,BN18)=0,"",INDEX(Parametre!$B$27:$B$39,MATCH(BN18,Parametre!$C$27:$C$39,0)))&amp;""&amp;IF(COUNTIF(Parametre!$I$45:$I$94,BN18)=0,"",INDEX(Parametre!$K$45:$K$94,MATCH(BN18,Parametre!$I$45:$I$94,0)))</f>
        <v/>
      </c>
      <c r="BU18" s="212">
        <f t="shared" si="19"/>
        <v>44146</v>
      </c>
      <c r="BV18" s="145"/>
      <c r="BW18" s="213" t="str">
        <f t="shared" si="20"/>
        <v/>
      </c>
      <c r="BX18" s="205" t="str">
        <f>IF(ISERROR(VLOOKUP(BU18,Lune!$A$2:$B$55,2,FALSE)),"",VLOOKUP(BU18,Lune!$A$2:$B$55,2,FALSE))</f>
        <v/>
      </c>
      <c r="BY18" s="206" t="str">
        <f>IFERROR(IF(COUNTIF(Saints!$C$2:$C$371,BU18)=0,"",INDEX(Saints!$D$2:$D$371,MATCH(BU18,Saints!$C$2:$C$371,0))),"")</f>
        <v>Armistice 1918</v>
      </c>
      <c r="BZ18" s="211" t="str">
        <f>IF(COUNTIF(Parametre!$C$27:$C$39,BU18)=0,"",INDEX(Parametre!$B$27:$B$39,MATCH(BU18,Parametre!$C$27:$C$39,0)))&amp;""&amp;IF(COUNTIF(Parametre!$I$45:$I$94,BU18)=0,"",INDEX(Parametre!$K$45:$K$94,MATCH(BU18,Parametre!$I$45:$I$94,0)))</f>
        <v>Victoire 1918</v>
      </c>
      <c r="CB18" s="212">
        <f t="shared" si="21"/>
        <v>44176</v>
      </c>
      <c r="CC18" s="145"/>
      <c r="CD18" s="213" t="str">
        <f t="shared" si="22"/>
        <v/>
      </c>
      <c r="CE18" s="205" t="str">
        <f>IF(ISERROR(VLOOKUP(CB18,Lune!$A$2:$B$55,2,FALSE)),"",VLOOKUP(CB18,Lune!$A$2:$B$55,2,FALSE))</f>
        <v/>
      </c>
      <c r="CF18" s="206" t="str">
        <f>IFERROR(IF(COUNTIF(Saints!$C$2:$C$371,CB18)=0,"",INDEX(Saints!$D$2:$D$371,MATCH(CB18,Saints!$C$2:$C$371,0))),"")</f>
        <v>Daniel</v>
      </c>
      <c r="CG18" s="211" t="str">
        <f>IF(COUNTIF(Parametre!$C$27:$C$39,CB18)=0,"",INDEX(Parametre!$B$27:$B$39,MATCH(CB18,Parametre!$C$27:$C$39,0)))&amp;" "&amp;IF(COUNTIF(Parametre!$I$45:$I$94,CB18)=0,"",INDEX(Parametre!$K$45:$K$94,MATCH(CB18,Parametre!$I$45:$I$94,0)))</f>
        <v xml:space="preserve"> </v>
      </c>
    </row>
    <row r="19" spans="2:85" ht="15.75">
      <c r="B19" s="202">
        <v>12</v>
      </c>
      <c r="C19" s="203">
        <f t="shared" si="25"/>
        <v>43842</v>
      </c>
      <c r="D19" s="145"/>
      <c r="E19" s="214" t="str">
        <f t="shared" si="0"/>
        <v/>
      </c>
      <c r="F19" s="205" t="str">
        <f>IF(ISERROR(VLOOKUP(C19,Lune!$A$2:$B$55,2,FALSE)),"",VLOOKUP(C19,Lune!$A$2:$B$55,2,FALSE))</f>
        <v/>
      </c>
      <c r="G19" s="206" t="str">
        <f>IFERROR(IF(COUNTIF(Saints!$C$2:$C$371,C19)=0,"",INDEX(Saints!$D$2:$D$371,MATCH(C19,Saints!$C$2:$C$371,0))),"")</f>
        <v>Tatiana</v>
      </c>
      <c r="H19" s="207" t="str">
        <f>IF(COUNTIF(Parametre!$C$27:$C$39,C19)=0,"",INDEX(Parametre!$B$27:$B$39,MATCH(C19,Parametre!$C$27:$C$39,0)))&amp;""&amp;IF(COUNTIF(Parametre!$I$45:$I$94,C19)=0,"",INDEX(Parametre!$K$45:$K$94,MATCH(C19,Parametre!$I$45:$I$94,0)))</f>
        <v/>
      </c>
      <c r="J19" s="203">
        <f t="shared" si="1"/>
        <v>43873</v>
      </c>
      <c r="K19" s="145"/>
      <c r="L19" s="204" t="str">
        <f t="shared" si="2"/>
        <v/>
      </c>
      <c r="M19" s="205" t="str">
        <f>IF(ISERROR(VLOOKUP(J19,Lune!$A$2:$B$55,2,FALSE)),"",VLOOKUP(J19,Lune!$A$2:$B$55,2,FALSE))</f>
        <v/>
      </c>
      <c r="N19" s="206" t="str">
        <f>IFERROR(IF(COUNTIF(Saints!$C$2:$C$371,J19)=0,"",INDEX(Saints!$D$2:$D$371,MATCH(J19,Saints!$C$2:$C$371,0))),"")</f>
        <v>Félix</v>
      </c>
      <c r="O19" s="207" t="str">
        <f>IF(COUNTIF(Parametre!$C$27:$C$39,J19)=0,"",INDEX(Parametre!$B$27:$B$39,MATCH(J19,Parametre!$C$27:$C$39,0)))&amp;""&amp;IF(COUNTIF(Parametre!$I$45:$I$94,J19)=0,"",INDEX(Parametre!$K$45:$K$94,MATCH(J19,Parametre!$I$45:$I$94,0)))</f>
        <v/>
      </c>
      <c r="Q19" s="203">
        <f t="shared" si="3"/>
        <v>43902</v>
      </c>
      <c r="R19" s="145"/>
      <c r="S19" s="204" t="str">
        <f t="shared" si="4"/>
        <v/>
      </c>
      <c r="T19" s="205" t="str">
        <f>IF(ISERROR(VLOOKUP(Q19,Lune!$A$2:$B$55,2,FALSE)),"",VLOOKUP(Q19,Lune!$A$2:$B$55,2,FALSE))</f>
        <v/>
      </c>
      <c r="U19" s="206" t="str">
        <f>IFERROR(IF(COUNTIF(Saints!$C$2:$C$371,Q19)=0,"",INDEX(Saints!$D$2:$D$371,MATCH(Q19,Saints!$C$2:$C$371,0))),"")</f>
        <v>Justine</v>
      </c>
      <c r="V19" s="207" t="str">
        <f>IF(COUNTIF(Parametre!$C$27:$C$39,Q19)=0,"",INDEX(Parametre!$B$27:$B$39,MATCH(Q19,Parametre!$C$27:$C$39,0)))&amp;""&amp;IF(COUNTIF(Parametre!$I$45:$I$94,Q19)=0,"",INDEX(Parametre!$K$45:$K$94,MATCH(Q19,Parametre!$I$45:$I$94,0)))</f>
        <v/>
      </c>
      <c r="X19" s="212">
        <f t="shared" si="5"/>
        <v>43933</v>
      </c>
      <c r="Y19" s="145"/>
      <c r="Z19" s="204" t="str">
        <f t="shared" si="6"/>
        <v/>
      </c>
      <c r="AA19" s="205" t="str">
        <f>IF(ISERROR(VLOOKUP(X19,Lune!$A$2:$B$55,2,FALSE)),"",VLOOKUP(X19,Lune!$A$2:$B$55,2,FALSE))</f>
        <v/>
      </c>
      <c r="AB19" s="206" t="str">
        <f>IFERROR(IF(COUNTIF(Saints!$C$2:$C$371,X19)=0,"",INDEX(Saints!$D$2:$D$371,MATCH(X19,Saints!$C$2:$C$371,0))),"")</f>
        <v>Jules</v>
      </c>
      <c r="AC19" s="207" t="str">
        <f>IF(COUNTIF(Parametre!$C$27:$C$39,X19)=0,"",INDEX(Parametre!$B$27:$B$39,MATCH(X19,Parametre!$C$27:$C$39,0)))&amp;""&amp;IF(COUNTIF(Parametre!$I$45:$I$94,X19)=0,"",INDEX(Parametre!$K$45:$K$94,MATCH(X19,Parametre!$I$45:$I$94,0)))</f>
        <v>Pâques</v>
      </c>
      <c r="AE19" s="212">
        <f t="shared" si="7"/>
        <v>43963</v>
      </c>
      <c r="AF19" s="145"/>
      <c r="AG19" s="213" t="str">
        <f t="shared" si="8"/>
        <v/>
      </c>
      <c r="AH19" s="205" t="str">
        <f>IF(ISERROR(VLOOKUP(AE19,[1]Lune!$A$2:$B$55,2,FALSE)),"",VLOOKUP(AE19,[1]Lune!$A$2:$B$55,2,FALSE))</f>
        <v/>
      </c>
      <c r="AI19" s="206" t="str">
        <f>IFERROR(IF(COUNTIF(Saints!$C$2:$C$371,AE19)=0,"",INDEX(Saints!$D$2:$D$371,MATCH(AE19,Saints!$C$2:$C$371,0))),"")</f>
        <v>Achille</v>
      </c>
      <c r="AJ19" s="211" t="str">
        <f>IF(COUNTIF(Parametre!$C$27:$C$39,AE19)=0,"",INDEX(Parametre!$B$27:$B$39,MATCH(AE19,Parametre!$C$27:$C$39,0)))&amp;""&amp;IF(COUNTIF(Parametre!$I$45:$I$94,AE19)=0,"",INDEX(Parametre!$K$45:$K$94,MATCH(AE19,Parametre!$I$45:$I$94,0)))</f>
        <v>42 an Sabrina</v>
      </c>
      <c r="AL19" s="212">
        <f t="shared" si="34"/>
        <v>43994</v>
      </c>
      <c r="AM19" s="145"/>
      <c r="AN19" s="213" t="str">
        <f t="shared" ref="AN19" si="40">IF(WEEKDAY(AL19)=2,INT(MOD(INT((AL19-2)/7)+0.6,52+5/28))+1,"")</f>
        <v/>
      </c>
      <c r="AO19" s="205" t="str">
        <f>IF(ISERROR(VLOOKUP(AL19,Lune!$A$2:$B$55,2,FALSE)),"",VLOOKUP(AL19,Lune!$A$2:$B$55,2,FALSE))</f>
        <v/>
      </c>
      <c r="AP19" s="206" t="str">
        <f>IFERROR(IF(COUNTIF(Saints!$C$2:$C$371,AL19)=0,"",INDEX(Saints!$D$2:$D$371,MATCH(AL19,Saints!$C$2:$C$371,0))),"")</f>
        <v>Guy</v>
      </c>
      <c r="AQ19" s="211" t="str">
        <f>IF(COUNTIF(Parametre!$C$27:$C$39,AL19)=0,"",INDEX(Parametre!$B$27:$B$39,MATCH(AL19,Parametre!$C$27:$C$39,0)))&amp;""&amp;IF(COUNTIF(Parametre!$I$45:$I$94,AL19)=0,"",INDEX(Parametre!$K$45:$K$94,MATCH(AL19,Parametre!$I$45:$I$94,0)))</f>
        <v/>
      </c>
      <c r="AS19" s="212">
        <f t="shared" si="36"/>
        <v>44024</v>
      </c>
      <c r="AT19" s="145"/>
      <c r="AU19" s="213" t="str">
        <f t="shared" ref="AU19" si="41">IF(WEEKDAY(AS19)=2,INT(MOD(INT((AS19-2)/7)+0.6,52+5/28))+1,"")</f>
        <v/>
      </c>
      <c r="AV19" s="205" t="str">
        <f>IF(ISERROR(VLOOKUP(AS19,Lune!$A$2:$B$55,2,FALSE)),"",VLOOKUP(AS19,Lune!$A$2:$B$55,2,FALSE))</f>
        <v></v>
      </c>
      <c r="AW19" s="206" t="str">
        <f>IFERROR(IF(COUNTIF(Saints!$C$2:$C$371,AS19)=0,"",INDEX(Saints!$D$2:$D$371,MATCH(AS19,Saints!$C$2:$C$371,0))),"")</f>
        <v>Olivier</v>
      </c>
      <c r="AX19" s="211" t="str">
        <f>IF(COUNTIF(Parametre!$C$27:$C$39,AS19)=0,"",INDEX(Parametre!$B$27:$B$39,MATCH(AS19,Parametre!$C$27:$C$39,0)))&amp;""&amp;IF(COUNTIF(Parametre!$I$45:$I$94,AS19)=0,"",INDEX(Parametre!$K$45:$K$94,MATCH(AS19,Parametre!$I$45:$I$94,0)))</f>
        <v/>
      </c>
      <c r="AZ19" s="212">
        <f t="shared" si="13"/>
        <v>44055</v>
      </c>
      <c r="BA19" s="145"/>
      <c r="BB19" s="213" t="str">
        <f t="shared" si="14"/>
        <v/>
      </c>
      <c r="BC19" s="205" t="str">
        <f>IF(ISERROR(VLOOKUP(AZ19,Lune!$A$2:$B$55,2,FALSE)),"",VLOOKUP(AZ19,Lune!$A$2:$B$55,2,FALSE))</f>
        <v/>
      </c>
      <c r="BD19" s="206" t="str">
        <f>IFERROR(IF(COUNTIF(Saints!$C$2:$C$371,AZ19)=0,"",INDEX(Saints!$D$2:$D$371,MATCH(AZ19,Saints!$C$2:$C$371,0))),"")</f>
        <v>Clarisse</v>
      </c>
      <c r="BE19" s="211" t="str">
        <f>IF(COUNTIF(Parametre!$C$27:$C$39,AZ19)=0,"",INDEX(Parametre!$B$27:$B$39,MATCH(AZ19,Parametre!$C$27:$C$39,0)))&amp;""&amp;IF(COUNTIF(Parametre!$I$45:$I$94,AZ19)=0,"",INDEX(Parametre!$K$45:$K$94,MATCH(AZ19,Parametre!$I$45:$I$94,0)))</f>
        <v/>
      </c>
      <c r="BG19" s="212">
        <f t="shared" si="15"/>
        <v>44086</v>
      </c>
      <c r="BH19" s="145"/>
      <c r="BI19" s="213" t="str">
        <f t="shared" si="16"/>
        <v/>
      </c>
      <c r="BJ19" s="205" t="str">
        <f>IF(ISERROR(VLOOKUP(BG19,Lune!$A$2:$B$55,2,FALSE)),"",VLOOKUP(BG19,Lune!$A$2:$B$55,2,FALSE))</f>
        <v/>
      </c>
      <c r="BK19" s="206" t="str">
        <f>IFERROR(IF(COUNTIF(Saints!$C$2:$C$371,BG19)=0,"",INDEX(Saints!$D$2:$D$371,MATCH(BG19,Saints!$C$2:$C$371,0))),"")</f>
        <v>Apollinaire</v>
      </c>
      <c r="BL19" s="211" t="str">
        <f>IF(COUNTIF(Parametre!$C$27:$C$39,BG19)=0,"",INDEX(Parametre!$B$27:$B$39,MATCH(BG19,Parametre!$C$27:$C$39,0)))&amp;""&amp;IF(COUNTIF(Parametre!$I$45:$I$94,BG19)=0,"",INDEX(Parametre!$K$45:$K$94,MATCH(BG19,Parametre!$I$45:$I$94,0)))</f>
        <v/>
      </c>
      <c r="BN19" s="212">
        <f t="shared" si="17"/>
        <v>44116</v>
      </c>
      <c r="BO19" s="145"/>
      <c r="BP19" s="213">
        <f t="shared" si="18"/>
        <v>42</v>
      </c>
      <c r="BQ19" s="205" t="str">
        <f>IF(ISERROR(VLOOKUP(BN19,Lune!$A$2:$B$55,2,FALSE)),"",VLOOKUP(BN19,Lune!$A$2:$B$55,2,FALSE))</f>
        <v/>
      </c>
      <c r="BR19" s="206" t="str">
        <f>IFERROR(IF(COUNTIF(Saints!$C$2:$C$371,BN19)=0,"",INDEX(Saints!$D$2:$D$371,MATCH(BN19,Saints!$C$2:$C$371,0))),"")</f>
        <v>Wilfried</v>
      </c>
      <c r="BS19" s="211" t="str">
        <f>IF(COUNTIF(Parametre!$C$27:$C$39,BN19)=0,"",INDEX(Parametre!$B$27:$B$39,MATCH(BN19,Parametre!$C$27:$C$39,0)))&amp;""&amp;IF(COUNTIF(Parametre!$I$45:$I$94,BN19)=0,"",INDEX(Parametre!$K$45:$K$94,MATCH(BN19,Parametre!$I$45:$I$94,0)))</f>
        <v/>
      </c>
      <c r="BU19" s="212">
        <f t="shared" si="19"/>
        <v>44147</v>
      </c>
      <c r="BV19" s="145"/>
      <c r="BW19" s="213" t="str">
        <f t="shared" si="20"/>
        <v/>
      </c>
      <c r="BX19" s="205" t="str">
        <f>IF(ISERROR(VLOOKUP(BU19,Lune!$A$2:$B$55,2,FALSE)),"",VLOOKUP(BU19,Lune!$A$2:$B$55,2,FALSE))</f>
        <v/>
      </c>
      <c r="BY19" s="206" t="str">
        <f>IFERROR(IF(COUNTIF(Saints!$C$2:$C$371,BU19)=0,"",INDEX(Saints!$D$2:$D$371,MATCH(BU19,Saints!$C$2:$C$371,0))),"")</f>
        <v>Christian</v>
      </c>
      <c r="BZ19" s="211" t="str">
        <f>IF(COUNTIF(Parametre!$C$27:$C$39,BU19)=0,"",INDEX(Parametre!$B$27:$B$39,MATCH(BU19,Parametre!$C$27:$C$39,0)))&amp;""&amp;IF(COUNTIF(Parametre!$I$45:$I$94,BU19)=0,"",INDEX(Parametre!$K$45:$K$94,MATCH(BU19,Parametre!$I$45:$I$94,0)))</f>
        <v>41 an Albane</v>
      </c>
      <c r="CB19" s="212">
        <f t="shared" si="21"/>
        <v>44177</v>
      </c>
      <c r="CC19" s="145"/>
      <c r="CD19" s="213" t="str">
        <f t="shared" si="22"/>
        <v/>
      </c>
      <c r="CE19" s="205" t="str">
        <f>IF(ISERROR(VLOOKUP(CB19,Lune!$A$2:$B$55,2,FALSE)),"",VLOOKUP(CB19,Lune!$A$2:$B$55,2,FALSE))</f>
        <v/>
      </c>
      <c r="CF19" s="206" t="str">
        <f>IFERROR(IF(COUNTIF(Saints!$C$2:$C$371,CB19)=0,"",INDEX(Saints!$D$2:$D$371,MATCH(CB19,Saints!$C$2:$C$371,0))),"")</f>
        <v>Chantal</v>
      </c>
      <c r="CG19" s="211" t="str">
        <f>IF(COUNTIF(Parametre!$C$27:$C$39,CB19)=0,"",INDEX(Parametre!$B$27:$B$39,MATCH(CB19,Parametre!$C$27:$C$39,0)))&amp;" "&amp;IF(COUNTIF(Parametre!$I$45:$I$94,CB19)=0,"",INDEX(Parametre!$K$45:$K$94,MATCH(CB19,Parametre!$I$45:$I$94,0)))</f>
        <v xml:space="preserve"> </v>
      </c>
    </row>
    <row r="20" spans="2:85" ht="15.75">
      <c r="B20" s="202">
        <v>13</v>
      </c>
      <c r="C20" s="203">
        <f t="shared" si="25"/>
        <v>43843</v>
      </c>
      <c r="D20" s="145"/>
      <c r="E20" s="204">
        <f t="shared" si="0"/>
        <v>3</v>
      </c>
      <c r="F20" s="205" t="str">
        <f>IF(ISERROR(VLOOKUP(C20,Lune!$A$2:$B$55,2,FALSE)),"",VLOOKUP(C20,Lune!$A$2:$B$55,2,FALSE))</f>
        <v/>
      </c>
      <c r="G20" s="206" t="str">
        <f>IFERROR(IF(COUNTIF(Saints!$C$2:$C$371,C20)=0,"",INDEX(Saints!$D$2:$D$371,MATCH(C20,Saints!$C$2:$C$371,0))),"")</f>
        <v>Yvette</v>
      </c>
      <c r="H20" s="207" t="str">
        <f>IF(COUNTIF(Parametre!$C$27:$C$39,C20)=0,"",INDEX(Parametre!$B$27:$B$39,MATCH(C20,Parametre!$C$27:$C$39,0)))&amp;""&amp;IF(COUNTIF(Parametre!$I$45:$I$94,C20)=0,"",INDEX(Parametre!$K$45:$K$94,MATCH(C20,Parametre!$I$45:$I$94,0)))</f>
        <v/>
      </c>
      <c r="J20" s="203">
        <f t="shared" si="1"/>
        <v>43874</v>
      </c>
      <c r="K20" s="145"/>
      <c r="L20" s="204" t="str">
        <f t="shared" si="2"/>
        <v/>
      </c>
      <c r="M20" s="205" t="str">
        <f>IF(ISERROR(VLOOKUP(J20,Lune!$A$2:$B$55,2,FALSE)),"",VLOOKUP(J20,Lune!$A$2:$B$55,2,FALSE))</f>
        <v/>
      </c>
      <c r="N20" s="206" t="str">
        <f>IFERROR(IF(COUNTIF(Saints!$C$2:$C$371,J20)=0,"",INDEX(Saints!$D$2:$D$371,MATCH(J20,Saints!$C$2:$C$371,0))),"")</f>
        <v>Béatrice</v>
      </c>
      <c r="O20" s="207" t="str">
        <f>IF(COUNTIF(Parametre!$C$27:$C$39,J20)=0,"",INDEX(Parametre!$B$27:$B$39,MATCH(J20,Parametre!$C$27:$C$39,0)))&amp;""&amp;IF(COUNTIF(Parametre!$I$45:$I$94,J20)=0,"",INDEX(Parametre!$K$45:$K$94,MATCH(J20,Parametre!$I$45:$I$94,0)))</f>
        <v/>
      </c>
      <c r="Q20" s="203">
        <f t="shared" si="3"/>
        <v>43903</v>
      </c>
      <c r="R20" s="145"/>
      <c r="S20" s="204" t="str">
        <f t="shared" si="4"/>
        <v/>
      </c>
      <c r="T20" s="205" t="str">
        <f>IF(ISERROR(VLOOKUP(Q20,Lune!$A$2:$B$55,2,FALSE)),"",VLOOKUP(Q20,Lune!$A$2:$B$55,2,FALSE))</f>
        <v/>
      </c>
      <c r="U20" s="206" t="str">
        <f>IFERROR(IF(COUNTIF(Saints!$C$2:$C$371,Q20)=0,"",INDEX(Saints!$D$2:$D$371,MATCH(Q20,Saints!$C$2:$C$371,0))),"")</f>
        <v>Rodrigue</v>
      </c>
      <c r="V20" s="207" t="str">
        <f>IF(COUNTIF(Parametre!$C$27:$C$39,Q20)=0,"",INDEX(Parametre!$B$27:$B$39,MATCH(Q20,Parametre!$C$27:$C$39,0)))&amp;""&amp;IF(COUNTIF(Parametre!$I$45:$I$94,Q20)=0,"",INDEX(Parametre!$K$45:$K$94,MATCH(Q20,Parametre!$I$45:$I$94,0)))</f>
        <v/>
      </c>
      <c r="X20" s="212">
        <f t="shared" si="5"/>
        <v>43934</v>
      </c>
      <c r="Y20" s="145"/>
      <c r="Z20" s="204">
        <f t="shared" si="6"/>
        <v>16</v>
      </c>
      <c r="AA20" s="205" t="str">
        <f>IF(ISERROR(VLOOKUP(X20,Lune!$A$2:$B$55,2,FALSE)),"",VLOOKUP(X20,Lune!$A$2:$B$55,2,FALSE))</f>
        <v/>
      </c>
      <c r="AB20" s="206" t="str">
        <f>IFERROR(IF(COUNTIF(Saints!$C$2:$C$371,X20)=0,"",INDEX(Saints!$D$2:$D$371,MATCH(X20,Saints!$C$2:$C$371,0))),"")</f>
        <v>Ida</v>
      </c>
      <c r="AC20" s="207" t="str">
        <f>IF(COUNTIF(Parametre!$C$27:$C$39,X20)=0,"",INDEX(Parametre!$B$27:$B$39,MATCH(X20,Parametre!$C$27:$C$39,0)))&amp;""&amp;IF(COUNTIF(Parametre!$I$45:$I$94,X20)=0,"",INDEX(Parametre!$K$45:$K$94,MATCH(X20,Parametre!$I$45:$I$94,0)))</f>
        <v>Lundi de Pâques</v>
      </c>
      <c r="AE20" s="212">
        <f t="shared" si="7"/>
        <v>43964</v>
      </c>
      <c r="AF20" s="145"/>
      <c r="AG20" s="213" t="str">
        <f t="shared" si="8"/>
        <v/>
      </c>
      <c r="AH20" s="205" t="str">
        <f>IF(ISERROR(VLOOKUP(AE20,[1]Lune!$A$2:$B$55,2,FALSE)),"",VLOOKUP(AE20,[1]Lune!$A$2:$B$55,2,FALSE))</f>
        <v/>
      </c>
      <c r="AI20" s="206" t="str">
        <f>IFERROR(IF(COUNTIF(Saints!$C$2:$C$371,AE20)=0,"",INDEX(Saints!$D$2:$D$371,MATCH(AE20,Saints!$C$2:$C$371,0))),"")</f>
        <v>Rolande</v>
      </c>
      <c r="AJ20" s="211" t="str">
        <f>IF(COUNTIF(Parametre!$C$27:$C$39,AE20)=0,"",INDEX(Parametre!$B$27:$B$39,MATCH(AE20,Parametre!$C$27:$C$39,0)))&amp;""&amp;IF(COUNTIF(Parametre!$I$45:$I$94,AE20)=0,"",INDEX(Parametre!$K$45:$K$94,MATCH(AE20,Parametre!$I$45:$I$94,0)))</f>
        <v/>
      </c>
      <c r="AL20" s="212">
        <f t="shared" si="34"/>
        <v>43995</v>
      </c>
      <c r="AM20" s="145"/>
      <c r="AN20" s="213" t="str">
        <f t="shared" ref="AN20" si="42">IFERROR(IF(WEEKDAY(AL20)=2,INT(MOD(INT((AL20-2)/7)+0.6,52+5/28))+1,""),"")</f>
        <v/>
      </c>
      <c r="AO20" s="205" t="str">
        <f>IF(ISERROR(VLOOKUP(AL20,Lune!$A$2:$B$55,2,FALSE)),"",VLOOKUP(AL20,Lune!$A$2:$B$55,2,FALSE))</f>
        <v></v>
      </c>
      <c r="AP20" s="206" t="str">
        <f>IFERROR(IF(COUNTIF(Saints!$C$2:$C$371,AL20)=0,"",INDEX(Saints!$D$2:$D$371,MATCH(AL20,Saints!$C$2:$C$371,0))),"")</f>
        <v>Antoine de P.</v>
      </c>
      <c r="AQ20" s="211" t="str">
        <f>IF(COUNTIF(Parametre!$C$27:$C$39,AL20)=0,"",INDEX(Parametre!$B$27:$B$39,MATCH(AL20,Parametre!$C$27:$C$39,0)))&amp;""&amp;IF(COUNTIF(Parametre!$I$45:$I$94,AL20)=0,"",INDEX(Parametre!$K$45:$K$94,MATCH(AL20,Parametre!$I$45:$I$94,0)))</f>
        <v/>
      </c>
      <c r="AS20" s="212">
        <f t="shared" si="36"/>
        <v>44025</v>
      </c>
      <c r="AT20" s="145"/>
      <c r="AU20" s="213">
        <f t="shared" ref="AU20" si="43">IFERROR(IF(WEEKDAY(AS20)=2,INT(MOD(INT((AS20-2)/7)+0.6,52+5/28))+1,""),"")</f>
        <v>29</v>
      </c>
      <c r="AV20" s="205" t="str">
        <f>IF(ISERROR(VLOOKUP(AS20,Lune!$A$2:$B$55,2,FALSE)),"",VLOOKUP(AS20,Lune!$A$2:$B$55,2,FALSE))</f>
        <v/>
      </c>
      <c r="AW20" s="206" t="str">
        <f>IFERROR(IF(COUNTIF(Saints!$C$2:$C$371,AS20)=0,"",INDEX(Saints!$D$2:$D$371,MATCH(AS20,Saints!$C$2:$C$371,0))),"")</f>
        <v>Henri</v>
      </c>
      <c r="AX20" s="211" t="str">
        <f>IF(COUNTIF(Parametre!$C$27:$C$39,AS20)=0,"",INDEX(Parametre!$B$27:$B$39,MATCH(AS20,Parametre!$C$27:$C$39,0)))&amp;""&amp;IF(COUNTIF(Parametre!$I$45:$I$94,AS20)=0,"",INDEX(Parametre!$K$45:$K$94,MATCH(AS20,Parametre!$I$45:$I$94,0)))</f>
        <v/>
      </c>
      <c r="AZ20" s="212">
        <f t="shared" si="13"/>
        <v>44056</v>
      </c>
      <c r="BA20" s="145"/>
      <c r="BB20" s="213" t="str">
        <f t="shared" si="14"/>
        <v/>
      </c>
      <c r="BC20" s="205" t="str">
        <f>IF(ISERROR(VLOOKUP(AZ20,Lune!$A$2:$B$55,2,FALSE)),"",VLOOKUP(AZ20,Lune!$A$2:$B$55,2,FALSE))</f>
        <v/>
      </c>
      <c r="BD20" s="206" t="str">
        <f>IFERROR(IF(COUNTIF(Saints!$C$2:$C$371,AZ20)=0,"",INDEX(Saints!$D$2:$D$371,MATCH(AZ20,Saints!$C$2:$C$371,0))),"")</f>
        <v>Hippolyte</v>
      </c>
      <c r="BE20" s="211" t="str">
        <f>IF(COUNTIF(Parametre!$C$27:$C$39,AZ20)=0,"",INDEX(Parametre!$B$27:$B$39,MATCH(AZ20,Parametre!$C$27:$C$39,0)))&amp;""&amp;IF(COUNTIF(Parametre!$I$45:$I$94,AZ20)=0,"",INDEX(Parametre!$K$45:$K$94,MATCH(AZ20,Parametre!$I$45:$I$94,0)))</f>
        <v/>
      </c>
      <c r="BG20" s="212">
        <f t="shared" si="15"/>
        <v>44087</v>
      </c>
      <c r="BH20" s="145"/>
      <c r="BI20" s="213" t="str">
        <f t="shared" si="16"/>
        <v/>
      </c>
      <c r="BJ20" s="205" t="str">
        <f>IF(ISERROR(VLOOKUP(BG20,Lune!$A$2:$B$55,2,FALSE)),"",VLOOKUP(BG20,Lune!$A$2:$B$55,2,FALSE))</f>
        <v/>
      </c>
      <c r="BK20" s="206" t="str">
        <f>IFERROR(IF(COUNTIF(Saints!$C$2:$C$371,BG20)=0,"",INDEX(Saints!$D$2:$D$371,MATCH(BG20,Saints!$C$2:$C$371,0))),"")</f>
        <v>Aimé</v>
      </c>
      <c r="BL20" s="211" t="str">
        <f>IF(COUNTIF(Parametre!$C$27:$C$39,BG20)=0,"",INDEX(Parametre!$B$27:$B$39,MATCH(BG20,Parametre!$C$27:$C$39,0)))&amp;""&amp;IF(COUNTIF(Parametre!$I$45:$I$94,BG20)=0,"",INDEX(Parametre!$K$45:$K$94,MATCH(BG20,Parametre!$I$45:$I$94,0)))</f>
        <v/>
      </c>
      <c r="BN20" s="212">
        <f t="shared" si="17"/>
        <v>44117</v>
      </c>
      <c r="BO20" s="145"/>
      <c r="BP20" s="213" t="str">
        <f t="shared" si="18"/>
        <v/>
      </c>
      <c r="BQ20" s="205" t="str">
        <f>IF(ISERROR(VLOOKUP(BN20,Lune!$A$2:$B$55,2,FALSE)),"",VLOOKUP(BN20,Lune!$A$2:$B$55,2,FALSE))</f>
        <v/>
      </c>
      <c r="BR20" s="206" t="str">
        <f>IFERROR(IF(COUNTIF(Saints!$C$2:$C$371,BN20)=0,"",INDEX(Saints!$D$2:$D$371,MATCH(BN20,Saints!$C$2:$C$371,0))),"")</f>
        <v>Géraud</v>
      </c>
      <c r="BS20" s="211" t="str">
        <f>IF(COUNTIF(Parametre!$C$27:$C$39,BN20)=0,"",INDEX(Parametre!$B$27:$B$39,MATCH(BN20,Parametre!$C$27:$C$39,0)))&amp;""&amp;IF(COUNTIF(Parametre!$I$45:$I$94,BN20)=0,"",INDEX(Parametre!$K$45:$K$94,MATCH(BN20,Parametre!$I$45:$I$94,0)))</f>
        <v/>
      </c>
      <c r="BU20" s="212">
        <f t="shared" si="19"/>
        <v>44148</v>
      </c>
      <c r="BV20" s="145"/>
      <c r="BW20" s="213" t="str">
        <f t="shared" si="20"/>
        <v/>
      </c>
      <c r="BX20" s="205" t="str">
        <f>IF(ISERROR(VLOOKUP(BU20,Lune!$A$2:$B$55,2,FALSE)),"",VLOOKUP(BU20,Lune!$A$2:$B$55,2,FALSE))</f>
        <v/>
      </c>
      <c r="BY20" s="206" t="str">
        <f>IFERROR(IF(COUNTIF(Saints!$C$2:$C$371,BU20)=0,"",INDEX(Saints!$D$2:$D$371,MATCH(BU20,Saints!$C$2:$C$371,0))),"")</f>
        <v>Brice</v>
      </c>
      <c r="BZ20" s="211" t="str">
        <f>IF(COUNTIF(Parametre!$C$27:$C$39,BU20)=0,"",INDEX(Parametre!$B$27:$B$39,MATCH(BU20,Parametre!$C$27:$C$39,0)))&amp;""&amp;IF(COUNTIF(Parametre!$I$45:$I$94,BU20)=0,"",INDEX(Parametre!$K$45:$K$94,MATCH(BU20,Parametre!$I$45:$I$94,0)))</f>
        <v/>
      </c>
      <c r="CB20" s="212">
        <f t="shared" si="21"/>
        <v>44178</v>
      </c>
      <c r="CC20" s="145"/>
      <c r="CD20" s="213" t="str">
        <f t="shared" si="22"/>
        <v/>
      </c>
      <c r="CE20" s="205" t="str">
        <f>IF(ISERROR(VLOOKUP(CB20,Lune!$A$2:$B$55,2,FALSE)),"",VLOOKUP(CB20,Lune!$A$2:$B$55,2,FALSE))</f>
        <v/>
      </c>
      <c r="CF20" s="206" t="str">
        <f>IFERROR(IF(COUNTIF(Saints!$C$2:$C$371,CB20)=0,"",INDEX(Saints!$D$2:$D$371,MATCH(CB20,Saints!$C$2:$C$371,0))),"")</f>
        <v xml:space="preserve">Lucie </v>
      </c>
      <c r="CG20" s="211" t="str">
        <f>IF(COUNTIF(Parametre!$C$27:$C$39,CB20)=0,"",INDEX(Parametre!$B$27:$B$39,MATCH(CB20,Parametre!$C$27:$C$39,0)))&amp;""&amp;IF(COUNTIF(Parametre!$I$45:$I$94,CB20)=0,"",INDEX(Parametre!$K$45:$K$94,MATCH(CB20,Parametre!$I$45:$I$94,0)))</f>
        <v>69 an Michel</v>
      </c>
    </row>
    <row r="21" spans="2:85" ht="15.75">
      <c r="B21" s="202">
        <v>14</v>
      </c>
      <c r="C21" s="203">
        <f t="shared" si="25"/>
        <v>43844</v>
      </c>
      <c r="D21" s="145"/>
      <c r="E21" s="214" t="str">
        <f t="shared" si="0"/>
        <v/>
      </c>
      <c r="F21" s="205" t="str">
        <f>IF(ISERROR(VLOOKUP(C21,Lune!$A$2:$B$55,2,FALSE)),"",VLOOKUP(C21,Lune!$A$2:$B$55,2,FALSE))</f>
        <v/>
      </c>
      <c r="G21" s="206" t="str">
        <f>IFERROR(IF(COUNTIF(Saints!$C$2:$C$371,C21)=0,"",INDEX(Saints!$D$2:$D$371,MATCH(C21,Saints!$C$2:$C$371,0))),"")</f>
        <v>Nina</v>
      </c>
      <c r="H21" s="207" t="str">
        <f>IF(COUNTIF(Parametre!$C$27:$C$39,C21)=0,"",INDEX(Parametre!$B$27:$B$39,MATCH(C21,Parametre!$C$27:$C$39,0)))&amp;""&amp;IF(COUNTIF(Parametre!$I$45:$I$94,C21)=0,"",INDEX(Parametre!$K$45:$K$94,MATCH(C21,Parametre!$I$45:$I$94,0)))</f>
        <v/>
      </c>
      <c r="J21" s="203">
        <f t="shared" si="1"/>
        <v>43875</v>
      </c>
      <c r="K21" s="145"/>
      <c r="L21" s="204" t="str">
        <f t="shared" si="2"/>
        <v/>
      </c>
      <c r="M21" s="205" t="str">
        <f>IF(ISERROR(VLOOKUP(J21,Lune!$A$2:$B$55,2,FALSE)),"",VLOOKUP(J21,Lune!$A$2:$B$55,2,FALSE))</f>
        <v/>
      </c>
      <c r="N21" s="206" t="str">
        <f>IFERROR(IF(COUNTIF(Saints!$C$2:$C$371,J21)=0,"",INDEX(Saints!$D$2:$D$371,MATCH(J21,Saints!$C$2:$C$371,0))),"")</f>
        <v>Valentin</v>
      </c>
      <c r="O21" s="207" t="str">
        <f>IF(COUNTIF(Parametre!$C$27:$C$39,J21)=0,"",INDEX(Parametre!$B$27:$B$39,MATCH(J21,Parametre!$C$27:$C$39,0)))&amp;""&amp;IF(COUNTIF(Parametre!$I$45:$I$94,J21)=0,"",INDEX(Parametre!$K$45:$K$94,MATCH(J21,Parametre!$I$45:$I$94,0)))</f>
        <v>Saint Valentin</v>
      </c>
      <c r="Q21" s="203">
        <f t="shared" si="3"/>
        <v>43904</v>
      </c>
      <c r="R21" s="145"/>
      <c r="S21" s="204" t="str">
        <f t="shared" si="4"/>
        <v/>
      </c>
      <c r="T21" s="205" t="str">
        <f>IF(ISERROR(VLOOKUP(Q21,Lune!$A$2:$B$55,2,FALSE)),"",VLOOKUP(Q21,Lune!$A$2:$B$55,2,FALSE))</f>
        <v/>
      </c>
      <c r="U21" s="206" t="str">
        <f>IFERROR(IF(COUNTIF(Saints!$C$2:$C$371,Q21)=0,"",INDEX(Saints!$D$2:$D$371,MATCH(Q21,Saints!$C$2:$C$371,0))),"")</f>
        <v>Mathilde</v>
      </c>
      <c r="V21" s="207" t="str">
        <f>IF(COUNTIF(Parametre!$C$27:$C$39,Q21)=0,"",INDEX(Parametre!$B$27:$B$39,MATCH(Q21,Parametre!$C$27:$C$39,0)))&amp;""&amp;IF(COUNTIF(Parametre!$I$45:$I$94,Q21)=0,"",INDEX(Parametre!$K$45:$K$94,MATCH(Q21,Parametre!$I$45:$I$94,0)))</f>
        <v/>
      </c>
      <c r="X21" s="212">
        <f t="shared" si="5"/>
        <v>43935</v>
      </c>
      <c r="Y21" s="145"/>
      <c r="Z21" s="204" t="str">
        <f t="shared" si="6"/>
        <v/>
      </c>
      <c r="AA21" s="205" t="str">
        <f>IF(ISERROR(VLOOKUP(X21,Lune!$A$2:$B$55,2,FALSE)),"",VLOOKUP(X21,Lune!$A$2:$B$55,2,FALSE))</f>
        <v/>
      </c>
      <c r="AB21" s="206" t="str">
        <f>IFERROR(IF(COUNTIF(Saints!$C$2:$C$371,X21)=0,"",INDEX(Saints!$D$2:$D$371,MATCH(X21,Saints!$C$2:$C$371,0))),"")</f>
        <v>Maxime</v>
      </c>
      <c r="AC21" s="207" t="str">
        <f>IF(COUNTIF(Parametre!$C$27:$C$39,X21)=0,"",INDEX(Parametre!$B$27:$B$39,MATCH(X21,Parametre!$C$27:$C$39,0)))&amp;""&amp;IF(COUNTIF(Parametre!$I$45:$I$94,X21)=0,"",INDEX(Parametre!$K$45:$K$94,MATCH(X21,Parametre!$I$45:$I$94,0)))</f>
        <v>44 an Jérôme</v>
      </c>
      <c r="AE21" s="212">
        <f t="shared" si="7"/>
        <v>43965</v>
      </c>
      <c r="AF21" s="145"/>
      <c r="AG21" s="213" t="str">
        <f t="shared" si="8"/>
        <v/>
      </c>
      <c r="AH21" s="205" t="str">
        <f>IF(ISERROR(VLOOKUP(AE21,[1]Lune!$A$2:$B$55,2,FALSE)),"",VLOOKUP(AE21,[1]Lune!$A$2:$B$55,2,FALSE))</f>
        <v></v>
      </c>
      <c r="AI21" s="206" t="str">
        <f>IFERROR(IF(COUNTIF(Saints!$C$2:$C$371,AE21)=0,"",INDEX(Saints!$D$2:$D$371,MATCH(AE21,Saints!$C$2:$C$371,0))),"")</f>
        <v>Mathias</v>
      </c>
      <c r="AJ21" s="211" t="str">
        <f>IF(COUNTIF(Parametre!$C$27:$C$39,AE21)=0,"",INDEX(Parametre!$B$27:$B$39,MATCH(AE21,Parametre!$C$27:$C$39,0)))&amp;""&amp;IF(COUNTIF(Parametre!$I$45:$I$94,AE21)=0,"",INDEX(Parametre!$K$45:$K$94,MATCH(AE21,Parametre!$I$45:$I$94,0)))</f>
        <v/>
      </c>
      <c r="AL21" s="212">
        <f t="shared" si="34"/>
        <v>43996</v>
      </c>
      <c r="AM21" s="145"/>
      <c r="AN21" s="213" t="str">
        <f t="shared" ref="AN21" si="44">IF(WEEKDAY(AL21)=2,INT(MOD(INT((AL21-2)/7)+0.6,52+5/28))+1,"")</f>
        <v/>
      </c>
      <c r="AO21" s="205" t="str">
        <f>IF(ISERROR(VLOOKUP(AL21,Lune!$A$2:$B$55,2,FALSE)),"",VLOOKUP(AL21,Lune!$A$2:$B$55,2,FALSE))</f>
        <v/>
      </c>
      <c r="AP21" s="206" t="str">
        <f>IFERROR(IF(COUNTIF(Saints!$C$2:$C$371,AL21)=0,"",INDEX(Saints!$D$2:$D$371,MATCH(AL21,Saints!$C$2:$C$371,0))),"")</f>
        <v>Elysée</v>
      </c>
      <c r="AQ21" s="211" t="str">
        <f>IF(COUNTIF(Parametre!$C$27:$C$39,AL21)=0,"",INDEX(Parametre!$B$27:$B$39,MATCH(AL21,Parametre!$C$27:$C$39,0)))&amp;""&amp;IF(COUNTIF(Parametre!$I$45:$I$94,AL21)=0,"",INDEX(Parametre!$K$45:$K$94,MATCH(AL21,Parametre!$I$45:$I$94,0)))</f>
        <v/>
      </c>
      <c r="AS21" s="212">
        <f t="shared" si="36"/>
        <v>44026</v>
      </c>
      <c r="AT21" s="145"/>
      <c r="AU21" s="213" t="str">
        <f t="shared" ref="AU21" si="45">IF(WEEKDAY(AS21)=2,INT(MOD(INT((AS21-2)/7)+0.6,52+5/28))+1,"")</f>
        <v/>
      </c>
      <c r="AV21" s="205" t="str">
        <f>IF(ISERROR(VLOOKUP(AS21,Lune!$A$2:$B$55,2,FALSE)),"",VLOOKUP(AS21,Lune!$A$2:$B$55,2,FALSE))</f>
        <v/>
      </c>
      <c r="AW21" s="206" t="str">
        <f>IFERROR(IF(COUNTIF(Saints!$C$2:$C$371,AS21)=0,"",INDEX(Saints!$D$2:$D$371,MATCH(AS21,Saints!$C$2:$C$371,0))),"")</f>
        <v>Camille</v>
      </c>
      <c r="AX21" s="211" t="str">
        <f>IF(COUNTIF(Parametre!$C$27:$C$39,AS21)=0,"",INDEX(Parametre!$B$27:$B$39,MATCH(AS21,Parametre!$C$27:$C$39,0)))&amp;""&amp;IF(COUNTIF(Parametre!$I$45:$I$94,AS21)=0,"",INDEX(Parametre!$K$45:$K$94,MATCH(AS21,Parametre!$I$45:$I$94,0)))</f>
        <v>Fête Nationale</v>
      </c>
      <c r="AZ21" s="212">
        <f t="shared" si="13"/>
        <v>44057</v>
      </c>
      <c r="BA21" s="145"/>
      <c r="BB21" s="213" t="str">
        <f t="shared" si="14"/>
        <v/>
      </c>
      <c r="BC21" s="205" t="str">
        <f>IF(ISERROR(VLOOKUP(AZ21,Lune!$A$2:$B$55,2,FALSE)),"",VLOOKUP(AZ21,Lune!$A$2:$B$55,2,FALSE))</f>
        <v/>
      </c>
      <c r="BD21" s="206" t="str">
        <f>IFERROR(IF(COUNTIF(Saints!$C$2:$C$371,AZ21)=0,"",INDEX(Saints!$D$2:$D$371,MATCH(AZ21,Saints!$C$2:$C$371,0))),"")</f>
        <v>Evrard</v>
      </c>
      <c r="BE21" s="211" t="str">
        <f>IF(COUNTIF(Parametre!$C$27:$C$39,AZ21)=0,"",INDEX(Parametre!$B$27:$B$39,MATCH(AZ21,Parametre!$C$27:$C$39,0)))&amp;""&amp;IF(COUNTIF(Parametre!$I$45:$I$94,AZ21)=0,"",INDEX(Parametre!$K$45:$K$94,MATCH(AZ21,Parametre!$I$45:$I$94,0)))</f>
        <v/>
      </c>
      <c r="BG21" s="212">
        <f t="shared" si="15"/>
        <v>44088</v>
      </c>
      <c r="BH21" s="145"/>
      <c r="BI21" s="213">
        <f t="shared" si="16"/>
        <v>38</v>
      </c>
      <c r="BJ21" s="205" t="str">
        <f>IF(ISERROR(VLOOKUP(BG21,Lune!$A$2:$B$55,2,FALSE)),"",VLOOKUP(BG21,Lune!$A$2:$B$55,2,FALSE))</f>
        <v/>
      </c>
      <c r="BK21" s="206" t="str">
        <f>IFERROR(IF(COUNTIF(Saints!$C$2:$C$371,BG21)=0,"",INDEX(Saints!$D$2:$D$371,MATCH(BG21,Saints!$C$2:$C$371,0))),"")</f>
        <v>Materne</v>
      </c>
      <c r="BL21" s="211" t="str">
        <f>IF(COUNTIF(Parametre!$C$27:$C$39,BG21)=0,"",INDEX(Parametre!$B$27:$B$39,MATCH(BG21,Parametre!$C$27:$C$39,0)))&amp;""&amp;IF(COUNTIF(Parametre!$I$45:$I$94,BG21)=0,"",INDEX(Parametre!$K$45:$K$94,MATCH(BG21,Parametre!$I$45:$I$94,0)))</f>
        <v/>
      </c>
      <c r="BN21" s="212">
        <f t="shared" si="17"/>
        <v>44118</v>
      </c>
      <c r="BO21" s="145"/>
      <c r="BP21" s="213" t="str">
        <f t="shared" si="18"/>
        <v/>
      </c>
      <c r="BQ21" s="205" t="str">
        <f>IF(ISERROR(VLOOKUP(BN21,Lune!$A$2:$B$55,2,FALSE)),"",VLOOKUP(BN21,Lune!$A$2:$B$55,2,FALSE))</f>
        <v/>
      </c>
      <c r="BR21" s="206" t="str">
        <f>IFERROR(IF(COUNTIF(Saints!$C$2:$C$371,BN21)=0,"",INDEX(Saints!$D$2:$D$371,MATCH(BN21,Saints!$C$2:$C$371,0))),"")</f>
        <v>Juste</v>
      </c>
      <c r="BS21" s="211" t="str">
        <f>IF(COUNTIF(Parametre!$C$27:$C$39,BN21)=0,"",INDEX(Parametre!$B$27:$B$39,MATCH(BN21,Parametre!$C$27:$C$39,0)))&amp;""&amp;IF(COUNTIF(Parametre!$I$45:$I$94,BN21)=0,"",INDEX(Parametre!$K$45:$K$94,MATCH(BN21,Parametre!$I$45:$I$94,0)))</f>
        <v/>
      </c>
      <c r="BU21" s="212">
        <f t="shared" si="19"/>
        <v>44149</v>
      </c>
      <c r="BV21" s="145"/>
      <c r="BW21" s="213" t="str">
        <f t="shared" si="20"/>
        <v/>
      </c>
      <c r="BX21" s="205" t="str">
        <f>IF(ISERROR(VLOOKUP(BU21,Lune!$A$2:$B$55,2,FALSE)),"",VLOOKUP(BU21,Lune!$A$2:$B$55,2,FALSE))</f>
        <v/>
      </c>
      <c r="BY21" s="206" t="str">
        <f>IFERROR(IF(COUNTIF(Saints!$C$2:$C$371,BU21)=0,"",INDEX(Saints!$D$2:$D$371,MATCH(BU21,Saints!$C$2:$C$371,0))),"")</f>
        <v>Sidoine</v>
      </c>
      <c r="BZ21" s="211" t="str">
        <f>IF(COUNTIF(Parametre!$C$27:$C$39,BU21)=0,"",INDEX(Parametre!$B$27:$B$39,MATCH(BU21,Parametre!$C$27:$C$39,0)))&amp;""&amp;IF(COUNTIF(Parametre!$I$45:$I$94,BU21)=0,"",INDEX(Parametre!$K$45:$K$94,MATCH(BU21,Parametre!$I$45:$I$94,0)))</f>
        <v/>
      </c>
      <c r="CB21" s="212">
        <f t="shared" si="21"/>
        <v>44179</v>
      </c>
      <c r="CC21" s="145"/>
      <c r="CD21" s="213">
        <f t="shared" si="22"/>
        <v>51</v>
      </c>
      <c r="CE21" s="205" t="str">
        <f>IF(ISERROR(VLOOKUP(CB21,Lune!$A$2:$B$55,2,FALSE)),"",VLOOKUP(CB21,Lune!$A$2:$B$55,2,FALSE))</f>
        <v></v>
      </c>
      <c r="CF21" s="206" t="str">
        <f>IFERROR(IF(COUNTIF(Saints!$C$2:$C$371,CB21)=0,"",INDEX(Saints!$D$2:$D$371,MATCH(CB21,Saints!$C$2:$C$371,0))),"")</f>
        <v>Odile</v>
      </c>
      <c r="CG21" s="211" t="str">
        <f>IF(COUNTIF(Parametre!$C$27:$C$39,CB21)=0,"",INDEX(Parametre!$B$27:$B$39,MATCH(CB21,Parametre!$C$27:$C$39,0)))&amp;" "&amp;IF(COUNTIF(Parametre!$I$45:$I$94,CB21)=0,"",INDEX(Parametre!$K$45:$K$94,MATCH(CB21,Parametre!$I$45:$I$94,0)))</f>
        <v xml:space="preserve"> </v>
      </c>
    </row>
    <row r="22" spans="2:85" ht="15.75">
      <c r="B22" s="202">
        <v>15</v>
      </c>
      <c r="C22" s="203">
        <f t="shared" si="25"/>
        <v>43845</v>
      </c>
      <c r="D22" s="145"/>
      <c r="E22" s="214" t="str">
        <f t="shared" si="0"/>
        <v/>
      </c>
      <c r="F22" s="205" t="str">
        <f>IF(ISERROR(VLOOKUP(C22,Lune!$A$2:$B$55,2,FALSE)),"",VLOOKUP(C22,Lune!$A$2:$B$55,2,FALSE))</f>
        <v/>
      </c>
      <c r="G22" s="206" t="str">
        <f>IFERROR(IF(COUNTIF(Saints!$C$2:$C$371,C22)=0,"",INDEX(Saints!$D$2:$D$371,MATCH(C22,Saints!$C$2:$C$371,0))),"")</f>
        <v>Rémi</v>
      </c>
      <c r="H22" s="207" t="str">
        <f>IF(COUNTIF(Parametre!$C$27:$C$39,C22)=0,"",INDEX(Parametre!$B$27:$B$39,MATCH(C22,Parametre!$C$27:$C$39,0)))&amp;""&amp;IF(COUNTIF(Parametre!$I$45:$I$94,C22)=0,"",INDEX(Parametre!$K$45:$K$94,MATCH(C22,Parametre!$I$45:$I$94,0)))</f>
        <v/>
      </c>
      <c r="J22" s="203">
        <f t="shared" si="1"/>
        <v>43876</v>
      </c>
      <c r="K22" s="145"/>
      <c r="L22" s="204" t="str">
        <f t="shared" si="2"/>
        <v/>
      </c>
      <c r="M22" s="205" t="str">
        <f>IF(ISERROR(VLOOKUP(J22,Lune!$A$2:$B$55,2,FALSE)),"",VLOOKUP(J22,Lune!$A$2:$B$55,2,FALSE))</f>
        <v/>
      </c>
      <c r="N22" s="206" t="str">
        <f>IFERROR(IF(COUNTIF(Saints!$C$2:$C$371,J22)=0,"",INDEX(Saints!$D$2:$D$371,MATCH(J22,Saints!$C$2:$C$371,0))),"")</f>
        <v>Claude</v>
      </c>
      <c r="O22" s="207" t="str">
        <f>IF(COUNTIF(Parametre!$C$27:$C$39,J22)=0,"",INDEX(Parametre!$B$27:$B$39,MATCH(J22,Parametre!$C$27:$C$39,0)))&amp;""&amp;IF(COUNTIF(Parametre!$I$45:$I$94,J22)=0,"",INDEX(Parametre!$K$45:$K$94,MATCH(J22,Parametre!$I$45:$I$94,0)))</f>
        <v/>
      </c>
      <c r="Q22" s="203">
        <f t="shared" si="3"/>
        <v>43905</v>
      </c>
      <c r="R22" s="145"/>
      <c r="S22" s="204" t="str">
        <f t="shared" si="4"/>
        <v/>
      </c>
      <c r="T22" s="205" t="str">
        <f>IF(ISERROR(VLOOKUP(Q22,Lune!$A$2:$B$55,2,FALSE)),"",VLOOKUP(Q22,Lune!$A$2:$B$55,2,FALSE))</f>
        <v/>
      </c>
      <c r="U22" s="206" t="str">
        <f>IFERROR(IF(COUNTIF(Saints!$C$2:$C$371,Q22)=0,"",INDEX(Saints!$D$2:$D$371,MATCH(Q22,Saints!$C$2:$C$371,0))),"")</f>
        <v>Louise</v>
      </c>
      <c r="V22" s="207" t="str">
        <f>IF(COUNTIF(Parametre!$C$27:$C$39,Q22)=0,"",INDEX(Parametre!$B$27:$B$39,MATCH(Q22,Parametre!$C$27:$C$39,0)))&amp;""&amp;IF(COUNTIF(Parametre!$I$45:$I$94,Q22)=0,"",INDEX(Parametre!$K$45:$K$94,MATCH(Q22,Parametre!$I$45:$I$94,0)))</f>
        <v/>
      </c>
      <c r="X22" s="212">
        <f t="shared" si="5"/>
        <v>43936</v>
      </c>
      <c r="Y22" s="145"/>
      <c r="Z22" s="204" t="str">
        <f t="shared" si="6"/>
        <v/>
      </c>
      <c r="AA22" s="205" t="str">
        <f>IF(ISERROR(VLOOKUP(X22,Lune!$A$2:$B$55,2,FALSE)),"",VLOOKUP(X22,Lune!$A$2:$B$55,2,FALSE))</f>
        <v></v>
      </c>
      <c r="AB22" s="206" t="str">
        <f>IFERROR(IF(COUNTIF(Saints!$C$2:$C$371,X22)=0,"",INDEX(Saints!$D$2:$D$371,MATCH(X22,Saints!$C$2:$C$371,0))),"")</f>
        <v>Paterne</v>
      </c>
      <c r="AC22" s="207" t="str">
        <f>IF(COUNTIF(Parametre!$C$27:$C$39,X22)=0,"",INDEX(Parametre!$B$27:$B$39,MATCH(X22,Parametre!$C$27:$C$39,0)))&amp;""&amp;IF(COUNTIF(Parametre!$I$45:$I$94,X22)=0,"",INDEX(Parametre!$K$45:$K$94,MATCH(X22,Parametre!$I$45:$I$94,0)))</f>
        <v>31 an Mathieu</v>
      </c>
      <c r="AE22" s="212">
        <f t="shared" si="7"/>
        <v>43966</v>
      </c>
      <c r="AF22" s="145"/>
      <c r="AG22" s="213" t="str">
        <f t="shared" si="8"/>
        <v/>
      </c>
      <c r="AH22" s="205" t="str">
        <f>IF(ISERROR(VLOOKUP(AE22,[1]Lune!$A$2:$B$55,2,FALSE)),"",VLOOKUP(AE22,[1]Lune!$A$2:$B$55,2,FALSE))</f>
        <v/>
      </c>
      <c r="AI22" s="206" t="str">
        <f>IFERROR(IF(COUNTIF(Saints!$C$2:$C$371,AE22)=0,"",INDEX(Saints!$D$2:$D$371,MATCH(AE22,Saints!$C$2:$C$371,0))),"")</f>
        <v>Denise</v>
      </c>
      <c r="AJ22" s="211" t="str">
        <f>IF(COUNTIF(Parametre!$C$27:$C$39,AE22)=0,"",INDEX(Parametre!$B$27:$B$39,MATCH(AE22,Parametre!$C$27:$C$39,0)))&amp;""&amp;IF(COUNTIF(Parametre!$I$45:$I$94,AE22)=0,"",INDEX(Parametre!$K$45:$K$94,MATCH(AE22,Parametre!$I$45:$I$94,0)))</f>
        <v/>
      </c>
      <c r="AL22" s="212">
        <f>AL21+1</f>
        <v>43997</v>
      </c>
      <c r="AM22" s="145"/>
      <c r="AN22" s="213">
        <f>IFERROR(IF(WEEKDAY(AL22)=2,INT(MOD(INT((AL22-2)/7)+0.6,52+5/28))+1,""),"")</f>
        <v>25</v>
      </c>
      <c r="AO22" s="205" t="str">
        <f>IF(ISERROR(VLOOKUP(AL22,Lune!$A$2:$B$55,2,FALSE)),"",VLOOKUP(AL22,Lune!$A$2:$B$55,2,FALSE))</f>
        <v/>
      </c>
      <c r="AP22" s="206" t="str">
        <f>IFERROR(IF(COUNTIF(Saints!$C$2:$C$371,AL22)=0,"",INDEX(Saints!$D$2:$D$371,MATCH(AL22,Saints!$C$2:$C$371,0))),"")</f>
        <v>Germaine</v>
      </c>
      <c r="AQ22" s="211" t="str">
        <f>IF(COUNTIF(Parametre!$C$27:$C$39,AL22)=0,"",INDEX(Parametre!$B$27:$B$39,MATCH(AL22,Parametre!$C$27:$C$39,0)))&amp;""&amp;IF(COUNTIF(Parametre!$I$45:$I$94,AL22)=0,"",INDEX(Parametre!$K$45:$K$94,MATCH(AL22,Parametre!$I$45:$I$94,0)))</f>
        <v/>
      </c>
      <c r="AS22" s="212">
        <f t="shared" si="36"/>
        <v>44027</v>
      </c>
      <c r="AT22" s="145"/>
      <c r="AU22" s="213" t="str">
        <f t="shared" ref="AU22" si="46">IFERROR(IF(WEEKDAY(AS22)=2,INT(MOD(INT((AS22-2)/7)+0.6,52+5/28))+1,""),"")</f>
        <v/>
      </c>
      <c r="AV22" s="205" t="str">
        <f>IF(ISERROR(VLOOKUP(AS22,Lune!$A$2:$B$55,2,FALSE)),"",VLOOKUP(AS22,Lune!$A$2:$B$55,2,FALSE))</f>
        <v/>
      </c>
      <c r="AW22" s="206" t="str">
        <f>IFERROR(IF(COUNTIF(Saints!$C$2:$C$371,AS22)=0,"",INDEX(Saints!$D$2:$D$371,MATCH(AS22,Saints!$C$2:$C$371,0))),"")</f>
        <v>Donald</v>
      </c>
      <c r="AX22" s="211" t="str">
        <f>IF(COUNTIF(Parametre!$C$27:$C$39,AS22)=0,"",INDEX(Parametre!$B$27:$B$39,MATCH(AS22,Parametre!$C$27:$C$39,0)))&amp;""&amp;IF(COUNTIF(Parametre!$I$45:$I$94,AS22)=0,"",INDEX(Parametre!$K$45:$K$94,MATCH(AS22,Parametre!$I$45:$I$94,0)))</f>
        <v/>
      </c>
      <c r="AZ22" s="212">
        <f t="shared" si="13"/>
        <v>44058</v>
      </c>
      <c r="BA22" s="145"/>
      <c r="BB22" s="213" t="str">
        <f t="shared" si="14"/>
        <v/>
      </c>
      <c r="BC22" s="205" t="str">
        <f>IF(ISERROR(VLOOKUP(AZ22,Lune!$A$2:$B$55,2,FALSE)),"",VLOOKUP(AZ22,Lune!$A$2:$B$55,2,FALSE))</f>
        <v/>
      </c>
      <c r="BD22" s="206" t="str">
        <f>IFERROR(IF(COUNTIF(Saints!$C$2:$C$371,AZ22)=0,"",INDEX(Saints!$D$2:$D$371,MATCH(AZ22,Saints!$C$2:$C$371,0))),"")</f>
        <v>Marie</v>
      </c>
      <c r="BE22" s="211" t="str">
        <f>IF(COUNTIF(Parametre!$C$27:$C$39,AZ22)=0,"",INDEX(Parametre!$B$27:$B$39,MATCH(AZ22,Parametre!$C$27:$C$39,0)))&amp;""&amp;IF(COUNTIF(Parametre!$I$45:$I$94,AZ22)=0,"",INDEX(Parametre!$K$45:$K$94,MATCH(AZ22,Parametre!$I$45:$I$94,0)))</f>
        <v>Assomption</v>
      </c>
      <c r="BG22" s="212">
        <f t="shared" si="15"/>
        <v>44089</v>
      </c>
      <c r="BH22" s="145"/>
      <c r="BI22" s="213" t="str">
        <f t="shared" si="16"/>
        <v/>
      </c>
      <c r="BJ22" s="205" t="str">
        <f>IF(ISERROR(VLOOKUP(BG22,Lune!$A$2:$B$55,2,FALSE)),"",VLOOKUP(BG22,Lune!$A$2:$B$55,2,FALSE))</f>
        <v/>
      </c>
      <c r="BK22" s="206" t="str">
        <f>IFERROR(IF(COUNTIF(Saints!$C$2:$C$371,BG22)=0,"",INDEX(Saints!$D$2:$D$371,MATCH(BG22,Saints!$C$2:$C$371,0))),"")</f>
        <v>Roland</v>
      </c>
      <c r="BL22" s="211" t="str">
        <f>IF(COUNTIF(Parametre!$C$27:$C$39,BG22)=0,"",INDEX(Parametre!$B$27:$B$39,MATCH(BG22,Parametre!$C$27:$C$39,0)))&amp;""&amp;IF(COUNTIF(Parametre!$I$45:$I$94,BG22)=0,"",INDEX(Parametre!$K$45:$K$94,MATCH(BG22,Parametre!$I$45:$I$94,0)))</f>
        <v/>
      </c>
      <c r="BN22" s="212">
        <f t="shared" si="17"/>
        <v>44119</v>
      </c>
      <c r="BO22" s="145"/>
      <c r="BP22" s="213" t="str">
        <f t="shared" si="18"/>
        <v/>
      </c>
      <c r="BQ22" s="205" t="str">
        <f>IF(ISERROR(VLOOKUP(BN22,Lune!$A$2:$B$55,2,FALSE)),"",VLOOKUP(BN22,Lune!$A$2:$B$55,2,FALSE))</f>
        <v/>
      </c>
      <c r="BR22" s="206" t="str">
        <f>IFERROR(IF(COUNTIF(Saints!$C$2:$C$371,BN22)=0,"",INDEX(Saints!$D$2:$D$371,MATCH(BN22,Saints!$C$2:$C$371,0))),"")</f>
        <v>Aurélie</v>
      </c>
      <c r="BS22" s="211" t="str">
        <f>IF(COUNTIF(Parametre!$C$27:$C$39,BN22)=0,"",INDEX(Parametre!$B$27:$B$39,MATCH(BN22,Parametre!$C$27:$C$39,0)))&amp;""&amp;IF(COUNTIF(Parametre!$I$45:$I$94,BN22)=0,"",INDEX(Parametre!$K$45:$K$94,MATCH(BN22,Parametre!$I$45:$I$94,0)))</f>
        <v/>
      </c>
      <c r="BU22" s="212">
        <f t="shared" si="19"/>
        <v>44150</v>
      </c>
      <c r="BV22" s="145"/>
      <c r="BW22" s="213" t="str">
        <f t="shared" si="20"/>
        <v/>
      </c>
      <c r="BX22" s="205" t="str">
        <f>IF(ISERROR(VLOOKUP(BU22,Lune!$A$2:$B$55,2,FALSE)),"",VLOOKUP(BU22,Lune!$A$2:$B$55,2,FALSE))</f>
        <v></v>
      </c>
      <c r="BY22" s="206" t="str">
        <f>IFERROR(IF(COUNTIF(Saints!$C$2:$C$371,BU22)=0,"",INDEX(Saints!$D$2:$D$371,MATCH(BU22,Saints!$C$2:$C$371,0))),"")</f>
        <v>Albert</v>
      </c>
      <c r="BZ22" s="211" t="str">
        <f>IF(COUNTIF(Parametre!$C$27:$C$39,BU22)=0,"",INDEX(Parametre!$B$27:$B$39,MATCH(BU22,Parametre!$C$27:$C$39,0)))&amp;""&amp;IF(COUNTIF(Parametre!$I$45:$I$94,BU22)=0,"",INDEX(Parametre!$K$45:$K$94,MATCH(BU22,Parametre!$I$45:$I$94,0)))</f>
        <v/>
      </c>
      <c r="CB22" s="212">
        <f t="shared" si="21"/>
        <v>44180</v>
      </c>
      <c r="CC22" s="145"/>
      <c r="CD22" s="213" t="str">
        <f t="shared" si="22"/>
        <v/>
      </c>
      <c r="CE22" s="205" t="str">
        <f>IF(ISERROR(VLOOKUP(CB22,Lune!$A$2:$B$55,2,FALSE)),"",VLOOKUP(CB22,Lune!$A$2:$B$55,2,FALSE))</f>
        <v/>
      </c>
      <c r="CF22" s="206" t="str">
        <f>IFERROR(IF(COUNTIF(Saints!$C$2:$C$371,CB22)=0,"",INDEX(Saints!$D$2:$D$371,MATCH(CB22,Saints!$C$2:$C$371,0))),"")</f>
        <v>Ninon</v>
      </c>
      <c r="CG22" s="211" t="str">
        <f>IF(COUNTIF(Parametre!$C$27:$C$39,CB22)=0,"",INDEX(Parametre!$B$27:$B$39,MATCH(CB22,Parametre!$C$27:$C$39,0)))&amp;" "&amp;IF(COUNTIF(Parametre!$I$45:$I$94,CB22)=0,"",INDEX(Parametre!$K$45:$K$94,MATCH(CB22,Parametre!$I$45:$I$94,0)))</f>
        <v xml:space="preserve"> </v>
      </c>
    </row>
    <row r="23" spans="2:85" ht="15.75">
      <c r="B23" s="202">
        <v>16</v>
      </c>
      <c r="C23" s="203">
        <f t="shared" si="25"/>
        <v>43846</v>
      </c>
      <c r="D23" s="145"/>
      <c r="E23" s="214" t="str">
        <f t="shared" si="0"/>
        <v/>
      </c>
      <c r="F23" s="205" t="str">
        <f>IF(ISERROR(VLOOKUP(C23,Lune!$A$2:$B$55,2,FALSE)),"",VLOOKUP(C23,Lune!$A$2:$B$55,2,FALSE))</f>
        <v/>
      </c>
      <c r="G23" s="206" t="str">
        <f>IFERROR(IF(COUNTIF(Saints!$C$2:$C$371,C23)=0,"",INDEX(Saints!$D$2:$D$371,MATCH(C23,Saints!$C$2:$C$371,0))),"")</f>
        <v>Marcel</v>
      </c>
      <c r="H23" s="207" t="str">
        <f>IF(COUNTIF(Parametre!$C$27:$C$39,C23)=0,"",INDEX(Parametre!$B$27:$B$39,MATCH(C23,Parametre!$C$27:$C$39,0)))&amp;""&amp;IF(COUNTIF(Parametre!$I$45:$I$94,C23)=0,"",INDEX(Parametre!$K$45:$K$94,MATCH(C23,Parametre!$I$45:$I$94,0)))</f>
        <v/>
      </c>
      <c r="J23" s="203">
        <f t="shared" si="1"/>
        <v>43877</v>
      </c>
      <c r="K23" s="145"/>
      <c r="L23" s="204" t="str">
        <f t="shared" si="2"/>
        <v/>
      </c>
      <c r="M23" s="205" t="str">
        <f>IF(ISERROR(VLOOKUP(J23,Lune!$A$2:$B$55,2,FALSE)),"",VLOOKUP(J23,Lune!$A$2:$B$55,2,FALSE))</f>
        <v></v>
      </c>
      <c r="N23" s="206" t="str">
        <f>IFERROR(IF(COUNTIF(Saints!$C$2:$C$371,J23)=0,"",INDEX(Saints!$D$2:$D$371,MATCH(J23,Saints!$C$2:$C$371,0))),"")</f>
        <v>Julienne</v>
      </c>
      <c r="O23" s="207" t="str">
        <f>IF(COUNTIF(Parametre!$C$27:$C$39,J23)=0,"",INDEX(Parametre!$B$27:$B$39,MATCH(J23,Parametre!$C$27:$C$39,0)))&amp;""&amp;IF(COUNTIF(Parametre!$I$45:$I$94,J23)=0,"",INDEX(Parametre!$K$45:$K$94,MATCH(J23,Parametre!$I$45:$I$94,0)))</f>
        <v/>
      </c>
      <c r="Q23" s="203">
        <f t="shared" si="3"/>
        <v>43906</v>
      </c>
      <c r="R23" s="145"/>
      <c r="S23" s="204">
        <f t="shared" si="4"/>
        <v>12</v>
      </c>
      <c r="T23" s="205" t="str">
        <f>IF(ISERROR(VLOOKUP(Q23,Lune!$A$2:$B$55,2,FALSE)),"",VLOOKUP(Q23,Lune!$A$2:$B$55,2,FALSE))</f>
        <v></v>
      </c>
      <c r="U23" s="206" t="str">
        <f>IFERROR(IF(COUNTIF(Saints!$C$2:$C$371,Q23)=0,"",INDEX(Saints!$D$2:$D$371,MATCH(Q23,Saints!$C$2:$C$371,0))),"")</f>
        <v>Bénédicte</v>
      </c>
      <c r="V23" s="207" t="str">
        <f>IF(COUNTIF(Parametre!$C$27:$C$39,Q23)=0,"",INDEX(Parametre!$B$27:$B$39,MATCH(Q23,Parametre!$C$27:$C$39,0)))&amp;""&amp;IF(COUNTIF(Parametre!$I$45:$I$94,Q23)=0,"",INDEX(Parametre!$K$45:$K$94,MATCH(Q23,Parametre!$I$45:$I$94,0)))</f>
        <v/>
      </c>
      <c r="X23" s="212">
        <f t="shared" si="5"/>
        <v>43937</v>
      </c>
      <c r="Y23" s="145"/>
      <c r="Z23" s="204" t="str">
        <f t="shared" si="6"/>
        <v/>
      </c>
      <c r="AA23" s="205" t="str">
        <f>IF(ISERROR(VLOOKUP(X23,Lune!$A$2:$B$55,2,FALSE)),"",VLOOKUP(X23,Lune!$A$2:$B$55,2,FALSE))</f>
        <v/>
      </c>
      <c r="AB23" s="206" t="str">
        <f>IFERROR(IF(COUNTIF(Saints!$C$2:$C$371,X23)=0,"",INDEX(Saints!$D$2:$D$371,MATCH(X23,Saints!$C$2:$C$371,0))),"")</f>
        <v>Benoît Joseph</v>
      </c>
      <c r="AC23" s="207" t="str">
        <f>IF(COUNTIF(Parametre!$C$27:$C$39,X23)=0,"",INDEX(Parametre!$B$27:$B$39,MATCH(X23,Parametre!$C$27:$C$39,0)))&amp;""&amp;IF(COUNTIF(Parametre!$I$45:$I$94,X23)=0,"",INDEX(Parametre!$K$45:$K$94,MATCH(X23,Parametre!$I$45:$I$94,0)))</f>
        <v/>
      </c>
      <c r="AE23" s="212">
        <f t="shared" si="7"/>
        <v>43967</v>
      </c>
      <c r="AF23" s="145"/>
      <c r="AG23" s="213" t="str">
        <f t="shared" si="8"/>
        <v/>
      </c>
      <c r="AH23" s="205" t="str">
        <f>IF(ISERROR(VLOOKUP(AE23,[1]Lune!$A$2:$B$55,2,FALSE)),"",VLOOKUP(AE23,[1]Lune!$A$2:$B$55,2,FALSE))</f>
        <v/>
      </c>
      <c r="AI23" s="206" t="str">
        <f>IFERROR(IF(COUNTIF(Saints!$C$2:$C$371,AE23)=0,"",INDEX(Saints!$D$2:$D$371,MATCH(AE23,Saints!$C$2:$C$371,0))),"")</f>
        <v>Honoré</v>
      </c>
      <c r="AJ23" s="211" t="str">
        <f>IF(COUNTIF(Parametre!$C$27:$C$39,AE23)=0,"",INDEX(Parametre!$B$27:$B$39,MATCH(AE23,Parametre!$C$27:$C$39,0)))&amp;""&amp;IF(COUNTIF(Parametre!$I$45:$I$94,AE23)=0,"",INDEX(Parametre!$K$45:$K$94,MATCH(AE23,Parametre!$I$45:$I$94,0)))</f>
        <v/>
      </c>
      <c r="AL23" s="212">
        <f t="shared" ref="AL23:AL35" si="47">AL22+1</f>
        <v>43998</v>
      </c>
      <c r="AM23" s="145"/>
      <c r="AN23" s="213" t="str">
        <f t="shared" ref="AN23" si="48">IF(WEEKDAY(AL23)=2,INT(MOD(INT((AL23-2)/7)+0.6,52+5/28))+1,"")</f>
        <v/>
      </c>
      <c r="AO23" s="205" t="str">
        <f>IF(ISERROR(VLOOKUP(AL23,Lune!$A$2:$B$55,2,FALSE)),"",VLOOKUP(AL23,Lune!$A$2:$B$55,2,FALSE))</f>
        <v/>
      </c>
      <c r="AP23" s="206" t="str">
        <f>IFERROR(IF(COUNTIF(Saints!$C$2:$C$371,AL23)=0,"",INDEX(Saints!$D$2:$D$371,MATCH(AL23,Saints!$C$2:$C$371,0))),"")</f>
        <v>Jean-François</v>
      </c>
      <c r="AQ23" s="211" t="str">
        <f>IF(COUNTIF(Parametre!$C$27:$C$39,AL23)=0,"",INDEX(Parametre!$B$27:$B$39,MATCH(AL23,Parametre!$C$27:$C$39,0)))&amp;""&amp;IF(COUNTIF(Parametre!$I$45:$I$94,AL23)=0,"",INDEX(Parametre!$K$45:$K$94,MATCH(AL23,Parametre!$I$45:$I$94,0)))</f>
        <v/>
      </c>
      <c r="AS23" s="212">
        <f>AS22+1</f>
        <v>44028</v>
      </c>
      <c r="AT23" s="145"/>
      <c r="AU23" s="213" t="str">
        <f>IFERROR(IF(WEEKDAY(AS23)=2,INT(MOD(INT((AS23-2)/7)+0.6,52+5/28))+1,""),"")</f>
        <v/>
      </c>
      <c r="AV23" s="205" t="str">
        <f>IF(ISERROR(VLOOKUP(AS23,Lune!$A$2:$B$55,2,FALSE)),"",VLOOKUP(AS23,Lune!$A$2:$B$55,2,FALSE))</f>
        <v/>
      </c>
      <c r="AW23" s="206" t="str">
        <f>IFERROR(IF(COUNTIF(Saints!$C$2:$C$371,AS23)=0,"",INDEX(Saints!$D$2:$D$371,MATCH(AS23,Saints!$C$2:$C$371,0))),"")</f>
        <v>Carmel</v>
      </c>
      <c r="AX23" s="211" t="str">
        <f>IF(COUNTIF(Parametre!$C$27:$C$39,AS23)=0,"",INDEX(Parametre!$B$27:$B$39,MATCH(AS23,Parametre!$C$27:$C$39,0)))&amp;""&amp;IF(COUNTIF(Parametre!$I$45:$I$94,AS23)=0,"",INDEX(Parametre!$K$45:$K$94,MATCH(AS23,Parametre!$I$45:$I$94,0)))</f>
        <v/>
      </c>
      <c r="AZ23" s="212">
        <f t="shared" si="13"/>
        <v>44059</v>
      </c>
      <c r="BA23" s="145"/>
      <c r="BB23" s="213" t="str">
        <f t="shared" si="14"/>
        <v/>
      </c>
      <c r="BC23" s="205" t="str">
        <f>IF(ISERROR(VLOOKUP(AZ23,Lune!$A$2:$B$55,2,FALSE)),"",VLOOKUP(AZ23,Lune!$A$2:$B$55,2,FALSE))</f>
        <v/>
      </c>
      <c r="BD23" s="206" t="str">
        <f>IFERROR(IF(COUNTIF(Saints!$C$2:$C$371,AZ23)=0,"",INDEX(Saints!$D$2:$D$371,MATCH(AZ23,Saints!$C$2:$C$371,0))),"")</f>
        <v>Armelle</v>
      </c>
      <c r="BE23" s="211" t="str">
        <f>IF(COUNTIF(Parametre!$C$27:$C$39,AZ23)=0,"",INDEX(Parametre!$B$27:$B$39,MATCH(AZ23,Parametre!$C$27:$C$39,0)))&amp;""&amp;IF(COUNTIF(Parametre!$I$45:$I$94,AZ23)=0,"",INDEX(Parametre!$K$45:$K$94,MATCH(AZ23,Parametre!$I$45:$I$94,0)))</f>
        <v/>
      </c>
      <c r="BG23" s="212">
        <f t="shared" si="15"/>
        <v>44090</v>
      </c>
      <c r="BH23" s="145"/>
      <c r="BI23" s="213" t="str">
        <f t="shared" si="16"/>
        <v/>
      </c>
      <c r="BJ23" s="205" t="str">
        <f>IF(ISERROR(VLOOKUP(BG23,Lune!$A$2:$B$55,2,FALSE)),"",VLOOKUP(BG23,Lune!$A$2:$B$55,2,FALSE))</f>
        <v/>
      </c>
      <c r="BK23" s="206" t="str">
        <f>IFERROR(IF(COUNTIF(Saints!$C$2:$C$371,BG23)=0,"",INDEX(Saints!$D$2:$D$371,MATCH(BG23,Saints!$C$2:$C$371,0))),"")</f>
        <v>Edith</v>
      </c>
      <c r="BL23" s="211" t="str">
        <f>IF(COUNTIF(Parametre!$C$27:$C$39,BG23)=0,"",INDEX(Parametre!$B$27:$B$39,MATCH(BG23,Parametre!$C$27:$C$39,0)))&amp;""&amp;IF(COUNTIF(Parametre!$I$45:$I$94,BG23)=0,"",INDEX(Parametre!$K$45:$K$94,MATCH(BG23,Parametre!$I$45:$I$94,0)))</f>
        <v/>
      </c>
      <c r="BN23" s="212">
        <f t="shared" si="17"/>
        <v>44120</v>
      </c>
      <c r="BO23" s="145"/>
      <c r="BP23" s="213" t="str">
        <f t="shared" si="18"/>
        <v/>
      </c>
      <c r="BQ23" s="205" t="str">
        <f>IF(ISERROR(VLOOKUP(BN23,Lune!$A$2:$B$55,2,FALSE)),"",VLOOKUP(BN23,Lune!$A$2:$B$55,2,FALSE))</f>
        <v></v>
      </c>
      <c r="BR23" s="206" t="str">
        <f>IFERROR(IF(COUNTIF(Saints!$C$2:$C$371,BN23)=0,"",INDEX(Saints!$D$2:$D$371,MATCH(BN23,Saints!$C$2:$C$371,0))),"")</f>
        <v>Edwige</v>
      </c>
      <c r="BS23" s="211" t="str">
        <f>IF(COUNTIF(Parametre!$C$27:$C$39,BN23)=0,"",INDEX(Parametre!$B$27:$B$39,MATCH(BN23,Parametre!$C$27:$C$39,0)))&amp;""&amp;IF(COUNTIF(Parametre!$I$45:$I$94,BN23)=0,"",INDEX(Parametre!$K$45:$K$94,MATCH(BN23,Parametre!$I$45:$I$94,0)))</f>
        <v/>
      </c>
      <c r="BU23" s="212">
        <f t="shared" si="19"/>
        <v>44151</v>
      </c>
      <c r="BV23" s="145"/>
      <c r="BW23" s="213">
        <f t="shared" si="20"/>
        <v>47</v>
      </c>
      <c r="BX23" s="205" t="str">
        <f>IF(ISERROR(VLOOKUP(BU23,Lune!$A$2:$B$55,2,FALSE)),"",VLOOKUP(BU23,Lune!$A$2:$B$55,2,FALSE))</f>
        <v/>
      </c>
      <c r="BY23" s="206" t="str">
        <f>IFERROR(IF(COUNTIF(Saints!$C$2:$C$371,BU23)=0,"",INDEX(Saints!$D$2:$D$371,MATCH(BU23,Saints!$C$2:$C$371,0))),"")</f>
        <v>Marguerite</v>
      </c>
      <c r="BZ23" s="211" t="str">
        <f>IF(COUNTIF(Parametre!$C$27:$C$39,BU23)=0,"",INDEX(Parametre!$B$27:$B$39,MATCH(BU23,Parametre!$C$27:$C$39,0)))&amp;""&amp;IF(COUNTIF(Parametre!$I$45:$I$94,BU23)=0,"",INDEX(Parametre!$K$45:$K$94,MATCH(BU23,Parametre!$I$45:$I$94,0)))</f>
        <v/>
      </c>
      <c r="CB23" s="212">
        <f t="shared" si="21"/>
        <v>44181</v>
      </c>
      <c r="CC23" s="145"/>
      <c r="CD23" s="213" t="str">
        <f t="shared" si="22"/>
        <v/>
      </c>
      <c r="CE23" s="205" t="str">
        <f>IF(ISERROR(VLOOKUP(CB23,Lune!$A$2:$B$55,2,FALSE)),"",VLOOKUP(CB23,Lune!$A$2:$B$55,2,FALSE))</f>
        <v/>
      </c>
      <c r="CF23" s="206" t="str">
        <f>IFERROR(IF(COUNTIF(Saints!$C$2:$C$371,CB23)=0,"",INDEX(Saints!$D$2:$D$371,MATCH(CB23,Saints!$C$2:$C$371,0))),"")</f>
        <v>Alice</v>
      </c>
      <c r="CG23" s="211" t="str">
        <f>IF(COUNTIF(Parametre!$C$27:$C$39,CB23)=0,"",INDEX(Parametre!$B$27:$B$39,MATCH(CB23,Parametre!$C$27:$C$39,0)))&amp;" "&amp;IF(COUNTIF(Parametre!$I$45:$I$94,CB23)=0,"",INDEX(Parametre!$K$45:$K$94,MATCH(CB23,Parametre!$I$45:$I$94,0)))</f>
        <v xml:space="preserve"> </v>
      </c>
    </row>
    <row r="24" spans="2:85" ht="15.75">
      <c r="B24" s="202">
        <v>17</v>
      </c>
      <c r="C24" s="203">
        <f t="shared" si="25"/>
        <v>43847</v>
      </c>
      <c r="D24" s="145"/>
      <c r="E24" s="214" t="str">
        <f t="shared" si="0"/>
        <v/>
      </c>
      <c r="F24" s="205" t="str">
        <f>IF(ISERROR(VLOOKUP(C24,Lune!$A$2:$B$55,2,FALSE)),"",VLOOKUP(C24,Lune!$A$2:$B$55,2,FALSE))</f>
        <v></v>
      </c>
      <c r="G24" s="206" t="str">
        <f>IFERROR(IF(COUNTIF(Saints!$C$2:$C$371,C24)=0,"",INDEX(Saints!$D$2:$D$371,MATCH(C24,Saints!$C$2:$C$371,0))),"")</f>
        <v>Roseline</v>
      </c>
      <c r="H24" s="207" t="str">
        <f>IF(COUNTIF(Parametre!$C$27:$C$39,C24)=0,"",INDEX(Parametre!$B$27:$B$39,MATCH(C24,Parametre!$C$27:$C$39,0)))&amp;""&amp;IF(COUNTIF(Parametre!$I$45:$I$94,C24)=0,"",INDEX(Parametre!$K$45:$K$94,MATCH(C24,Parametre!$I$45:$I$94,0)))</f>
        <v/>
      </c>
      <c r="J24" s="203">
        <f t="shared" si="1"/>
        <v>43878</v>
      </c>
      <c r="K24" s="145"/>
      <c r="L24" s="204">
        <f t="shared" si="2"/>
        <v>8</v>
      </c>
      <c r="M24" s="205" t="str">
        <f>IF(ISERROR(VLOOKUP(J24,Lune!$A$2:$B$55,2,FALSE)),"",VLOOKUP(J24,Lune!$A$2:$B$55,2,FALSE))</f>
        <v/>
      </c>
      <c r="N24" s="206" t="str">
        <f>IFERROR(IF(COUNTIF(Saints!$C$2:$C$371,J24)=0,"",INDEX(Saints!$D$2:$D$371,MATCH(J24,Saints!$C$2:$C$371,0))),"")</f>
        <v>Alexis</v>
      </c>
      <c r="O24" s="207" t="str">
        <f>IF(COUNTIF(Parametre!$C$27:$C$39,J24)=0,"",INDEX(Parametre!$B$27:$B$39,MATCH(J24,Parametre!$C$27:$C$39,0)))&amp;""&amp;IF(COUNTIF(Parametre!$I$45:$I$94,J24)=0,"",INDEX(Parametre!$K$45:$K$94,MATCH(J24,Parametre!$I$45:$I$94,0)))</f>
        <v/>
      </c>
      <c r="Q24" s="203">
        <f t="shared" si="3"/>
        <v>43907</v>
      </c>
      <c r="R24" s="145"/>
      <c r="S24" s="204" t="str">
        <f t="shared" si="4"/>
        <v/>
      </c>
      <c r="T24" s="205" t="str">
        <f>IF(ISERROR(VLOOKUP(Q24,Lune!$A$2:$B$55,2,FALSE)),"",VLOOKUP(Q24,Lune!$A$2:$B$55,2,FALSE))</f>
        <v/>
      </c>
      <c r="U24" s="206" t="str">
        <f>IFERROR(IF(COUNTIF(Saints!$C$2:$C$371,Q24)=0,"",INDEX(Saints!$D$2:$D$371,MATCH(Q24,Saints!$C$2:$C$371,0))),"")</f>
        <v>Patrice</v>
      </c>
      <c r="V24" s="207" t="str">
        <f>IF(COUNTIF(Parametre!$C$27:$C$39,Q24)=0,"",INDEX(Parametre!$B$27:$B$39,MATCH(Q24,Parametre!$C$27:$C$39,0)))&amp;""&amp;IF(COUNTIF(Parametre!$I$45:$I$94,Q24)=0,"",INDEX(Parametre!$K$45:$K$94,MATCH(Q24,Parametre!$I$45:$I$94,0)))</f>
        <v/>
      </c>
      <c r="X24" s="212">
        <f t="shared" si="5"/>
        <v>43938</v>
      </c>
      <c r="Y24" s="145"/>
      <c r="Z24" s="204" t="str">
        <f t="shared" si="6"/>
        <v/>
      </c>
      <c r="AA24" s="205" t="str">
        <f>IF(ISERROR(VLOOKUP(X24,Lune!$A$2:$B$55,2,FALSE)),"",VLOOKUP(X24,Lune!$A$2:$B$55,2,FALSE))</f>
        <v/>
      </c>
      <c r="AB24" s="206" t="str">
        <f>IFERROR(IF(COUNTIF(Saints!$C$2:$C$371,X24)=0,"",INDEX(Saints!$D$2:$D$371,MATCH(X24,Saints!$C$2:$C$371,0))),"")</f>
        <v>Anicet</v>
      </c>
      <c r="AC24" s="207" t="str">
        <f>IF(COUNTIF(Parametre!$C$27:$C$39,X24)=0,"",INDEX(Parametre!$B$27:$B$39,MATCH(X24,Parametre!$C$27:$C$39,0)))&amp;""&amp;IF(COUNTIF(Parametre!$I$45:$I$94,X24)=0,"",INDEX(Parametre!$K$45:$K$94,MATCH(X24,Parametre!$I$45:$I$94,0)))</f>
        <v/>
      </c>
      <c r="AE24" s="212">
        <f t="shared" si="7"/>
        <v>43968</v>
      </c>
      <c r="AF24" s="145"/>
      <c r="AG24" s="213" t="str">
        <f t="shared" si="8"/>
        <v/>
      </c>
      <c r="AH24" s="205" t="str">
        <f>IF(ISERROR(VLOOKUP(AE24,[1]Lune!$A$2:$B$55,2,FALSE)),"",VLOOKUP(AE24,[1]Lune!$A$2:$B$55,2,FALSE))</f>
        <v/>
      </c>
      <c r="AI24" s="206" t="str">
        <f>IFERROR(IF(COUNTIF(Saints!$C$2:$C$371,AE24)=0,"",INDEX(Saints!$D$2:$D$371,MATCH(AE24,Saints!$C$2:$C$371,0))),"")</f>
        <v>Pascal</v>
      </c>
      <c r="AJ24" s="211" t="str">
        <f>IF(COUNTIF(Parametre!$C$27:$C$39,AE24)=0,"",INDEX(Parametre!$B$27:$B$39,MATCH(AE24,Parametre!$C$27:$C$39,0)))&amp;""&amp;IF(COUNTIF(Parametre!$I$45:$I$94,AE24)=0,"",INDEX(Parametre!$K$45:$K$94,MATCH(AE24,Parametre!$I$45:$I$94,0)))</f>
        <v/>
      </c>
      <c r="AL24" s="212">
        <f t="shared" si="47"/>
        <v>43999</v>
      </c>
      <c r="AM24" s="145"/>
      <c r="AN24" s="213" t="str">
        <f t="shared" ref="AN24" si="49">IFERROR(IF(WEEKDAY(AL24)=2,INT(MOD(INT((AL24-2)/7)+0.6,52+5/28))+1,""),"")</f>
        <v/>
      </c>
      <c r="AO24" s="205" t="str">
        <f>IF(ISERROR(VLOOKUP(AL24,Lune!$A$2:$B$55,2,FALSE)),"",VLOOKUP(AL24,Lune!$A$2:$B$55,2,FALSE))</f>
        <v/>
      </c>
      <c r="AP24" s="206" t="str">
        <f>IFERROR(IF(COUNTIF(Saints!$C$2:$C$371,AL24)=0,"",INDEX(Saints!$D$2:$D$371,MATCH(AL24,Saints!$C$2:$C$371,0))),"")</f>
        <v>Hervé</v>
      </c>
      <c r="AQ24" s="211" t="str">
        <f>IF(COUNTIF(Parametre!$C$27:$C$39,AL24)=0,"",INDEX(Parametre!$B$27:$B$39,MATCH(AL24,Parametre!$C$27:$C$39,0)))&amp;""&amp;IF(COUNTIF(Parametre!$I$45:$I$94,AL24)=0,"",INDEX(Parametre!$K$45:$K$94,MATCH(AL24,Parametre!$I$45:$I$94,0)))</f>
        <v/>
      </c>
      <c r="AS24" s="212">
        <f t="shared" ref="AS24:AS35" si="50">AS23+1</f>
        <v>44029</v>
      </c>
      <c r="AT24" s="145"/>
      <c r="AU24" s="213" t="str">
        <f t="shared" ref="AU24" si="51">IF(WEEKDAY(AS24)=2,INT(MOD(INT((AS24-2)/7)+0.6,52+5/28))+1,"")</f>
        <v/>
      </c>
      <c r="AV24" s="205" t="str">
        <f>IF(ISERROR(VLOOKUP(AS24,Lune!$A$2:$B$55,2,FALSE)),"",VLOOKUP(AS24,Lune!$A$2:$B$55,2,FALSE))</f>
        <v/>
      </c>
      <c r="AW24" s="206" t="str">
        <f>IFERROR(IF(COUNTIF(Saints!$C$2:$C$371,AS24)=0,"",INDEX(Saints!$D$2:$D$371,MATCH(AS24,Saints!$C$2:$C$371,0))),"")</f>
        <v>Charlotte</v>
      </c>
      <c r="AX24" s="211" t="str">
        <f>IF(COUNTIF(Parametre!$C$27:$C$39,AS24)=0,"",INDEX(Parametre!$B$27:$B$39,MATCH(AS24,Parametre!$C$27:$C$39,0)))&amp;""&amp;IF(COUNTIF(Parametre!$I$45:$I$94,AS24)=0,"",INDEX(Parametre!$K$45:$K$94,MATCH(AS24,Parametre!$I$45:$I$94,0)))</f>
        <v/>
      </c>
      <c r="AZ24" s="212">
        <f t="shared" si="13"/>
        <v>44060</v>
      </c>
      <c r="BA24" s="145"/>
      <c r="BB24" s="213">
        <f t="shared" si="14"/>
        <v>34</v>
      </c>
      <c r="BC24" s="205" t="str">
        <f>IF(ISERROR(VLOOKUP(AZ24,Lune!$A$2:$B$55,2,FALSE)),"",VLOOKUP(AZ24,Lune!$A$2:$B$55,2,FALSE))</f>
        <v/>
      </c>
      <c r="BD24" s="206" t="str">
        <f>IFERROR(IF(COUNTIF(Saints!$C$2:$C$371,AZ24)=0,"",INDEX(Saints!$D$2:$D$371,MATCH(AZ24,Saints!$C$2:$C$371,0))),"")</f>
        <v>Hyacinthe</v>
      </c>
      <c r="BE24" s="211" t="str">
        <f>IF(COUNTIF(Parametre!$C$27:$C$39,AZ24)=0,"",INDEX(Parametre!$B$27:$B$39,MATCH(AZ24,Parametre!$C$27:$C$39,0)))&amp;""&amp;IF(COUNTIF(Parametre!$I$45:$I$94,AZ24)=0,"",INDEX(Parametre!$K$45:$K$94,MATCH(AZ24,Parametre!$I$45:$I$94,0)))</f>
        <v/>
      </c>
      <c r="BG24" s="212">
        <f t="shared" si="15"/>
        <v>44091</v>
      </c>
      <c r="BH24" s="145"/>
      <c r="BI24" s="213" t="str">
        <f t="shared" si="16"/>
        <v/>
      </c>
      <c r="BJ24" s="205" t="str">
        <f>IF(ISERROR(VLOOKUP(BG24,Lune!$A$2:$B$55,2,FALSE)),"",VLOOKUP(BG24,Lune!$A$2:$B$55,2,FALSE))</f>
        <v></v>
      </c>
      <c r="BK24" s="206" t="str">
        <f>IFERROR(IF(COUNTIF(Saints!$C$2:$C$371,BG24)=0,"",INDEX(Saints!$D$2:$D$371,MATCH(BG24,Saints!$C$2:$C$371,0))),"")</f>
        <v>Renaud</v>
      </c>
      <c r="BL24" s="211" t="str">
        <f>IF(COUNTIF(Parametre!$C$27:$C$39,BG24)=0,"",INDEX(Parametre!$B$27:$B$39,MATCH(BG24,Parametre!$C$27:$C$39,0)))&amp;""&amp;IF(COUNTIF(Parametre!$I$45:$I$94,BG24)=0,"",INDEX(Parametre!$K$45:$K$94,MATCH(BG24,Parametre!$I$45:$I$94,0)))</f>
        <v/>
      </c>
      <c r="BN24" s="212">
        <f t="shared" si="17"/>
        <v>44121</v>
      </c>
      <c r="BO24" s="145"/>
      <c r="BP24" s="213" t="str">
        <f t="shared" si="18"/>
        <v/>
      </c>
      <c r="BQ24" s="205" t="str">
        <f>IF(ISERROR(VLOOKUP(BN24,Lune!$A$2:$B$55,2,FALSE)),"",VLOOKUP(BN24,Lune!$A$2:$B$55,2,FALSE))</f>
        <v/>
      </c>
      <c r="BR24" s="206" t="str">
        <f>IFERROR(IF(COUNTIF(Saints!$C$2:$C$371,BN24)=0,"",INDEX(Saints!$D$2:$D$371,MATCH(BN24,Saints!$C$2:$C$371,0))),"")</f>
        <v>Baudoin</v>
      </c>
      <c r="BS24" s="211" t="str">
        <f>IF(COUNTIF(Parametre!$C$27:$C$39,BN24)=0,"",INDEX(Parametre!$B$27:$B$39,MATCH(BN24,Parametre!$C$27:$C$39,0)))&amp;""&amp;IF(COUNTIF(Parametre!$I$45:$I$94,BN24)=0,"",INDEX(Parametre!$K$45:$K$94,MATCH(BN24,Parametre!$I$45:$I$94,0)))</f>
        <v/>
      </c>
      <c r="BU24" s="212">
        <f t="shared" si="19"/>
        <v>44152</v>
      </c>
      <c r="BV24" s="145"/>
      <c r="BW24" s="213" t="str">
        <f t="shared" si="20"/>
        <v/>
      </c>
      <c r="BX24" s="205" t="str">
        <f>IF(ISERROR(VLOOKUP(BU24,Lune!$A$2:$B$55,2,FALSE)),"",VLOOKUP(BU24,Lune!$A$2:$B$55,2,FALSE))</f>
        <v/>
      </c>
      <c r="BY24" s="206" t="str">
        <f>IFERROR(IF(COUNTIF(Saints!$C$2:$C$371,BU24)=0,"",INDEX(Saints!$D$2:$D$371,MATCH(BU24,Saints!$C$2:$C$371,0))),"")</f>
        <v>Elisabeth</v>
      </c>
      <c r="BZ24" s="211" t="str">
        <f>IF(COUNTIF(Parametre!$C$27:$C$39,BU24)=0,"",INDEX(Parametre!$B$27:$B$39,MATCH(BU24,Parametre!$C$27:$C$39,0)))&amp;""&amp;IF(COUNTIF(Parametre!$I$45:$I$94,BU24)=0,"",INDEX(Parametre!$K$45:$K$94,MATCH(BU24,Parametre!$I$45:$I$94,0)))</f>
        <v/>
      </c>
      <c r="CB24" s="212">
        <f t="shared" si="21"/>
        <v>44182</v>
      </c>
      <c r="CC24" s="145"/>
      <c r="CD24" s="213" t="str">
        <f t="shared" si="22"/>
        <v/>
      </c>
      <c r="CE24" s="205" t="str">
        <f>IF(ISERROR(VLOOKUP(CB24,Lune!$A$2:$B$55,2,FALSE)),"",VLOOKUP(CB24,Lune!$A$2:$B$55,2,FALSE))</f>
        <v/>
      </c>
      <c r="CF24" s="206" t="str">
        <f>IFERROR(IF(COUNTIF(Saints!$C$2:$C$371,CB24)=0,"",INDEX(Saints!$D$2:$D$371,MATCH(CB24,Saints!$C$2:$C$371,0))),"")</f>
        <v>Gaël</v>
      </c>
      <c r="CG24" s="211" t="str">
        <f>IF(COUNTIF(Parametre!$C$27:$C$39,CB24)=0,"",INDEX(Parametre!$B$27:$B$39,MATCH(CB24,Parametre!$C$27:$C$39,0)))&amp;" "&amp;IF(COUNTIF(Parametre!$I$45:$I$94,CB24)=0,"",INDEX(Parametre!$K$45:$K$94,MATCH(CB24,Parametre!$I$45:$I$94,0)))</f>
        <v xml:space="preserve"> </v>
      </c>
    </row>
    <row r="25" spans="2:85" ht="15.75">
      <c r="B25" s="202">
        <v>18</v>
      </c>
      <c r="C25" s="203">
        <f t="shared" si="25"/>
        <v>43848</v>
      </c>
      <c r="D25" s="145"/>
      <c r="E25" s="214" t="str">
        <f t="shared" si="0"/>
        <v/>
      </c>
      <c r="F25" s="205" t="str">
        <f>IF(ISERROR(VLOOKUP(C25,Lune!$A$2:$B$55,2,FALSE)),"",VLOOKUP(C25,Lune!$A$2:$B$55,2,FALSE))</f>
        <v/>
      </c>
      <c r="G25" s="206" t="str">
        <f>IFERROR(IF(COUNTIF(Saints!$C$2:$C$371,C25)=0,"",INDEX(Saints!$D$2:$D$371,MATCH(C25,Saints!$C$2:$C$371,0))),"")</f>
        <v>Prisca</v>
      </c>
      <c r="H25" s="207" t="str">
        <f>IF(COUNTIF(Parametre!$C$27:$C$39,C25)=0,"",INDEX(Parametre!$B$27:$B$39,MATCH(C25,Parametre!$C$27:$C$39,0)))&amp;""&amp;IF(COUNTIF(Parametre!$I$45:$I$94,C25)=0,"",INDEX(Parametre!$K$45:$K$94,MATCH(C25,Parametre!$I$45:$I$94,0)))</f>
        <v/>
      </c>
      <c r="J25" s="203">
        <f t="shared" si="1"/>
        <v>43879</v>
      </c>
      <c r="K25" s="145"/>
      <c r="L25" s="204" t="str">
        <f t="shared" si="2"/>
        <v/>
      </c>
      <c r="M25" s="205" t="str">
        <f>IF(ISERROR(VLOOKUP(J25,Lune!$A$2:$B$55,2,FALSE)),"",VLOOKUP(J25,Lune!$A$2:$B$55,2,FALSE))</f>
        <v/>
      </c>
      <c r="N25" s="206" t="str">
        <f>IFERROR(IF(COUNTIF(Saints!$C$2:$C$371,J25)=0,"",INDEX(Saints!$D$2:$D$371,MATCH(J25,Saints!$C$2:$C$371,0))),"")</f>
        <v>Bernadette</v>
      </c>
      <c r="O25" s="207" t="str">
        <f>IF(COUNTIF(Parametre!$C$27:$C$39,J25)=0,"",INDEX(Parametre!$B$27:$B$39,MATCH(J25,Parametre!$C$27:$C$39,0)))&amp;""&amp;IF(COUNTIF(Parametre!$I$45:$I$94,J25)=0,"",INDEX(Parametre!$K$45:$K$94,MATCH(J25,Parametre!$I$45:$I$94,0)))</f>
        <v/>
      </c>
      <c r="Q25" s="203">
        <f t="shared" si="3"/>
        <v>43908</v>
      </c>
      <c r="R25" s="145"/>
      <c r="S25" s="204" t="str">
        <f t="shared" si="4"/>
        <v/>
      </c>
      <c r="T25" s="205" t="str">
        <f>IF(ISERROR(VLOOKUP(Q25,Lune!$A$2:$B$55,2,FALSE)),"",VLOOKUP(Q25,Lune!$A$2:$B$55,2,FALSE))</f>
        <v/>
      </c>
      <c r="U25" s="206" t="str">
        <f>IFERROR(IF(COUNTIF(Saints!$C$2:$C$371,Q25)=0,"",INDEX(Saints!$D$2:$D$371,MATCH(Q25,Saints!$C$2:$C$371,0))),"")</f>
        <v>Cyrille</v>
      </c>
      <c r="V25" s="207" t="str">
        <f>IF(COUNTIF(Parametre!$C$27:$C$39,Q25)=0,"",INDEX(Parametre!$B$27:$B$39,MATCH(Q25,Parametre!$C$27:$C$39,0)))&amp;""&amp;IF(COUNTIF(Parametre!$I$45:$I$94,Q25)=0,"",INDEX(Parametre!$K$45:$K$94,MATCH(Q25,Parametre!$I$45:$I$94,0)))</f>
        <v/>
      </c>
      <c r="X25" s="212">
        <f t="shared" si="5"/>
        <v>43939</v>
      </c>
      <c r="Y25" s="145"/>
      <c r="Z25" s="204" t="str">
        <f t="shared" si="6"/>
        <v/>
      </c>
      <c r="AA25" s="205" t="str">
        <f>IF(ISERROR(VLOOKUP(X25,Lune!$A$2:$B$55,2,FALSE)),"",VLOOKUP(X25,Lune!$A$2:$B$55,2,FALSE))</f>
        <v/>
      </c>
      <c r="AB25" s="206" t="str">
        <f>IFERROR(IF(COUNTIF(Saints!$C$2:$C$371,X25)=0,"",INDEX(Saints!$D$2:$D$371,MATCH(X25,Saints!$C$2:$C$371,0))),"")</f>
        <v>Parfait</v>
      </c>
      <c r="AC25" s="207" t="str">
        <f>IF(COUNTIF(Parametre!$C$27:$C$39,X25)=0,"",INDEX(Parametre!$B$27:$B$39,MATCH(X25,Parametre!$C$27:$C$39,0)))&amp;""&amp;IF(COUNTIF(Parametre!$I$45:$I$94,X25)=0,"",INDEX(Parametre!$K$45:$K$94,MATCH(X25,Parametre!$I$45:$I$94,0)))</f>
        <v/>
      </c>
      <c r="AE25" s="212">
        <f t="shared" si="7"/>
        <v>43969</v>
      </c>
      <c r="AF25" s="145"/>
      <c r="AG25" s="213">
        <f t="shared" si="8"/>
        <v>21</v>
      </c>
      <c r="AH25" s="205" t="str">
        <f>IF(ISERROR(VLOOKUP(AE25,[1]Lune!$A$2:$B$55,2,FALSE)),"",VLOOKUP(AE25,[1]Lune!$A$2:$B$55,2,FALSE))</f>
        <v/>
      </c>
      <c r="AI25" s="206" t="str">
        <f>IFERROR(IF(COUNTIF(Saints!$C$2:$C$371,AE25)=0,"",INDEX(Saints!$D$2:$D$371,MATCH(AE25,Saints!$C$2:$C$371,0))),"")</f>
        <v>Eric</v>
      </c>
      <c r="AJ25" s="211" t="str">
        <f>IF(COUNTIF(Parametre!$C$27:$C$39,AE25)=0,"",INDEX(Parametre!$B$27:$B$39,MATCH(AE25,Parametre!$C$27:$C$39,0)))&amp;""&amp;IF(COUNTIF(Parametre!$I$45:$I$94,AE25)=0,"",INDEX(Parametre!$K$45:$K$94,MATCH(AE25,Parametre!$I$45:$I$94,0)))</f>
        <v/>
      </c>
      <c r="AL25" s="212">
        <f t="shared" si="47"/>
        <v>44000</v>
      </c>
      <c r="AM25" s="145"/>
      <c r="AN25" s="213" t="str">
        <f t="shared" ref="AN25" si="52">IF(WEEKDAY(AL25)=2,INT(MOD(INT((AL25-2)/7)+0.6,52+5/28))+1,"")</f>
        <v/>
      </c>
      <c r="AO25" s="205" t="str">
        <f>IF(ISERROR(VLOOKUP(AL25,Lune!$A$2:$B$55,2,FALSE)),"",VLOOKUP(AL25,Lune!$A$2:$B$55,2,FALSE))</f>
        <v/>
      </c>
      <c r="AP25" s="206" t="str">
        <f>IFERROR(IF(COUNTIF(Saints!$C$2:$C$371,AL25)=0,"",INDEX(Saints!$D$2:$D$371,MATCH(AL25,Saints!$C$2:$C$371,0))),"")</f>
        <v>Léonce</v>
      </c>
      <c r="AQ25" s="211" t="str">
        <f>IF(COUNTIF(Parametre!$C$27:$C$39,AL25)=0,"",INDEX(Parametre!$B$27:$B$39,MATCH(AL25,Parametre!$C$27:$C$39,0)))&amp;""&amp;IF(COUNTIF(Parametre!$I$45:$I$94,AL25)=0,"",INDEX(Parametre!$K$45:$K$94,MATCH(AL25,Parametre!$I$45:$I$94,0)))</f>
        <v/>
      </c>
      <c r="AS25" s="212">
        <f t="shared" si="50"/>
        <v>44030</v>
      </c>
      <c r="AT25" s="145"/>
      <c r="AU25" s="213" t="str">
        <f t="shared" ref="AU25" si="53">IFERROR(IF(WEEKDAY(AS25)=2,INT(MOD(INT((AS25-2)/7)+0.6,52+5/28))+1,""),"")</f>
        <v/>
      </c>
      <c r="AV25" s="205" t="str">
        <f>IF(ISERROR(VLOOKUP(AS25,Lune!$A$2:$B$55,2,FALSE)),"",VLOOKUP(AS25,Lune!$A$2:$B$55,2,FALSE))</f>
        <v/>
      </c>
      <c r="AW25" s="206" t="str">
        <f>IFERROR(IF(COUNTIF(Saints!$C$2:$C$371,AS25)=0,"",INDEX(Saints!$D$2:$D$371,MATCH(AS25,Saints!$C$2:$C$371,0))),"")</f>
        <v>Frédéric</v>
      </c>
      <c r="AX25" s="211" t="str">
        <f>IF(COUNTIF(Parametre!$C$27:$C$39,AS25)=0,"",INDEX(Parametre!$B$27:$B$39,MATCH(AS25,Parametre!$C$27:$C$39,0)))&amp;""&amp;IF(COUNTIF(Parametre!$I$45:$I$94,AS25)=0,"",INDEX(Parametre!$K$45:$K$94,MATCH(AS25,Parametre!$I$45:$I$94,0)))</f>
        <v/>
      </c>
      <c r="AZ25" s="212">
        <f t="shared" si="13"/>
        <v>44061</v>
      </c>
      <c r="BA25" s="145"/>
      <c r="BB25" s="213" t="str">
        <f t="shared" si="14"/>
        <v/>
      </c>
      <c r="BC25" s="205" t="str">
        <f>IF(ISERROR(VLOOKUP(AZ25,Lune!$A$2:$B$55,2,FALSE)),"",VLOOKUP(AZ25,Lune!$A$2:$B$55,2,FALSE))</f>
        <v/>
      </c>
      <c r="BD25" s="206" t="str">
        <f>IFERROR(IF(COUNTIF(Saints!$C$2:$C$371,AZ25)=0,"",INDEX(Saints!$D$2:$D$371,MATCH(AZ25,Saints!$C$2:$C$371,0))),"")</f>
        <v>Hélène</v>
      </c>
      <c r="BE25" s="211" t="str">
        <f>IF(COUNTIF(Parametre!$C$27:$C$39,AZ25)=0,"",INDEX(Parametre!$B$27:$B$39,MATCH(AZ25,Parametre!$C$27:$C$39,0)))&amp;""&amp;IF(COUNTIF(Parametre!$I$45:$I$94,AZ25)=0,"",INDEX(Parametre!$K$45:$K$94,MATCH(AZ25,Parametre!$I$45:$I$94,0)))</f>
        <v/>
      </c>
      <c r="BG25" s="212">
        <f t="shared" si="15"/>
        <v>44092</v>
      </c>
      <c r="BH25" s="145"/>
      <c r="BI25" s="213" t="str">
        <f t="shared" si="16"/>
        <v/>
      </c>
      <c r="BJ25" s="205" t="str">
        <f>IF(ISERROR(VLOOKUP(BG25,Lune!$A$2:$B$55,2,FALSE)),"",VLOOKUP(BG25,Lune!$A$2:$B$55,2,FALSE))</f>
        <v/>
      </c>
      <c r="BK25" s="206" t="str">
        <f>IFERROR(IF(COUNTIF(Saints!$C$2:$C$371,BG25)=0,"",INDEX(Saints!$D$2:$D$371,MATCH(BG25,Saints!$C$2:$C$371,0))),"")</f>
        <v>Nadège</v>
      </c>
      <c r="BL25" s="211" t="str">
        <f>IF(COUNTIF(Parametre!$C$27:$C$39,BG25)=0,"",INDEX(Parametre!$B$27:$B$39,MATCH(BG25,Parametre!$C$27:$C$39,0)))&amp;""&amp;IF(COUNTIF(Parametre!$I$45:$I$94,BG25)=0,"",INDEX(Parametre!$K$45:$K$94,MATCH(BG25,Parametre!$I$45:$I$94,0)))</f>
        <v/>
      </c>
      <c r="BN25" s="212">
        <f t="shared" si="17"/>
        <v>44122</v>
      </c>
      <c r="BO25" s="145"/>
      <c r="BP25" s="213" t="str">
        <f t="shared" si="18"/>
        <v/>
      </c>
      <c r="BQ25" s="205" t="str">
        <f>IF(ISERROR(VLOOKUP(BN25,Lune!$A$2:$B$55,2,FALSE)),"",VLOOKUP(BN25,Lune!$A$2:$B$55,2,FALSE))</f>
        <v/>
      </c>
      <c r="BR25" s="206" t="str">
        <f>IFERROR(IF(COUNTIF(Saints!$C$2:$C$371,BN25)=0,"",INDEX(Saints!$D$2:$D$371,MATCH(BN25,Saints!$C$2:$C$371,0))),"")</f>
        <v>Luc</v>
      </c>
      <c r="BS25" s="211" t="str">
        <f>IF(COUNTIF(Parametre!$C$27:$C$39,BN25)=0,"",INDEX(Parametre!$B$27:$B$39,MATCH(BN25,Parametre!$C$27:$C$39,0)))&amp;""&amp;IF(COUNTIF(Parametre!$I$45:$I$94,BN25)=0,"",INDEX(Parametre!$K$45:$K$94,MATCH(BN25,Parametre!$I$45:$I$94,0)))</f>
        <v/>
      </c>
      <c r="BU25" s="212">
        <f t="shared" si="19"/>
        <v>44153</v>
      </c>
      <c r="BV25" s="145"/>
      <c r="BW25" s="213" t="str">
        <f t="shared" si="20"/>
        <v/>
      </c>
      <c r="BX25" s="205" t="str">
        <f>IF(ISERROR(VLOOKUP(BU25,Lune!$A$2:$B$55,2,FALSE)),"",VLOOKUP(BU25,Lune!$A$2:$B$55,2,FALSE))</f>
        <v/>
      </c>
      <c r="BY25" s="206" t="str">
        <f>IFERROR(IF(COUNTIF(Saints!$C$2:$C$371,BU25)=0,"",INDEX(Saints!$D$2:$D$371,MATCH(BU25,Saints!$C$2:$C$371,0))),"")</f>
        <v>Aude</v>
      </c>
      <c r="BZ25" s="211" t="str">
        <f>IF(COUNTIF(Parametre!$C$27:$C$39,BU25)=0,"",INDEX(Parametre!$B$27:$B$39,MATCH(BU25,Parametre!$C$27:$C$39,0)))&amp;""&amp;IF(COUNTIF(Parametre!$I$45:$I$94,BU25)=0,"",INDEX(Parametre!$K$45:$K$94,MATCH(BU25,Parametre!$I$45:$I$94,0)))</f>
        <v/>
      </c>
      <c r="CB25" s="212">
        <f t="shared" si="21"/>
        <v>44183</v>
      </c>
      <c r="CC25" s="145"/>
      <c r="CD25" s="213" t="str">
        <f t="shared" si="22"/>
        <v/>
      </c>
      <c r="CE25" s="205" t="str">
        <f>IF(ISERROR(VLOOKUP(CB25,Lune!$A$2:$B$55,2,FALSE)),"",VLOOKUP(CB25,Lune!$A$2:$B$55,2,FALSE))</f>
        <v/>
      </c>
      <c r="CF25" s="206" t="str">
        <f>IFERROR(IF(COUNTIF(Saints!$C$2:$C$371,CB25)=0,"",INDEX(Saints!$D$2:$D$371,MATCH(CB25,Saints!$C$2:$C$371,0))),"")</f>
        <v>Gatien</v>
      </c>
      <c r="CG25" s="211" t="str">
        <f>IF(COUNTIF(Parametre!$C$27:$C$39,CB25)=0,"",INDEX(Parametre!$B$27:$B$39,MATCH(CB25,Parametre!$C$27:$C$39,0)))&amp;" "&amp;IF(COUNTIF(Parametre!$I$45:$I$94,CB25)=0,"",INDEX(Parametre!$K$45:$K$94,MATCH(CB25,Parametre!$I$45:$I$94,0)))</f>
        <v xml:space="preserve"> </v>
      </c>
    </row>
    <row r="26" spans="2:85" ht="15.75">
      <c r="B26" s="202">
        <v>19</v>
      </c>
      <c r="C26" s="203">
        <f t="shared" si="25"/>
        <v>43849</v>
      </c>
      <c r="D26" s="145"/>
      <c r="E26" s="214" t="str">
        <f t="shared" si="0"/>
        <v/>
      </c>
      <c r="F26" s="205" t="str">
        <f>IF(ISERROR(VLOOKUP(C26,Lune!$A$2:$B$55,2,FALSE)),"",VLOOKUP(C26,Lune!$A$2:$B$55,2,FALSE))</f>
        <v/>
      </c>
      <c r="G26" s="206" t="str">
        <f>IFERROR(IF(COUNTIF(Saints!$C$2:$C$371,C26)=0,"",INDEX(Saints!$D$2:$D$371,MATCH(C26,Saints!$C$2:$C$371,0))),"")</f>
        <v>Marius</v>
      </c>
      <c r="H26" s="207" t="str">
        <f>IF(COUNTIF(Parametre!$C$27:$C$39,C26)=0,"",INDEX(Parametre!$B$27:$B$39,MATCH(C26,Parametre!$C$27:$C$39,0)))&amp;""&amp;IF(COUNTIF(Parametre!$I$45:$I$94,C26)=0,"",INDEX(Parametre!$K$45:$K$94,MATCH(C26,Parametre!$I$45:$I$94,0)))</f>
        <v/>
      </c>
      <c r="J26" s="203">
        <f t="shared" si="1"/>
        <v>43880</v>
      </c>
      <c r="K26" s="145"/>
      <c r="L26" s="204" t="str">
        <f t="shared" si="2"/>
        <v/>
      </c>
      <c r="M26" s="205" t="str">
        <f>IF(ISERROR(VLOOKUP(J26,Lune!$A$2:$B$55,2,FALSE)),"",VLOOKUP(J26,Lune!$A$2:$B$55,2,FALSE))</f>
        <v/>
      </c>
      <c r="N26" s="206" t="str">
        <f>IFERROR(IF(COUNTIF(Saints!$C$2:$C$371,J26)=0,"",INDEX(Saints!$D$2:$D$371,MATCH(J26,Saints!$C$2:$C$371,0))),"")</f>
        <v>Gabin</v>
      </c>
      <c r="O26" s="207" t="str">
        <f>IF(COUNTIF(Parametre!$C$27:$C$39,J26)=0,"",INDEX(Parametre!$B$27:$B$39,MATCH(J26,Parametre!$C$27:$C$39,0)))&amp;""&amp;IF(COUNTIF(Parametre!$I$45:$I$94,J26)=0,"",INDEX(Parametre!$K$45:$K$94,MATCH(J26,Parametre!$I$45:$I$94,0)))</f>
        <v/>
      </c>
      <c r="Q26" s="203">
        <f t="shared" si="3"/>
        <v>43909</v>
      </c>
      <c r="R26" s="145"/>
      <c r="S26" s="204" t="str">
        <f t="shared" si="4"/>
        <v/>
      </c>
      <c r="T26" s="205" t="str">
        <f>IF(ISERROR(VLOOKUP(Q26,Lune!$A$2:$B$55,2,FALSE)),"",VLOOKUP(Q26,Lune!$A$2:$B$55,2,FALSE))</f>
        <v/>
      </c>
      <c r="U26" s="206" t="str">
        <f>IFERROR(IF(COUNTIF(Saints!$C$2:$C$371,Q26)=0,"",INDEX(Saints!$D$2:$D$371,MATCH(Q26,Saints!$C$2:$C$371,0))),"")</f>
        <v>Joseph</v>
      </c>
      <c r="V26" s="207" t="str">
        <f>IF(COUNTIF(Parametre!$C$27:$C$39,Q26)=0,"",INDEX(Parametre!$B$27:$B$39,MATCH(Q26,Parametre!$C$27:$C$39,0)))&amp;""&amp;IF(COUNTIF(Parametre!$I$45:$I$94,Q26)=0,"",INDEX(Parametre!$K$45:$K$94,MATCH(Q26,Parametre!$I$45:$I$94,0)))</f>
        <v>17 an Rémi</v>
      </c>
      <c r="X26" s="212">
        <f t="shared" si="5"/>
        <v>43940</v>
      </c>
      <c r="Y26" s="145"/>
      <c r="Z26" s="204" t="str">
        <f t="shared" si="6"/>
        <v/>
      </c>
      <c r="AA26" s="205" t="str">
        <f>IF(ISERROR(VLOOKUP(X26,Lune!$A$2:$B$55,2,FALSE)),"",VLOOKUP(X26,Lune!$A$2:$B$55,2,FALSE))</f>
        <v/>
      </c>
      <c r="AB26" s="206" t="str">
        <f>IFERROR(IF(COUNTIF(Saints!$C$2:$C$371,X26)=0,"",INDEX(Saints!$D$2:$D$371,MATCH(X26,Saints!$C$2:$C$371,0))),"")</f>
        <v>Emma</v>
      </c>
      <c r="AC26" s="207" t="str">
        <f>IF(COUNTIF(Parametre!$C$27:$C$39,X26)=0,"",INDEX(Parametre!$B$27:$B$39,MATCH(X26,Parametre!$C$27:$C$39,0)))&amp;""&amp;IF(COUNTIF(Parametre!$I$45:$I$94,X26)=0,"",INDEX(Parametre!$K$45:$K$94,MATCH(X26,Parametre!$I$45:$I$94,0)))</f>
        <v/>
      </c>
      <c r="AE26" s="212">
        <f t="shared" si="7"/>
        <v>43970</v>
      </c>
      <c r="AF26" s="145"/>
      <c r="AG26" s="213" t="str">
        <f t="shared" si="8"/>
        <v/>
      </c>
      <c r="AH26" s="205" t="str">
        <f>IF(ISERROR(VLOOKUP(AE26,[1]Lune!$A$2:$B$55,2,FALSE)),"",VLOOKUP(AE26,[1]Lune!$A$2:$B$55,2,FALSE))</f>
        <v/>
      </c>
      <c r="AI26" s="206" t="str">
        <f>IFERROR(IF(COUNTIF(Saints!$C$2:$C$371,AE26)=0,"",INDEX(Saints!$D$2:$D$371,MATCH(AE26,Saints!$C$2:$C$371,0))),"")</f>
        <v>Yves</v>
      </c>
      <c r="AJ26" s="211" t="str">
        <f>IF(COUNTIF(Parametre!$C$27:$C$39,AE26)=0,"",INDEX(Parametre!$B$27:$B$39,MATCH(AE26,Parametre!$C$27:$C$39,0)))&amp;""&amp;IF(COUNTIF(Parametre!$I$45:$I$94,AE26)=0,"",INDEX(Parametre!$K$45:$K$94,MATCH(AE26,Parametre!$I$45:$I$94,0)))</f>
        <v>21 an Émilie</v>
      </c>
      <c r="AL26" s="212">
        <f t="shared" si="47"/>
        <v>44001</v>
      </c>
      <c r="AM26" s="145"/>
      <c r="AN26" s="213" t="str">
        <f t="shared" ref="AN26" si="54">IFERROR(IF(WEEKDAY(AL26)=2,INT(MOD(INT((AL26-2)/7)+0.6,52+5/28))+1,""),"")</f>
        <v/>
      </c>
      <c r="AO26" s="205" t="str">
        <f>IF(ISERROR(VLOOKUP(AL26,Lune!$A$2:$B$55,2,FALSE)),"",VLOOKUP(AL26,Lune!$A$2:$B$55,2,FALSE))</f>
        <v/>
      </c>
      <c r="AP26" s="206" t="str">
        <f>IFERROR(IF(COUNTIF(Saints!$C$2:$C$371,AL26)=0,"",INDEX(Saints!$D$2:$D$371,MATCH(AL26,Saints!$C$2:$C$371,0))),"")</f>
        <v>Romuald</v>
      </c>
      <c r="AQ26" s="211" t="str">
        <f>IF(COUNTIF(Parametre!$C$27:$C$39,AL26)=0,"",INDEX(Parametre!$B$27:$B$39,MATCH(AL26,Parametre!$C$27:$C$39,0)))&amp;""&amp;IF(COUNTIF(Parametre!$I$45:$I$94,AL26)=0,"",INDEX(Parametre!$K$45:$K$94,MATCH(AL26,Parametre!$I$45:$I$94,0)))</f>
        <v/>
      </c>
      <c r="AS26" s="212">
        <f t="shared" si="50"/>
        <v>44031</v>
      </c>
      <c r="AT26" s="145"/>
      <c r="AU26" s="213" t="str">
        <f t="shared" ref="AU26" si="55">IF(WEEKDAY(AS26)=2,INT(MOD(INT((AS26-2)/7)+0.6,52+5/28))+1,"")</f>
        <v/>
      </c>
      <c r="AV26" s="205" t="str">
        <f>IF(ISERROR(VLOOKUP(AS26,Lune!$A$2:$B$55,2,FALSE)),"",VLOOKUP(AS26,Lune!$A$2:$B$55,2,FALSE))</f>
        <v/>
      </c>
      <c r="AW26" s="206" t="str">
        <f>IFERROR(IF(COUNTIF(Saints!$C$2:$C$371,AS26)=0,"",INDEX(Saints!$D$2:$D$371,MATCH(AS26,Saints!$C$2:$C$371,0))),"")</f>
        <v>Arsène</v>
      </c>
      <c r="AX26" s="211" t="str">
        <f>IF(COUNTIF(Parametre!$C$27:$C$39,AS26)=0,"",INDEX(Parametre!$B$27:$B$39,MATCH(AS26,Parametre!$C$27:$C$39,0)))&amp;""&amp;IF(COUNTIF(Parametre!$I$45:$I$94,AS26)=0,"",INDEX(Parametre!$K$45:$K$94,MATCH(AS26,Parametre!$I$45:$I$94,0)))</f>
        <v/>
      </c>
      <c r="AZ26" s="212">
        <f t="shared" si="13"/>
        <v>44062</v>
      </c>
      <c r="BA26" s="145"/>
      <c r="BB26" s="213" t="str">
        <f t="shared" si="14"/>
        <v/>
      </c>
      <c r="BC26" s="205" t="str">
        <f>IF(ISERROR(VLOOKUP(AZ26,Lune!$A$2:$B$55,2,FALSE)),"",VLOOKUP(AZ26,Lune!$A$2:$B$55,2,FALSE))</f>
        <v></v>
      </c>
      <c r="BD26" s="206" t="str">
        <f>IFERROR(IF(COUNTIF(Saints!$C$2:$C$371,AZ26)=0,"",INDEX(Saints!$D$2:$D$371,MATCH(AZ26,Saints!$C$2:$C$371,0))),"")</f>
        <v>Mylène</v>
      </c>
      <c r="BE26" s="211" t="str">
        <f>IF(COUNTIF(Parametre!$C$27:$C$39,AZ26)=0,"",INDEX(Parametre!$B$27:$B$39,MATCH(AZ26,Parametre!$C$27:$C$39,0)))&amp;""&amp;IF(COUNTIF(Parametre!$I$45:$I$94,AZ26)=0,"",INDEX(Parametre!$K$45:$K$94,MATCH(AZ26,Parametre!$I$45:$I$94,0)))</f>
        <v/>
      </c>
      <c r="BG26" s="212">
        <f t="shared" si="15"/>
        <v>44093</v>
      </c>
      <c r="BH26" s="145"/>
      <c r="BI26" s="213" t="str">
        <f t="shared" si="16"/>
        <v/>
      </c>
      <c r="BJ26" s="205" t="str">
        <f>IF(ISERROR(VLOOKUP(BG26,Lune!$A$2:$B$55,2,FALSE)),"",VLOOKUP(BG26,Lune!$A$2:$B$55,2,FALSE))</f>
        <v/>
      </c>
      <c r="BK26" s="206" t="str">
        <f>IFERROR(IF(COUNTIF(Saints!$C$2:$C$371,BG26)=0,"",INDEX(Saints!$D$2:$D$371,MATCH(BG26,Saints!$C$2:$C$371,0))),"")</f>
        <v>Emilie</v>
      </c>
      <c r="BL26" s="211" t="str">
        <f>IF(COUNTIF(Parametre!$C$27:$C$39,BG26)=0,"",INDEX(Parametre!$B$27:$B$39,MATCH(BG26,Parametre!$C$27:$C$39,0)))&amp;""&amp;IF(COUNTIF(Parametre!$I$45:$I$94,BG26)=0,"",INDEX(Parametre!$K$45:$K$94,MATCH(BG26,Parametre!$I$45:$I$94,0)))</f>
        <v/>
      </c>
      <c r="BN26" s="212">
        <f t="shared" si="17"/>
        <v>44123</v>
      </c>
      <c r="BO26" s="145"/>
      <c r="BP26" s="213">
        <f t="shared" si="18"/>
        <v>43</v>
      </c>
      <c r="BQ26" s="205" t="str">
        <f>IF(ISERROR(VLOOKUP(BN26,Lune!$A$2:$B$55,2,FALSE)),"",VLOOKUP(BN26,Lune!$A$2:$B$55,2,FALSE))</f>
        <v/>
      </c>
      <c r="BR26" s="206" t="str">
        <f>IFERROR(IF(COUNTIF(Saints!$C$2:$C$371,BN26)=0,"",INDEX(Saints!$D$2:$D$371,MATCH(BN26,Saints!$C$2:$C$371,0))),"")</f>
        <v>René</v>
      </c>
      <c r="BS26" s="211" t="str">
        <f>IF(COUNTIF(Parametre!$C$27:$C$39,BN26)=0,"",INDEX(Parametre!$B$27:$B$39,MATCH(BN26,Parametre!$C$27:$C$39,0)))&amp;""&amp;IF(COUNTIF(Parametre!$I$45:$I$94,BN26)=0,"",INDEX(Parametre!$K$45:$K$94,MATCH(BN26,Parametre!$I$45:$I$94,0)))</f>
        <v/>
      </c>
      <c r="BU26" s="212">
        <f t="shared" si="19"/>
        <v>44154</v>
      </c>
      <c r="BV26" s="145"/>
      <c r="BW26" s="213" t="str">
        <f t="shared" si="20"/>
        <v/>
      </c>
      <c r="BX26" s="205" t="str">
        <f>IF(ISERROR(VLOOKUP(BU26,Lune!$A$2:$B$55,2,FALSE)),"",VLOOKUP(BU26,Lune!$A$2:$B$55,2,FALSE))</f>
        <v/>
      </c>
      <c r="BY26" s="206" t="str">
        <f>IFERROR(IF(COUNTIF(Saints!$C$2:$C$371,BU26)=0,"",INDEX(Saints!$D$2:$D$371,MATCH(BU26,Saints!$C$2:$C$371,0))),"")</f>
        <v>Tanguy</v>
      </c>
      <c r="BZ26" s="211" t="str">
        <f>IF(COUNTIF(Parametre!$C$27:$C$39,BU26)=0,"",INDEX(Parametre!$B$27:$B$39,MATCH(BU26,Parametre!$C$27:$C$39,0)))&amp;""&amp;IF(COUNTIF(Parametre!$I$45:$I$94,BU26)=0,"",INDEX(Parametre!$K$45:$K$94,MATCH(BU26,Parametre!$I$45:$I$94,0)))</f>
        <v/>
      </c>
      <c r="CB26" s="212">
        <f t="shared" si="21"/>
        <v>44184</v>
      </c>
      <c r="CC26" s="145"/>
      <c r="CD26" s="213" t="str">
        <f t="shared" si="22"/>
        <v/>
      </c>
      <c r="CE26" s="205" t="str">
        <f>IF(ISERROR(VLOOKUP(CB26,Lune!$A$2:$B$55,2,FALSE)),"",VLOOKUP(CB26,Lune!$A$2:$B$55,2,FALSE))</f>
        <v/>
      </c>
      <c r="CF26" s="206" t="str">
        <f>IFERROR(IF(COUNTIF(Saints!$C$2:$C$371,CB26)=0,"",INDEX(Saints!$D$2:$D$371,MATCH(CB26,Saints!$C$2:$C$371,0))),"")</f>
        <v>Urbain</v>
      </c>
      <c r="CG26" s="211" t="str">
        <f>IF(COUNTIF(Parametre!$C$27:$C$39,CB26)=0,"",INDEX(Parametre!$B$27:$B$39,MATCH(CB26,Parametre!$C$27:$C$39,0)))&amp;" "&amp;IF(COUNTIF(Parametre!$I$45:$I$94,CB26)=0,"",INDEX(Parametre!$K$45:$K$94,MATCH(CB26,Parametre!$I$45:$I$94,0)))</f>
        <v xml:space="preserve"> </v>
      </c>
    </row>
    <row r="27" spans="2:85" ht="15.75">
      <c r="B27" s="202">
        <v>20</v>
      </c>
      <c r="C27" s="203">
        <f t="shared" si="25"/>
        <v>43850</v>
      </c>
      <c r="D27" s="145"/>
      <c r="E27" s="204">
        <f t="shared" si="0"/>
        <v>4</v>
      </c>
      <c r="F27" s="205" t="str">
        <f>IF(ISERROR(VLOOKUP(C27,Lune!$A$2:$B$55,2,FALSE)),"",VLOOKUP(C27,Lune!$A$2:$B$55,2,FALSE))</f>
        <v/>
      </c>
      <c r="G27" s="206" t="str">
        <f>IFERROR(IF(COUNTIF(Saints!$C$2:$C$371,C27)=0,"",INDEX(Saints!$D$2:$D$371,MATCH(C27,Saints!$C$2:$C$371,0))),"")</f>
        <v>Sébastien</v>
      </c>
      <c r="H27" s="207" t="str">
        <f>IF(COUNTIF(Parametre!$C$27:$C$39,C27)=0,"",INDEX(Parametre!$B$27:$B$39,MATCH(C27,Parametre!$C$27:$C$39,0)))&amp;""&amp;IF(COUNTIF(Parametre!$I$45:$I$94,C27)=0,"",INDEX(Parametre!$K$45:$K$94,MATCH(C27,Parametre!$I$45:$I$94,0)))</f>
        <v/>
      </c>
      <c r="J27" s="203">
        <f t="shared" si="1"/>
        <v>43881</v>
      </c>
      <c r="K27" s="145"/>
      <c r="L27" s="204" t="str">
        <f t="shared" si="2"/>
        <v/>
      </c>
      <c r="M27" s="205" t="str">
        <f>IF(ISERROR(VLOOKUP(J27,Lune!$A$2:$B$55,2,FALSE)),"",VLOOKUP(J27,Lune!$A$2:$B$55,2,FALSE))</f>
        <v/>
      </c>
      <c r="N27" s="206" t="str">
        <f>IFERROR(IF(COUNTIF(Saints!$C$2:$C$371,J27)=0,"",INDEX(Saints!$D$2:$D$371,MATCH(J27,Saints!$C$2:$C$371,0))),"")</f>
        <v>Aimée</v>
      </c>
      <c r="O27" s="207" t="str">
        <f>IF(COUNTIF(Parametre!$C$27:$C$39,J27)=0,"",INDEX(Parametre!$B$27:$B$39,MATCH(J27,Parametre!$C$27:$C$39,0)))&amp;""&amp;IF(COUNTIF(Parametre!$I$45:$I$94,J27)=0,"",INDEX(Parametre!$K$45:$K$94,MATCH(J27,Parametre!$I$45:$I$94,0)))</f>
        <v/>
      </c>
      <c r="Q27" s="203">
        <f t="shared" si="3"/>
        <v>43910</v>
      </c>
      <c r="R27" s="145"/>
      <c r="S27" s="204" t="str">
        <f t="shared" si="4"/>
        <v/>
      </c>
      <c r="T27" s="205" t="str">
        <f>IF(ISERROR(VLOOKUP(Q27,Lune!$A$2:$B$55,2,FALSE)),"",VLOOKUP(Q27,Lune!$A$2:$B$55,2,FALSE))</f>
        <v/>
      </c>
      <c r="U27" s="206" t="str">
        <f>IFERROR(IF(COUNTIF(Saints!$C$2:$C$371,Q27)=0,"",INDEX(Saints!$D$2:$D$371,MATCH(Q27,Saints!$C$2:$C$371,0))),"")</f>
        <v>Herbert</v>
      </c>
      <c r="V27" s="207" t="str">
        <f>IF(COUNTIF(Parametre!$C$27:$C$39,Q27)=0,"",INDEX(Parametre!$B$27:$B$39,MATCH(Q27,Parametre!$C$27:$C$39,0)))&amp;""&amp;IF(COUNTIF(Parametre!$I$45:$I$94,Q27)=0,"",INDEX(Parametre!$K$45:$K$94,MATCH(Q27,Parametre!$I$45:$I$94,0)))</f>
        <v>Printemps</v>
      </c>
      <c r="X27" s="212">
        <f t="shared" si="5"/>
        <v>43941</v>
      </c>
      <c r="Y27" s="145"/>
      <c r="Z27" s="204">
        <f t="shared" si="6"/>
        <v>17</v>
      </c>
      <c r="AA27" s="205" t="str">
        <f>IF(ISERROR(VLOOKUP(X27,Lune!$A$2:$B$55,2,FALSE)),"",VLOOKUP(X27,Lune!$A$2:$B$55,2,FALSE))</f>
        <v/>
      </c>
      <c r="AB27" s="206" t="str">
        <f>IFERROR(IF(COUNTIF(Saints!$C$2:$C$371,X27)=0,"",INDEX(Saints!$D$2:$D$371,MATCH(X27,Saints!$C$2:$C$371,0))),"")</f>
        <v>Odette</v>
      </c>
      <c r="AC27" s="207" t="str">
        <f>IF(COUNTIF(Parametre!$C$27:$C$39,X27)=0,"",INDEX(Parametre!$B$27:$B$39,MATCH(X27,Parametre!$C$27:$C$39,0)))&amp;""&amp;IF(COUNTIF(Parametre!$I$45:$I$94,X27)=0,"",INDEX(Parametre!$K$45:$K$94,MATCH(X27,Parametre!$I$45:$I$94,0)))</f>
        <v/>
      </c>
      <c r="AE27" s="212">
        <f t="shared" si="7"/>
        <v>43971</v>
      </c>
      <c r="AF27" s="145"/>
      <c r="AG27" s="213" t="str">
        <f t="shared" si="8"/>
        <v/>
      </c>
      <c r="AH27" s="205" t="str">
        <f>IF(ISERROR(VLOOKUP(AE27,[1]Lune!$A$2:$B$55,2,FALSE)),"",VLOOKUP(AE27,[1]Lune!$A$2:$B$55,2,FALSE))</f>
        <v/>
      </c>
      <c r="AI27" s="206" t="str">
        <f>IFERROR(IF(COUNTIF(Saints!$C$2:$C$371,AE27)=0,"",INDEX(Saints!$D$2:$D$371,MATCH(AE27,Saints!$C$2:$C$371,0))),"")</f>
        <v>Bernardin</v>
      </c>
      <c r="AJ27" s="211" t="str">
        <f>IF(COUNTIF(Parametre!$C$27:$C$39,AE27)=0,"",INDEX(Parametre!$B$27:$B$39,MATCH(AE27,Parametre!$C$27:$C$39,0)))&amp;""&amp;IF(COUNTIF(Parametre!$I$45:$I$94,AE27)=0,"",INDEX(Parametre!$K$45:$K$94,MATCH(AE27,Parametre!$I$45:$I$94,0)))</f>
        <v/>
      </c>
      <c r="AL27" s="212">
        <f t="shared" si="47"/>
        <v>44002</v>
      </c>
      <c r="AM27" s="145"/>
      <c r="AN27" s="213" t="str">
        <f t="shared" ref="AN27" si="56">IF(WEEKDAY(AL27)=2,INT(MOD(INT((AL27-2)/7)+0.6,52+5/28))+1,"")</f>
        <v/>
      </c>
      <c r="AO27" s="205" t="str">
        <f>IF(ISERROR(VLOOKUP(AL27,Lune!$A$2:$B$55,2,FALSE)),"",VLOOKUP(AL27,Lune!$A$2:$B$55,2,FALSE))</f>
        <v/>
      </c>
      <c r="AP27" s="206" t="str">
        <f>IFERROR(IF(COUNTIF(Saints!$C$2:$C$371,AL27)=0,"",INDEX(Saints!$D$2:$D$371,MATCH(AL27,Saints!$C$2:$C$371,0))),"")</f>
        <v>Silvère</v>
      </c>
      <c r="AQ27" s="211" t="str">
        <f>IF(COUNTIF(Parametre!$C$27:$C$39,AL27)=0,"",INDEX(Parametre!$B$27:$B$39,MATCH(AL27,Parametre!$C$27:$C$39,0)))&amp;""&amp;IF(COUNTIF(Parametre!$I$45:$I$94,AL27)=0,"",INDEX(Parametre!$K$45:$K$94,MATCH(AL27,Parametre!$I$45:$I$94,0)))</f>
        <v>Été</v>
      </c>
      <c r="AS27" s="212">
        <f t="shared" si="50"/>
        <v>44032</v>
      </c>
      <c r="AT27" s="145"/>
      <c r="AU27" s="213">
        <f t="shared" ref="AU27" si="57">IFERROR(IF(WEEKDAY(AS27)=2,INT(MOD(INT((AS27-2)/7)+0.6,52+5/28))+1,""),"")</f>
        <v>30</v>
      </c>
      <c r="AV27" s="205" t="str">
        <f>IF(ISERROR(VLOOKUP(AS27,Lune!$A$2:$B$55,2,FALSE)),"",VLOOKUP(AS27,Lune!$A$2:$B$55,2,FALSE))</f>
        <v></v>
      </c>
      <c r="AW27" s="206" t="str">
        <f>IFERROR(IF(COUNTIF(Saints!$C$2:$C$371,AS27)=0,"",INDEX(Saints!$D$2:$D$371,MATCH(AS27,Saints!$C$2:$C$371,0))),"")</f>
        <v>Marina</v>
      </c>
      <c r="AX27" s="211" t="str">
        <f>IF(COUNTIF(Parametre!$C$27:$C$39,AS27)=0,"",INDEX(Parametre!$B$27:$B$39,MATCH(AS27,Parametre!$C$27:$C$39,0)))&amp;""&amp;IF(COUNTIF(Parametre!$I$45:$I$94,AS27)=0,"",INDEX(Parametre!$K$45:$K$94,MATCH(AS27,Parametre!$I$45:$I$94,0)))</f>
        <v/>
      </c>
      <c r="AZ27" s="212">
        <f t="shared" si="13"/>
        <v>44063</v>
      </c>
      <c r="BA27" s="145"/>
      <c r="BB27" s="213" t="str">
        <f t="shared" si="14"/>
        <v/>
      </c>
      <c r="BC27" s="205" t="str">
        <f>IF(ISERROR(VLOOKUP(AZ27,Lune!$A$2:$B$55,2,FALSE)),"",VLOOKUP(AZ27,Lune!$A$2:$B$55,2,FALSE))</f>
        <v/>
      </c>
      <c r="BD27" s="206" t="str">
        <f>IFERROR(IF(COUNTIF(Saints!$C$2:$C$371,AZ27)=0,"",INDEX(Saints!$D$2:$D$371,MATCH(AZ27,Saints!$C$2:$C$371,0))),"")</f>
        <v>Bernard</v>
      </c>
      <c r="BE27" s="211" t="str">
        <f>IF(COUNTIF(Parametre!$C$27:$C$39,AZ27)=0,"",INDEX(Parametre!$B$27:$B$39,MATCH(AZ27,Parametre!$C$27:$C$39,0)))&amp;""&amp;IF(COUNTIF(Parametre!$I$45:$I$94,AZ27)=0,"",INDEX(Parametre!$K$45:$K$94,MATCH(AZ27,Parametre!$I$45:$I$94,0)))</f>
        <v/>
      </c>
      <c r="BG27" s="212">
        <f t="shared" si="15"/>
        <v>44094</v>
      </c>
      <c r="BH27" s="145"/>
      <c r="BI27" s="213" t="str">
        <f t="shared" si="16"/>
        <v/>
      </c>
      <c r="BJ27" s="205" t="str">
        <f>IF(ISERROR(VLOOKUP(BG27,Lune!$A$2:$B$55,2,FALSE)),"",VLOOKUP(BG27,Lune!$A$2:$B$55,2,FALSE))</f>
        <v/>
      </c>
      <c r="BK27" s="206" t="str">
        <f>IFERROR(IF(COUNTIF(Saints!$C$2:$C$371,BG27)=0,"",INDEX(Saints!$D$2:$D$371,MATCH(BG27,Saints!$C$2:$C$371,0))),"")</f>
        <v>Davy</v>
      </c>
      <c r="BL27" s="211" t="str">
        <f>IF(COUNTIF(Parametre!$C$27:$C$39,BG27)=0,"",INDEX(Parametre!$B$27:$B$39,MATCH(BG27,Parametre!$C$27:$C$39,0)))&amp;""&amp;IF(COUNTIF(Parametre!$I$45:$I$94,BG27)=0,"",INDEX(Parametre!$K$45:$K$94,MATCH(BG27,Parametre!$I$45:$I$94,0)))</f>
        <v/>
      </c>
      <c r="BN27" s="212">
        <f t="shared" si="17"/>
        <v>44124</v>
      </c>
      <c r="BO27" s="145"/>
      <c r="BP27" s="213" t="str">
        <f t="shared" si="18"/>
        <v/>
      </c>
      <c r="BQ27" s="205" t="str">
        <f>IF(ISERROR(VLOOKUP(BN27,Lune!$A$2:$B$55,2,FALSE)),"",VLOOKUP(BN27,Lune!$A$2:$B$55,2,FALSE))</f>
        <v/>
      </c>
      <c r="BR27" s="206" t="str">
        <f>IFERROR(IF(COUNTIF(Saints!$C$2:$C$371,BN27)=0,"",INDEX(Saints!$D$2:$D$371,MATCH(BN27,Saints!$C$2:$C$371,0))),"")</f>
        <v>Adeline</v>
      </c>
      <c r="BS27" s="211" t="str">
        <f>IF(COUNTIF(Parametre!$C$27:$C$39,BN27)=0,"",INDEX(Parametre!$B$27:$B$39,MATCH(BN27,Parametre!$C$27:$C$39,0)))&amp;""&amp;IF(COUNTIF(Parametre!$I$45:$I$94,BN27)=0,"",INDEX(Parametre!$K$45:$K$94,MATCH(BN27,Parametre!$I$45:$I$94,0)))</f>
        <v>67 an Didier</v>
      </c>
      <c r="BU27" s="212">
        <f t="shared" si="19"/>
        <v>44155</v>
      </c>
      <c r="BV27" s="145"/>
      <c r="BW27" s="213" t="str">
        <f t="shared" si="20"/>
        <v/>
      </c>
      <c r="BX27" s="205" t="str">
        <f>IF(ISERROR(VLOOKUP(BU27,Lune!$A$2:$B$55,2,FALSE)),"",VLOOKUP(BU27,Lune!$A$2:$B$55,2,FALSE))</f>
        <v/>
      </c>
      <c r="BY27" s="206" t="str">
        <f>IFERROR(IF(COUNTIF(Saints!$C$2:$C$371,BU27)=0,"",INDEX(Saints!$D$2:$D$371,MATCH(BU27,Saints!$C$2:$C$371,0))),"")</f>
        <v>Edmond</v>
      </c>
      <c r="BZ27" s="211" t="str">
        <f>IF(COUNTIF(Parametre!$C$27:$C$39,BU27)=0,"",INDEX(Parametre!$B$27:$B$39,MATCH(BU27,Parametre!$C$27:$C$39,0)))&amp;""&amp;IF(COUNTIF(Parametre!$I$45:$I$94,BU27)=0,"",INDEX(Parametre!$K$45:$K$94,MATCH(BU27,Parametre!$I$45:$I$94,0)))</f>
        <v/>
      </c>
      <c r="CB27" s="212">
        <f t="shared" si="21"/>
        <v>44185</v>
      </c>
      <c r="CC27" s="145"/>
      <c r="CD27" s="213" t="str">
        <f t="shared" si="22"/>
        <v/>
      </c>
      <c r="CE27" s="205" t="str">
        <f>IF(ISERROR(VLOOKUP(CB27,Lune!$A$2:$B$55,2,FALSE)),"",VLOOKUP(CB27,Lune!$A$2:$B$55,2,FALSE))</f>
        <v/>
      </c>
      <c r="CF27" s="206" t="str">
        <f>IFERROR(IF(COUNTIF(Saints!$C$2:$C$371,CB27)=0,"",INDEX(Saints!$D$2:$D$371,MATCH(CB27,Saints!$C$2:$C$371,0))),"")</f>
        <v>Abraham</v>
      </c>
      <c r="CG27" s="211" t="str">
        <f>IF(COUNTIF(Parametre!$C$27:$C$39,CB27)=0,"",INDEX(Parametre!$B$27:$B$39,MATCH(CB27,Parametre!$C$27:$C$39,0)))&amp;" "&amp;IF(COUNTIF(Parametre!$I$45:$I$94,CB27)=0,"",INDEX(Parametre!$K$45:$K$94,MATCH(CB27,Parametre!$I$45:$I$94,0)))</f>
        <v xml:space="preserve"> </v>
      </c>
    </row>
    <row r="28" spans="2:85" ht="15.75">
      <c r="B28" s="202">
        <v>21</v>
      </c>
      <c r="C28" s="203">
        <f t="shared" si="25"/>
        <v>43851</v>
      </c>
      <c r="D28" s="145"/>
      <c r="E28" s="214" t="str">
        <f t="shared" si="0"/>
        <v/>
      </c>
      <c r="F28" s="205" t="str">
        <f>IF(ISERROR(VLOOKUP(C28,Lune!$A$2:$B$55,2,FALSE)),"",VLOOKUP(C28,Lune!$A$2:$B$55,2,FALSE))</f>
        <v/>
      </c>
      <c r="G28" s="206" t="str">
        <f>IFERROR(IF(COUNTIF(Saints!$C$2:$C$371,C28)=0,"",INDEX(Saints!$D$2:$D$371,MATCH(C28,Saints!$C$2:$C$371,0))),"")</f>
        <v>Agnès</v>
      </c>
      <c r="H28" s="207" t="str">
        <f>IF(COUNTIF(Parametre!$C$27:$C$39,C28)=0,"",INDEX(Parametre!$B$27:$B$39,MATCH(C28,Parametre!$C$27:$C$39,0)))&amp;""&amp;IF(COUNTIF(Parametre!$I$45:$I$94,C28)=0,"",INDEX(Parametre!$K$45:$K$94,MATCH(C28,Parametre!$I$45:$I$94,0)))</f>
        <v/>
      </c>
      <c r="J28" s="203">
        <f t="shared" si="1"/>
        <v>43882</v>
      </c>
      <c r="K28" s="145"/>
      <c r="L28" s="204" t="str">
        <f t="shared" si="2"/>
        <v/>
      </c>
      <c r="M28" s="205" t="str">
        <f>IF(ISERROR(VLOOKUP(J28,Lune!$A$2:$B$55,2,FALSE)),"",VLOOKUP(J28,Lune!$A$2:$B$55,2,FALSE))</f>
        <v/>
      </c>
      <c r="N28" s="206" t="str">
        <f>IFERROR(IF(COUNTIF(Saints!$C$2:$C$371,J28)=0,"",INDEX(Saints!$D$2:$D$371,MATCH(J28,Saints!$C$2:$C$371,0))),"")</f>
        <v>Damien</v>
      </c>
      <c r="O28" s="207" t="str">
        <f>IF(COUNTIF(Parametre!$C$27:$C$39,J28)=0,"",INDEX(Parametre!$B$27:$B$39,MATCH(J28,Parametre!$C$27:$C$39,0)))&amp;""&amp;IF(COUNTIF(Parametre!$I$45:$I$94,J28)=0,"",INDEX(Parametre!$K$45:$K$94,MATCH(J28,Parametre!$I$45:$I$94,0)))</f>
        <v/>
      </c>
      <c r="Q28" s="203">
        <f t="shared" si="3"/>
        <v>43911</v>
      </c>
      <c r="R28" s="145"/>
      <c r="S28" s="204" t="str">
        <f t="shared" si="4"/>
        <v/>
      </c>
      <c r="T28" s="205" t="str">
        <f>IF(ISERROR(VLOOKUP(Q28,Lune!$A$2:$B$55,2,FALSE)),"",VLOOKUP(Q28,Lune!$A$2:$B$55,2,FALSE))</f>
        <v/>
      </c>
      <c r="U28" s="206" t="str">
        <f>IFERROR(IF(COUNTIF(Saints!$C$2:$C$371,Q28)=0,"",INDEX(Saints!$D$2:$D$371,MATCH(Q28,Saints!$C$2:$C$371,0))),"")</f>
        <v>Clémence</v>
      </c>
      <c r="V28" s="207" t="str">
        <f>IF(COUNTIF(Parametre!$C$27:$C$39,Q28)=0,"",INDEX(Parametre!$B$27:$B$39,MATCH(Q28,Parametre!$C$27:$C$39,0)))&amp;""&amp;IF(COUNTIF(Parametre!$I$45:$I$94,Q28)=0,"",INDEX(Parametre!$K$45:$K$94,MATCH(Q28,Parametre!$I$45:$I$94,0)))</f>
        <v/>
      </c>
      <c r="X28" s="212">
        <f t="shared" si="5"/>
        <v>43942</v>
      </c>
      <c r="Y28" s="145"/>
      <c r="Z28" s="204" t="str">
        <f t="shared" si="6"/>
        <v/>
      </c>
      <c r="AA28" s="205" t="str">
        <f>IF(ISERROR(VLOOKUP(X28,Lune!$A$2:$B$55,2,FALSE)),"",VLOOKUP(X28,Lune!$A$2:$B$55,2,FALSE))</f>
        <v/>
      </c>
      <c r="AB28" s="206" t="str">
        <f>IFERROR(IF(COUNTIF(Saints!$C$2:$C$371,X28)=0,"",INDEX(Saints!$D$2:$D$371,MATCH(X28,Saints!$C$2:$C$371,0))),"")</f>
        <v>Anselme</v>
      </c>
      <c r="AC28" s="207" t="str">
        <f>IF(COUNTIF(Parametre!$C$27:$C$39,X28)=0,"",INDEX(Parametre!$B$27:$B$39,MATCH(X28,Parametre!$C$27:$C$39,0)))&amp;""&amp;IF(COUNTIF(Parametre!$I$45:$I$94,X28)=0,"",INDEX(Parametre!$K$45:$K$94,MATCH(X28,Parametre!$I$45:$I$94,0)))</f>
        <v>35 an Orane</v>
      </c>
      <c r="AE28" s="212">
        <f t="shared" si="7"/>
        <v>43972</v>
      </c>
      <c r="AF28" s="145"/>
      <c r="AG28" s="213" t="str">
        <f t="shared" si="8"/>
        <v/>
      </c>
      <c r="AH28" s="205" t="str">
        <f>IF(ISERROR(VLOOKUP(AE28,[1]Lune!$A$2:$B$55,2,FALSE)),"",VLOOKUP(AE28,[1]Lune!$A$2:$B$55,2,FALSE))</f>
        <v/>
      </c>
      <c r="AI28" s="206" t="str">
        <f>IFERROR(IF(COUNTIF(Saints!$C$2:$C$371,AE28)=0,"",INDEX(Saints!$D$2:$D$371,MATCH(AE28,Saints!$C$2:$C$371,0))),"")</f>
        <v>Constantin</v>
      </c>
      <c r="AJ28" s="211" t="str">
        <f>IF(COUNTIF(Parametre!$C$27:$C$39,AE28)=0,"",INDEX(Parametre!$B$27:$B$39,MATCH(AE28,Parametre!$C$27:$C$39,0)))&amp;""&amp;IF(COUNTIF(Parametre!$I$45:$I$94,AE28)=0,"",INDEX(Parametre!$K$45:$K$94,MATCH(AE28,Parametre!$I$45:$I$94,0)))</f>
        <v>Ascension</v>
      </c>
      <c r="AL28" s="212">
        <f t="shared" si="47"/>
        <v>44003</v>
      </c>
      <c r="AM28" s="145"/>
      <c r="AN28" s="213" t="str">
        <f t="shared" ref="AN28:AN35" si="58">IFERROR(IF(WEEKDAY(AL28)=2,INT(MOD(INT((AL28-2)/7)+0.6,52+5/28))+1,""),"")</f>
        <v/>
      </c>
      <c r="AO28" s="205" t="str">
        <f>IF(ISERROR(VLOOKUP(AL28,Lune!$A$2:$B$55,2,FALSE)),"",VLOOKUP(AL28,Lune!$A$2:$B$55,2,FALSE))</f>
        <v></v>
      </c>
      <c r="AP28" s="206" t="str">
        <f>IFERROR(IF(COUNTIF(Saints!$C$2:$C$371,AL28)=0,"",INDEX(Saints!$D$2:$D$371,MATCH(AL28,Saints!$C$2:$C$371,0))),"")</f>
        <v>Gonzague</v>
      </c>
      <c r="AQ28" s="211" t="str">
        <f>IF(COUNTIF(Parametre!$C$27:$C$39,AL28)=0,"",INDEX(Parametre!$B$27:$B$39,MATCH(AL28,Parametre!$C$27:$C$39,0)))&amp;""&amp;IF(COUNTIF(Parametre!$I$45:$I$94,AL28)=0,"",INDEX(Parametre!$K$45:$K$94,MATCH(AL28,Parametre!$I$45:$I$94,0)))</f>
        <v>F. des pères</v>
      </c>
      <c r="AS28" s="212">
        <f t="shared" si="50"/>
        <v>44033</v>
      </c>
      <c r="AT28" s="145"/>
      <c r="AU28" s="213" t="str">
        <f t="shared" ref="AU28" si="59">IF(WEEKDAY(AS28)=2,INT(MOD(INT((AS28-2)/7)+0.6,52+5/28))+1,"")</f>
        <v/>
      </c>
      <c r="AV28" s="205" t="str">
        <f>IF(ISERROR(VLOOKUP(AS28,Lune!$A$2:$B$55,2,FALSE)),"",VLOOKUP(AS28,Lune!$A$2:$B$55,2,FALSE))</f>
        <v/>
      </c>
      <c r="AW28" s="206" t="str">
        <f>IFERROR(IF(COUNTIF(Saints!$C$2:$C$371,AS28)=0,"",INDEX(Saints!$D$2:$D$371,MATCH(AS28,Saints!$C$2:$C$371,0))),"")</f>
        <v>Victor</v>
      </c>
      <c r="AX28" s="211" t="str">
        <f>IF(COUNTIF(Parametre!$C$27:$C$39,AS28)=0,"",INDEX(Parametre!$B$27:$B$39,MATCH(AS28,Parametre!$C$27:$C$39,0)))&amp;""&amp;IF(COUNTIF(Parametre!$I$45:$I$94,AS28)=0,"",INDEX(Parametre!$K$45:$K$94,MATCH(AS28,Parametre!$I$45:$I$94,0)))</f>
        <v/>
      </c>
      <c r="AZ28" s="212">
        <f t="shared" si="13"/>
        <v>44064</v>
      </c>
      <c r="BA28" s="145"/>
      <c r="BB28" s="213" t="str">
        <f t="shared" si="14"/>
        <v/>
      </c>
      <c r="BC28" s="205" t="str">
        <f>IF(ISERROR(VLOOKUP(AZ28,Lune!$A$2:$B$55,2,FALSE)),"",VLOOKUP(AZ28,Lune!$A$2:$B$55,2,FALSE))</f>
        <v/>
      </c>
      <c r="BD28" s="206" t="str">
        <f>IFERROR(IF(COUNTIF(Saints!$C$2:$C$371,AZ28)=0,"",INDEX(Saints!$D$2:$D$371,MATCH(AZ28,Saints!$C$2:$C$371,0))),"")</f>
        <v>Christophe</v>
      </c>
      <c r="BE28" s="211" t="str">
        <f>IF(COUNTIF(Parametre!$C$27:$C$39,AZ28)=0,"",INDEX(Parametre!$B$27:$B$39,MATCH(AZ28,Parametre!$C$27:$C$39,0)))&amp;""&amp;IF(COUNTIF(Parametre!$I$45:$I$94,AZ28)=0,"",INDEX(Parametre!$K$45:$K$94,MATCH(AZ28,Parametre!$I$45:$I$94,0)))</f>
        <v/>
      </c>
      <c r="BG28" s="212">
        <f t="shared" si="15"/>
        <v>44095</v>
      </c>
      <c r="BH28" s="145"/>
      <c r="BI28" s="213">
        <f t="shared" si="16"/>
        <v>39</v>
      </c>
      <c r="BJ28" s="205" t="str">
        <f>IF(ISERROR(VLOOKUP(BG28,Lune!$A$2:$B$55,2,FALSE)),"",VLOOKUP(BG28,Lune!$A$2:$B$55,2,FALSE))</f>
        <v/>
      </c>
      <c r="BK28" s="206" t="str">
        <f>IFERROR(IF(COUNTIF(Saints!$C$2:$C$371,BG28)=0,"",INDEX(Saints!$D$2:$D$371,MATCH(BG28,Saints!$C$2:$C$371,0))),"")</f>
        <v>Matthieu</v>
      </c>
      <c r="BL28" s="211" t="str">
        <f>IF(COUNTIF(Parametre!$C$27:$C$39,BG28)=0,"",INDEX(Parametre!$B$27:$B$39,MATCH(BG28,Parametre!$C$27:$C$39,0)))&amp;""&amp;IF(COUNTIF(Parametre!$I$45:$I$94,BG28)=0,"",INDEX(Parametre!$K$45:$K$94,MATCH(BG28,Parametre!$I$45:$I$94,0)))</f>
        <v/>
      </c>
      <c r="BN28" s="212">
        <f t="shared" si="17"/>
        <v>44125</v>
      </c>
      <c r="BO28" s="145"/>
      <c r="BP28" s="213" t="str">
        <f t="shared" si="18"/>
        <v/>
      </c>
      <c r="BQ28" s="205" t="str">
        <f>IF(ISERROR(VLOOKUP(BN28,Lune!$A$2:$B$55,2,FALSE)),"",VLOOKUP(BN28,Lune!$A$2:$B$55,2,FALSE))</f>
        <v/>
      </c>
      <c r="BR28" s="206" t="str">
        <f>IFERROR(IF(COUNTIF(Saints!$C$2:$C$371,BN28)=0,"",INDEX(Saints!$D$2:$D$371,MATCH(BN28,Saints!$C$2:$C$371,0))),"")</f>
        <v>Céline</v>
      </c>
      <c r="BS28" s="211" t="str">
        <f>IF(COUNTIF(Parametre!$C$27:$C$39,BN28)=0,"",INDEX(Parametre!$B$27:$B$39,MATCH(BN28,Parametre!$C$27:$C$39,0)))&amp;""&amp;IF(COUNTIF(Parametre!$I$45:$I$94,BN28)=0,"",INDEX(Parametre!$K$45:$K$94,MATCH(BN28,Parametre!$I$45:$I$94,0)))</f>
        <v/>
      </c>
      <c r="BU28" s="212">
        <f t="shared" si="19"/>
        <v>44156</v>
      </c>
      <c r="BV28" s="145"/>
      <c r="BW28" s="213" t="str">
        <f t="shared" si="20"/>
        <v/>
      </c>
      <c r="BX28" s="205" t="str">
        <f>IF(ISERROR(VLOOKUP(BU28,Lune!$A$2:$B$55,2,FALSE)),"",VLOOKUP(BU28,Lune!$A$2:$B$55,2,FALSE))</f>
        <v/>
      </c>
      <c r="BY28" s="206" t="str">
        <f>IFERROR(IF(COUNTIF(Saints!$C$2:$C$371,BU28)=0,"",INDEX(Saints!$D$2:$D$371,MATCH(BU28,Saints!$C$2:$C$371,0))),"")</f>
        <v>Gélase</v>
      </c>
      <c r="BZ28" s="211" t="str">
        <f>IF(COUNTIF(Parametre!$C$27:$C$39,BU28)=0,"",INDEX(Parametre!$B$27:$B$39,MATCH(BU28,Parametre!$C$27:$C$39,0)))&amp;""&amp;IF(COUNTIF(Parametre!$I$45:$I$94,BU28)=0,"",INDEX(Parametre!$K$45:$K$94,MATCH(BU28,Parametre!$I$45:$I$94,0)))</f>
        <v/>
      </c>
      <c r="CB28" s="212">
        <f t="shared" si="21"/>
        <v>44186</v>
      </c>
      <c r="CC28" s="145"/>
      <c r="CD28" s="213">
        <f t="shared" si="22"/>
        <v>52</v>
      </c>
      <c r="CE28" s="205" t="str">
        <f>IF(ISERROR(VLOOKUP(CB28,Lune!$A$2:$B$55,2,FALSE)),"",VLOOKUP(CB28,Lune!$A$2:$B$55,2,FALSE))</f>
        <v/>
      </c>
      <c r="CF28" s="206" t="str">
        <f>IFERROR(IF(COUNTIF(Saints!$C$2:$C$371,CB28)=0,"",INDEX(Saints!$D$2:$D$371,MATCH(CB28,Saints!$C$2:$C$371,0))),"")</f>
        <v>Hiver</v>
      </c>
      <c r="CG28" s="211" t="str">
        <f>IF(COUNTIF(Parametre!$C$27:$C$39,CB28)=0,"",INDEX(Parametre!$B$27:$B$39,MATCH(CB28,Parametre!$C$27:$C$39,0)))&amp;" "&amp;IF(COUNTIF(Parametre!$I$45:$I$94,CB28)=0,"",INDEX(Parametre!$K$45:$K$94,MATCH(CB28,Parametre!$I$45:$I$94,0)))</f>
        <v xml:space="preserve"> Hiver</v>
      </c>
    </row>
    <row r="29" spans="2:85" ht="15.75">
      <c r="B29" s="202">
        <v>22</v>
      </c>
      <c r="C29" s="203">
        <f t="shared" si="25"/>
        <v>43852</v>
      </c>
      <c r="D29" s="145"/>
      <c r="E29" s="214" t="str">
        <f t="shared" si="0"/>
        <v/>
      </c>
      <c r="F29" s="205" t="str">
        <f>IF(ISERROR(VLOOKUP(C29,Lune!$A$2:$B$55,2,FALSE)),"",VLOOKUP(C29,Lune!$A$2:$B$55,2,FALSE))</f>
        <v/>
      </c>
      <c r="G29" s="206" t="str">
        <f>IFERROR(IF(COUNTIF(Saints!$C$2:$C$371,C29)=0,"",INDEX(Saints!$D$2:$D$371,MATCH(C29,Saints!$C$2:$C$371,0))),"")</f>
        <v>Vincent</v>
      </c>
      <c r="H29" s="207" t="str">
        <f>IF(COUNTIF(Parametre!$C$27:$C$39,C29)=0,"",INDEX(Parametre!$B$27:$B$39,MATCH(C29,Parametre!$C$27:$C$39,0)))&amp;""&amp;IF(COUNTIF(Parametre!$I$45:$I$94,C29)=0,"",INDEX(Parametre!$K$45:$K$94,MATCH(C29,Parametre!$I$45:$I$94,0)))</f>
        <v/>
      </c>
      <c r="J29" s="203">
        <f t="shared" si="1"/>
        <v>43883</v>
      </c>
      <c r="K29" s="145"/>
      <c r="L29" s="204" t="str">
        <f t="shared" si="2"/>
        <v/>
      </c>
      <c r="M29" s="205" t="str">
        <f>IF(ISERROR(VLOOKUP(J29,Lune!$A$2:$B$55,2,FALSE)),"",VLOOKUP(J29,Lune!$A$2:$B$55,2,FALSE))</f>
        <v/>
      </c>
      <c r="N29" s="206" t="str">
        <f>IFERROR(IF(COUNTIF(Saints!$C$2:$C$371,J29)=0,"",INDEX(Saints!$D$2:$D$371,MATCH(J29,Saints!$C$2:$C$371,0))),"")</f>
        <v>Isabelle</v>
      </c>
      <c r="O29" s="207" t="str">
        <f>IF(COUNTIF(Parametre!$C$27:$C$39,J29)=0,"",INDEX(Parametre!$B$27:$B$39,MATCH(J29,Parametre!$C$27:$C$39,0)))&amp;""&amp;IF(COUNTIF(Parametre!$I$45:$I$94,J29)=0,"",INDEX(Parametre!$K$45:$K$94,MATCH(J29,Parametre!$I$45:$I$94,0)))</f>
        <v/>
      </c>
      <c r="Q29" s="203">
        <f t="shared" si="3"/>
        <v>43912</v>
      </c>
      <c r="R29" s="145"/>
      <c r="S29" s="204" t="str">
        <f t="shared" si="4"/>
        <v/>
      </c>
      <c r="T29" s="205" t="str">
        <f>IF(ISERROR(VLOOKUP(Q29,Lune!$A$2:$B$55,2,FALSE)),"",VLOOKUP(Q29,Lune!$A$2:$B$55,2,FALSE))</f>
        <v/>
      </c>
      <c r="U29" s="206" t="str">
        <f>IFERROR(IF(COUNTIF(Saints!$C$2:$C$371,Q29)=0,"",INDEX(Saints!$D$2:$D$371,MATCH(Q29,Saints!$C$2:$C$371,0))),"")</f>
        <v>Léa</v>
      </c>
      <c r="V29" s="207" t="str">
        <f>IF(COUNTIF(Parametre!$C$27:$C$39,Q29)=0,"",INDEX(Parametre!$B$27:$B$39,MATCH(Q29,Parametre!$C$27:$C$39,0)))&amp;""&amp;IF(COUNTIF(Parametre!$I$45:$I$94,Q29)=0,"",INDEX(Parametre!$K$45:$K$94,MATCH(Q29,Parametre!$I$45:$I$94,0)))</f>
        <v/>
      </c>
      <c r="X29" s="212">
        <f t="shared" si="5"/>
        <v>43943</v>
      </c>
      <c r="Y29" s="145"/>
      <c r="Z29" s="204" t="str">
        <f t="shared" si="6"/>
        <v/>
      </c>
      <c r="AA29" s="205" t="str">
        <f>IF(ISERROR(VLOOKUP(X29,Lune!$A$2:$B$55,2,FALSE)),"",VLOOKUP(X29,Lune!$A$2:$B$55,2,FALSE))</f>
        <v/>
      </c>
      <c r="AB29" s="206" t="str">
        <f>IFERROR(IF(COUNTIF(Saints!$C$2:$C$371,X29)=0,"",INDEX(Saints!$D$2:$D$371,MATCH(X29,Saints!$C$2:$C$371,0))),"")</f>
        <v>Alexandre</v>
      </c>
      <c r="AC29" s="207" t="str">
        <f>IF(COUNTIF(Parametre!$C$27:$C$39,X29)=0,"",INDEX(Parametre!$B$27:$B$39,MATCH(X29,Parametre!$C$27:$C$39,0)))&amp;""&amp;IF(COUNTIF(Parametre!$I$45:$I$94,X29)=0,"",INDEX(Parametre!$K$45:$K$94,MATCH(X29,Parametre!$I$45:$I$94,0)))</f>
        <v/>
      </c>
      <c r="AE29" s="212">
        <f t="shared" si="7"/>
        <v>43973</v>
      </c>
      <c r="AF29" s="145"/>
      <c r="AG29" s="213" t="str">
        <f t="shared" si="8"/>
        <v/>
      </c>
      <c r="AH29" s="205" t="str">
        <f>IF(ISERROR(VLOOKUP(AE29,[1]Lune!$A$2:$B$55,2,FALSE)),"",VLOOKUP(AE29,[1]Lune!$A$2:$B$55,2,FALSE))</f>
        <v></v>
      </c>
      <c r="AI29" s="206" t="str">
        <f>IFERROR(IF(COUNTIF(Saints!$C$2:$C$371,AE29)=0,"",INDEX(Saints!$D$2:$D$371,MATCH(AE29,Saints!$C$2:$C$371,0))),"")</f>
        <v>Emilie</v>
      </c>
      <c r="AJ29" s="211" t="str">
        <f>IF(COUNTIF(Parametre!$C$27:$C$39,AE29)=0,"",INDEX(Parametre!$B$27:$B$39,MATCH(AE29,Parametre!$C$27:$C$39,0)))&amp;""&amp;IF(COUNTIF(Parametre!$I$45:$I$94,AE29)=0,"",INDEX(Parametre!$K$45:$K$94,MATCH(AE29,Parametre!$I$45:$I$94,0)))</f>
        <v/>
      </c>
      <c r="AL29" s="212">
        <f t="shared" si="47"/>
        <v>44004</v>
      </c>
      <c r="AM29" s="145"/>
      <c r="AN29" s="213">
        <f t="shared" si="58"/>
        <v>26</v>
      </c>
      <c r="AO29" s="205" t="str">
        <f>IF(ISERROR(VLOOKUP(AL29,Lune!$A$2:$B$55,2,FALSE)),"",VLOOKUP(AL29,Lune!$A$2:$B$55,2,FALSE))</f>
        <v/>
      </c>
      <c r="AP29" s="206" t="str">
        <f>IFERROR(IF(COUNTIF(Saints!$C$2:$C$371,AL29)=0,"",INDEX(Saints!$D$2:$D$371,MATCH(AL29,Saints!$C$2:$C$371,0))),"")</f>
        <v>Alban</v>
      </c>
      <c r="AQ29" s="211" t="str">
        <f>IF(COUNTIF(Parametre!$C$27:$C$39,AL29)=0,"",INDEX(Parametre!$B$27:$B$39,MATCH(AL29,Parametre!$C$27:$C$39,0)))&amp;""&amp;IF(COUNTIF(Parametre!$I$45:$I$94,AL29)=0,"",INDEX(Parametre!$K$45:$K$94,MATCH(AL29,Parametre!$I$45:$I$94,0)))</f>
        <v/>
      </c>
      <c r="AS29" s="212">
        <f t="shared" si="50"/>
        <v>44034</v>
      </c>
      <c r="AT29" s="145"/>
      <c r="AU29" s="213" t="str">
        <f t="shared" ref="AU29:AU35" si="60">IFERROR(IF(WEEKDAY(AS29)=2,INT(MOD(INT((AS29-2)/7)+0.6,52+5/28))+1,""),"")</f>
        <v/>
      </c>
      <c r="AV29" s="205" t="str">
        <f>IF(ISERROR(VLOOKUP(AS29,Lune!$A$2:$B$55,2,FALSE)),"",VLOOKUP(AS29,Lune!$A$2:$B$55,2,FALSE))</f>
        <v/>
      </c>
      <c r="AW29" s="206" t="str">
        <f>IFERROR(IF(COUNTIF(Saints!$C$2:$C$371,AS29)=0,"",INDEX(Saints!$D$2:$D$371,MATCH(AS29,Saints!$C$2:$C$371,0))),"")</f>
        <v>Marie Madeleine</v>
      </c>
      <c r="AX29" s="211" t="str">
        <f>IF(COUNTIF(Parametre!$C$27:$C$39,AS29)=0,"",INDEX(Parametre!$B$27:$B$39,MATCH(AS29,Parametre!$C$27:$C$39,0)))&amp;""&amp;IF(COUNTIF(Parametre!$I$45:$I$94,AS29)=0,"",INDEX(Parametre!$K$45:$K$94,MATCH(AS29,Parametre!$I$45:$I$94,0)))</f>
        <v/>
      </c>
      <c r="AZ29" s="212">
        <f t="shared" si="13"/>
        <v>44065</v>
      </c>
      <c r="BA29" s="145"/>
      <c r="BB29" s="213" t="str">
        <f t="shared" si="14"/>
        <v/>
      </c>
      <c r="BC29" s="205" t="str">
        <f>IF(ISERROR(VLOOKUP(AZ29,Lune!$A$2:$B$55,2,FALSE)),"",VLOOKUP(AZ29,Lune!$A$2:$B$55,2,FALSE))</f>
        <v/>
      </c>
      <c r="BD29" s="206" t="str">
        <f>IFERROR(IF(COUNTIF(Saints!$C$2:$C$371,AZ29)=0,"",INDEX(Saints!$D$2:$D$371,MATCH(AZ29,Saints!$C$2:$C$371,0))),"")</f>
        <v>Fabrice</v>
      </c>
      <c r="BE29" s="211" t="str">
        <f>IF(COUNTIF(Parametre!$C$27:$C$39,AZ29)=0,"",INDEX(Parametre!$B$27:$B$39,MATCH(AZ29,Parametre!$C$27:$C$39,0)))&amp;""&amp;IF(COUNTIF(Parametre!$I$45:$I$94,AZ29)=0,"",INDEX(Parametre!$K$45:$K$94,MATCH(AZ29,Parametre!$I$45:$I$94,0)))</f>
        <v/>
      </c>
      <c r="BG29" s="212">
        <f t="shared" si="15"/>
        <v>44096</v>
      </c>
      <c r="BH29" s="145"/>
      <c r="BI29" s="213" t="str">
        <f t="shared" si="16"/>
        <v/>
      </c>
      <c r="BJ29" s="205" t="str">
        <f>IF(ISERROR(VLOOKUP(BG29,Lune!$A$2:$B$55,2,FALSE)),"",VLOOKUP(BG29,Lune!$A$2:$B$55,2,FALSE))</f>
        <v/>
      </c>
      <c r="BK29" s="206" t="str">
        <f>IFERROR(IF(COUNTIF(Saints!$C$2:$C$371,BG29)=0,"",INDEX(Saints!$D$2:$D$371,MATCH(BG29,Saints!$C$2:$C$371,0))),"")</f>
        <v>Maurice</v>
      </c>
      <c r="BL29" s="211" t="str">
        <f>IF(COUNTIF(Parametre!$C$27:$C$39,BG29)=0,"",INDEX(Parametre!$B$27:$B$39,MATCH(BG29,Parametre!$C$27:$C$39,0)))&amp;""&amp;IF(COUNTIF(Parametre!$I$45:$I$94,BG29)=0,"",INDEX(Parametre!$K$45:$K$94,MATCH(BG29,Parametre!$I$45:$I$94,0)))</f>
        <v>Automne</v>
      </c>
      <c r="BN29" s="212">
        <f t="shared" si="17"/>
        <v>44126</v>
      </c>
      <c r="BO29" s="145"/>
      <c r="BP29" s="213" t="str">
        <f t="shared" si="18"/>
        <v/>
      </c>
      <c r="BQ29" s="205" t="str">
        <f>IF(ISERROR(VLOOKUP(BN29,Lune!$A$2:$B$55,2,FALSE)),"",VLOOKUP(BN29,Lune!$A$2:$B$55,2,FALSE))</f>
        <v/>
      </c>
      <c r="BR29" s="206" t="str">
        <f>IFERROR(IF(COUNTIF(Saints!$C$2:$C$371,BN29)=0,"",INDEX(Saints!$D$2:$D$371,MATCH(BN29,Saints!$C$2:$C$371,0))),"")</f>
        <v>Elodie</v>
      </c>
      <c r="BS29" s="211" t="str">
        <f>IF(COUNTIF(Parametre!$C$27:$C$39,BN29)=0,"",INDEX(Parametre!$B$27:$B$39,MATCH(BN29,Parametre!$C$27:$C$39,0)))&amp;""&amp;IF(COUNTIF(Parametre!$I$45:$I$94,BN29)=0,"",INDEX(Parametre!$K$45:$K$94,MATCH(BN29,Parametre!$I$45:$I$94,0)))</f>
        <v/>
      </c>
      <c r="BU29" s="212">
        <f t="shared" si="19"/>
        <v>44157</v>
      </c>
      <c r="BV29" s="145"/>
      <c r="BW29" s="213" t="str">
        <f t="shared" si="20"/>
        <v/>
      </c>
      <c r="BX29" s="205" t="str">
        <f>IF(ISERROR(VLOOKUP(BU29,Lune!$A$2:$B$55,2,FALSE)),"",VLOOKUP(BU29,Lune!$A$2:$B$55,2,FALSE))</f>
        <v></v>
      </c>
      <c r="BY29" s="206" t="str">
        <f>IFERROR(IF(COUNTIF(Saints!$C$2:$C$371,BU29)=0,"",INDEX(Saints!$D$2:$D$371,MATCH(BU29,Saints!$C$2:$C$371,0))),"")</f>
        <v>Cécile</v>
      </c>
      <c r="BZ29" s="211" t="str">
        <f>IF(COUNTIF(Parametre!$C$27:$C$39,BU29)=0,"",INDEX(Parametre!$B$27:$B$39,MATCH(BU29,Parametre!$C$27:$C$39,0)))&amp;""&amp;IF(COUNTIF(Parametre!$I$45:$I$94,BU29)=0,"",INDEX(Parametre!$K$45:$K$94,MATCH(BU29,Parametre!$I$45:$I$94,0)))</f>
        <v/>
      </c>
      <c r="CB29" s="212">
        <f t="shared" si="21"/>
        <v>44187</v>
      </c>
      <c r="CC29" s="145"/>
      <c r="CD29" s="213" t="str">
        <f t="shared" si="22"/>
        <v/>
      </c>
      <c r="CE29" s="205" t="str">
        <f>IF(ISERROR(VLOOKUP(CB29,Lune!$A$2:$B$55,2,FALSE)),"",VLOOKUP(CB29,Lune!$A$2:$B$55,2,FALSE))</f>
        <v></v>
      </c>
      <c r="CF29" s="206" t="str">
        <f>IFERROR(IF(COUNTIF(Saints!$C$2:$C$371,CB29)=0,"",INDEX(Saints!$D$2:$D$371,MATCH(CB29,Saints!$C$2:$C$371,0))),"")</f>
        <v>Xavière</v>
      </c>
      <c r="CG29" s="211" t="str">
        <f>IF(COUNTIF(Parametre!$C$27:$C$39,CB29)=0,"",INDEX(Parametre!$B$27:$B$39,MATCH(CB29,Parametre!$C$27:$C$39,0)))&amp;" "&amp;IF(COUNTIF(Parametre!$I$45:$I$94,CB29)=0,"",INDEX(Parametre!$K$45:$K$94,MATCH(CB29,Parametre!$I$45:$I$94,0)))</f>
        <v xml:space="preserve"> </v>
      </c>
    </row>
    <row r="30" spans="2:85" ht="15.75">
      <c r="B30" s="202">
        <v>23</v>
      </c>
      <c r="C30" s="203">
        <f t="shared" si="25"/>
        <v>43853</v>
      </c>
      <c r="D30" s="145"/>
      <c r="E30" s="214" t="str">
        <f t="shared" si="0"/>
        <v/>
      </c>
      <c r="F30" s="205" t="str">
        <f>IF(ISERROR(VLOOKUP(C30,Lune!$A$2:$B$55,2,FALSE)),"",VLOOKUP(C30,Lune!$A$2:$B$55,2,FALSE))</f>
        <v/>
      </c>
      <c r="G30" s="206" t="str">
        <f>IFERROR(IF(COUNTIF(Saints!$C$2:$C$371,C30)=0,"",INDEX(Saints!$D$2:$D$371,MATCH(C30,Saints!$C$2:$C$371,0))),"")</f>
        <v>Barnard</v>
      </c>
      <c r="H30" s="207" t="str">
        <f>IF(COUNTIF(Parametre!$C$27:$C$39,C30)=0,"",INDEX(Parametre!$B$27:$B$39,MATCH(C30,Parametre!$C$27:$C$39,0)))&amp;""&amp;IF(COUNTIF(Parametre!$I$45:$I$94,C30)=0,"",INDEX(Parametre!$K$45:$K$94,MATCH(C30,Parametre!$I$45:$I$94,0)))</f>
        <v/>
      </c>
      <c r="J30" s="203">
        <f t="shared" si="1"/>
        <v>43884</v>
      </c>
      <c r="K30" s="145"/>
      <c r="L30" s="204" t="str">
        <f t="shared" si="2"/>
        <v/>
      </c>
      <c r="M30" s="205" t="str">
        <f>IF(ISERROR(VLOOKUP(J30,Lune!$A$2:$B$55,2,FALSE)),"",VLOOKUP(J30,Lune!$A$2:$B$55,2,FALSE))</f>
        <v></v>
      </c>
      <c r="N30" s="206" t="str">
        <f>IFERROR(IF(COUNTIF(Saints!$C$2:$C$371,J30)=0,"",INDEX(Saints!$D$2:$D$371,MATCH(J30,Saints!$C$2:$C$371,0))),"")</f>
        <v>Lazare</v>
      </c>
      <c r="O30" s="207" t="str">
        <f>IF(COUNTIF(Parametre!$C$27:$C$39,J30)=0,"",INDEX(Parametre!$B$27:$B$39,MATCH(J30,Parametre!$C$27:$C$39,0)))&amp;""&amp;IF(COUNTIF(Parametre!$I$45:$I$94,J30)=0,"",INDEX(Parametre!$K$45:$K$94,MATCH(J30,Parametre!$I$45:$I$94,0)))</f>
        <v/>
      </c>
      <c r="Q30" s="203">
        <f t="shared" si="3"/>
        <v>43913</v>
      </c>
      <c r="R30" s="145"/>
      <c r="S30" s="204">
        <f t="shared" si="4"/>
        <v>13</v>
      </c>
      <c r="T30" s="205" t="str">
        <f>IF(ISERROR(VLOOKUP(Q30,Lune!$A$2:$B$55,2,FALSE)),"",VLOOKUP(Q30,Lune!$A$2:$B$55,2,FALSE))</f>
        <v/>
      </c>
      <c r="U30" s="206" t="str">
        <f>IFERROR(IF(COUNTIF(Saints!$C$2:$C$371,Q30)=0,"",INDEX(Saints!$D$2:$D$371,MATCH(Q30,Saints!$C$2:$C$371,0))),"")</f>
        <v>Victoria</v>
      </c>
      <c r="V30" s="207" t="str">
        <f>IF(COUNTIF(Parametre!$C$27:$C$39,Q30)=0,"",INDEX(Parametre!$B$27:$B$39,MATCH(Q30,Parametre!$C$27:$C$39,0)))&amp;""&amp;IF(COUNTIF(Parametre!$I$45:$I$94,Q30)=0,"",INDEX(Parametre!$K$45:$K$94,MATCH(Q30,Parametre!$I$45:$I$94,0)))</f>
        <v/>
      </c>
      <c r="X30" s="212">
        <f t="shared" si="5"/>
        <v>43944</v>
      </c>
      <c r="Y30" s="145"/>
      <c r="Z30" s="204" t="str">
        <f t="shared" si="6"/>
        <v/>
      </c>
      <c r="AA30" s="205" t="str">
        <f>IF(ISERROR(VLOOKUP(X30,Lune!$A$2:$B$55,2,FALSE)),"",VLOOKUP(X30,Lune!$A$2:$B$55,2,FALSE))</f>
        <v></v>
      </c>
      <c r="AB30" s="206" t="str">
        <f>IFERROR(IF(COUNTIF(Saints!$C$2:$C$371,X30)=0,"",INDEX(Saints!$D$2:$D$371,MATCH(X30,Saints!$C$2:$C$371,0))),"")</f>
        <v>Georges</v>
      </c>
      <c r="AC30" s="207" t="str">
        <f>IF(COUNTIF(Parametre!$C$27:$C$39,X30)=0,"",INDEX(Parametre!$B$27:$B$39,MATCH(X30,Parametre!$C$27:$C$39,0)))&amp;""&amp;IF(COUNTIF(Parametre!$I$45:$I$94,X30)=0,"",INDEX(Parametre!$K$45:$K$94,MATCH(X30,Parametre!$I$45:$I$94,0)))</f>
        <v>12 an Émma</v>
      </c>
      <c r="AE30" s="212">
        <f t="shared" si="7"/>
        <v>43974</v>
      </c>
      <c r="AF30" s="145"/>
      <c r="AG30" s="213" t="str">
        <f t="shared" si="8"/>
        <v/>
      </c>
      <c r="AH30" s="205" t="str">
        <f>IF(ISERROR(VLOOKUP(AE30,[1]Lune!$A$2:$B$55,2,FALSE)),"",VLOOKUP(AE30,[1]Lune!$A$2:$B$55,2,FALSE))</f>
        <v/>
      </c>
      <c r="AI30" s="206" t="str">
        <f>IFERROR(IF(COUNTIF(Saints!$C$2:$C$371,AE30)=0,"",INDEX(Saints!$D$2:$D$371,MATCH(AE30,Saints!$C$2:$C$371,0))),"")</f>
        <v>Didier</v>
      </c>
      <c r="AJ30" s="211" t="str">
        <f>IF(COUNTIF(Parametre!$C$27:$C$39,AE30)=0,"",INDEX(Parametre!$B$27:$B$39,MATCH(AE30,Parametre!$C$27:$C$39,0)))&amp;""&amp;IF(COUNTIF(Parametre!$I$45:$I$94,AE30)=0,"",INDEX(Parametre!$K$45:$K$94,MATCH(AE30,Parametre!$I$45:$I$94,0)))</f>
        <v/>
      </c>
      <c r="AL30" s="212">
        <f t="shared" si="47"/>
        <v>44005</v>
      </c>
      <c r="AM30" s="145"/>
      <c r="AN30" s="213" t="str">
        <f t="shared" si="58"/>
        <v/>
      </c>
      <c r="AO30" s="205" t="str">
        <f>IF(ISERROR(VLOOKUP(AL30,Lune!$A$2:$B$55,2,FALSE)),"",VLOOKUP(AL30,Lune!$A$2:$B$55,2,FALSE))</f>
        <v/>
      </c>
      <c r="AP30" s="206" t="str">
        <f>IFERROR(IF(COUNTIF(Saints!$C$2:$C$371,AL30)=0,"",INDEX(Saints!$D$2:$D$371,MATCH(AL30,Saints!$C$2:$C$371,0))),"")</f>
        <v>Audrey</v>
      </c>
      <c r="AQ30" s="211" t="str">
        <f>IF(COUNTIF(Parametre!$C$27:$C$39,AL30)=0,"",INDEX(Parametre!$B$27:$B$39,MATCH(AL30,Parametre!$C$27:$C$39,0)))&amp;""&amp;IF(COUNTIF(Parametre!$I$45:$I$94,AL30)=0,"",INDEX(Parametre!$K$45:$K$94,MATCH(AL30,Parametre!$I$45:$I$94,0)))</f>
        <v/>
      </c>
      <c r="AS30" s="212">
        <f t="shared" si="50"/>
        <v>44035</v>
      </c>
      <c r="AT30" s="145"/>
      <c r="AU30" s="213" t="str">
        <f t="shared" si="60"/>
        <v/>
      </c>
      <c r="AV30" s="205" t="str">
        <f>IF(ISERROR(VLOOKUP(AS30,Lune!$A$2:$B$55,2,FALSE)),"",VLOOKUP(AS30,Lune!$A$2:$B$55,2,FALSE))</f>
        <v/>
      </c>
      <c r="AW30" s="206" t="str">
        <f>IFERROR(IF(COUNTIF(Saints!$C$2:$C$371,AS30)=0,"",INDEX(Saints!$D$2:$D$371,MATCH(AS30,Saints!$C$2:$C$371,0))),"")</f>
        <v>Brigitte</v>
      </c>
      <c r="AX30" s="211" t="str">
        <f>IF(COUNTIF(Parametre!$C$27:$C$39,AS30)=0,"",INDEX(Parametre!$B$27:$B$39,MATCH(AS30,Parametre!$C$27:$C$39,0)))&amp;""&amp;IF(COUNTIF(Parametre!$I$45:$I$94,AS30)=0,"",INDEX(Parametre!$K$45:$K$94,MATCH(AS30,Parametre!$I$45:$I$94,0)))</f>
        <v/>
      </c>
      <c r="AZ30" s="212">
        <f t="shared" si="13"/>
        <v>44066</v>
      </c>
      <c r="BA30" s="145"/>
      <c r="BB30" s="213" t="str">
        <f t="shared" si="14"/>
        <v/>
      </c>
      <c r="BC30" s="205" t="str">
        <f>IF(ISERROR(VLOOKUP(AZ30,Lune!$A$2:$B$55,2,FALSE)),"",VLOOKUP(AZ30,Lune!$A$2:$B$55,2,FALSE))</f>
        <v/>
      </c>
      <c r="BD30" s="206" t="str">
        <f>IFERROR(IF(COUNTIF(Saints!$C$2:$C$371,AZ30)=0,"",INDEX(Saints!$D$2:$D$371,MATCH(AZ30,Saints!$C$2:$C$371,0))),"")</f>
        <v>Rose</v>
      </c>
      <c r="BE30" s="211" t="str">
        <f>IF(COUNTIF(Parametre!$C$27:$C$39,AZ30)=0,"",INDEX(Parametre!$B$27:$B$39,MATCH(AZ30,Parametre!$C$27:$C$39,0)))&amp;""&amp;IF(COUNTIF(Parametre!$I$45:$I$94,AZ30)=0,"",INDEX(Parametre!$K$45:$K$94,MATCH(AZ30,Parametre!$I$45:$I$94,0)))</f>
        <v/>
      </c>
      <c r="BG30" s="212">
        <f t="shared" si="15"/>
        <v>44097</v>
      </c>
      <c r="BH30" s="145"/>
      <c r="BI30" s="213" t="str">
        <f t="shared" si="16"/>
        <v/>
      </c>
      <c r="BJ30" s="205" t="str">
        <f>IF(ISERROR(VLOOKUP(BG30,Lune!$A$2:$B$55,2,FALSE)),"",VLOOKUP(BG30,Lune!$A$2:$B$55,2,FALSE))</f>
        <v/>
      </c>
      <c r="BK30" s="206" t="str">
        <f>IFERROR(IF(COUNTIF(Saints!$C$2:$C$371,BG30)=0,"",INDEX(Saints!$D$2:$D$371,MATCH(BG30,Saints!$C$2:$C$371,0))),"")</f>
        <v>Constant</v>
      </c>
      <c r="BL30" s="211" t="str">
        <f>IF(COUNTIF(Parametre!$C$27:$C$39,BG30)=0,"",INDEX(Parametre!$B$27:$B$39,MATCH(BG30,Parametre!$C$27:$C$39,0)))&amp;""&amp;IF(COUNTIF(Parametre!$I$45:$I$94,BG30)=0,"",INDEX(Parametre!$K$45:$K$94,MATCH(BG30,Parametre!$I$45:$I$94,0)))</f>
        <v/>
      </c>
      <c r="BN30" s="212">
        <f t="shared" si="17"/>
        <v>44127</v>
      </c>
      <c r="BO30" s="145"/>
      <c r="BP30" s="213" t="str">
        <f t="shared" si="18"/>
        <v/>
      </c>
      <c r="BQ30" s="205" t="str">
        <f>IF(ISERROR(VLOOKUP(BN30,Lune!$A$2:$B$55,2,FALSE)),"",VLOOKUP(BN30,Lune!$A$2:$B$55,2,FALSE))</f>
        <v></v>
      </c>
      <c r="BR30" s="206" t="str">
        <f>IFERROR(IF(COUNTIF(Saints!$C$2:$C$371,BN30)=0,"",INDEX(Saints!$D$2:$D$371,MATCH(BN30,Saints!$C$2:$C$371,0))),"")</f>
        <v>Jean de Cap.</v>
      </c>
      <c r="BS30" s="211" t="str">
        <f>IF(COUNTIF(Parametre!$C$27:$C$39,BN30)=0,"",INDEX(Parametre!$B$27:$B$39,MATCH(BN30,Parametre!$C$27:$C$39,0)))&amp;""&amp;IF(COUNTIF(Parametre!$I$45:$I$94,BN30)=0,"",INDEX(Parametre!$K$45:$K$94,MATCH(BN30,Parametre!$I$45:$I$94,0)))</f>
        <v/>
      </c>
      <c r="BU30" s="212">
        <f t="shared" si="19"/>
        <v>44158</v>
      </c>
      <c r="BV30" s="145"/>
      <c r="BW30" s="213">
        <f t="shared" si="20"/>
        <v>48</v>
      </c>
      <c r="BX30" s="205" t="str">
        <f>IF(ISERROR(VLOOKUP(BU30,Lune!$A$2:$B$55,2,FALSE)),"",VLOOKUP(BU30,Lune!$A$2:$B$55,2,FALSE))</f>
        <v/>
      </c>
      <c r="BY30" s="206" t="str">
        <f>IFERROR(IF(COUNTIF(Saints!$C$2:$C$371,BU30)=0,"",INDEX(Saints!$D$2:$D$371,MATCH(BU30,Saints!$C$2:$C$371,0))),"")</f>
        <v>Clément</v>
      </c>
      <c r="BZ30" s="211" t="str">
        <f>IF(COUNTIF(Parametre!$C$27:$C$39,BU30)=0,"",INDEX(Parametre!$B$27:$B$39,MATCH(BU30,Parametre!$C$27:$C$39,0)))&amp;""&amp;IF(COUNTIF(Parametre!$I$45:$I$94,BU30)=0,"",INDEX(Parametre!$K$45:$K$94,MATCH(BU30,Parametre!$I$45:$I$94,0)))</f>
        <v/>
      </c>
      <c r="CB30" s="212">
        <f t="shared" si="21"/>
        <v>44188</v>
      </c>
      <c r="CC30" s="145"/>
      <c r="CD30" s="213" t="str">
        <f t="shared" si="22"/>
        <v/>
      </c>
      <c r="CE30" s="205" t="str">
        <f>IF(ISERROR(VLOOKUP(CB30,Lune!$A$2:$B$55,2,FALSE)),"",VLOOKUP(CB30,Lune!$A$2:$B$55,2,FALSE))</f>
        <v/>
      </c>
      <c r="CF30" s="206" t="str">
        <f>IFERROR(IF(COUNTIF(Saints!$C$2:$C$371,CB30)=0,"",INDEX(Saints!$D$2:$D$371,MATCH(CB30,Saints!$C$2:$C$371,0))),"")</f>
        <v>Armand</v>
      </c>
      <c r="CG30" s="211" t="str">
        <f>IF(COUNTIF(Parametre!$C$27:$C$39,CB30)=0,"",INDEX(Parametre!$B$27:$B$39,MATCH(CB30,Parametre!$C$27:$C$39,0)))&amp;" "&amp;IF(COUNTIF(Parametre!$I$45:$I$94,CB30)=0,"",INDEX(Parametre!$K$45:$K$94,MATCH(CB30,Parametre!$I$45:$I$94,0)))</f>
        <v xml:space="preserve"> </v>
      </c>
    </row>
    <row r="31" spans="2:85" ht="15.75">
      <c r="B31" s="202">
        <v>24</v>
      </c>
      <c r="C31" s="203">
        <f t="shared" si="25"/>
        <v>43854</v>
      </c>
      <c r="D31" s="145"/>
      <c r="E31" s="214" t="str">
        <f t="shared" si="0"/>
        <v/>
      </c>
      <c r="F31" s="205" t="str">
        <f>IF(ISERROR(VLOOKUP(C31,Lune!$A$2:$B$55,2,FALSE)),"",VLOOKUP(C31,Lune!$A$2:$B$55,2,FALSE))</f>
        <v></v>
      </c>
      <c r="G31" s="206" t="str">
        <f>IFERROR(IF(COUNTIF(Saints!$C$2:$C$371,C31)=0,"",INDEX(Saints!$D$2:$D$371,MATCH(C31,Saints!$C$2:$C$371,0))),"")</f>
        <v>Paco</v>
      </c>
      <c r="H31" s="207" t="str">
        <f>IF(COUNTIF(Parametre!$C$27:$C$39,C31)=0,"",INDEX(Parametre!$B$27:$B$39,MATCH(C31,Parametre!$C$27:$C$39,0)))&amp;""&amp;IF(COUNTIF(Parametre!$I$45:$I$94,C31)=0,"",INDEX(Parametre!$K$45:$K$94,MATCH(C31,Parametre!$I$45:$I$94,0)))</f>
        <v/>
      </c>
      <c r="J31" s="203">
        <f t="shared" si="1"/>
        <v>43885</v>
      </c>
      <c r="K31" s="145"/>
      <c r="L31" s="204">
        <f t="shared" si="2"/>
        <v>9</v>
      </c>
      <c r="M31" s="205" t="str">
        <f>IF(ISERROR(VLOOKUP(J31,Lune!$A$2:$B$55,2,FALSE)),"",VLOOKUP(J31,Lune!$A$2:$B$55,2,FALSE))</f>
        <v/>
      </c>
      <c r="N31" s="206" t="str">
        <f>IFERROR(IF(COUNTIF(Saints!$C$2:$C$371,J31)=0,"",INDEX(Saints!$D$2:$D$371,MATCH(J31,Saints!$C$2:$C$371,0))),"")</f>
        <v>Modeste</v>
      </c>
      <c r="O31" s="207" t="str">
        <f>IF(COUNTIF(Parametre!$C$27:$C$39,J31)=0,"",INDEX(Parametre!$B$27:$B$39,MATCH(J31,Parametre!$C$27:$C$39,0)))&amp;""&amp;IF(COUNTIF(Parametre!$I$45:$I$94,J31)=0,"",INDEX(Parametre!$K$45:$K$94,MATCH(J31,Parametre!$I$45:$I$94,0)))</f>
        <v/>
      </c>
      <c r="Q31" s="203">
        <f t="shared" si="3"/>
        <v>43914</v>
      </c>
      <c r="R31" s="145"/>
      <c r="S31" s="204" t="str">
        <f t="shared" si="4"/>
        <v/>
      </c>
      <c r="T31" s="205" t="str">
        <f>IF(ISERROR(VLOOKUP(Q31,Lune!$A$2:$B$55,2,FALSE)),"",VLOOKUP(Q31,Lune!$A$2:$B$55,2,FALSE))</f>
        <v></v>
      </c>
      <c r="U31" s="206" t="str">
        <f>IFERROR(IF(COUNTIF(Saints!$C$2:$C$371,Q31)=0,"",INDEX(Saints!$D$2:$D$371,MATCH(Q31,Saints!$C$2:$C$371,0))),"")</f>
        <v>Kathy</v>
      </c>
      <c r="V31" s="207" t="str">
        <f>IF(COUNTIF(Parametre!$C$27:$C$39,Q31)=0,"",INDEX(Parametre!$B$27:$B$39,MATCH(Q31,Parametre!$C$27:$C$39,0)))&amp;""&amp;IF(COUNTIF(Parametre!$I$45:$I$94,Q31)=0,"",INDEX(Parametre!$K$45:$K$94,MATCH(Q31,Parametre!$I$45:$I$94,0)))</f>
        <v/>
      </c>
      <c r="X31" s="212">
        <f t="shared" si="5"/>
        <v>43945</v>
      </c>
      <c r="Y31" s="145"/>
      <c r="Z31" s="204" t="str">
        <f t="shared" si="6"/>
        <v/>
      </c>
      <c r="AA31" s="205" t="str">
        <f>IF(ISERROR(VLOOKUP(X31,Lune!$A$2:$B$55,2,FALSE)),"",VLOOKUP(X31,Lune!$A$2:$B$55,2,FALSE))</f>
        <v/>
      </c>
      <c r="AB31" s="206" t="str">
        <f>IFERROR(IF(COUNTIF(Saints!$C$2:$C$371,X31)=0,"",INDEX(Saints!$D$2:$D$371,MATCH(X31,Saints!$C$2:$C$371,0))),"")</f>
        <v>Fidèle</v>
      </c>
      <c r="AC31" s="207" t="str">
        <f>IF(COUNTIF(Parametre!$C$27:$C$39,X31)=0,"",INDEX(Parametre!$B$27:$B$39,MATCH(X31,Parametre!$C$27:$C$39,0)))&amp;""&amp;IF(COUNTIF(Parametre!$I$45:$I$94,X31)=0,"",INDEX(Parametre!$K$45:$K$94,MATCH(X31,Parametre!$I$45:$I$94,0)))</f>
        <v/>
      </c>
      <c r="AE31" s="212">
        <f t="shared" si="7"/>
        <v>43975</v>
      </c>
      <c r="AF31" s="145"/>
      <c r="AG31" s="213" t="str">
        <f t="shared" si="8"/>
        <v/>
      </c>
      <c r="AH31" s="205" t="str">
        <f>IF(ISERROR(VLOOKUP(AE31,[1]Lune!$A$2:$B$55,2,FALSE)),"",VLOOKUP(AE31,[1]Lune!$A$2:$B$55,2,FALSE))</f>
        <v/>
      </c>
      <c r="AI31" s="206" t="str">
        <f>IFERROR(IF(COUNTIF(Saints!$C$2:$C$371,AE31)=0,"",INDEX(Saints!$D$2:$D$371,MATCH(AE31,Saints!$C$2:$C$371,0))),"")</f>
        <v>Donatien</v>
      </c>
      <c r="AJ31" s="211" t="str">
        <f>IF(COUNTIF(Parametre!$C$27:$C$39,AE31)=0,"",INDEX(Parametre!$B$27:$B$39,MATCH(AE31,Parametre!$C$27:$C$39,0)))&amp;""&amp;IF(COUNTIF(Parametre!$I$45:$I$94,AE31)=0,"",INDEX(Parametre!$K$45:$K$94,MATCH(AE31,Parametre!$I$45:$I$94,0)))</f>
        <v/>
      </c>
      <c r="AL31" s="212">
        <f t="shared" si="47"/>
        <v>44006</v>
      </c>
      <c r="AM31" s="145"/>
      <c r="AN31" s="213" t="str">
        <f t="shared" si="58"/>
        <v/>
      </c>
      <c r="AO31" s="205" t="str">
        <f>IF(ISERROR(VLOOKUP(AL31,Lune!$A$2:$B$55,2,FALSE)),"",VLOOKUP(AL31,Lune!$A$2:$B$55,2,FALSE))</f>
        <v/>
      </c>
      <c r="AP31" s="206" t="str">
        <f>IFERROR(IF(COUNTIF(Saints!$C$2:$C$371,AL31)=0,"",INDEX(Saints!$D$2:$D$371,MATCH(AL31,Saints!$C$2:$C$371,0))),"")</f>
        <v>Jean-Baptiste</v>
      </c>
      <c r="AQ31" s="211" t="str">
        <f>IF(COUNTIF(Parametre!$C$27:$C$39,AL31)=0,"",INDEX(Parametre!$B$27:$B$39,MATCH(AL31,Parametre!$C$27:$C$39,0)))&amp;""&amp;IF(COUNTIF(Parametre!$I$45:$I$94,AL31)=0,"",INDEX(Parametre!$K$45:$K$94,MATCH(AL31,Parametre!$I$45:$I$94,0)))</f>
        <v/>
      </c>
      <c r="AS31" s="212">
        <f t="shared" si="50"/>
        <v>44036</v>
      </c>
      <c r="AT31" s="145"/>
      <c r="AU31" s="213" t="str">
        <f t="shared" si="60"/>
        <v/>
      </c>
      <c r="AV31" s="205" t="str">
        <f>IF(ISERROR(VLOOKUP(AS31,Lune!$A$2:$B$55,2,FALSE)),"",VLOOKUP(AS31,Lune!$A$2:$B$55,2,FALSE))</f>
        <v/>
      </c>
      <c r="AW31" s="206" t="str">
        <f>IFERROR(IF(COUNTIF(Saints!$C$2:$C$371,AS31)=0,"",INDEX(Saints!$D$2:$D$371,MATCH(AS31,Saints!$C$2:$C$371,0))),"")</f>
        <v>Christine</v>
      </c>
      <c r="AX31" s="211" t="str">
        <f>IF(COUNTIF(Parametre!$C$27:$C$39,AS31)=0,"",INDEX(Parametre!$B$27:$B$39,MATCH(AS31,Parametre!$C$27:$C$39,0)))&amp;""&amp;IF(COUNTIF(Parametre!$I$45:$I$94,AS31)=0,"",INDEX(Parametre!$K$45:$K$94,MATCH(AS31,Parametre!$I$45:$I$94,0)))</f>
        <v/>
      </c>
      <c r="AZ31" s="212">
        <f t="shared" si="13"/>
        <v>44067</v>
      </c>
      <c r="BA31" s="145"/>
      <c r="BB31" s="213">
        <f t="shared" si="14"/>
        <v>35</v>
      </c>
      <c r="BC31" s="205" t="str">
        <f>IF(ISERROR(VLOOKUP(AZ31,Lune!$A$2:$B$55,2,FALSE)),"",VLOOKUP(AZ31,Lune!$A$2:$B$55,2,FALSE))</f>
        <v/>
      </c>
      <c r="BD31" s="206" t="str">
        <f>IFERROR(IF(COUNTIF(Saints!$C$2:$C$371,AZ31)=0,"",INDEX(Saints!$D$2:$D$371,MATCH(AZ31,Saints!$C$2:$C$371,0))),"")</f>
        <v>Barthélémy</v>
      </c>
      <c r="BE31" s="211" t="str">
        <f>IF(COUNTIF(Parametre!$C$27:$C$39,AZ31)=0,"",INDEX(Parametre!$B$27:$B$39,MATCH(AZ31,Parametre!$C$27:$C$39,0)))&amp;""&amp;IF(COUNTIF(Parametre!$I$45:$I$94,AZ31)=0,"",INDEX(Parametre!$K$45:$K$94,MATCH(AZ31,Parametre!$I$45:$I$94,0)))</f>
        <v/>
      </c>
      <c r="BG31" s="212">
        <f t="shared" si="15"/>
        <v>44098</v>
      </c>
      <c r="BH31" s="145"/>
      <c r="BI31" s="213" t="str">
        <f t="shared" si="16"/>
        <v/>
      </c>
      <c r="BJ31" s="205" t="str">
        <f>IF(ISERROR(VLOOKUP(BG31,Lune!$A$2:$B$55,2,FALSE)),"",VLOOKUP(BG31,Lune!$A$2:$B$55,2,FALSE))</f>
        <v></v>
      </c>
      <c r="BK31" s="206" t="str">
        <f>IFERROR(IF(COUNTIF(Saints!$C$2:$C$371,BG31)=0,"",INDEX(Saints!$D$2:$D$371,MATCH(BG31,Saints!$C$2:$C$371,0))),"")</f>
        <v>Thècle</v>
      </c>
      <c r="BL31" s="211" t="str">
        <f>IF(COUNTIF(Parametre!$C$27:$C$39,BG31)=0,"",INDEX(Parametre!$B$27:$B$39,MATCH(BG31,Parametre!$C$27:$C$39,0)))&amp;""&amp;IF(COUNTIF(Parametre!$I$45:$I$94,BG31)=0,"",INDEX(Parametre!$K$45:$K$94,MATCH(BG31,Parametre!$I$45:$I$94,0)))</f>
        <v/>
      </c>
      <c r="BN31" s="212">
        <f t="shared" si="17"/>
        <v>44128</v>
      </c>
      <c r="BO31" s="145"/>
      <c r="BP31" s="213" t="str">
        <f t="shared" si="18"/>
        <v/>
      </c>
      <c r="BQ31" s="205" t="str">
        <f>IF(ISERROR(VLOOKUP(BN31,Lune!$A$2:$B$55,2,FALSE)),"",VLOOKUP(BN31,Lune!$A$2:$B$55,2,FALSE))</f>
        <v/>
      </c>
      <c r="BR31" s="206" t="str">
        <f>IFERROR(IF(COUNTIF(Saints!$C$2:$C$371,BN31)=0,"",INDEX(Saints!$D$2:$D$371,MATCH(BN31,Saints!$C$2:$C$371,0))),"")</f>
        <v>Florentin</v>
      </c>
      <c r="BS31" s="211" t="str">
        <f>IF(COUNTIF(Parametre!$C$27:$C$39,BN31)=0,"",INDEX(Parametre!$B$27:$B$39,MATCH(BN31,Parametre!$C$27:$C$39,0)))&amp;""&amp;IF(COUNTIF(Parametre!$I$45:$I$94,BN31)=0,"",INDEX(Parametre!$K$45:$K$94,MATCH(BN31,Parametre!$I$45:$I$94,0)))</f>
        <v/>
      </c>
      <c r="BU31" s="212">
        <f t="shared" si="19"/>
        <v>44159</v>
      </c>
      <c r="BV31" s="145"/>
      <c r="BW31" s="213" t="str">
        <f t="shared" si="20"/>
        <v/>
      </c>
      <c r="BX31" s="205" t="str">
        <f>IF(ISERROR(VLOOKUP(BU31,Lune!$A$2:$B$55,2,FALSE)),"",VLOOKUP(BU31,Lune!$A$2:$B$55,2,FALSE))</f>
        <v/>
      </c>
      <c r="BY31" s="206" t="str">
        <f>IFERROR(IF(COUNTIF(Saints!$C$2:$C$371,BU31)=0,"",INDEX(Saints!$D$2:$D$371,MATCH(BU31,Saints!$C$2:$C$371,0))),"")</f>
        <v>Flora</v>
      </c>
      <c r="BZ31" s="211" t="str">
        <f>IF(COUNTIF(Parametre!$C$27:$C$39,BU31)=0,"",INDEX(Parametre!$B$27:$B$39,MATCH(BU31,Parametre!$C$27:$C$39,0)))&amp;""&amp;IF(COUNTIF(Parametre!$I$45:$I$94,BU31)=0,"",INDEX(Parametre!$K$45:$K$94,MATCH(BU31,Parametre!$I$45:$I$94,0)))</f>
        <v/>
      </c>
      <c r="CB31" s="212">
        <f t="shared" si="21"/>
        <v>44189</v>
      </c>
      <c r="CC31" s="145"/>
      <c r="CD31" s="213" t="str">
        <f t="shared" si="22"/>
        <v/>
      </c>
      <c r="CE31" s="205" t="str">
        <f>IF(ISERROR(VLOOKUP(CB31,Lune!$A$2:$B$55,2,FALSE)),"",VLOOKUP(CB31,Lune!$A$2:$B$55,2,FALSE))</f>
        <v/>
      </c>
      <c r="CF31" s="206" t="str">
        <f>IFERROR(IF(COUNTIF(Saints!$C$2:$C$371,CB31)=0,"",INDEX(Saints!$D$2:$D$371,MATCH(CB31,Saints!$C$2:$C$371,0))),"")</f>
        <v>Adèle</v>
      </c>
      <c r="CG31" s="211" t="str">
        <f>IF(COUNTIF(Parametre!$C$27:$C$39,CB31)=0,"",INDEX(Parametre!$B$27:$B$39,MATCH(CB31,Parametre!$C$27:$C$39,0)))&amp;" "&amp;IF(COUNTIF(Parametre!$I$45:$I$94,CB31)=0,"",INDEX(Parametre!$K$45:$K$94,MATCH(CB31,Parametre!$I$45:$I$94,0)))</f>
        <v xml:space="preserve"> </v>
      </c>
    </row>
    <row r="32" spans="2:85" ht="15.75">
      <c r="B32" s="202">
        <v>25</v>
      </c>
      <c r="C32" s="203">
        <f t="shared" si="25"/>
        <v>43855</v>
      </c>
      <c r="D32" s="145"/>
      <c r="E32" s="214" t="str">
        <f t="shared" si="0"/>
        <v/>
      </c>
      <c r="F32" s="205" t="str">
        <f>IF(ISERROR(VLOOKUP(C32,Lune!$A$2:$B$55,2,FALSE)),"",VLOOKUP(C32,Lune!$A$2:$B$55,2,FALSE))</f>
        <v/>
      </c>
      <c r="G32" s="206" t="str">
        <f>IFERROR(IF(COUNTIF(Saints!$C$2:$C$371,C32)=0,"",INDEX(Saints!$D$2:$D$371,MATCH(C32,Saints!$C$2:$C$371,0))),"")</f>
        <v>Paul</v>
      </c>
      <c r="H32" s="207" t="str">
        <f>IF(COUNTIF(Parametre!$C$27:$C$39,C32)=0,"",INDEX(Parametre!$B$27:$B$39,MATCH(C32,Parametre!$C$27:$C$39,0)))&amp;""&amp;IF(COUNTIF(Parametre!$I$45:$I$94,C32)=0,"",INDEX(Parametre!$K$45:$K$94,MATCH(C32,Parametre!$I$45:$I$94,0)))</f>
        <v/>
      </c>
      <c r="J32" s="203">
        <f t="shared" si="1"/>
        <v>43886</v>
      </c>
      <c r="K32" s="145"/>
      <c r="L32" s="204" t="str">
        <f t="shared" si="2"/>
        <v/>
      </c>
      <c r="M32" s="205" t="str">
        <f>IF(ISERROR(VLOOKUP(J32,Lune!$A$2:$B$55,2,FALSE)),"",VLOOKUP(J32,Lune!$A$2:$B$55,2,FALSE))</f>
        <v/>
      </c>
      <c r="N32" s="206" t="str">
        <f>IFERROR(IF(COUNTIF(Saints!$C$2:$C$371,J32)=0,"",INDEX(Saints!$D$2:$D$371,MATCH(J32,Saints!$C$2:$C$371,0))),"")</f>
        <v>Roméo</v>
      </c>
      <c r="O32" s="207" t="str">
        <f>IF(COUNTIF(Parametre!$C$27:$C$39,J32)=0,"",INDEX(Parametre!$B$27:$B$39,MATCH(J32,Parametre!$C$27:$C$39,0)))&amp;""&amp;IF(COUNTIF(Parametre!$I$45:$I$94,J32)=0,"",INDEX(Parametre!$K$45:$K$94,MATCH(J32,Parametre!$I$45:$I$94,0)))</f>
        <v>Mardi gras</v>
      </c>
      <c r="Q32" s="203">
        <f t="shared" si="3"/>
        <v>43915</v>
      </c>
      <c r="R32" s="145"/>
      <c r="S32" s="204" t="str">
        <f t="shared" si="4"/>
        <v/>
      </c>
      <c r="T32" s="205" t="str">
        <f>IF(ISERROR(VLOOKUP(Q32,Lune!$A$2:$B$55,2,FALSE)),"",VLOOKUP(Q32,Lune!$A$2:$B$55,2,FALSE))</f>
        <v/>
      </c>
      <c r="U32" s="206" t="str">
        <f>IFERROR(IF(COUNTIF(Saints!$C$2:$C$371,Q32)=0,"",INDEX(Saints!$D$2:$D$371,MATCH(Q32,Saints!$C$2:$C$371,0))),"")</f>
        <v>Humbert</v>
      </c>
      <c r="V32" s="207" t="str">
        <f>IF(COUNTIF(Parametre!$C$27:$C$39,Q32)=0,"",INDEX(Parametre!$B$27:$B$39,MATCH(Q32,Parametre!$C$27:$C$39,0)))&amp;""&amp;IF(COUNTIF(Parametre!$I$45:$I$94,Q32)=0,"",INDEX(Parametre!$K$45:$K$94,MATCH(Q32,Parametre!$I$45:$I$94,0)))</f>
        <v/>
      </c>
      <c r="X32" s="212">
        <f t="shared" si="5"/>
        <v>43946</v>
      </c>
      <c r="Y32" s="145"/>
      <c r="Z32" s="204" t="str">
        <f t="shared" si="6"/>
        <v/>
      </c>
      <c r="AA32" s="205" t="str">
        <f>IF(ISERROR(VLOOKUP(X32,Lune!$A$2:$B$55,2,FALSE)),"",VLOOKUP(X32,Lune!$A$2:$B$55,2,FALSE))</f>
        <v/>
      </c>
      <c r="AB32" s="206" t="str">
        <f>IFERROR(IF(COUNTIF(Saints!$C$2:$C$371,X32)=0,"",INDEX(Saints!$D$2:$D$371,MATCH(X32,Saints!$C$2:$C$371,0))),"")</f>
        <v>Marc</v>
      </c>
      <c r="AC32" s="207" t="str">
        <f>IF(COUNTIF(Parametre!$C$27:$C$39,X32)=0,"",INDEX(Parametre!$B$27:$B$39,MATCH(X32,Parametre!$C$27:$C$39,0)))&amp;""&amp;IF(COUNTIF(Parametre!$I$45:$I$94,X32)=0,"",INDEX(Parametre!$K$45:$K$94,MATCH(X32,Parametre!$I$45:$I$94,0)))</f>
        <v/>
      </c>
      <c r="AE32" s="212">
        <f t="shared" si="7"/>
        <v>43976</v>
      </c>
      <c r="AF32" s="145"/>
      <c r="AG32" s="213">
        <f t="shared" si="8"/>
        <v>22</v>
      </c>
      <c r="AH32" s="205" t="str">
        <f>IF(ISERROR(VLOOKUP(AE32,[1]Lune!$A$2:$B$55,2,FALSE)),"",VLOOKUP(AE32,[1]Lune!$A$2:$B$55,2,FALSE))</f>
        <v/>
      </c>
      <c r="AI32" s="206" t="str">
        <f>IFERROR(IF(COUNTIF(Saints!$C$2:$C$371,AE32)=0,"",INDEX(Saints!$D$2:$D$371,MATCH(AE32,Saints!$C$2:$C$371,0))),"")</f>
        <v>Sophie</v>
      </c>
      <c r="AJ32" s="211" t="str">
        <f>IF(COUNTIF(Parametre!$C$27:$C$39,AE32)=0,"",INDEX(Parametre!$B$27:$B$39,MATCH(AE32,Parametre!$C$27:$C$39,0)))&amp;""&amp;IF(COUNTIF(Parametre!$I$45:$I$94,AE32)=0,"",INDEX(Parametre!$K$45:$K$94,MATCH(AE32,Parametre!$I$45:$I$94,0)))</f>
        <v>42 an Carole</v>
      </c>
      <c r="AL32" s="212">
        <f t="shared" si="47"/>
        <v>44007</v>
      </c>
      <c r="AM32" s="145"/>
      <c r="AN32" s="213" t="str">
        <f t="shared" si="58"/>
        <v/>
      </c>
      <c r="AO32" s="205" t="str">
        <f>IF(ISERROR(VLOOKUP(AL32,Lune!$A$2:$B$55,2,FALSE)),"",VLOOKUP(AL32,Lune!$A$2:$B$55,2,FALSE))</f>
        <v/>
      </c>
      <c r="AP32" s="206" t="str">
        <f>IFERROR(IF(COUNTIF(Saints!$C$2:$C$371,AL32)=0,"",INDEX(Saints!$D$2:$D$371,MATCH(AL32,Saints!$C$2:$C$371,0))),"")</f>
        <v>Prospère</v>
      </c>
      <c r="AQ32" s="211" t="str">
        <f>IF(COUNTIF(Parametre!$C$27:$C$39,AL32)=0,"",INDEX(Parametre!$B$27:$B$39,MATCH(AL32,Parametre!$C$27:$C$39,0)))&amp;""&amp;IF(COUNTIF(Parametre!$I$45:$I$94,AL32)=0,"",INDEX(Parametre!$K$45:$K$94,MATCH(AL32,Parametre!$I$45:$I$94,0)))</f>
        <v>8 an Justine</v>
      </c>
      <c r="AS32" s="212">
        <f t="shared" si="50"/>
        <v>44037</v>
      </c>
      <c r="AT32" s="145"/>
      <c r="AU32" s="213" t="str">
        <f t="shared" si="60"/>
        <v/>
      </c>
      <c r="AV32" s="205" t="str">
        <f>IF(ISERROR(VLOOKUP(AS32,Lune!$A$2:$B$55,2,FALSE)),"",VLOOKUP(AS32,Lune!$A$2:$B$55,2,FALSE))</f>
        <v/>
      </c>
      <c r="AW32" s="206" t="str">
        <f>IFERROR(IF(COUNTIF(Saints!$C$2:$C$371,AS32)=0,"",INDEX(Saints!$D$2:$D$371,MATCH(AS32,Saints!$C$2:$C$371,0))),"")</f>
        <v xml:space="preserve">Jacques </v>
      </c>
      <c r="AX32" s="211" t="str">
        <f>IF(COUNTIF(Parametre!$C$27:$C$39,AS32)=0,"",INDEX(Parametre!$B$27:$B$39,MATCH(AS32,Parametre!$C$27:$C$39,0)))&amp;""&amp;IF(COUNTIF(Parametre!$I$45:$I$94,AS32)=0,"",INDEX(Parametre!$K$45:$K$94,MATCH(AS32,Parametre!$I$45:$I$94,0)))</f>
        <v/>
      </c>
      <c r="AZ32" s="212">
        <f t="shared" si="13"/>
        <v>44068</v>
      </c>
      <c r="BA32" s="145"/>
      <c r="BB32" s="213" t="str">
        <f t="shared" si="14"/>
        <v/>
      </c>
      <c r="BC32" s="205" t="str">
        <f>IF(ISERROR(VLOOKUP(AZ32,Lune!$A$2:$B$55,2,FALSE)),"",VLOOKUP(AZ32,Lune!$A$2:$B$55,2,FALSE))</f>
        <v></v>
      </c>
      <c r="BD32" s="206" t="str">
        <f>IFERROR(IF(COUNTIF(Saints!$C$2:$C$371,AZ32)=0,"",INDEX(Saints!$D$2:$D$371,MATCH(AZ32,Saints!$C$2:$C$371,0))),"")</f>
        <v>Louis</v>
      </c>
      <c r="BE32" s="211" t="str">
        <f>IF(COUNTIF(Parametre!$C$27:$C$39,AZ32)=0,"",INDEX(Parametre!$B$27:$B$39,MATCH(AZ32,Parametre!$C$27:$C$39,0)))&amp;""&amp;IF(COUNTIF(Parametre!$I$45:$I$94,AZ32)=0,"",INDEX(Parametre!$K$45:$K$94,MATCH(AZ32,Parametre!$I$45:$I$94,0)))</f>
        <v/>
      </c>
      <c r="BG32" s="212">
        <f t="shared" si="15"/>
        <v>44099</v>
      </c>
      <c r="BH32" s="145"/>
      <c r="BI32" s="213" t="str">
        <f t="shared" si="16"/>
        <v/>
      </c>
      <c r="BJ32" s="205" t="str">
        <f>IF(ISERROR(VLOOKUP(BG32,Lune!$A$2:$B$55,2,FALSE)),"",VLOOKUP(BG32,Lune!$A$2:$B$55,2,FALSE))</f>
        <v/>
      </c>
      <c r="BK32" s="206" t="str">
        <f>IFERROR(IF(COUNTIF(Saints!$C$2:$C$371,BG32)=0,"",INDEX(Saints!$D$2:$D$371,MATCH(BG32,Saints!$C$2:$C$371,0))),"")</f>
        <v>Hermann</v>
      </c>
      <c r="BL32" s="211" t="str">
        <f>IF(COUNTIF(Parametre!$C$27:$C$39,BG32)=0,"",INDEX(Parametre!$B$27:$B$39,MATCH(BG32,Parametre!$C$27:$C$39,0)))&amp;""&amp;IF(COUNTIF(Parametre!$I$45:$I$94,BG32)=0,"",INDEX(Parametre!$K$45:$K$94,MATCH(BG32,Parametre!$I$45:$I$94,0)))</f>
        <v/>
      </c>
      <c r="BN32" s="212">
        <f t="shared" si="17"/>
        <v>44129</v>
      </c>
      <c r="BO32" s="145"/>
      <c r="BP32" s="213" t="str">
        <f t="shared" si="18"/>
        <v/>
      </c>
      <c r="BQ32" s="205" t="str">
        <f>IF(ISERROR(VLOOKUP(BN32,Lune!$A$2:$B$55,2,FALSE)),"",VLOOKUP(BN32,Lune!$A$2:$B$55,2,FALSE))</f>
        <v/>
      </c>
      <c r="BR32" s="206" t="str">
        <f>IFERROR(IF(COUNTIF(Saints!$C$2:$C$371,BN32)=0,"",INDEX(Saints!$D$2:$D$371,MATCH(BN32,Saints!$C$2:$C$371,0))),"")</f>
        <v>Crépin</v>
      </c>
      <c r="BS32" s="211" t="str">
        <f>IF(COUNTIF(Parametre!$C$27:$C$39,BN32)=0,"",INDEX(Parametre!$B$27:$B$39,MATCH(BN32,Parametre!$C$27:$C$39,0)))&amp;""&amp;IF(COUNTIF(Parametre!$I$45:$I$94,BN32)=0,"",INDEX(Parametre!$K$45:$K$94,MATCH(BN32,Parametre!$I$45:$I$94,0)))</f>
        <v/>
      </c>
      <c r="BU32" s="212">
        <f t="shared" si="19"/>
        <v>44160</v>
      </c>
      <c r="BV32" s="145"/>
      <c r="BW32" s="213" t="str">
        <f t="shared" si="20"/>
        <v/>
      </c>
      <c r="BX32" s="205" t="str">
        <f>IF(ISERROR(VLOOKUP(BU32,Lune!$A$2:$B$55,2,FALSE)),"",VLOOKUP(BU32,Lune!$A$2:$B$55,2,FALSE))</f>
        <v/>
      </c>
      <c r="BY32" s="206" t="str">
        <f>IFERROR(IF(COUNTIF(Saints!$C$2:$C$371,BU32)=0,"",INDEX(Saints!$D$2:$D$371,MATCH(BU32,Saints!$C$2:$C$371,0))),"")</f>
        <v>Catherine</v>
      </c>
      <c r="BZ32" s="211" t="str">
        <f>IF(COUNTIF(Parametre!$C$27:$C$39,BU32)=0,"",INDEX(Parametre!$B$27:$B$39,MATCH(BU32,Parametre!$C$27:$C$39,0)))&amp;""&amp;IF(COUNTIF(Parametre!$I$45:$I$94,BU32)=0,"",INDEX(Parametre!$K$45:$K$94,MATCH(BU32,Parametre!$I$45:$I$94,0)))</f>
        <v>32 an Emeline</v>
      </c>
      <c r="CB32" s="212">
        <f t="shared" si="21"/>
        <v>44190</v>
      </c>
      <c r="CC32" s="145"/>
      <c r="CD32" s="213" t="str">
        <f t="shared" si="22"/>
        <v/>
      </c>
      <c r="CE32" s="205" t="str">
        <f>IF(ISERROR(VLOOKUP(CB32,Lune!$A$2:$B$55,2,FALSE)),"",VLOOKUP(CB32,Lune!$A$2:$B$55,2,FALSE))</f>
        <v/>
      </c>
      <c r="CF32" s="206" t="str">
        <f>IFERROR(IF(COUNTIF(Saints!$C$2:$C$371,CB32)=0,"",INDEX(Saints!$D$2:$D$371,MATCH(CB32,Saints!$C$2:$C$371,0))),"")</f>
        <v>Noël</v>
      </c>
      <c r="CG32" s="211" t="str">
        <f>IF(COUNTIF(Parametre!$C$27:$C$39,CB32)=0,"",INDEX(Parametre!$B$27:$B$39,MATCH(CB32,Parametre!$C$27:$C$39,0)))&amp;" "&amp;IF(COUNTIF(Parametre!$I$45:$I$94,CB32)=0,"",INDEX(Parametre!$K$45:$K$94,MATCH(CB32,Parametre!$I$45:$I$94,0)))</f>
        <v xml:space="preserve">Noël </v>
      </c>
    </row>
    <row r="33" spans="2:85" ht="15.75">
      <c r="B33" s="202">
        <v>26</v>
      </c>
      <c r="C33" s="203">
        <f t="shared" si="25"/>
        <v>43856</v>
      </c>
      <c r="D33" s="145"/>
      <c r="E33" s="214" t="str">
        <f t="shared" si="0"/>
        <v/>
      </c>
      <c r="F33" s="205" t="str">
        <f>IF(ISERROR(VLOOKUP(C33,Lune!$A$2:$B$55,2,FALSE)),"",VLOOKUP(C33,Lune!$A$2:$B$55,2,FALSE))</f>
        <v/>
      </c>
      <c r="G33" s="206" t="str">
        <f>IFERROR(IF(COUNTIF(Saints!$C$2:$C$371,C33)=0,"",INDEX(Saints!$D$2:$D$371,MATCH(C33,Saints!$C$2:$C$371,0))),"")</f>
        <v>Paule</v>
      </c>
      <c r="H33" s="207" t="str">
        <f>IF(COUNTIF(Parametre!$C$27:$C$39,C33)=0,"",INDEX(Parametre!$B$27:$B$39,MATCH(C33,Parametre!$C$27:$C$39,0)))&amp;""&amp;IF(COUNTIF(Parametre!$I$45:$I$94,C33)=0,"",INDEX(Parametre!$K$45:$K$94,MATCH(C33,Parametre!$I$45:$I$94,0)))</f>
        <v/>
      </c>
      <c r="J33" s="203">
        <f t="shared" si="1"/>
        <v>43887</v>
      </c>
      <c r="K33" s="145"/>
      <c r="L33" s="204" t="str">
        <f t="shared" si="2"/>
        <v/>
      </c>
      <c r="M33" s="205" t="str">
        <f>IF(ISERROR(VLOOKUP(J33,Lune!$A$2:$B$55,2,FALSE)),"",VLOOKUP(J33,Lune!$A$2:$B$55,2,FALSE))</f>
        <v/>
      </c>
      <c r="N33" s="206" t="str">
        <f>IFERROR(IF(COUNTIF(Saints!$C$2:$C$371,J33)=0,"",INDEX(Saints!$D$2:$D$371,MATCH(J33,Saints!$C$2:$C$371,0))),"")</f>
        <v>Nestor</v>
      </c>
      <c r="O33" s="207" t="str">
        <f>IF(COUNTIF(Parametre!$C$27:$C$39,J33)=0,"",INDEX(Parametre!$B$27:$B$39,MATCH(J33,Parametre!$C$27:$C$39,0)))&amp;""&amp;IF(COUNTIF(Parametre!$I$45:$I$94,J33)=0,"",INDEX(Parametre!$K$45:$K$94,MATCH(J33,Parametre!$I$45:$I$94,0)))</f>
        <v>Cendres</v>
      </c>
      <c r="Q33" s="203">
        <f t="shared" si="3"/>
        <v>43916</v>
      </c>
      <c r="R33" s="145"/>
      <c r="S33" s="204" t="str">
        <f t="shared" si="4"/>
        <v/>
      </c>
      <c r="T33" s="205" t="str">
        <f>IF(ISERROR(VLOOKUP(Q33,Lune!$A$2:$B$55,2,FALSE)),"",VLOOKUP(Q33,Lune!$A$2:$B$55,2,FALSE))</f>
        <v/>
      </c>
      <c r="U33" s="206" t="str">
        <f>IFERROR(IF(COUNTIF(Saints!$C$2:$C$371,Q33)=0,"",INDEX(Saints!$D$2:$D$371,MATCH(Q33,Saints!$C$2:$C$371,0))),"")</f>
        <v>Larissa</v>
      </c>
      <c r="V33" s="207" t="str">
        <f>IF(COUNTIF(Parametre!$C$27:$C$39,Q33)=0,"",INDEX(Parametre!$B$27:$B$39,MATCH(Q33,Parametre!$C$27:$C$39,0)))&amp;""&amp;IF(COUNTIF(Parametre!$I$45:$I$94,Q33)=0,"",INDEX(Parametre!$K$45:$K$94,MATCH(Q33,Parametre!$I$45:$I$94,0)))</f>
        <v/>
      </c>
      <c r="X33" s="212">
        <f t="shared" si="5"/>
        <v>43947</v>
      </c>
      <c r="Y33" s="145"/>
      <c r="Z33" s="204" t="str">
        <f t="shared" si="6"/>
        <v/>
      </c>
      <c r="AA33" s="205" t="str">
        <f>IF(ISERROR(VLOOKUP(X33,Lune!$A$2:$B$55,2,FALSE)),"",VLOOKUP(X33,Lune!$A$2:$B$55,2,FALSE))</f>
        <v/>
      </c>
      <c r="AB33" s="206" t="str">
        <f>IFERROR(IF(COUNTIF(Saints!$C$2:$C$371,X33)=0,"",INDEX(Saints!$D$2:$D$371,MATCH(X33,Saints!$C$2:$C$371,0))),"")</f>
        <v>Alida</v>
      </c>
      <c r="AC33" s="207" t="str">
        <f>IF(COUNTIF(Parametre!$C$27:$C$39,X33)=0,"",INDEX(Parametre!$B$27:$B$39,MATCH(X33,Parametre!$C$27:$C$39,0)))&amp;""&amp;IF(COUNTIF(Parametre!$I$45:$I$94,X33)=0,"",INDEX(Parametre!$K$45:$K$94,MATCH(X33,Parametre!$I$45:$I$94,0)))</f>
        <v/>
      </c>
      <c r="AE33" s="212">
        <f t="shared" si="7"/>
        <v>43977</v>
      </c>
      <c r="AF33" s="145"/>
      <c r="AG33" s="213" t="str">
        <f t="shared" si="8"/>
        <v/>
      </c>
      <c r="AH33" s="205" t="str">
        <f>IF(ISERROR(VLOOKUP(AE33,[1]Lune!$A$2:$B$55,2,FALSE)),"",VLOOKUP(AE33,[1]Lune!$A$2:$B$55,2,FALSE))</f>
        <v/>
      </c>
      <c r="AI33" s="206" t="str">
        <f>IFERROR(IF(COUNTIF(Saints!$C$2:$C$371,AE33)=0,"",INDEX(Saints!$D$2:$D$371,MATCH(AE33,Saints!$C$2:$C$371,0))),"")</f>
        <v>Bérenger</v>
      </c>
      <c r="AJ33" s="211" t="str">
        <f>IF(COUNTIF(Parametre!$C$27:$C$39,AE33)=0,"",INDEX(Parametre!$B$27:$B$39,MATCH(AE33,Parametre!$C$27:$C$39,0)))&amp;""&amp;IF(COUNTIF(Parametre!$I$45:$I$94,AE33)=0,"",INDEX(Parametre!$K$45:$K$94,MATCH(AE33,Parametre!$I$45:$I$94,0)))</f>
        <v/>
      </c>
      <c r="AL33" s="212">
        <f t="shared" si="47"/>
        <v>44008</v>
      </c>
      <c r="AM33" s="145"/>
      <c r="AN33" s="213" t="str">
        <f t="shared" si="58"/>
        <v/>
      </c>
      <c r="AO33" s="205" t="str">
        <f>IF(ISERROR(VLOOKUP(AL33,Lune!$A$2:$B$55,2,FALSE)),"",VLOOKUP(AL33,Lune!$A$2:$B$55,2,FALSE))</f>
        <v/>
      </c>
      <c r="AP33" s="206" t="str">
        <f>IFERROR(IF(COUNTIF(Saints!$C$2:$C$371,AL33)=0,"",INDEX(Saints!$D$2:$D$371,MATCH(AL33,Saints!$C$2:$C$371,0))),"")</f>
        <v>Anthelme</v>
      </c>
      <c r="AQ33" s="211" t="str">
        <f>IF(COUNTIF(Parametre!$C$27:$C$39,AL33)=0,"",INDEX(Parametre!$B$27:$B$39,MATCH(AL33,Parametre!$C$27:$C$39,0)))&amp;""&amp;IF(COUNTIF(Parametre!$I$45:$I$94,AL33)=0,"",INDEX(Parametre!$K$45:$K$94,MATCH(AL33,Parametre!$I$45:$I$94,0)))</f>
        <v/>
      </c>
      <c r="AS33" s="212">
        <f t="shared" si="50"/>
        <v>44038</v>
      </c>
      <c r="AT33" s="145"/>
      <c r="AU33" s="213" t="str">
        <f t="shared" si="60"/>
        <v/>
      </c>
      <c r="AV33" s="205" t="str">
        <f>IF(ISERROR(VLOOKUP(AS33,Lune!$A$2:$B$55,2,FALSE)),"",VLOOKUP(AS33,Lune!$A$2:$B$55,2,FALSE))</f>
        <v/>
      </c>
      <c r="AW33" s="206" t="str">
        <f>IFERROR(IF(COUNTIF(Saints!$C$2:$C$371,AS33)=0,"",INDEX(Saints!$D$2:$D$371,MATCH(AS33,Saints!$C$2:$C$371,0))),"")</f>
        <v>Anne</v>
      </c>
      <c r="AX33" s="211" t="str">
        <f>IF(COUNTIF(Parametre!$C$27:$C$39,AS33)=0,"",INDEX(Parametre!$B$27:$B$39,MATCH(AS33,Parametre!$C$27:$C$39,0)))&amp;""&amp;IF(COUNTIF(Parametre!$I$45:$I$94,AS33)=0,"",INDEX(Parametre!$K$45:$K$94,MATCH(AS33,Parametre!$I$45:$I$94,0)))</f>
        <v/>
      </c>
      <c r="AZ33" s="212">
        <f t="shared" si="13"/>
        <v>44069</v>
      </c>
      <c r="BA33" s="145"/>
      <c r="BB33" s="213" t="str">
        <f t="shared" si="14"/>
        <v/>
      </c>
      <c r="BC33" s="205" t="str">
        <f>IF(ISERROR(VLOOKUP(AZ33,Lune!$A$2:$B$55,2,FALSE)),"",VLOOKUP(AZ33,Lune!$A$2:$B$55,2,FALSE))</f>
        <v/>
      </c>
      <c r="BD33" s="206" t="str">
        <f>IFERROR(IF(COUNTIF(Saints!$C$2:$C$371,AZ33)=0,"",INDEX(Saints!$D$2:$D$371,MATCH(AZ33,Saints!$C$2:$C$371,0))),"")</f>
        <v>Natacha</v>
      </c>
      <c r="BE33" s="211" t="str">
        <f>IF(COUNTIF(Parametre!$C$27:$C$39,AZ33)=0,"",INDEX(Parametre!$B$27:$B$39,MATCH(AZ33,Parametre!$C$27:$C$39,0)))&amp;""&amp;IF(COUNTIF(Parametre!$I$45:$I$94,AZ33)=0,"",INDEX(Parametre!$K$45:$K$94,MATCH(AZ33,Parametre!$I$45:$I$94,0)))</f>
        <v/>
      </c>
      <c r="BG33" s="212">
        <f t="shared" si="15"/>
        <v>44100</v>
      </c>
      <c r="BH33" s="145"/>
      <c r="BI33" s="213" t="str">
        <f t="shared" si="16"/>
        <v/>
      </c>
      <c r="BJ33" s="205" t="str">
        <f>IF(ISERROR(VLOOKUP(BG33,Lune!$A$2:$B$55,2,FALSE)),"",VLOOKUP(BG33,Lune!$A$2:$B$55,2,FALSE))</f>
        <v/>
      </c>
      <c r="BK33" s="206" t="str">
        <f>IFERROR(IF(COUNTIF(Saints!$C$2:$C$371,BG33)=0,"",INDEX(Saints!$D$2:$D$371,MATCH(BG33,Saints!$C$2:$C$371,0))),"")</f>
        <v>Damien</v>
      </c>
      <c r="BL33" s="211" t="str">
        <f>IF(COUNTIF(Parametre!$C$27:$C$39,BG33)=0,"",INDEX(Parametre!$B$27:$B$39,MATCH(BG33,Parametre!$C$27:$C$39,0)))&amp;""&amp;IF(COUNTIF(Parametre!$I$45:$I$94,BG33)=0,"",INDEX(Parametre!$K$45:$K$94,MATCH(BG33,Parametre!$I$45:$I$94,0)))</f>
        <v/>
      </c>
      <c r="BN33" s="212">
        <f t="shared" si="17"/>
        <v>44130</v>
      </c>
      <c r="BO33" s="145"/>
      <c r="BP33" s="213">
        <f t="shared" si="18"/>
        <v>44</v>
      </c>
      <c r="BQ33" s="205" t="str">
        <f>IF(ISERROR(VLOOKUP(BN33,Lune!$A$2:$B$55,2,FALSE)),"",VLOOKUP(BN33,Lune!$A$2:$B$55,2,FALSE))</f>
        <v/>
      </c>
      <c r="BR33" s="206" t="str">
        <f>IFERROR(IF(COUNTIF(Saints!$C$2:$C$371,BN33)=0,"",INDEX(Saints!$D$2:$D$371,MATCH(BN33,Saints!$C$2:$C$371,0))),"")</f>
        <v>Dimitri</v>
      </c>
      <c r="BS33" s="211" t="str">
        <f>IF(COUNTIF(Parametre!$C$27:$C$39,BN33)=0,"",INDEX(Parametre!$B$27:$B$39,MATCH(BN33,Parametre!$C$27:$C$39,0)))&amp;""&amp;IF(COUNTIF(Parametre!$I$45:$I$94,BN33)=0,"",INDEX(Parametre!$K$45:$K$94,MATCH(BN33,Parametre!$I$45:$I$94,0)))</f>
        <v/>
      </c>
      <c r="BU33" s="212">
        <f t="shared" si="19"/>
        <v>44161</v>
      </c>
      <c r="BV33" s="145"/>
      <c r="BW33" s="213" t="str">
        <f t="shared" si="20"/>
        <v/>
      </c>
      <c r="BX33" s="205" t="str">
        <f>IF(ISERROR(VLOOKUP(BU33,Lune!$A$2:$B$55,2,FALSE)),"",VLOOKUP(BU33,Lune!$A$2:$B$55,2,FALSE))</f>
        <v/>
      </c>
      <c r="BY33" s="206" t="str">
        <f>IFERROR(IF(COUNTIF(Saints!$C$2:$C$371,BU33)=0,"",INDEX(Saints!$D$2:$D$371,MATCH(BU33,Saints!$C$2:$C$371,0))),"")</f>
        <v>Delphine</v>
      </c>
      <c r="BZ33" s="211" t="str">
        <f>IF(COUNTIF(Parametre!$C$27:$C$39,BU33)=0,"",INDEX(Parametre!$B$27:$B$39,MATCH(BU33,Parametre!$C$27:$C$39,0)))&amp;""&amp;IF(COUNTIF(Parametre!$I$45:$I$94,BU33)=0,"",INDEX(Parametre!$K$45:$K$94,MATCH(BU33,Parametre!$I$45:$I$94,0)))</f>
        <v/>
      </c>
      <c r="CB33" s="212">
        <f t="shared" si="21"/>
        <v>44191</v>
      </c>
      <c r="CC33" s="145"/>
      <c r="CD33" s="213" t="str">
        <f t="shared" si="22"/>
        <v/>
      </c>
      <c r="CE33" s="205" t="str">
        <f>IF(ISERROR(VLOOKUP(CB33,Lune!$A$2:$B$55,2,FALSE)),"",VLOOKUP(CB33,Lune!$A$2:$B$55,2,FALSE))</f>
        <v/>
      </c>
      <c r="CF33" s="206" t="str">
        <f>IFERROR(IF(COUNTIF(Saints!$C$2:$C$371,CB33)=0,"",INDEX(Saints!$D$2:$D$371,MATCH(CB33,Saints!$C$2:$C$371,0))),"")</f>
        <v>Etienne</v>
      </c>
      <c r="CG33" s="211" t="str">
        <f>IF(COUNTIF(Parametre!$C$27:$C$39,CB33)=0,"",INDEX(Parametre!$B$27:$B$39,MATCH(CB33,Parametre!$C$27:$C$39,0)))&amp;" "&amp;IF(COUNTIF(Parametre!$I$45:$I$94,CB33)=0,"",INDEX(Parametre!$K$45:$K$94,MATCH(CB33,Parametre!$I$45:$I$94,0)))</f>
        <v xml:space="preserve"> </v>
      </c>
    </row>
    <row r="34" spans="2:85" ht="15.75">
      <c r="B34" s="202">
        <v>27</v>
      </c>
      <c r="C34" s="203">
        <f t="shared" si="25"/>
        <v>43857</v>
      </c>
      <c r="D34" s="145"/>
      <c r="E34" s="204">
        <f t="shared" si="0"/>
        <v>5</v>
      </c>
      <c r="F34" s="205" t="str">
        <f>IF(ISERROR(VLOOKUP(C34,Lune!$A$2:$B$55,2,FALSE)),"",VLOOKUP(C34,Lune!$A$2:$B$55,2,FALSE))</f>
        <v/>
      </c>
      <c r="G34" s="206" t="str">
        <f>IFERROR(IF(COUNTIF(Saints!$C$2:$C$371,C34)=0,"",INDEX(Saints!$D$2:$D$371,MATCH(C34,Saints!$C$2:$C$371,0))),"")</f>
        <v>Angèle</v>
      </c>
      <c r="H34" s="207" t="str">
        <f>IF(COUNTIF(Parametre!$C$27:$C$39,C34)=0,"",INDEX(Parametre!$B$27:$B$39,MATCH(C34,Parametre!$C$27:$C$39,0)))&amp;""&amp;IF(COUNTIF(Parametre!$I$45:$I$94,C34)=0,"",INDEX(Parametre!$K$45:$K$94,MATCH(C34,Parametre!$I$45:$I$94,0)))</f>
        <v/>
      </c>
      <c r="J34" s="203">
        <f t="shared" si="1"/>
        <v>43888</v>
      </c>
      <c r="K34" s="145"/>
      <c r="L34" s="204" t="str">
        <f t="shared" si="2"/>
        <v/>
      </c>
      <c r="M34" s="205" t="str">
        <f>IF(ISERROR(VLOOKUP(J34,Lune!$A$2:$B$55,2,FALSE)),"",VLOOKUP(J34,Lune!$A$2:$B$55,2,FALSE))</f>
        <v/>
      </c>
      <c r="N34" s="206" t="str">
        <f>IFERROR(IF(COUNTIF(Saints!$C$2:$C$371,J34)=0,"",INDEX(Saints!$D$2:$D$371,MATCH(J34,Saints!$C$2:$C$371,0))),"")</f>
        <v>Honorine</v>
      </c>
      <c r="O34" s="207" t="str">
        <f>IF(COUNTIF(Parametre!$C$27:$C$39,J34)=0,"",INDEX(Parametre!$B$27:$B$39,MATCH(J34,Parametre!$C$27:$C$39,0)))&amp;""&amp;IF(COUNTIF(Parametre!$I$45:$I$94,J34)=0,"",INDEX(Parametre!$K$45:$K$94,MATCH(J34,Parametre!$I$45:$I$94,0)))</f>
        <v/>
      </c>
      <c r="Q34" s="203">
        <f t="shared" si="3"/>
        <v>43917</v>
      </c>
      <c r="R34" s="145"/>
      <c r="S34" s="204" t="str">
        <f t="shared" si="4"/>
        <v/>
      </c>
      <c r="T34" s="205" t="str">
        <f>IF(ISERROR(VLOOKUP(Q34,Lune!$A$2:$B$55,2,FALSE)),"",VLOOKUP(Q34,Lune!$A$2:$B$55,2,FALSE))</f>
        <v/>
      </c>
      <c r="U34" s="206" t="str">
        <f>IFERROR(IF(COUNTIF(Saints!$C$2:$C$371,Q34)=0,"",INDEX(Saints!$D$2:$D$371,MATCH(Q34,Saints!$C$2:$C$371,0))),"")</f>
        <v>Abib</v>
      </c>
      <c r="V34" s="207" t="str">
        <f>IF(COUNTIF(Parametre!$C$27:$C$39,Q34)=0,"",INDEX(Parametre!$B$27:$B$39,MATCH(Q34,Parametre!$C$27:$C$39,0)))&amp;""&amp;IF(COUNTIF(Parametre!$I$45:$I$94,Q34)=0,"",INDEX(Parametre!$K$45:$K$94,MATCH(Q34,Parametre!$I$45:$I$94,0)))</f>
        <v/>
      </c>
      <c r="X34" s="212">
        <f t="shared" si="5"/>
        <v>43948</v>
      </c>
      <c r="Y34" s="145"/>
      <c r="Z34" s="204">
        <f t="shared" si="6"/>
        <v>18</v>
      </c>
      <c r="AA34" s="205" t="str">
        <f>IF(ISERROR(VLOOKUP(X34,Lune!$A$2:$B$55,2,FALSE)),"",VLOOKUP(X34,Lune!$A$2:$B$55,2,FALSE))</f>
        <v/>
      </c>
      <c r="AB34" s="206" t="str">
        <f>IFERROR(IF(COUNTIF(Saints!$C$2:$C$371,X34)=0,"",INDEX(Saints!$D$2:$D$371,MATCH(X34,Saints!$C$2:$C$371,0))),"")</f>
        <v>Zita</v>
      </c>
      <c r="AC34" s="207" t="str">
        <f>IF(COUNTIF(Parametre!$C$27:$C$39,X34)=0,"",INDEX(Parametre!$B$27:$B$39,MATCH(X34,Parametre!$C$27:$C$39,0)))&amp;""&amp;IF(COUNTIF(Parametre!$I$45:$I$94,X34)=0,"",INDEX(Parametre!$K$45:$K$94,MATCH(X34,Parametre!$I$45:$I$94,0)))</f>
        <v/>
      </c>
      <c r="AE34" s="212">
        <f t="shared" si="7"/>
        <v>43978</v>
      </c>
      <c r="AF34" s="145"/>
      <c r="AG34" s="213" t="str">
        <f t="shared" si="8"/>
        <v/>
      </c>
      <c r="AH34" s="205" t="str">
        <f>IF(ISERROR(VLOOKUP(AE34,[1]Lune!$A$2:$B$55,2,FALSE)),"",VLOOKUP(AE34,[1]Lune!$A$2:$B$55,2,FALSE))</f>
        <v/>
      </c>
      <c r="AI34" s="206" t="str">
        <f>IFERROR(IF(COUNTIF(Saints!$C$2:$C$371,AE34)=0,"",INDEX(Saints!$D$2:$D$371,MATCH(AE34,Saints!$C$2:$C$371,0))),"")</f>
        <v>Augustin</v>
      </c>
      <c r="AJ34" s="211" t="str">
        <f>IF(COUNTIF(Parametre!$C$27:$C$39,AE34)=0,"",INDEX(Parametre!$B$27:$B$39,MATCH(AE34,Parametre!$C$27:$C$39,0)))&amp;""&amp;IF(COUNTIF(Parametre!$I$45:$I$94,AE34)=0,"",INDEX(Parametre!$K$45:$K$94,MATCH(AE34,Parametre!$I$45:$I$94,0)))</f>
        <v/>
      </c>
      <c r="AL34" s="212">
        <f t="shared" si="47"/>
        <v>44009</v>
      </c>
      <c r="AM34" s="145"/>
      <c r="AN34" s="213" t="str">
        <f t="shared" si="58"/>
        <v/>
      </c>
      <c r="AO34" s="205" t="str">
        <f>IF(ISERROR(VLOOKUP(AL34,Lune!$A$2:$B$55,2,FALSE)),"",VLOOKUP(AL34,Lune!$A$2:$B$55,2,FALSE))</f>
        <v/>
      </c>
      <c r="AP34" s="206" t="str">
        <f>IFERROR(IF(COUNTIF(Saints!$C$2:$C$371,AL34)=0,"",INDEX(Saints!$D$2:$D$371,MATCH(AL34,Saints!$C$2:$C$371,0))),"")</f>
        <v>Fernand</v>
      </c>
      <c r="AQ34" s="211" t="str">
        <f>IF(COUNTIF(Parametre!$C$27:$C$39,AL34)=0,"",INDEX(Parametre!$B$27:$B$39,MATCH(AL34,Parametre!$C$27:$C$39,0)))&amp;""&amp;IF(COUNTIF(Parametre!$I$45:$I$94,AL34)=0,"",INDEX(Parametre!$K$45:$K$94,MATCH(AL34,Parametre!$I$45:$I$94,0)))</f>
        <v/>
      </c>
      <c r="AS34" s="212">
        <f t="shared" si="50"/>
        <v>44039</v>
      </c>
      <c r="AT34" s="145"/>
      <c r="AU34" s="213">
        <f t="shared" si="60"/>
        <v>31</v>
      </c>
      <c r="AV34" s="205" t="str">
        <f>IF(ISERROR(VLOOKUP(AS34,Lune!$A$2:$B$55,2,FALSE)),"",VLOOKUP(AS34,Lune!$A$2:$B$55,2,FALSE))</f>
        <v></v>
      </c>
      <c r="AW34" s="206" t="str">
        <f>IFERROR(IF(COUNTIF(Saints!$C$2:$C$371,AS34)=0,"",INDEX(Saints!$D$2:$D$371,MATCH(AS34,Saints!$C$2:$C$371,0))),"")</f>
        <v>Nathalie</v>
      </c>
      <c r="AX34" s="211" t="str">
        <f>IF(COUNTIF(Parametre!$C$27:$C$39,AS34)=0,"",INDEX(Parametre!$B$27:$B$39,MATCH(AS34,Parametre!$C$27:$C$39,0)))&amp;""&amp;IF(COUNTIF(Parametre!$I$45:$I$94,AS34)=0,"",INDEX(Parametre!$K$45:$K$94,MATCH(AS34,Parametre!$I$45:$I$94,0)))</f>
        <v/>
      </c>
      <c r="AZ34" s="212">
        <f t="shared" si="13"/>
        <v>44070</v>
      </c>
      <c r="BA34" s="145"/>
      <c r="BB34" s="213" t="str">
        <f t="shared" si="14"/>
        <v/>
      </c>
      <c r="BC34" s="205" t="str">
        <f>IF(ISERROR(VLOOKUP(AZ34,Lune!$A$2:$B$55,2,FALSE)),"",VLOOKUP(AZ34,Lune!$A$2:$B$55,2,FALSE))</f>
        <v/>
      </c>
      <c r="BD34" s="206" t="str">
        <f>IFERROR(IF(COUNTIF(Saints!$C$2:$C$371,AZ34)=0,"",INDEX(Saints!$D$2:$D$371,MATCH(AZ34,Saints!$C$2:$C$371,0))),"")</f>
        <v>Monique</v>
      </c>
      <c r="BE34" s="211" t="str">
        <f>IF(COUNTIF(Parametre!$C$27:$C$39,AZ34)=0,"",INDEX(Parametre!$B$27:$B$39,MATCH(AZ34,Parametre!$C$27:$C$39,0)))&amp;""&amp;IF(COUNTIF(Parametre!$I$45:$I$94,AZ34)=0,"",INDEX(Parametre!$K$45:$K$94,MATCH(AZ34,Parametre!$I$45:$I$94,0)))</f>
        <v/>
      </c>
      <c r="BG34" s="212">
        <f t="shared" si="15"/>
        <v>44101</v>
      </c>
      <c r="BH34" s="145"/>
      <c r="BI34" s="213" t="str">
        <f t="shared" si="16"/>
        <v/>
      </c>
      <c r="BJ34" s="205" t="str">
        <f>IF(ISERROR(VLOOKUP(BG34,Lune!$A$2:$B$55,2,FALSE)),"",VLOOKUP(BG34,Lune!$A$2:$B$55,2,FALSE))</f>
        <v/>
      </c>
      <c r="BK34" s="206" t="str">
        <f>IFERROR(IF(COUNTIF(Saints!$C$2:$C$371,BG34)=0,"",INDEX(Saints!$D$2:$D$371,MATCH(BG34,Saints!$C$2:$C$371,0))),"")</f>
        <v>Vincent de Paul</v>
      </c>
      <c r="BL34" s="211" t="str">
        <f>IF(COUNTIF(Parametre!$C$27:$C$39,BG34)=0,"",INDEX(Parametre!$B$27:$B$39,MATCH(BG34,Parametre!$C$27:$C$39,0)))&amp;""&amp;IF(COUNTIF(Parametre!$I$45:$I$94,BG34)=0,"",INDEX(Parametre!$K$45:$K$94,MATCH(BG34,Parametre!$I$45:$I$94,0)))</f>
        <v/>
      </c>
      <c r="BN34" s="212">
        <f t="shared" si="17"/>
        <v>44131</v>
      </c>
      <c r="BO34" s="145"/>
      <c r="BP34" s="213" t="str">
        <f t="shared" si="18"/>
        <v/>
      </c>
      <c r="BQ34" s="205" t="str">
        <f>IF(ISERROR(VLOOKUP(BN34,Lune!$A$2:$B$55,2,FALSE)),"",VLOOKUP(BN34,Lune!$A$2:$B$55,2,FALSE))</f>
        <v/>
      </c>
      <c r="BR34" s="206" t="str">
        <f>IFERROR(IF(COUNTIF(Saints!$C$2:$C$371,BN34)=0,"",INDEX(Saints!$D$2:$D$371,MATCH(BN34,Saints!$C$2:$C$371,0))),"")</f>
        <v>Emeline</v>
      </c>
      <c r="BS34" s="211" t="str">
        <f>IF(COUNTIF(Parametre!$C$27:$C$39,BN34)=0,"",INDEX(Parametre!$B$27:$B$39,MATCH(BN34,Parametre!$C$27:$C$39,0)))&amp;""&amp;IF(COUNTIF(Parametre!$I$45:$I$94,BN34)=0,"",INDEX(Parametre!$K$45:$K$94,MATCH(BN34,Parametre!$I$45:$I$94,0)))</f>
        <v/>
      </c>
      <c r="BU34" s="212">
        <f t="shared" si="19"/>
        <v>44162</v>
      </c>
      <c r="BV34" s="145"/>
      <c r="BW34" s="213" t="str">
        <f t="shared" si="20"/>
        <v/>
      </c>
      <c r="BX34" s="205" t="str">
        <f>IF(ISERROR(VLOOKUP(BU34,Lune!$A$2:$B$55,2,FALSE)),"",VLOOKUP(BU34,Lune!$A$2:$B$55,2,FALSE))</f>
        <v/>
      </c>
      <c r="BY34" s="206" t="str">
        <f>IFERROR(IF(COUNTIF(Saints!$C$2:$C$371,BU34)=0,"",INDEX(Saints!$D$2:$D$371,MATCH(BU34,Saints!$C$2:$C$371,0))),"")</f>
        <v>Séverin</v>
      </c>
      <c r="BZ34" s="211" t="str">
        <f>IF(COUNTIF(Parametre!$C$27:$C$39,BU34)=0,"",INDEX(Parametre!$B$27:$B$39,MATCH(BU34,Parametre!$C$27:$C$39,0)))&amp;""&amp;IF(COUNTIF(Parametre!$I$45:$I$94,BU34)=0,"",INDEX(Parametre!$K$45:$K$94,MATCH(BU34,Parametre!$I$45:$I$94,0)))</f>
        <v/>
      </c>
      <c r="CB34" s="212">
        <f t="shared" si="21"/>
        <v>44192</v>
      </c>
      <c r="CC34" s="145"/>
      <c r="CD34" s="213" t="str">
        <f t="shared" si="22"/>
        <v/>
      </c>
      <c r="CE34" s="205" t="str">
        <f>IF(ISERROR(VLOOKUP(CB34,Lune!$A$2:$B$55,2,FALSE)),"",VLOOKUP(CB34,Lune!$A$2:$B$55,2,FALSE))</f>
        <v/>
      </c>
      <c r="CF34" s="206" t="str">
        <f>IFERROR(IF(COUNTIF(Saints!$C$2:$C$371,CB34)=0,"",INDEX(Saints!$D$2:$D$371,MATCH(CB34,Saints!$C$2:$C$371,0))),"")</f>
        <v>Jean</v>
      </c>
      <c r="CG34" s="211" t="str">
        <f>IF(COUNTIF(Parametre!$C$27:$C$39,CB34)=0,"",INDEX(Parametre!$B$27:$B$39,MATCH(CB34,Parametre!$C$27:$C$39,0)))&amp;" "&amp;IF(COUNTIF(Parametre!$I$45:$I$94,CB34)=0,"",INDEX(Parametre!$K$45:$K$94,MATCH(CB34,Parametre!$I$45:$I$94,0)))</f>
        <v xml:space="preserve"> </v>
      </c>
    </row>
    <row r="35" spans="2:85" ht="15.75">
      <c r="B35" s="202">
        <v>28</v>
      </c>
      <c r="C35" s="203">
        <f t="shared" si="25"/>
        <v>43858</v>
      </c>
      <c r="D35" s="145"/>
      <c r="E35" s="214" t="str">
        <f t="shared" si="0"/>
        <v/>
      </c>
      <c r="F35" s="205" t="str">
        <f>IF(ISERROR(VLOOKUP(C35,Lune!$A$2:$B$55,2,FALSE)),"",VLOOKUP(C35,Lune!$A$2:$B$55,2,FALSE))</f>
        <v/>
      </c>
      <c r="G35" s="206" t="str">
        <f>IFERROR(IF(COUNTIF(Saints!$C$2:$C$371,C35)=0,"",INDEX(Saints!$D$2:$D$371,MATCH(C35,Saints!$C$2:$C$371,0))),"")</f>
        <v>Thérèse</v>
      </c>
      <c r="H35" s="207" t="str">
        <f>IF(COUNTIF(Parametre!$C$27:$C$39,C35)=0,"",INDEX(Parametre!$B$27:$B$39,MATCH(C35,Parametre!$C$27:$C$39,0)))&amp;""&amp;IF(COUNTIF(Parametre!$I$45:$I$94,C35)=0,"",INDEX(Parametre!$K$45:$K$94,MATCH(C35,Parametre!$I$45:$I$94,0)))</f>
        <v/>
      </c>
      <c r="J35" s="203">
        <f t="shared" si="1"/>
        <v>43889</v>
      </c>
      <c r="K35" s="145"/>
      <c r="L35" s="204" t="str">
        <f t="shared" si="2"/>
        <v/>
      </c>
      <c r="M35" s="205" t="str">
        <f>IF(ISERROR(VLOOKUP(J35,Lune!$A$2:$B$55,2,FALSE)),"",VLOOKUP(J35,Lune!$A$2:$B$55,2,FALSE))</f>
        <v/>
      </c>
      <c r="N35" s="206" t="str">
        <f>IFERROR(IF(COUNTIF(Saints!$C$2:$C$371,J35)=0,"",INDEX(Saints!$D$2:$D$371,MATCH(J35,Saints!$C$2:$C$371,0))),"")</f>
        <v>Romain</v>
      </c>
      <c r="O35" s="207" t="str">
        <f>IF(COUNTIF(Parametre!$C$27:$C$39,J35)=0,"",INDEX(Parametre!$B$27:$B$39,MATCH(J35,Parametre!$C$27:$C$39,0)))&amp;""&amp;IF(COUNTIF(Parametre!$I$45:$I$94,J35)=0,"",INDEX(Parametre!$K$45:$K$94,MATCH(J35,Parametre!$I$45:$I$94,0)))</f>
        <v/>
      </c>
      <c r="Q35" s="203">
        <f t="shared" si="3"/>
        <v>43918</v>
      </c>
      <c r="R35" s="145"/>
      <c r="S35" s="204" t="str">
        <f t="shared" si="4"/>
        <v/>
      </c>
      <c r="T35" s="205" t="str">
        <f>IF(ISERROR(VLOOKUP(Q35,Lune!$A$2:$B$55,2,FALSE)),"",VLOOKUP(Q35,Lune!$A$2:$B$55,2,FALSE))</f>
        <v/>
      </c>
      <c r="U35" s="206" t="str">
        <f>IFERROR(IF(COUNTIF(Saints!$C$2:$C$371,Q35)=0,"",INDEX(Saints!$D$2:$D$371,MATCH(Q35,Saints!$C$2:$C$371,0))),"")</f>
        <v>Gontran</v>
      </c>
      <c r="V35" s="207" t="str">
        <f>IF(COUNTIF(Parametre!$C$27:$C$39,Q35)=0,"",INDEX(Parametre!$B$27:$B$39,MATCH(Q35,Parametre!$C$27:$C$39,0)))&amp;""&amp;IF(COUNTIF(Parametre!$I$45:$I$94,Q35)=0,"",INDEX(Parametre!$K$45:$K$94,MATCH(Q35,Parametre!$I$45:$I$94,0)))</f>
        <v/>
      </c>
      <c r="X35" s="212">
        <f t="shared" si="5"/>
        <v>43949</v>
      </c>
      <c r="Y35" s="145"/>
      <c r="Z35" s="204" t="str">
        <f t="shared" si="6"/>
        <v/>
      </c>
      <c r="AA35" s="205" t="str">
        <f>IF(ISERROR(VLOOKUP(X35,Lune!$A$2:$B$55,2,FALSE)),"",VLOOKUP(X35,Lune!$A$2:$B$55,2,FALSE))</f>
        <v/>
      </c>
      <c r="AB35" s="206" t="str">
        <f>IFERROR(IF(COUNTIF(Saints!$C$2:$C$371,X35)=0,"",INDEX(Saints!$D$2:$D$371,MATCH(X35,Saints!$C$2:$C$371,0))),"")</f>
        <v>Valérie</v>
      </c>
      <c r="AC35" s="207" t="str">
        <f>IF(COUNTIF(Parametre!$C$27:$C$39,X35)=0,"",INDEX(Parametre!$B$27:$B$39,MATCH(X35,Parametre!$C$27:$C$39,0)))&amp;""&amp;IF(COUNTIF(Parametre!$I$45:$I$94,X35)=0,"",INDEX(Parametre!$K$45:$K$94,MATCH(X35,Parametre!$I$45:$I$94,0)))</f>
        <v/>
      </c>
      <c r="AE35" s="212">
        <f t="shared" si="7"/>
        <v>43979</v>
      </c>
      <c r="AF35" s="145"/>
      <c r="AG35" s="213" t="str">
        <f t="shared" si="8"/>
        <v/>
      </c>
      <c r="AH35" s="205" t="str">
        <f>IF(ISERROR(VLOOKUP(AE35,[1]Lune!$A$2:$B$55,2,FALSE)),"",VLOOKUP(AE35,[1]Lune!$A$2:$B$55,2,FALSE))</f>
        <v/>
      </c>
      <c r="AI35" s="206" t="str">
        <f>IFERROR(IF(COUNTIF(Saints!$C$2:$C$371,AE35)=0,"",INDEX(Saints!$D$2:$D$371,MATCH(AE35,Saints!$C$2:$C$371,0))),"")</f>
        <v>Germain</v>
      </c>
      <c r="AJ35" s="211" t="str">
        <f>IF(COUNTIF(Parametre!$C$27:$C$39,AE35)=0,"",INDEX(Parametre!$B$27:$B$39,MATCH(AE35,Parametre!$C$27:$C$39,0)))&amp;""&amp;IF(COUNTIF(Parametre!$I$45:$I$94,AE35)=0,"",INDEX(Parametre!$K$45:$K$94,MATCH(AE35,Parametre!$I$45:$I$94,0)))</f>
        <v/>
      </c>
      <c r="AL35" s="212">
        <f t="shared" si="47"/>
        <v>44010</v>
      </c>
      <c r="AM35" s="145"/>
      <c r="AN35" s="213" t="str">
        <f t="shared" si="58"/>
        <v/>
      </c>
      <c r="AO35" s="205" t="str">
        <f>IF(ISERROR(VLOOKUP(AL35,Lune!$A$2:$B$55,2,FALSE)),"",VLOOKUP(AL35,Lune!$A$2:$B$55,2,FALSE))</f>
        <v></v>
      </c>
      <c r="AP35" s="206" t="str">
        <f>IFERROR(IF(COUNTIF(Saints!$C$2:$C$371,AL35)=0,"",INDEX(Saints!$D$2:$D$371,MATCH(AL35,Saints!$C$2:$C$371,0))),"")</f>
        <v>Irénée</v>
      </c>
      <c r="AQ35" s="211" t="str">
        <f>IF(COUNTIF(Parametre!$C$27:$C$39,AL35)=0,"",INDEX(Parametre!$B$27:$B$39,MATCH(AL35,Parametre!$C$27:$C$39,0)))&amp;""&amp;IF(COUNTIF(Parametre!$I$45:$I$94,AL35)=0,"",INDEX(Parametre!$K$45:$K$94,MATCH(AL35,Parametre!$I$45:$I$94,0)))</f>
        <v/>
      </c>
      <c r="AS35" s="212">
        <f t="shared" si="50"/>
        <v>44040</v>
      </c>
      <c r="AT35" s="145"/>
      <c r="AU35" s="213" t="str">
        <f t="shared" si="60"/>
        <v/>
      </c>
      <c r="AV35" s="205" t="str">
        <f>IF(ISERROR(VLOOKUP(AS35,Lune!$A$2:$B$55,2,FALSE)),"",VLOOKUP(AS35,Lune!$A$2:$B$55,2,FALSE))</f>
        <v/>
      </c>
      <c r="AW35" s="206" t="str">
        <f>IFERROR(IF(COUNTIF(Saints!$C$2:$C$371,AS35)=0,"",INDEX(Saints!$D$2:$D$371,MATCH(AS35,Saints!$C$2:$C$371,0))),"")</f>
        <v>Samson</v>
      </c>
      <c r="AX35" s="211" t="str">
        <f>IF(COUNTIF(Parametre!$C$27:$C$39,AS35)=0,"",INDEX(Parametre!$B$27:$B$39,MATCH(AS35,Parametre!$C$27:$C$39,0)))&amp;""&amp;IF(COUNTIF(Parametre!$I$45:$I$94,AS35)=0,"",INDEX(Parametre!$K$45:$K$94,MATCH(AS35,Parametre!$I$45:$I$94,0)))</f>
        <v/>
      </c>
      <c r="AZ35" s="212">
        <f t="shared" si="13"/>
        <v>44071</v>
      </c>
      <c r="BA35" s="145"/>
      <c r="BB35" s="213" t="str">
        <f t="shared" si="14"/>
        <v/>
      </c>
      <c r="BC35" s="205" t="str">
        <f>IF(ISERROR(VLOOKUP(AZ35,Lune!$A$2:$B$55,2,FALSE)),"",VLOOKUP(AZ35,Lune!$A$2:$B$55,2,FALSE))</f>
        <v/>
      </c>
      <c r="BD35" s="206" t="str">
        <f>IFERROR(IF(COUNTIF(Saints!$C$2:$C$371,AZ35)=0,"",INDEX(Saints!$D$2:$D$371,MATCH(AZ35,Saints!$C$2:$C$371,0))),"")</f>
        <v>Augustin</v>
      </c>
      <c r="BE35" s="211" t="str">
        <f>IF(COUNTIF(Parametre!$C$27:$C$39,AZ35)=0,"",INDEX(Parametre!$B$27:$B$39,MATCH(AZ35,Parametre!$C$27:$C$39,0)))&amp;""&amp;IF(COUNTIF(Parametre!$I$45:$I$94,AZ35)=0,"",INDEX(Parametre!$K$45:$K$94,MATCH(AZ35,Parametre!$I$45:$I$94,0)))</f>
        <v/>
      </c>
      <c r="BG35" s="212">
        <f t="shared" si="15"/>
        <v>44102</v>
      </c>
      <c r="BH35" s="145"/>
      <c r="BI35" s="213">
        <f t="shared" si="16"/>
        <v>40</v>
      </c>
      <c r="BJ35" s="205" t="str">
        <f>IF(ISERROR(VLOOKUP(BG35,Lune!$A$2:$B$55,2,FALSE)),"",VLOOKUP(BG35,Lune!$A$2:$B$55,2,FALSE))</f>
        <v/>
      </c>
      <c r="BK35" s="206" t="str">
        <f>IFERROR(IF(COUNTIF(Saints!$C$2:$C$371,BG35)=0,"",INDEX(Saints!$D$2:$D$371,MATCH(BG35,Saints!$C$2:$C$371,0))),"")</f>
        <v>Venceslas</v>
      </c>
      <c r="BL35" s="211" t="str">
        <f>IF(COUNTIF(Parametre!$C$27:$C$39,BG35)=0,"",INDEX(Parametre!$B$27:$B$39,MATCH(BG35,Parametre!$C$27:$C$39,0)))&amp;""&amp;IF(COUNTIF(Parametre!$I$45:$I$94,BG35)=0,"",INDEX(Parametre!$K$45:$K$94,MATCH(BG35,Parametre!$I$45:$I$94,0)))</f>
        <v/>
      </c>
      <c r="BN35" s="212">
        <f t="shared" si="17"/>
        <v>44132</v>
      </c>
      <c r="BO35" s="145"/>
      <c r="BP35" s="213" t="str">
        <f t="shared" si="18"/>
        <v/>
      </c>
      <c r="BQ35" s="205" t="str">
        <f>IF(ISERROR(VLOOKUP(BN35,Lune!$A$2:$B$55,2,FALSE)),"",VLOOKUP(BN35,Lune!$A$2:$B$55,2,FALSE))</f>
        <v/>
      </c>
      <c r="BR35" s="206" t="str">
        <f>IFERROR(IF(COUNTIF(Saints!$C$2:$C$371,BN35)=0,"",INDEX(Saints!$D$2:$D$371,MATCH(BN35,Saints!$C$2:$C$371,0))),"")</f>
        <v>Simon</v>
      </c>
      <c r="BS35" s="211" t="str">
        <f>IF(COUNTIF(Parametre!$C$27:$C$39,BN35)=0,"",INDEX(Parametre!$B$27:$B$39,MATCH(BN35,Parametre!$C$27:$C$39,0)))&amp;""&amp;IF(COUNTIF(Parametre!$I$45:$I$94,BN35)=0,"",INDEX(Parametre!$K$45:$K$94,MATCH(BN35,Parametre!$I$45:$I$94,0)))</f>
        <v/>
      </c>
      <c r="BU35" s="212">
        <f t="shared" si="19"/>
        <v>44163</v>
      </c>
      <c r="BV35" s="145"/>
      <c r="BW35" s="213" t="str">
        <f t="shared" si="20"/>
        <v/>
      </c>
      <c r="BX35" s="205" t="str">
        <f>IF(ISERROR(VLOOKUP(BU35,Lune!$A$2:$B$55,2,FALSE)),"",VLOOKUP(BU35,Lune!$A$2:$B$55,2,FALSE))</f>
        <v/>
      </c>
      <c r="BY35" s="206" t="str">
        <f>IFERROR(IF(COUNTIF(Saints!$C$2:$C$371,BU35)=0,"",INDEX(Saints!$D$2:$D$371,MATCH(BU35,Saints!$C$2:$C$371,0))),"")</f>
        <v>Jacq. de la M.</v>
      </c>
      <c r="BZ35" s="211" t="str">
        <f>IF(COUNTIF(Parametre!$C$27:$C$39,BU35)=0,"",INDEX(Parametre!$B$27:$B$39,MATCH(BU35,Parametre!$C$27:$C$39,0)))&amp;""&amp;IF(COUNTIF(Parametre!$I$45:$I$94,BU35)=0,"",INDEX(Parametre!$K$45:$K$94,MATCH(BU35,Parametre!$I$45:$I$94,0)))</f>
        <v/>
      </c>
      <c r="CB35" s="212">
        <f t="shared" si="21"/>
        <v>44193</v>
      </c>
      <c r="CC35" s="145"/>
      <c r="CD35" s="213">
        <f t="shared" si="22"/>
        <v>53</v>
      </c>
      <c r="CE35" s="205" t="str">
        <f>IF(ISERROR(VLOOKUP(CB35,Lune!$A$2:$B$55,2,FALSE)),"",VLOOKUP(CB35,Lune!$A$2:$B$55,2,FALSE))</f>
        <v/>
      </c>
      <c r="CF35" s="206" t="str">
        <f>IFERROR(IF(COUNTIF(Saints!$C$2:$C$371,CB35)=0,"",INDEX(Saints!$D$2:$D$371,MATCH(CB35,Saints!$C$2:$C$371,0))),"")</f>
        <v>Innocent</v>
      </c>
      <c r="CG35" s="211" t="str">
        <f>IF(COUNTIF(Parametre!$C$27:$C$39,CB35)=0,"",INDEX(Parametre!$B$27:$B$39,MATCH(CB35,Parametre!$C$27:$C$39,0)))&amp;" "&amp;IF(COUNTIF(Parametre!$I$45:$I$94,CB35)=0,"",INDEX(Parametre!$K$45:$K$94,MATCH(CB35,Parametre!$I$45:$I$94,0)))</f>
        <v xml:space="preserve"> </v>
      </c>
    </row>
    <row r="36" spans="2:85" ht="15.75">
      <c r="B36" s="202">
        <v>29</v>
      </c>
      <c r="C36" s="203">
        <f>IF(C35="","",IF(MONTH(C35+1)=MONTH(C8),C35+1,""))</f>
        <v>43859</v>
      </c>
      <c r="D36" s="145"/>
      <c r="E36" s="214" t="str">
        <f t="shared" si="0"/>
        <v/>
      </c>
      <c r="F36" s="205" t="str">
        <f>IF(ISERROR(VLOOKUP(C36,Lune!$A$2:$B$55,2,FALSE)),"",VLOOKUP(C36,Lune!$A$2:$B$55,2,FALSE))</f>
        <v/>
      </c>
      <c r="G36" s="206" t="str">
        <f>IFERROR(IF(COUNTIF(Saints!$C$2:$C$371,C36)=0,"",INDEX(Saints!$D$2:$D$371,MATCH(C36,Saints!$C$2:$C$371,0))),"")</f>
        <v>Gildas</v>
      </c>
      <c r="H36" s="207" t="str">
        <f>IF(COUNTIF(Parametre!$C$27:$C$39,C36)=0,"",INDEX(Parametre!$B$27:$B$39,MATCH(C36,Parametre!$C$27:$C$39,0)))&amp;""&amp;IF(COUNTIF(Parametre!$I$45:$I$94,C36)=0,"",INDEX(Parametre!$K$45:$K$94,MATCH(C36,Parametre!$I$45:$I$94,0)))</f>
        <v/>
      </c>
      <c r="J36" s="203">
        <f>IF(J35="","",IF(MONTH(J35+1)=MONTH(J8),J35+1,""))</f>
        <v>43890</v>
      </c>
      <c r="K36" s="145"/>
      <c r="L36" s="204" t="str">
        <f>IFERROR(IF(WEEKDAY(J36)=2,INT(MOD(INT((J36-2)/7)+0.6,52+5/28))+1,""),"")</f>
        <v/>
      </c>
      <c r="M36" s="205" t="str">
        <f>IF(ISERROR(VLOOKUP(J36,Lune!$A$2:$B$55,2,FALSE)),"",VLOOKUP(J36,Lune!$A$2:$B$55,2,FALSE))</f>
        <v/>
      </c>
      <c r="N36" s="206" t="str">
        <f>IFERROR(IF(COUNTIF(Saints!$C$2:$C$371,J36)=0,"",INDEX(Saints!$D$2:$D$371,MATCH(J36,Saints!$C$2:$C$371,0))),"")</f>
        <v>Auguste</v>
      </c>
      <c r="O36" s="207" t="str">
        <f>IFERROR(IF(COUNTIF(Parametre!$C$27:$C$39,J36)=0,"",INDEX(Parametre!$B$27:$B$39,MATCH(J36,Parametre!$C$27:$C$39,0)))&amp;""&amp;IF(COUNTIF(Parametre!$I$45:$I$94,J36)=0,"",INDEX(Parametre!$K$45:$K$94,MATCH(J36,Parametre!$I$45:$I$94,0))),"")</f>
        <v/>
      </c>
      <c r="Q36" s="203">
        <f>IF(Q35="","",IF(MONTH(Q35+1)=MONTH(Q8),Q35+1,""))</f>
        <v>43919</v>
      </c>
      <c r="R36" s="145"/>
      <c r="S36" s="204" t="str">
        <f t="shared" si="4"/>
        <v/>
      </c>
      <c r="T36" s="205" t="str">
        <f>IF(ISERROR(VLOOKUP(Q36,Lune!$A$2:$B$55,2,FALSE)),"",VLOOKUP(Q36,Lune!$A$2:$B$55,2,FALSE))</f>
        <v/>
      </c>
      <c r="U36" s="206" t="str">
        <f>IFERROR(IF(COUNTIF(Saints!$C$2:$C$371,Q36)=0,"",INDEX(Saints!$D$2:$D$371,MATCH(Q36,Saints!$C$2:$C$371,0))),"")</f>
        <v>Gwladys</v>
      </c>
      <c r="V36" s="207" t="str">
        <f>IF(COUNTIF(Parametre!$C$27:$C$39,Q36)=0,"",INDEX(Parametre!$B$27:$B$39,MATCH(Q36,Parametre!$C$27:$C$39,0)))&amp;""&amp;IF(COUNTIF(Parametre!$I$45:$I$94,Q36)=0,"",INDEX(Parametre!$K$45:$K$94,MATCH(Q36,Parametre!$I$45:$I$94,0)))</f>
        <v/>
      </c>
      <c r="X36" s="203">
        <f>IF(X35="","",IF(MONTH(X35+1)=MONTH(X8),X35+1,""))</f>
        <v>43950</v>
      </c>
      <c r="Y36" s="145"/>
      <c r="Z36" s="204" t="str">
        <f t="shared" si="6"/>
        <v/>
      </c>
      <c r="AA36" s="205" t="str">
        <f>IF(ISERROR(VLOOKUP(X36,Lune!$A$2:$B$55,2,FALSE)),"",VLOOKUP(X36,Lune!$A$2:$B$55,2,FALSE))</f>
        <v/>
      </c>
      <c r="AB36" s="206" t="str">
        <f>IFERROR(IF(COUNTIF(Saints!$C$2:$C$371,X36)=0,"",INDEX(Saints!$D$2:$D$371,MATCH(X36,Saints!$C$2:$C$371,0))),"")</f>
        <v>Huguette</v>
      </c>
      <c r="AC36" s="207" t="str">
        <f>IF(COUNTIF(Parametre!$C$27:$C$39,X36)=0,"",INDEX(Parametre!$B$27:$B$39,MATCH(X36,Parametre!$C$27:$C$39,0)))&amp;""&amp;IF(COUNTIF(Parametre!$I$45:$I$94,X36)=0,"",INDEX(Parametre!$K$45:$K$94,MATCH(X36,Parametre!$I$45:$I$94,0)))</f>
        <v/>
      </c>
      <c r="AE36" s="203">
        <f>IF(AE35="","",IF(MONTH(AE35+1)=MONTH(AE8),AE35+1,""))</f>
        <v>43980</v>
      </c>
      <c r="AF36" s="145"/>
      <c r="AG36" s="213" t="str">
        <f t="shared" si="8"/>
        <v/>
      </c>
      <c r="AH36" s="205" t="str">
        <f>IF(ISERROR(VLOOKUP(AE36,[1]Lune!$A$2:$B$55,2,FALSE)),"",VLOOKUP(AE36,[1]Lune!$A$2:$B$55,2,FALSE))</f>
        <v/>
      </c>
      <c r="AI36" s="206" t="str">
        <f>IFERROR(IF(COUNTIF(Saints!$C$2:$C$371,AE36)=0,"",INDEX(Saints!$D$2:$D$371,MATCH(AE36,Saints!$C$2:$C$371,0))),"")</f>
        <v>Aymar</v>
      </c>
      <c r="AJ36" s="211" t="str">
        <f>IF(COUNTIF(Parametre!$C$27:$C$39,AE36)=0,"",INDEX(Parametre!$B$27:$B$39,MATCH(AE36,Parametre!$C$27:$C$39,0)))&amp;""&amp;IF(COUNTIF(Parametre!$I$45:$I$94,AE36)=0,"",INDEX(Parametre!$K$45:$K$94,MATCH(AE36,Parametre!$I$45:$I$94,0)))</f>
        <v/>
      </c>
      <c r="AL36" s="203">
        <f>IF(AL35="","",IF(MONTH(AL35+1)=MONTH(AL8),AL35+1,""))</f>
        <v>44011</v>
      </c>
      <c r="AM36" s="145"/>
      <c r="AN36" s="213">
        <f t="shared" ref="AN36:AN37" si="61">IF(WEEKDAY(AL36)=2,INT(MOD(INT((AL36-2)/7)+0.6,52+5/28))+1,"")</f>
        <v>27</v>
      </c>
      <c r="AO36" s="205" t="str">
        <f>IF(ISERROR(VLOOKUP(AL36,Lune!$A$2:$B$55,2,FALSE)),"",VLOOKUP(AL36,Lune!$A$2:$B$55,2,FALSE))</f>
        <v/>
      </c>
      <c r="AP36" s="206" t="str">
        <f>IFERROR(IF(COUNTIF(Saints!$C$2:$C$371,AL36)=0,"",INDEX(Saints!$D$2:$D$371,MATCH(AL36,Saints!$C$2:$C$371,0))),"")</f>
        <v>Pierre &amp; Paul</v>
      </c>
      <c r="AQ36" s="211" t="str">
        <f>IF(COUNTIF(Parametre!$C$27:$C$39,AL36)=0,"",INDEX(Parametre!$B$27:$B$39,MATCH(AL36,Parametre!$C$27:$C$39,0)))&amp;""&amp;IF(COUNTIF(Parametre!$I$45:$I$94,AL36)=0,"",INDEX(Parametre!$K$45:$K$94,MATCH(AL36,Parametre!$I$45:$I$94,0)))</f>
        <v/>
      </c>
      <c r="AS36" s="203">
        <f>IF(AS35="","",IF(MONTH(AS35+1)=MONTH(AS8),AS35+1,""))</f>
        <v>44041</v>
      </c>
      <c r="AT36" s="145"/>
      <c r="AU36" s="213" t="str">
        <f t="shared" ref="AU36:AU37" si="62">IF(WEEKDAY(AS36)=2,INT(MOD(INT((AS36-2)/7)+0.6,52+5/28))+1,"")</f>
        <v/>
      </c>
      <c r="AV36" s="205" t="str">
        <f>IF(ISERROR(VLOOKUP(AS36,Lune!$A$2:$B$55,2,FALSE)),"",VLOOKUP(AS36,Lune!$A$2:$B$55,2,FALSE))</f>
        <v/>
      </c>
      <c r="AW36" s="206" t="str">
        <f>IFERROR(IF(COUNTIF(Saints!$C$2:$C$371,AS36)=0,"",INDEX(Saints!$D$2:$D$371,MATCH(AS36,Saints!$C$2:$C$371,0))),"")</f>
        <v>Marthe</v>
      </c>
      <c r="AX36" s="211" t="str">
        <f>IF(COUNTIF(Parametre!$C$27:$C$39,AS36)=0,"",INDEX(Parametre!$B$27:$B$39,MATCH(AS36,Parametre!$C$27:$C$39,0)))&amp;""&amp;IF(COUNTIF(Parametre!$I$45:$I$94,AS36)=0,"",INDEX(Parametre!$K$45:$K$94,MATCH(AS36,Parametre!$I$45:$I$94,0)))</f>
        <v/>
      </c>
      <c r="AZ36" s="203">
        <f>IF(AZ35="","",IF(MONTH(AZ35+1)=MONTH(AZ8),AZ35+1,""))</f>
        <v>44072</v>
      </c>
      <c r="BA36" s="145"/>
      <c r="BB36" s="213" t="str">
        <f t="shared" si="14"/>
        <v/>
      </c>
      <c r="BC36" s="205" t="str">
        <f>IF(ISERROR(VLOOKUP(AZ36,Lune!$A$2:$B$55,2,FALSE)),"",VLOOKUP(AZ36,Lune!$A$2:$B$55,2,FALSE))</f>
        <v/>
      </c>
      <c r="BD36" s="206" t="str">
        <f>IFERROR(IF(COUNTIF(Saints!$C$2:$C$371,AZ36)=0,"",INDEX(Saints!$D$2:$D$371,MATCH(AZ36,Saints!$C$2:$C$371,0))),"")</f>
        <v>Sabine</v>
      </c>
      <c r="BE36" s="211" t="str">
        <f>IF(COUNTIF(Parametre!$C$27:$C$39,AZ36)=0,"",INDEX(Parametre!$B$27:$B$39,MATCH(AZ36,Parametre!$C$27:$C$39,0)))&amp;""&amp;IF(COUNTIF(Parametre!$I$45:$I$94,AZ36)=0,"",INDEX(Parametre!$K$45:$K$94,MATCH(AZ36,Parametre!$I$45:$I$94,0)))</f>
        <v/>
      </c>
      <c r="BG36" s="203">
        <f>IF(BG35="","",IF(MONTH(BG35+1)=MONTH(BG8),BG35+1,""))</f>
        <v>44103</v>
      </c>
      <c r="BH36" s="145"/>
      <c r="BI36" s="213" t="str">
        <f t="shared" si="16"/>
        <v/>
      </c>
      <c r="BJ36" s="205" t="str">
        <f>IF(ISERROR(VLOOKUP(BG36,Lune!$A$2:$B$55,2,FALSE)),"",VLOOKUP(BG36,Lune!$A$2:$B$55,2,FALSE))</f>
        <v/>
      </c>
      <c r="BK36" s="206" t="str">
        <f>IFERROR(IF(COUNTIF(Saints!$C$2:$C$371,BG36)=0,"",INDEX(Saints!$D$2:$D$371,MATCH(BG36,Saints!$C$2:$C$371,0))),"")</f>
        <v>Gabriel</v>
      </c>
      <c r="BL36" s="211" t="str">
        <f>IF(COUNTIF(Parametre!$C$27:$C$39,BG36)=0,"",INDEX(Parametre!$B$27:$B$39,MATCH(BG36,Parametre!$C$27:$C$39,0)))&amp;""&amp;IF(COUNTIF(Parametre!$I$45:$I$94,BG36)=0,"",INDEX(Parametre!$K$45:$K$94,MATCH(BG36,Parametre!$I$45:$I$94,0)))</f>
        <v/>
      </c>
      <c r="BN36" s="203">
        <f>IF(BN35="","",IF(MONTH(BN35+1)=MONTH(BN8),BN35+1,""))</f>
        <v>44133</v>
      </c>
      <c r="BO36" s="145"/>
      <c r="BP36" s="213" t="str">
        <f t="shared" si="18"/>
        <v/>
      </c>
      <c r="BQ36" s="205" t="str">
        <f>IF(ISERROR(VLOOKUP(BN36,Lune!$A$2:$B$55,2,FALSE)),"",VLOOKUP(BN36,Lune!$A$2:$B$55,2,FALSE))</f>
        <v/>
      </c>
      <c r="BR36" s="206" t="str">
        <f>IFERROR(IF(COUNTIF(Saints!$C$2:$C$371,BN36)=0,"",INDEX(Saints!$D$2:$D$371,MATCH(BN36,Saints!$C$2:$C$371,0))),"")</f>
        <v>Narcisse</v>
      </c>
      <c r="BS36" s="211" t="str">
        <f>IF(COUNTIF(Parametre!$C$27:$C$39,BN36)=0,"",INDEX(Parametre!$B$27:$B$39,MATCH(BN36,Parametre!$C$27:$C$39,0)))&amp;""&amp;IF(COUNTIF(Parametre!$I$45:$I$94,BN36)=0,"",INDEX(Parametre!$K$45:$K$94,MATCH(BN36,Parametre!$I$45:$I$94,0)))</f>
        <v/>
      </c>
      <c r="BU36" s="203">
        <f>IF(BU35="","",IF(MONTH(BU35+1)=MONTH(BU8),BU35+1,""))</f>
        <v>44164</v>
      </c>
      <c r="BV36" s="145"/>
      <c r="BW36" s="213" t="str">
        <f t="shared" si="20"/>
        <v/>
      </c>
      <c r="BX36" s="205" t="str">
        <f>IF(ISERROR(VLOOKUP(BU36,Lune!$A$2:$B$55,2,FALSE)),"",VLOOKUP(BU36,Lune!$A$2:$B$55,2,FALSE))</f>
        <v/>
      </c>
      <c r="BY36" s="206" t="str">
        <f>IFERROR(IF(COUNTIF(Saints!$C$2:$C$371,BU36)=0,"",INDEX(Saints!$D$2:$D$371,MATCH(BU36,Saints!$C$2:$C$371,0))),"")</f>
        <v>Saturnin</v>
      </c>
      <c r="BZ36" s="211" t="str">
        <f>IF(COUNTIF(Parametre!$C$27:$C$39,BU36)=0,"",INDEX(Parametre!$B$27:$B$39,MATCH(BU36,Parametre!$C$27:$C$39,0)))&amp;""&amp;IF(COUNTIF(Parametre!$I$45:$I$94,BU36)=0,"",INDEX(Parametre!$K$45:$K$94,MATCH(BU36,Parametre!$I$45:$I$94,0)))</f>
        <v/>
      </c>
      <c r="CB36" s="203">
        <f>IF(CB35="","",IF(MONTH(CB35+1)=MONTH(CB8),CB35+1,""))</f>
        <v>44194</v>
      </c>
      <c r="CC36" s="145"/>
      <c r="CD36" s="213" t="str">
        <f t="shared" si="22"/>
        <v/>
      </c>
      <c r="CE36" s="205" t="str">
        <f>IF(ISERROR(VLOOKUP(CB36,Lune!$A$2:$B$55,2,FALSE)),"",VLOOKUP(CB36,Lune!$A$2:$B$55,2,FALSE))</f>
        <v/>
      </c>
      <c r="CF36" s="206" t="str">
        <f>IFERROR(IF(COUNTIF(Saints!$C$2:$C$371,CB36)=0,"",INDEX(Saints!$D$2:$D$371,MATCH(CB36,Saints!$C$2:$C$371,0))),"")</f>
        <v>David</v>
      </c>
      <c r="CG36" s="211" t="str">
        <f>IF(COUNTIF(Parametre!$C$27:$C$39,CB36)=0,"",INDEX(Parametre!$B$27:$B$39,MATCH(CB36,Parametre!$C$27:$C$39,0)))&amp;" "&amp;IF(COUNTIF(Parametre!$I$45:$I$94,CB36)=0,"",INDEX(Parametre!$K$45:$K$94,MATCH(CB36,Parametre!$I$45:$I$94,0)))</f>
        <v xml:space="preserve"> </v>
      </c>
    </row>
    <row r="37" spans="2:85" ht="15.75">
      <c r="B37" s="202">
        <v>30</v>
      </c>
      <c r="C37" s="203">
        <f>IF(C36="","",IF(MONTH(C36+1)=MONTH(C9),C36+1,""))</f>
        <v>43860</v>
      </c>
      <c r="D37" s="145"/>
      <c r="E37" s="214" t="str">
        <f t="shared" si="0"/>
        <v/>
      </c>
      <c r="F37" s="205" t="str">
        <f>IF(ISERROR(VLOOKUP(C37,Lune!$A$2:$B$55,2,FALSE)),"",VLOOKUP(C37,Lune!$A$2:$B$55,2,FALSE))</f>
        <v/>
      </c>
      <c r="G37" s="206" t="str">
        <f>IFERROR(IF(COUNTIF(Saints!$C$2:$C$371,C37)=0,"",INDEX(Saints!$D$2:$D$371,MATCH(C37,Saints!$C$2:$C$371,0))),"")</f>
        <v>Martine</v>
      </c>
      <c r="H37" s="207" t="str">
        <f>IF(COUNTIF(Parametre!$C$27:$C$39,C37)=0,"",INDEX(Parametre!$B$27:$B$39,MATCH(C37,Parametre!$C$27:$C$39,0)))&amp;""&amp;IF(COUNTIF(Parametre!$I$45:$I$94,C37)=0,"",INDEX(Parametre!$K$45:$K$94,MATCH(C37,Parametre!$I$45:$I$94,0)))</f>
        <v/>
      </c>
      <c r="J37" s="203" t="str">
        <f>IF(J36="","",IF(MONTH(J36+1)=MONTH(J9),J36+1,""))</f>
        <v/>
      </c>
      <c r="K37" s="145"/>
      <c r="L37" s="204" t="str">
        <f>IFERROR(IF(WEEKDAY(J37)=2,INT(MOD(INT((J37-2)/7)+0.6,52+5/28))+1,""),"")</f>
        <v/>
      </c>
      <c r="M37" s="205" t="str">
        <f>IF(ISERROR(VLOOKUP(J37,Lune!$A$2:$B$55,2,FALSE)),"",VLOOKUP(J37,Lune!$A$2:$B$55,2,FALSE))</f>
        <v/>
      </c>
      <c r="N37" s="206" t="str">
        <f>IFERROR(IF(COUNTIF(Saints!$C$2:$C$371,J37)=0,"",INDEX(Saints!$D$2:$D$371,MATCH(J37,Saints!$C$2:$C$371,0))),"")</f>
        <v/>
      </c>
      <c r="O37" s="207" t="str">
        <f>IFERROR(IF(COUNTIF(Parametre!$C$27:$C$39,J37)=0,"",INDEX(Parametre!$B$27:$B$39,MATCH(J37,Parametre!$C$27:$C$39,0)))&amp;""&amp;IF(COUNTIF(Parametre!$I$45:$I$94,J37)=0,"",INDEX(Parametre!$K$45:$K$94,MATCH(J37,Parametre!$I$45:$I$94,0))),"")</f>
        <v/>
      </c>
      <c r="Q37" s="203">
        <f>IF(Q36="","",IF(MONTH(Q36+1)=MONTH(Q9),Q36+1,""))</f>
        <v>43920</v>
      </c>
      <c r="R37" s="145"/>
      <c r="S37" s="204">
        <f t="shared" si="4"/>
        <v>14</v>
      </c>
      <c r="T37" s="205" t="str">
        <f>IF(ISERROR(VLOOKUP(Q37,Lune!$A$2:$B$55,2,FALSE)),"",VLOOKUP(Q37,Lune!$A$2:$B$55,2,FALSE))</f>
        <v/>
      </c>
      <c r="U37" s="206" t="str">
        <f>IFERROR(IF(COUNTIF(Saints!$C$2:$C$371,Q37)=0,"",INDEX(Saints!$D$2:$D$371,MATCH(Q37,Saints!$C$2:$C$371,0))),"")</f>
        <v>Amédée</v>
      </c>
      <c r="V37" s="207" t="str">
        <f>IF(COUNTIF(Parametre!$C$27:$C$39,Q37)=0,"",INDEX(Parametre!$B$27:$B$39,MATCH(Q37,Parametre!$C$27:$C$39,0)))&amp;""&amp;IF(COUNTIF(Parametre!$I$45:$I$94,Q37)=0,"",INDEX(Parametre!$K$45:$K$94,MATCH(Q37,Parametre!$I$45:$I$94,0)))</f>
        <v/>
      </c>
      <c r="X37" s="203">
        <f>IF(X36="","",IF(MONTH(X36+1)=MONTH(X9),X36+1,""))</f>
        <v>43951</v>
      </c>
      <c r="Y37" s="145"/>
      <c r="Z37" s="204" t="str">
        <f t="shared" si="6"/>
        <v/>
      </c>
      <c r="AA37" s="205" t="str">
        <f>IF(ISERROR(VLOOKUP(X37,Lune!$A$2:$B$55,2,FALSE)),"",VLOOKUP(X37,Lune!$A$2:$B$55,2,FALSE))</f>
        <v></v>
      </c>
      <c r="AB37" s="206" t="str">
        <f>IFERROR(IF(COUNTIF(Saints!$C$2:$C$371,X37)=0,"",INDEX(Saints!$D$2:$D$371,MATCH(X37,Saints!$C$2:$C$371,0))),"")</f>
        <v>Robert</v>
      </c>
      <c r="AC37" s="207" t="str">
        <f>IF(COUNTIF(Parametre!$C$27:$C$39,X37)=0,"",INDEX(Parametre!$B$27:$B$39,MATCH(X37,Parametre!$C$27:$C$39,0)))&amp;""&amp;IF(COUNTIF(Parametre!$I$45:$I$94,X37)=0,"",INDEX(Parametre!$K$45:$K$94,MATCH(X37,Parametre!$I$45:$I$94,0)))</f>
        <v/>
      </c>
      <c r="AE37" s="203">
        <f>IF(AE36="","",IF(MONTH(AE36+1)=MONTH(AE9),AE36+1,""))</f>
        <v>43981</v>
      </c>
      <c r="AF37" s="145"/>
      <c r="AG37" s="213" t="str">
        <f t="shared" si="8"/>
        <v/>
      </c>
      <c r="AH37" s="205" t="str">
        <f>IF(ISERROR(VLOOKUP(AE37,[1]Lune!$A$2:$B$55,2,FALSE)),"",VLOOKUP(AE37,[1]Lune!$A$2:$B$55,2,FALSE))</f>
        <v></v>
      </c>
      <c r="AI37" s="206" t="str">
        <f>IFERROR(IF(COUNTIF(Saints!$C$2:$C$371,AE37)=0,"",INDEX(Saints!$D$2:$D$371,MATCH(AE37,Saints!$C$2:$C$371,0))),"")</f>
        <v>Ferdinand</v>
      </c>
      <c r="AJ37" s="211" t="str">
        <f>IF(COUNTIF(Parametre!$C$27:$C$39,AE37)=0,"",INDEX(Parametre!$B$27:$B$39,MATCH(AE37,Parametre!$C$27:$C$39,0)))&amp;""&amp;IF(COUNTIF(Parametre!$I$45:$I$94,AE37)=0,"",INDEX(Parametre!$K$45:$K$94,MATCH(AE37,Parametre!$I$45:$I$94,0)))</f>
        <v/>
      </c>
      <c r="AL37" s="203">
        <f>IF(AL36="","",IF(MONTH(AL36+1)=MONTH(AL9),AL36+1,""))</f>
        <v>44012</v>
      </c>
      <c r="AM37" s="145"/>
      <c r="AN37" s="213" t="str">
        <f t="shared" si="61"/>
        <v/>
      </c>
      <c r="AO37" s="205" t="str">
        <f>IF(ISERROR(VLOOKUP(AL37,Lune!$A$2:$B$55,2,FALSE)),"",VLOOKUP(AL37,Lune!$A$2:$B$55,2,FALSE))</f>
        <v/>
      </c>
      <c r="AP37" s="206" t="str">
        <f>IFERROR(IF(COUNTIF(Saints!$C$2:$C$371,AL37)=0,"",INDEX(Saints!$D$2:$D$371,MATCH(AL37,Saints!$C$2:$C$371,0))),"")</f>
        <v>Martial</v>
      </c>
      <c r="AQ37" s="211" t="str">
        <f>IF(COUNTIF(Parametre!$C$27:$C$39,AL37)=0,"",INDEX(Parametre!$B$27:$B$39,MATCH(AL37,Parametre!$C$27:$C$39,0)))&amp;""&amp;IF(COUNTIF(Parametre!$I$45:$I$94,AL37)=0,"",INDEX(Parametre!$K$45:$K$94,MATCH(AL37,Parametre!$I$45:$I$94,0)))</f>
        <v/>
      </c>
      <c r="AS37" s="203">
        <f>IF(AS36="","",IF(MONTH(AS36+1)=MONTH(AS9),AS36+1,""))</f>
        <v>44042</v>
      </c>
      <c r="AT37" s="145"/>
      <c r="AU37" s="213" t="str">
        <f t="shared" si="62"/>
        <v/>
      </c>
      <c r="AV37" s="205" t="str">
        <f>IF(ISERROR(VLOOKUP(AS37,Lune!$A$2:$B$55,2,FALSE)),"",VLOOKUP(AS37,Lune!$A$2:$B$55,2,FALSE))</f>
        <v/>
      </c>
      <c r="AW37" s="206" t="str">
        <f>IFERROR(IF(COUNTIF(Saints!$C$2:$C$371,AS37)=0,"",INDEX(Saints!$D$2:$D$371,MATCH(AS37,Saints!$C$2:$C$371,0))),"")</f>
        <v>Juliette</v>
      </c>
      <c r="AX37" s="211" t="str">
        <f>IF(COUNTIF(Parametre!$C$27:$C$39,AS37)=0,"",INDEX(Parametre!$B$27:$B$39,MATCH(AS37,Parametre!$C$27:$C$39,0)))&amp;""&amp;IF(COUNTIF(Parametre!$I$45:$I$94,AS37)=0,"",INDEX(Parametre!$K$45:$K$94,MATCH(AS37,Parametre!$I$45:$I$94,0)))</f>
        <v/>
      </c>
      <c r="AZ37" s="203">
        <f>IF(AZ36="","",IF(MONTH(AZ36+1)=MONTH(AZ9),AZ36+1,""))</f>
        <v>44073</v>
      </c>
      <c r="BA37" s="145"/>
      <c r="BB37" s="213" t="str">
        <f t="shared" si="14"/>
        <v/>
      </c>
      <c r="BC37" s="205" t="str">
        <f>IF(ISERROR(VLOOKUP(AZ37,Lune!$A$2:$B$55,2,FALSE)),"",VLOOKUP(AZ37,Lune!$A$2:$B$55,2,FALSE))</f>
        <v/>
      </c>
      <c r="BD37" s="206" t="str">
        <f>IFERROR(IF(COUNTIF(Saints!$C$2:$C$371,AZ37)=0,"",INDEX(Saints!$D$2:$D$371,MATCH(AZ37,Saints!$C$2:$C$371,0))),"")</f>
        <v>Fiacre</v>
      </c>
      <c r="BE37" s="211" t="str">
        <f>IF(COUNTIF(Parametre!$C$27:$C$39,AZ37)=0,"",INDEX(Parametre!$B$27:$B$39,MATCH(AZ37,Parametre!$C$27:$C$39,0)))&amp;""&amp;IF(COUNTIF(Parametre!$I$45:$I$94,AZ37)=0,"",INDEX(Parametre!$K$45:$K$94,MATCH(AZ37,Parametre!$I$45:$I$94,0)))</f>
        <v/>
      </c>
      <c r="BG37" s="203">
        <f>IF(BG36="","",IF(MONTH(BG36+1)=MONTH(BG9),BG36+1,""))</f>
        <v>44104</v>
      </c>
      <c r="BH37" s="145"/>
      <c r="BI37" s="213" t="str">
        <f t="shared" si="16"/>
        <v/>
      </c>
      <c r="BJ37" s="205" t="str">
        <f>IF(ISERROR(VLOOKUP(BG37,Lune!$A$2:$B$55,2,FALSE)),"",VLOOKUP(BG37,Lune!$A$2:$B$55,2,FALSE))</f>
        <v/>
      </c>
      <c r="BK37" s="206" t="str">
        <f>IFERROR(IF(COUNTIF(Saints!$C$2:$C$371,BG37)=0,"",INDEX(Saints!$D$2:$D$371,MATCH(BG37,Saints!$C$2:$C$371,0))),"")</f>
        <v>Jérôme</v>
      </c>
      <c r="BL37" s="211" t="str">
        <f>IF(COUNTIF(Parametre!$C$27:$C$39,BG37)=0,"",INDEX(Parametre!$B$27:$B$39,MATCH(BG37,Parametre!$C$27:$C$39,0)))&amp;""&amp;IF(COUNTIF(Parametre!$I$45:$I$94,BG37)=0,"",INDEX(Parametre!$K$45:$K$94,MATCH(BG37,Parametre!$I$45:$I$94,0)))</f>
        <v/>
      </c>
      <c r="BN37" s="203">
        <f>IF(BN36="","",IF(MONTH(BN36+1)=MONTH(BN9),BN36+1,""))</f>
        <v>44134</v>
      </c>
      <c r="BO37" s="145"/>
      <c r="BP37" s="213" t="str">
        <f t="shared" si="18"/>
        <v/>
      </c>
      <c r="BQ37" s="205" t="str">
        <f>IF(ISERROR(VLOOKUP(BN37,Lune!$A$2:$B$55,2,FALSE)),"",VLOOKUP(BN37,Lune!$A$2:$B$55,2,FALSE))</f>
        <v/>
      </c>
      <c r="BR37" s="206" t="str">
        <f>IFERROR(IF(COUNTIF(Saints!$C$2:$C$371,BN37)=0,"",INDEX(Saints!$D$2:$D$371,MATCH(BN37,Saints!$C$2:$C$371,0))),"")</f>
        <v>Bienvenue</v>
      </c>
      <c r="BS37" s="211" t="str">
        <f>IF(COUNTIF(Parametre!$C$27:$C$39,BN37)=0,"",INDEX(Parametre!$B$27:$B$39,MATCH(BN37,Parametre!$C$27:$C$39,0)))&amp;""&amp;IF(COUNTIF(Parametre!$I$45:$I$94,BN37)=0,"",INDEX(Parametre!$K$45:$K$94,MATCH(BN37,Parametre!$I$45:$I$94,0)))</f>
        <v/>
      </c>
      <c r="BU37" s="203">
        <f>IF(BU36="","",IF(MONTH(BU36+1)=MONTH(BU9),BU36+1,""))</f>
        <v>44165</v>
      </c>
      <c r="BV37" s="145"/>
      <c r="BW37" s="213">
        <f t="shared" si="20"/>
        <v>49</v>
      </c>
      <c r="BX37" s="205" t="str">
        <f>IF(ISERROR(VLOOKUP(BU37,Lune!$A$2:$B$55,2,FALSE)),"",VLOOKUP(BU37,Lune!$A$2:$B$55,2,FALSE))</f>
        <v></v>
      </c>
      <c r="BY37" s="206" t="str">
        <f>IFERROR(IF(COUNTIF(Saints!$C$2:$C$371,BU37)=0,"",INDEX(Saints!$D$2:$D$371,MATCH(BU37,Saints!$C$2:$C$371,0))),"")</f>
        <v>André</v>
      </c>
      <c r="BZ37" s="211" t="str">
        <f>IF(COUNTIF(Parametre!$C$27:$C$39,BU37)=0,"",INDEX(Parametre!$B$27:$B$39,MATCH(BU37,Parametre!$C$27:$C$39,0)))&amp;""&amp;IF(COUNTIF(Parametre!$I$45:$I$94,BU37)=0,"",INDEX(Parametre!$K$45:$K$94,MATCH(BU37,Parametre!$I$45:$I$94,0)))</f>
        <v/>
      </c>
      <c r="CB37" s="203">
        <f>IF(CB36="","",IF(MONTH(CB36+1)=MONTH(CB9),CB36+1,""))</f>
        <v>44195</v>
      </c>
      <c r="CC37" s="145"/>
      <c r="CD37" s="213" t="str">
        <f t="shared" si="22"/>
        <v/>
      </c>
      <c r="CE37" s="205" t="str">
        <f>IF(ISERROR(VLOOKUP(CB37,Lune!$A$2:$B$55,2,FALSE)),"",VLOOKUP(CB37,Lune!$A$2:$B$55,2,FALSE))</f>
        <v></v>
      </c>
      <c r="CF37" s="206" t="str">
        <f>IFERROR(IF(COUNTIF(Saints!$C$2:$C$371,CB37)=0,"",INDEX(Saints!$D$2:$D$371,MATCH(CB37,Saints!$C$2:$C$371,0))),"")</f>
        <v>Roger</v>
      </c>
      <c r="CG37" s="211" t="str">
        <f>IF(COUNTIF(Parametre!$C$27:$C$39,CB37)=0,"",INDEX(Parametre!$B$27:$B$39,MATCH(CB37,Parametre!$C$27:$C$39,0)))&amp;" "&amp;IF(COUNTIF(Parametre!$I$45:$I$94,CB37)=0,"",INDEX(Parametre!$K$45:$K$94,MATCH(CB37,Parametre!$I$45:$I$94,0)))</f>
        <v xml:space="preserve"> </v>
      </c>
    </row>
    <row r="38" spans="2:85" ht="15.75">
      <c r="B38" s="202">
        <v>31</v>
      </c>
      <c r="C38" s="203">
        <f>IF(C37="","",IF(MONTH(C37+1)=MONTH(C10),C37+1,""))</f>
        <v>43861</v>
      </c>
      <c r="D38" s="145"/>
      <c r="E38" s="214" t="str">
        <f t="shared" si="0"/>
        <v/>
      </c>
      <c r="F38" s="205" t="str">
        <f>IF(ISERROR(VLOOKUP(C38,Lune!$A$2:$B$55,2,FALSE)),"",VLOOKUP(C38,Lune!$A$2:$B$55,2,FALSE))</f>
        <v/>
      </c>
      <c r="G38" s="206" t="str">
        <f>IFERROR(IF(COUNTIF(Saints!$C$2:$C$371,C38)=0,"",INDEX(Saints!$D$2:$D$371,MATCH(C38,Saints!$C$2:$C$371,0))),"")</f>
        <v>Marcelle</v>
      </c>
      <c r="H38" s="207" t="str">
        <f>IF(COUNTIF(Parametre!$C$27:$C$39,C38)=0,"",INDEX(Parametre!$B$27:$B$39,MATCH(C38,Parametre!$C$27:$C$39,0)))&amp;""&amp;IF(COUNTIF(Parametre!$I$45:$I$94,C38)=0,"",INDEX(Parametre!$K$45:$K$94,MATCH(C38,Parametre!$I$45:$I$94,0)))</f>
        <v/>
      </c>
      <c r="I38" s="43"/>
      <c r="J38" s="203" t="str">
        <f>IF(J37="","",IF(MONTH(J37+1)=MONTH(J10),J37+1,""))</f>
        <v/>
      </c>
      <c r="K38" s="145"/>
      <c r="L38" s="204" t="str">
        <f>IFERROR(IF(WEEKDAY(J38)=2,INT(MOD(INT((J38-2)/7)+0.6,52+5/28))+1,""),"")</f>
        <v/>
      </c>
      <c r="M38" s="205" t="str">
        <f>IF(ISERROR(VLOOKUP(J38,Lune!$A$2:$B$55,2,FALSE)),"",VLOOKUP(J38,Lune!$A$2:$B$55,2,FALSE))</f>
        <v/>
      </c>
      <c r="N38" s="206" t="str">
        <f>IFERROR(IF(COUNTIF(Saints!$C$2:$C$371,J38)=0,"",INDEX(Saints!$D$2:$D$371,MATCH(J38,Saints!$C$2:$C$371,0))),"")</f>
        <v/>
      </c>
      <c r="O38" s="207" t="str">
        <f>IFERROR(IF(COUNTIF(Parametre!$C$27:$C$39,J38)=0,"",INDEX(Parametre!$B$27:$B$39,MATCH(J38,Parametre!$C$27:$C$39,0)))&amp;""&amp;IF(COUNTIF(Parametre!$I$45:$I$94,J38)=0,"",INDEX(Parametre!$K$45:$K$94,MATCH(J38,Parametre!$I$45:$I$94,0))),"")</f>
        <v/>
      </c>
      <c r="P38" s="43"/>
      <c r="Q38" s="203">
        <f>IF(Q37="","",IF(MONTH(Q37+1)=MONTH(Q10),Q37+1,""))</f>
        <v>43921</v>
      </c>
      <c r="R38" s="145"/>
      <c r="S38" s="204" t="str">
        <f t="shared" si="4"/>
        <v/>
      </c>
      <c r="T38" s="205" t="str">
        <f>IF(ISERROR(VLOOKUP(Q38,Lune!$A$2:$B$55,2,FALSE)),"",VLOOKUP(Q38,Lune!$A$2:$B$55,2,FALSE))</f>
        <v/>
      </c>
      <c r="U38" s="206" t="str">
        <f>IFERROR(IF(COUNTIF(Saints!$C$2:$C$371,Q38)=0,"",INDEX(Saints!$D$2:$D$371,MATCH(Q38,Saints!$C$2:$C$371,0))),"")</f>
        <v>Benjamin</v>
      </c>
      <c r="V38" s="207" t="str">
        <f>IF(COUNTIF(Parametre!$C$27:$C$39,Q38)=0,"",INDEX(Parametre!$B$27:$B$39,MATCH(Q38,Parametre!$C$27:$C$39,0)))&amp;""&amp;IF(COUNTIF(Parametre!$I$45:$I$94,Q38)=0,"",INDEX(Parametre!$K$45:$K$94,MATCH(Q38,Parametre!$I$45:$I$94,0)))</f>
        <v/>
      </c>
      <c r="W38" s="43"/>
      <c r="X38" s="203" t="str">
        <f>IF(X37="","",IF(MONTH(X37+1)=MONTH(X10),X37+1,""))</f>
        <v/>
      </c>
      <c r="Y38" s="145"/>
      <c r="Z38" s="204" t="str">
        <f>IFERROR(IF(WEEKDAY(X38)=2,INT(MOD(INT((X38-2)/7)+0.6,52+5/28))+1,""),"")</f>
        <v/>
      </c>
      <c r="AA38" s="205" t="str">
        <f>IF(ISERROR(VLOOKUP(X38,Lune!$A$2:$B$55,2,FALSE)),"",VLOOKUP(X38,Lune!$A$2:$B$55,2,FALSE))</f>
        <v/>
      </c>
      <c r="AB38" s="206" t="str">
        <f>IFERROR(IF(COUNTIF(Saints!$C$2:$C$371,X38)=0,"",INDEX(Saints!$D$2:$D$371,MATCH(X38,Saints!$C$2:$C$371,0))),"")</f>
        <v/>
      </c>
      <c r="AC38" s="207" t="str">
        <f>IFERROR(IF(COUNTIF(Parametre!$C$27:$C$39,X38)=0,"",INDEX(Parametre!$B$27:$B$39,MATCH(X38,Parametre!$C$27:$C$39,0)))&amp;""&amp;IF(COUNTIF(Parametre!$I$45:$I$94,X38)=0,"",INDEX(Parametre!$K$45:$K$94,MATCH(X38,Parametre!$I$45:$I$94,0))),"")</f>
        <v/>
      </c>
      <c r="AD38" s="43"/>
      <c r="AE38" s="203">
        <f>IF(AE37="","",IF(MONTH(AE37+1)=MONTH(AE10),AE37+1,""))</f>
        <v>43982</v>
      </c>
      <c r="AF38" s="145"/>
      <c r="AG38" s="213" t="str">
        <f>IFERROR(IF(WEEKDAY(AE38)=2,INT(MOD(INT((AE38-2)/7)+0.6,52+5/28))+1,""),"")</f>
        <v/>
      </c>
      <c r="AH38" s="205" t="str">
        <f>IF(ISERROR(VLOOKUP(AE38,[1]Lune!$A$2:$B$55,2,FALSE)),"",VLOOKUP(AE38,[1]Lune!$A$2:$B$55,2,FALSE))</f>
        <v/>
      </c>
      <c r="AI38" s="206" t="str">
        <f>IFERROR(IF(COUNTIF(Saints!$C$2:$C$371,AE38)=0,"",INDEX(Saints!$D$2:$D$371,MATCH(AE38,Saints!$C$2:$C$371,0))),"")</f>
        <v>Péroline</v>
      </c>
      <c r="AJ38" s="211" t="str">
        <f>IF(COUNTIF(Parametre!$C$27:$C$39,AE38)=0,"",INDEX(Parametre!$B$27:$B$39,MATCH(AE38,Parametre!$C$27:$C$39,0)))&amp;""&amp;IF(COUNTIF(Parametre!$I$45:$I$94,AE38)=0,"",INDEX(Parametre!$K$45:$K$94,MATCH(AE38,Parametre!$I$45:$I$94,0)))</f>
        <v>Pentecôte</v>
      </c>
      <c r="AK38" s="43"/>
      <c r="AL38" s="203" t="str">
        <f>IF(AL37="","",IF(MONTH(AL37+1)=MONTH(AL10),AL37+1,""))</f>
        <v/>
      </c>
      <c r="AM38" s="145"/>
      <c r="AN38" s="213" t="str">
        <f>IFERROR(IF(WEEKDAY(AL38)=2,INT(MOD(INT((AL38-2)/7)+0.6,52+5/28))+1,""),"")</f>
        <v/>
      </c>
      <c r="AO38" s="205" t="str">
        <f>IF(ISERROR(VLOOKUP(AL38,Lune!$A$2:$B$55,2,FALSE)),"",VLOOKUP(AL38,Lune!$A$2:$B$55,2,FALSE))</f>
        <v/>
      </c>
      <c r="AP38" s="206" t="str">
        <f>IFERROR(IF(COUNTIF(Saints!$C$2:$C$371,AL38)=0,"",INDEX(Saints!$D$2:$D$371,MATCH(AL38,Saints!$C$2:$C$371,0))),"")</f>
        <v/>
      </c>
      <c r="AQ38" s="211" t="str">
        <f>IFERROR(IF(COUNTIF(Parametre!$C$27:$C$39,AL38)=0,"",INDEX(Parametre!$B$27:$B$39,MATCH(AL38,Parametre!$C$27:$C$39,0)))&amp;""&amp;IF(COUNTIF(Parametre!$I$45:$I$94,AL38)=0,"",INDEX(Parametre!$K$45:$K$94,MATCH(AL38,Parametre!$I$45:$I$94,0))),"")</f>
        <v/>
      </c>
      <c r="AR38" s="43"/>
      <c r="AS38" s="203">
        <f>IF(AS37="","",IF(MONTH(AS37+1)=MONTH(AS10),AS37+1,""))</f>
        <v>44043</v>
      </c>
      <c r="AT38" s="145"/>
      <c r="AU38" s="213" t="str">
        <f>IFERROR(IF(WEEKDAY(AS38)=2,INT(MOD(INT((AS38-2)/7)+0.6,52+5/28))+1,""),"")</f>
        <v/>
      </c>
      <c r="AV38" s="205" t="str">
        <f>IF(ISERROR(VLOOKUP(AS38,Lune!$A$2:$B$55,2,FALSE)),"",VLOOKUP(AS38,Lune!$A$2:$B$55,2,FALSE))</f>
        <v/>
      </c>
      <c r="AW38" s="206" t="str">
        <f>IFERROR(IF(COUNTIF(Saints!$C$2:$C$371,AS38)=0,"",INDEX(Saints!$D$2:$D$371,MATCH(AS38,Saints!$C$2:$C$371,0))),"")</f>
        <v>Ignace</v>
      </c>
      <c r="AX38" s="211" t="str">
        <f>IF(COUNTIF(Parametre!$C$27:$C$39,AS38)=0,"",INDEX(Parametre!$B$27:$B$39,MATCH(AS38,Parametre!$C$27:$C$39,0)))&amp;""&amp;IF(COUNTIF(Parametre!$I$45:$I$94,AS38)=0,"",INDEX(Parametre!$K$45:$K$94,MATCH(AS38,Parametre!$I$45:$I$94,0)))</f>
        <v/>
      </c>
      <c r="AY38" s="43"/>
      <c r="AZ38" s="203">
        <f>IF(AZ37="","",IF(MONTH(AZ37+1)=MONTH(AZ10),AZ37+1,""))</f>
        <v>44074</v>
      </c>
      <c r="BA38" s="145"/>
      <c r="BB38" s="213">
        <f>IFERROR(IF(WEEKDAY(AZ38)=2,INT(MOD(INT((AZ38-2)/7)+0.6,52+5/28))+1,""),"")</f>
        <v>36</v>
      </c>
      <c r="BC38" s="205" t="str">
        <f>IF(ISERROR(VLOOKUP(AZ38,Lune!$A$2:$B$55,2,FALSE)),"",VLOOKUP(AZ38,Lune!$A$2:$B$55,2,FALSE))</f>
        <v/>
      </c>
      <c r="BD38" s="206" t="str">
        <f>IFERROR(IF(COUNTIF(Saints!$C$2:$C$371,AZ38)=0,"",INDEX(Saints!$D$2:$D$371,MATCH(AZ38,Saints!$C$2:$C$371,0))),"")</f>
        <v>Aristide</v>
      </c>
      <c r="BE38" s="211" t="str">
        <f>IF(COUNTIF(Parametre!$C$27:$C$39,AZ38)=0,"",INDEX(Parametre!$B$27:$B$39,MATCH(AZ38,Parametre!$C$27:$C$39,0)))&amp;""&amp;IF(COUNTIF(Parametre!$I$45:$I$94,AZ38)=0,"",INDEX(Parametre!$K$45:$K$94,MATCH(AZ38,Parametre!$I$45:$I$94,0)))</f>
        <v/>
      </c>
      <c r="BF38" s="43"/>
      <c r="BG38" s="203" t="str">
        <f>IF(BG37="","",IF(MONTH(BG37+1)=MONTH(BG10),BG37+1,""))</f>
        <v/>
      </c>
      <c r="BH38" s="145"/>
      <c r="BI38" s="213" t="str">
        <f>IFERROR(IF(WEEKDAY(BG38)=2,INT(MOD(INT((BG38-2)/7)+0.6,52+5/28))+1,""),"")</f>
        <v/>
      </c>
      <c r="BJ38" s="205" t="str">
        <f>IF(ISERROR(VLOOKUP(BG38,Lune!$A$2:$B$55,2,FALSE)),"",VLOOKUP(BG38,Lune!$A$2:$B$55,2,FALSE))</f>
        <v/>
      </c>
      <c r="BK38" s="206" t="str">
        <f>IFERROR(IF(COUNTIF(Saints!$C$2:$C$371,BG38)=0,"",INDEX(Saints!$D$2:$D$371,MATCH(BG38,Saints!$C$2:$C$371,0))),"")</f>
        <v/>
      </c>
      <c r="BL38" s="211" t="str">
        <f>IFERROR(IF(COUNTIF(Parametre!$C$27:$C$39,BG38)=0,"",INDEX(Parametre!$B$27:$B$39,MATCH(BG38,Parametre!$C$27:$C$39,0)))&amp;""&amp;IF(COUNTIF(Parametre!$I$45:$I$94,BG38)=0,"",INDEX(Parametre!$K$45:$K$94,MATCH(BG38,Parametre!$I$45:$I$94,0))),"")</f>
        <v/>
      </c>
      <c r="BM38" s="43"/>
      <c r="BN38" s="203">
        <f>IF(BN37="","",IF(MONTH(BN37+1)=MONTH(BN10),BN37+1,""))</f>
        <v>44135</v>
      </c>
      <c r="BO38" s="145"/>
      <c r="BP38" s="213" t="str">
        <f>IFERROR(IF(WEEKDAY(BN38)=2,INT(MOD(INT((BN38-2)/7)+0.6,52+5/28))+1,""),"")</f>
        <v/>
      </c>
      <c r="BQ38" s="205" t="str">
        <f>IF(ISERROR(VLOOKUP(BN38,Lune!$A$2:$B$55,2,FALSE)),"",VLOOKUP(BN38,Lune!$A$2:$B$55,2,FALSE))</f>
        <v></v>
      </c>
      <c r="BR38" s="206" t="str">
        <f>IFERROR(IF(COUNTIF(Saints!$C$2:$C$371,BN38)=0,"",INDEX(Saints!$D$2:$D$371,MATCH(BN38,Saints!$C$2:$C$371,0))),"")</f>
        <v>Quentin</v>
      </c>
      <c r="BS38" s="211" t="str">
        <f>IF(COUNTIF(Parametre!$C$27:$C$39,BN38)=0,"",INDEX(Parametre!$B$27:$B$39,MATCH(BN38,Parametre!$C$27:$C$39,0)))&amp;""&amp;IF(COUNTIF(Parametre!$I$45:$I$94,BN38)=0,"",INDEX(Parametre!$K$45:$K$94,MATCH(BN38,Parametre!$I$45:$I$94,0)))</f>
        <v/>
      </c>
      <c r="BT38" s="43"/>
      <c r="BU38" s="203" t="str">
        <f>IF(BU37="","",IF(MONTH(BU37+1)=MONTH(BU10),BU37+1,""))</f>
        <v/>
      </c>
      <c r="BV38" s="145"/>
      <c r="BW38" s="213" t="str">
        <f>IFERROR(IF(WEEKDAY(BU38)=2,INT(MOD(INT((BU38-2)/7)+0.6,52+5/28))+1,""),"")</f>
        <v/>
      </c>
      <c r="BX38" s="205" t="str">
        <f>IF(ISERROR(VLOOKUP(BU38,Lune!$A$2:$B$55,2,FALSE)),"",VLOOKUP(BU38,Lune!$A$2:$B$55,2,FALSE))</f>
        <v/>
      </c>
      <c r="BY38" s="206" t="str">
        <f>IFERROR(IF(COUNTIF(Saints!$C$2:$C$371,BU38)=0,"",INDEX(Saints!$D$2:$D$371,MATCH(BU38,Saints!$C$2:$C$371,0))),"")</f>
        <v/>
      </c>
      <c r="BZ38" s="211" t="str">
        <f>IFERROR(IF(COUNTIF(Parametre!$C$27:$C$39,BU38)=0,"",INDEX(Parametre!$B$27:$B$39,MATCH(BU38,Parametre!$C$27:$C$39,0)))&amp;""&amp;IF(COUNTIF(Parametre!$I$45:$I$94,BU38)=0,"",INDEX(Parametre!$K$45:$K$94,MATCH(BU38,Parametre!$I$45:$I$94,0))),"")</f>
        <v/>
      </c>
      <c r="CA38" s="43"/>
      <c r="CB38" s="203">
        <f>IF(CB37="","",IF(MONTH(CB37+1)=MONTH(CB10),CB37+1,""))</f>
        <v>44196</v>
      </c>
      <c r="CC38" s="145"/>
      <c r="CD38" s="213" t="str">
        <f>IFERROR(IF(WEEKDAY(CB38)=2,INT(MOD(INT((CB38-2)/7)+0.6,52+5/28))+1,""),"")</f>
        <v/>
      </c>
      <c r="CE38" s="205" t="str">
        <f>IF(ISERROR(VLOOKUP(CB38,Lune!$A$2:$B$55,2,FALSE)),"",VLOOKUP(CB38,Lune!$A$2:$B$55,2,FALSE))</f>
        <v/>
      </c>
      <c r="CF38" s="206" t="str">
        <f>IFERROR(IF(COUNTIF(Saints!$C$2:$C$371,CB38)=0,"",INDEX(Saints!$D$2:$D$371,MATCH(CB38,Saints!$C$2:$C$371,0))),"")</f>
        <v>Sylvestre</v>
      </c>
      <c r="CG38" s="211" t="str">
        <f>IF(COUNTIF(Parametre!$C$27:$C$39,CB38)=0,"",INDEX(Parametre!$B$27:$B$39,MATCH(CB38,Parametre!$C$27:$C$39,0)))&amp;" "&amp;IF(COUNTIF(Parametre!$I$45:$I$94,CB38)=0,"",INDEX(Parametre!$K$45:$K$94,MATCH(CB38,Parametre!$I$45:$I$94,0)))</f>
        <v xml:space="preserve"> </v>
      </c>
    </row>
    <row r="39" spans="2:85">
      <c r="C39" s="216"/>
    </row>
    <row r="40" spans="2:85">
      <c r="G40" s="217" t="s">
        <v>2110</v>
      </c>
      <c r="H40" s="218">
        <f>Parametre!$P27</f>
        <v>22</v>
      </c>
      <c r="I40" s="29"/>
      <c r="O40" s="218">
        <f>Parametre!$P28</f>
        <v>20</v>
      </c>
      <c r="V40" s="218">
        <f>Parametre!$P29</f>
        <v>22</v>
      </c>
      <c r="AC40" s="218">
        <f>Parametre!$P30</f>
        <v>21</v>
      </c>
      <c r="AJ40" s="218">
        <f>Parametre!$P31</f>
        <v>18</v>
      </c>
      <c r="AQ40" s="218">
        <f>Parametre!$P32</f>
        <v>21</v>
      </c>
      <c r="AX40" s="218">
        <f>Parametre!$P33</f>
        <v>22</v>
      </c>
      <c r="BE40" s="218">
        <f>Parametre!$P34</f>
        <v>21</v>
      </c>
      <c r="BL40" s="218">
        <f>Parametre!$P35</f>
        <v>22</v>
      </c>
      <c r="BS40" s="218">
        <f>Parametre!$P36</f>
        <v>22</v>
      </c>
      <c r="BZ40" s="218">
        <f>Parametre!$P27</f>
        <v>22</v>
      </c>
      <c r="CG40" s="218">
        <f>Parametre!$P38</f>
        <v>22</v>
      </c>
    </row>
    <row r="41" spans="2:85">
      <c r="G41" s="217" t="s">
        <v>2111</v>
      </c>
      <c r="H41" s="218">
        <f>Parametre!$Q27</f>
        <v>23</v>
      </c>
      <c r="I41" s="29"/>
      <c r="O41" s="218">
        <f>Parametre!$Q28</f>
        <v>20</v>
      </c>
      <c r="V41" s="218">
        <f>Parametre!$Q29</f>
        <v>22</v>
      </c>
      <c r="AC41" s="218">
        <f>Parametre!$Q30</f>
        <v>22</v>
      </c>
      <c r="AJ41" s="218">
        <f>Parametre!$Q31</f>
        <v>21</v>
      </c>
      <c r="AQ41" s="218">
        <f>Parametre!$Q32</f>
        <v>22</v>
      </c>
      <c r="AX41" s="218">
        <f>Parametre!$Q33</f>
        <v>23</v>
      </c>
      <c r="BE41" s="218">
        <f>Parametre!$Q34</f>
        <v>21</v>
      </c>
      <c r="BL41" s="218">
        <f>Parametre!$Q35</f>
        <v>22</v>
      </c>
      <c r="BS41" s="218">
        <f>Parametre!$Q36</f>
        <v>22</v>
      </c>
      <c r="BZ41" s="218">
        <f>Parametre!$Q37</f>
        <v>21</v>
      </c>
      <c r="CG41" s="218">
        <f>Parametre!$Q38</f>
        <v>23</v>
      </c>
    </row>
    <row r="42" spans="2:85">
      <c r="G42" s="219" t="s">
        <v>2112</v>
      </c>
      <c r="H42" s="218">
        <f ca="1">Parametre!$R27</f>
        <v>4</v>
      </c>
      <c r="I42" s="29"/>
      <c r="O42" s="218">
        <f ca="1">Parametre!$R28</f>
        <v>5</v>
      </c>
      <c r="V42" s="218">
        <f ca="1">Parametre!$R29</f>
        <v>4</v>
      </c>
      <c r="AC42" s="218">
        <f ca="1">Parametre!$R30</f>
        <v>4</v>
      </c>
      <c r="AJ42" s="218">
        <f ca="1">Parametre!$R31</f>
        <v>5</v>
      </c>
      <c r="AQ42" s="218">
        <f ca="1">Parametre!$R32</f>
        <v>4</v>
      </c>
      <c r="AX42" s="218">
        <f ca="1">Parametre!$R33</f>
        <v>4</v>
      </c>
      <c r="BE42" s="218">
        <f ca="1">Parametre!$R34</f>
        <v>5</v>
      </c>
      <c r="BL42" s="218">
        <f ca="1">Parametre!$R35</f>
        <v>4</v>
      </c>
      <c r="BS42" s="218">
        <f ca="1">Parametre!$R36</f>
        <v>5</v>
      </c>
      <c r="BZ42" s="218">
        <f ca="1">Parametre!$R37</f>
        <v>4</v>
      </c>
      <c r="CG42" s="218">
        <f ca="1">Parametre!$R38</f>
        <v>4</v>
      </c>
    </row>
    <row r="43" spans="2:85">
      <c r="G43" s="220" t="s">
        <v>2113</v>
      </c>
      <c r="H43" s="218">
        <f ca="1">Parametre!$S27</f>
        <v>4</v>
      </c>
      <c r="I43" s="29"/>
      <c r="O43" s="218">
        <f ca="1">Parametre!$S28</f>
        <v>4</v>
      </c>
      <c r="V43" s="218">
        <f ca="1">Parametre!$S29</f>
        <v>5</v>
      </c>
      <c r="AC43" s="218">
        <f ca="1">Parametre!$S30</f>
        <v>4</v>
      </c>
      <c r="AJ43" s="218">
        <f ca="1">Parametre!$S31</f>
        <v>5</v>
      </c>
      <c r="AQ43" s="218">
        <f ca="1">Parametre!$S32</f>
        <v>4</v>
      </c>
      <c r="AX43" s="218">
        <f ca="1">Parametre!$S33</f>
        <v>4</v>
      </c>
      <c r="BE43" s="218">
        <f ca="1">Parametre!$S34</f>
        <v>5</v>
      </c>
      <c r="BL43" s="218">
        <f ca="1">Parametre!$S35</f>
        <v>4</v>
      </c>
      <c r="BS43" s="218">
        <f ca="1">Parametre!$S36</f>
        <v>4</v>
      </c>
      <c r="BZ43" s="218">
        <f ca="1">Parametre!$S37</f>
        <v>5</v>
      </c>
      <c r="CG43" s="218">
        <f ca="1">Parametre!$S38</f>
        <v>4</v>
      </c>
    </row>
    <row r="44" spans="2:85">
      <c r="G44" s="220" t="s">
        <v>2114</v>
      </c>
      <c r="H44" s="218">
        <f ca="1">Parametre!$T27</f>
        <v>1</v>
      </c>
      <c r="I44" s="29"/>
      <c r="O44" s="218">
        <f ca="1">Parametre!$T28</f>
        <v>0</v>
      </c>
      <c r="V44" s="218">
        <f ca="1">Parametre!$T29</f>
        <v>0</v>
      </c>
      <c r="AC44" s="218">
        <f ca="1">Parametre!$T30</f>
        <v>2</v>
      </c>
      <c r="AJ44" s="218">
        <f ca="1">Parametre!$T31</f>
        <v>4</v>
      </c>
      <c r="AQ44" s="218">
        <f ca="1">Parametre!$T32</f>
        <v>1</v>
      </c>
      <c r="AX44" s="218">
        <f ca="1">Parametre!$T33</f>
        <v>1</v>
      </c>
      <c r="BE44" s="218">
        <f ca="1">Parametre!$T34</f>
        <v>1</v>
      </c>
      <c r="BL44" s="218">
        <f ca="1">Parametre!$T35</f>
        <v>0</v>
      </c>
      <c r="BS44" s="218">
        <f ca="1">Parametre!$T36</f>
        <v>0</v>
      </c>
      <c r="BZ44" s="218">
        <f ca="1">Parametre!$T37</f>
        <v>2</v>
      </c>
      <c r="CG44" s="218">
        <f ca="1">Parametre!$T38</f>
        <v>1</v>
      </c>
    </row>
    <row r="49" spans="10:63">
      <c r="J49" s="1"/>
    </row>
    <row r="56" spans="10:63">
      <c r="BK56" t="s">
        <v>2121</v>
      </c>
    </row>
    <row r="58" spans="10:63">
      <c r="BK58" t="s">
        <v>2122</v>
      </c>
    </row>
  </sheetData>
  <mergeCells count="12">
    <mergeCell ref="CF7:CG7"/>
    <mergeCell ref="Q5:V5"/>
    <mergeCell ref="G7:H7"/>
    <mergeCell ref="N7:O7"/>
    <mergeCell ref="U7:V7"/>
    <mergeCell ref="AB7:AC7"/>
    <mergeCell ref="AI7:AJ7"/>
    <mergeCell ref="AP7:AQ7"/>
    <mergeCell ref="AW7:AX7"/>
    <mergeCell ref="BD7:BE7"/>
    <mergeCell ref="BQ7:BS7"/>
    <mergeCell ref="BY7:BZ7"/>
  </mergeCells>
  <conditionalFormatting sqref="D8:D38">
    <cfRule type="expression" dxfId="87" priority="98">
      <formula>SUMPRODUCT((C8&gt;=DebutVac)*(C8&lt;=FinVac))&gt;0</formula>
    </cfRule>
  </conditionalFormatting>
  <conditionalFormatting sqref="R8:R35">
    <cfRule type="expression" dxfId="86" priority="97">
      <formula>SUMPRODUCT((Q8&gt;=DebutVac)*(Q8&lt;=FinVac))&gt;0</formula>
    </cfRule>
  </conditionalFormatting>
  <conditionalFormatting sqref="Y8:Y38">
    <cfRule type="expression" dxfId="85" priority="96">
      <formula>SUMPRODUCT((X8&gt;=DebutVac)*(X8&lt;=FinVac))&gt;0</formula>
    </cfRule>
  </conditionalFormatting>
  <conditionalFormatting sqref="AF8:AF36">
    <cfRule type="expression" dxfId="84" priority="95">
      <formula>SUMPRODUCT((AE8&gt;=DebutVac)*(AE8&lt;=FinVac))&gt;0</formula>
    </cfRule>
  </conditionalFormatting>
  <conditionalFormatting sqref="AF36:AF38">
    <cfRule type="expression" dxfId="83" priority="94">
      <formula>SUMPRODUCT((AE36&gt;=DebutVac)*(AE36&lt;=FinVac))&gt;0</formula>
    </cfRule>
  </conditionalFormatting>
  <conditionalFormatting sqref="AM8:AM35">
    <cfRule type="expression" dxfId="82" priority="93">
      <formula>SUMPRODUCT((AL8&gt;=DebutVac)*(AL8&lt;=FinVac))&gt;0</formula>
    </cfRule>
  </conditionalFormatting>
  <conditionalFormatting sqref="AT8:AT35">
    <cfRule type="expression" dxfId="81" priority="92">
      <formula>SUMPRODUCT((AS8&gt;=DebutVac)*(AS8&lt;=FinVac))&gt;0</formula>
    </cfRule>
  </conditionalFormatting>
  <conditionalFormatting sqref="AM36">
    <cfRule type="expression" dxfId="80" priority="91">
      <formula>SUMPRODUCT((AL36&gt;=DebutVac)*(AL36&lt;=FinVac))&gt;0</formula>
    </cfRule>
  </conditionalFormatting>
  <conditionalFormatting sqref="AM36:AM38">
    <cfRule type="expression" dxfId="79" priority="90">
      <formula>SUMPRODUCT((AL36&gt;=DebutVac)*(AL36&lt;=FinVac))&gt;0</formula>
    </cfRule>
  </conditionalFormatting>
  <conditionalFormatting sqref="AT36">
    <cfRule type="expression" dxfId="78" priority="89">
      <formula>SUMPRODUCT((AS36&gt;=DebutVac)*(AS36&lt;=FinVac))&gt;0</formula>
    </cfRule>
  </conditionalFormatting>
  <conditionalFormatting sqref="AT36:AT38">
    <cfRule type="expression" dxfId="77" priority="88">
      <formula>SUMPRODUCT((AS36&gt;=DebutVac)*(AS36&lt;=FinVac))&gt;0</formula>
    </cfRule>
  </conditionalFormatting>
  <conditionalFormatting sqref="BA8:BA35">
    <cfRule type="expression" dxfId="76" priority="87">
      <formula>SUMPRODUCT((AZ8&gt;=DebutVac)*(AZ8&lt;=FinVac))&gt;0</formula>
    </cfRule>
  </conditionalFormatting>
  <conditionalFormatting sqref="BA36">
    <cfRule type="expression" dxfId="75" priority="86">
      <formula>SUMPRODUCT((AZ36&gt;=DebutVac)*(AZ36&lt;=FinVac))&gt;0</formula>
    </cfRule>
  </conditionalFormatting>
  <conditionalFormatting sqref="BA36:BA38">
    <cfRule type="expression" dxfId="74" priority="85">
      <formula>SUMPRODUCT((AZ36&gt;=DebutVac)*(AZ36&lt;=FinVac))&gt;0</formula>
    </cfRule>
  </conditionalFormatting>
  <conditionalFormatting sqref="BH8:BH35">
    <cfRule type="expression" dxfId="73" priority="84">
      <formula>SUMPRODUCT((BG8&gt;=DebutVac)*(BG8&lt;=FinVac))&gt;0</formula>
    </cfRule>
  </conditionalFormatting>
  <conditionalFormatting sqref="BH36">
    <cfRule type="expression" dxfId="72" priority="83">
      <formula>SUMPRODUCT((BG36&gt;=DebutVac)*(BG36&lt;=FinVac))&gt;0</formula>
    </cfRule>
  </conditionalFormatting>
  <conditionalFormatting sqref="BH36:BH38">
    <cfRule type="expression" dxfId="71" priority="82">
      <formula>SUMPRODUCT((BG36&gt;=DebutVac)*(BG36&lt;=FinVac))&gt;0</formula>
    </cfRule>
  </conditionalFormatting>
  <conditionalFormatting sqref="BO8:BO35">
    <cfRule type="expression" dxfId="70" priority="81">
      <formula>SUMPRODUCT((BN8&gt;=DebutVac)*(BN8&lt;=FinVac))&gt;0</formula>
    </cfRule>
  </conditionalFormatting>
  <conditionalFormatting sqref="BO36">
    <cfRule type="expression" dxfId="69" priority="80">
      <formula>SUMPRODUCT((BN36&gt;=DebutVac)*(BN36&lt;=FinVac))&gt;0</formula>
    </cfRule>
  </conditionalFormatting>
  <conditionalFormatting sqref="BO36:BO38">
    <cfRule type="expression" dxfId="68" priority="79">
      <formula>SUMPRODUCT((BN36&gt;=DebutVac)*(BN36&lt;=FinVac))&gt;0</formula>
    </cfRule>
  </conditionalFormatting>
  <conditionalFormatting sqref="BV8:BV35">
    <cfRule type="expression" dxfId="67" priority="78">
      <formula>SUMPRODUCT((BU8&gt;=DebutVac)*(BU8&lt;=FinVac))&gt;0</formula>
    </cfRule>
  </conditionalFormatting>
  <conditionalFormatting sqref="BV36">
    <cfRule type="expression" dxfId="66" priority="77">
      <formula>SUMPRODUCT((BU36&gt;=DebutVac)*(BU36&lt;=FinVac))&gt;0</formula>
    </cfRule>
  </conditionalFormatting>
  <conditionalFormatting sqref="BV36:BV38">
    <cfRule type="expression" dxfId="65" priority="76">
      <formula>SUMPRODUCT((BU36&gt;=DebutVac)*(BU36&lt;=FinVac))&gt;0</formula>
    </cfRule>
  </conditionalFormatting>
  <conditionalFormatting sqref="CC8:CC35">
    <cfRule type="expression" dxfId="64" priority="75">
      <formula>SUMPRODUCT((CB8&gt;=DebutVac)*(CB8&lt;=FinVac))&gt;0</formula>
    </cfRule>
  </conditionalFormatting>
  <conditionalFormatting sqref="CC36">
    <cfRule type="expression" dxfId="63" priority="74">
      <formula>SUMPRODUCT((CB36&gt;=DebutVac)*(CB36&lt;=FinVac))&gt;0</formula>
    </cfRule>
  </conditionalFormatting>
  <conditionalFormatting sqref="CC36:CC38">
    <cfRule type="expression" dxfId="62" priority="73">
      <formula>SUMPRODUCT((CB36&gt;=DebutVac)*(CB36&lt;=FinVac))&gt;0</formula>
    </cfRule>
  </conditionalFormatting>
  <conditionalFormatting sqref="K8:K38">
    <cfRule type="expression" dxfId="61" priority="72">
      <formula>SUMPRODUCT((J8&gt;=DebutVac)*(J8&lt;=FinVac))&gt;0</formula>
    </cfRule>
  </conditionalFormatting>
  <conditionalFormatting sqref="R8:R9">
    <cfRule type="expression" dxfId="60" priority="71">
      <formula>SUMPRODUCT((Q8&gt;=DebutVac)*(Q8&lt;=FinVac))&gt;0</formula>
    </cfRule>
  </conditionalFormatting>
  <conditionalFormatting sqref="R8:R38">
    <cfRule type="expression" dxfId="59" priority="70">
      <formula>SUMPRODUCT((Q8&gt;=DebutVac)*(Q8&lt;=FinVac))&gt;0</formula>
    </cfRule>
  </conditionalFormatting>
  <conditionalFormatting sqref="C5">
    <cfRule type="expression" dxfId="58" priority="69">
      <formula>"SI(ET(OU(JOURSEM(C10)=1;DROITE(H10;1)&lt;&gt;"" "");C10&lt;&gt;"""");VRAI)"</formula>
    </cfRule>
  </conditionalFormatting>
  <conditionalFormatting sqref="C8:C38 J8:J38 Q8:Q38 X8:X38 AE8:AE38 AL8:AL38 AS8:AS38 AZ8:AZ38 BG8:BG38 BN8:BN38 BU8:BU38 CB8:CB38">
    <cfRule type="expression" dxfId="57" priority="65" stopIfTrue="1">
      <formula>C8=TODAY()</formula>
    </cfRule>
    <cfRule type="expression" dxfId="56" priority="66">
      <formula>MOD(MAX(B8:C8),7)=1</formula>
    </cfRule>
    <cfRule type="expression" dxfId="55" priority="67">
      <formula>AND(WEEKDAY(C8,2)=6)</formula>
    </cfRule>
    <cfRule type="expression" dxfId="54" priority="68">
      <formula>COUNTIF(jourferies,C8)</formula>
    </cfRule>
  </conditionalFormatting>
  <conditionalFormatting sqref="E8:H38">
    <cfRule type="expression" dxfId="53" priority="62">
      <formula>AND(WEEKDAY($C8)=1)</formula>
    </cfRule>
    <cfRule type="expression" dxfId="52" priority="63">
      <formula>AND(WEEKDAY($C8)=7)</formula>
    </cfRule>
    <cfRule type="expression" dxfId="51" priority="64">
      <formula>COUNTIF(jourferies,$C8)</formula>
    </cfRule>
  </conditionalFormatting>
  <conditionalFormatting sqref="L8:O38">
    <cfRule type="expression" dxfId="50" priority="59" stopIfTrue="1">
      <formula>AND(WEEKDAY($J8)=7)</formula>
    </cfRule>
    <cfRule type="expression" dxfId="49" priority="60">
      <formula>AND(WEEKDAY($J8)=1)</formula>
    </cfRule>
    <cfRule type="expression" dxfId="48" priority="61">
      <formula>COUNTIF(jourferies,J8)</formula>
    </cfRule>
  </conditionalFormatting>
  <conditionalFormatting sqref="Z8:AC38">
    <cfRule type="expression" dxfId="47" priority="56" stopIfTrue="1">
      <formula>AND(WEEKDAY($X8)=7)</formula>
    </cfRule>
    <cfRule type="expression" dxfId="46" priority="57" stopIfTrue="1">
      <formula>AND(WEEKDAY($X8)=1)</formula>
    </cfRule>
    <cfRule type="expression" dxfId="45" priority="58">
      <formula>COUNTIF(jourferies,$X8)</formula>
    </cfRule>
  </conditionalFormatting>
  <conditionalFormatting sqref="AG8:AJ38">
    <cfRule type="expression" dxfId="44" priority="53" stopIfTrue="1">
      <formula>AND(WEEKDAY($AE8)=7)</formula>
    </cfRule>
    <cfRule type="expression" dxfId="43" priority="54" stopIfTrue="1">
      <formula>AND(WEEKDAY($AE8)=1)</formula>
    </cfRule>
    <cfRule type="expression" dxfId="42" priority="55">
      <formula>COUNTIF(jourferies,$AE8)</formula>
    </cfRule>
  </conditionalFormatting>
  <conditionalFormatting sqref="H8:H38 O8:O38 V8:V38 AC8:AC38 AJ8:AJ38 CG8:CG38 BZ8:BZ38 BS8:BS38 AQ8:AQ38 AX8:AX38 BE8:BE38 BL8:BL38">
    <cfRule type="expression" dxfId="41" priority="52">
      <formula>MATCH(H8,EvtMarie,0)</formula>
    </cfRule>
  </conditionalFormatting>
  <conditionalFormatting sqref="AN8:AQ38">
    <cfRule type="expression" dxfId="40" priority="48" stopIfTrue="1">
      <formula>AND(WEEKDAY($AL8)=7)</formula>
    </cfRule>
    <cfRule type="expression" dxfId="39" priority="49" stopIfTrue="1">
      <formula>AND(WEEKDAY($AL8)=1)</formula>
    </cfRule>
    <cfRule type="expression" dxfId="38" priority="50">
      <formula>COUNTIF(jourferies,$AL8)</formula>
    </cfRule>
  </conditionalFormatting>
  <conditionalFormatting sqref="AU8:AX38">
    <cfRule type="expression" dxfId="37" priority="45" stopIfTrue="1">
      <formula>AND(WEEKDAY($C8)=7)</formula>
    </cfRule>
    <cfRule type="expression" dxfId="36" priority="46" stopIfTrue="1">
      <formula>AND(WEEKDAY($AS8)=1)</formula>
    </cfRule>
    <cfRule type="expression" dxfId="35" priority="47">
      <formula>COUNTIF(jourferies,$AS8)</formula>
    </cfRule>
  </conditionalFormatting>
  <conditionalFormatting sqref="BB8:BE38">
    <cfRule type="expression" dxfId="34" priority="42" stopIfTrue="1">
      <formula>AND(WEEKDAY($AZ8)=7)</formula>
    </cfRule>
    <cfRule type="expression" dxfId="33" priority="43" stopIfTrue="1">
      <formula>AND(WEEKDAY($AZ8)=1)</formula>
    </cfRule>
    <cfRule type="expression" dxfId="32" priority="44">
      <formula>COUNTIF(jourferies,$AZ8)</formula>
    </cfRule>
  </conditionalFormatting>
  <conditionalFormatting sqref="BI8:BL38">
    <cfRule type="expression" dxfId="31" priority="38" stopIfTrue="1">
      <formula>AND(WEEKDAY($BG8)=1)</formula>
    </cfRule>
    <cfRule type="expression" dxfId="30" priority="39" stopIfTrue="1">
      <formula>AND(WEEKDAY($BG8)=7)</formula>
    </cfRule>
    <cfRule type="expression" dxfId="29" priority="40" stopIfTrue="1">
      <formula>AND(WEEKDAY($J8)=1)</formula>
    </cfRule>
    <cfRule type="expression" dxfId="28" priority="41">
      <formula>COUNTIF(jourferies,$BG8)</formula>
    </cfRule>
  </conditionalFormatting>
  <conditionalFormatting sqref="BP8:BS38">
    <cfRule type="expression" dxfId="27" priority="35" stopIfTrue="1">
      <formula>AND(WEEKDAY($BN8)=7)</formula>
    </cfRule>
    <cfRule type="expression" dxfId="26" priority="36" stopIfTrue="1">
      <formula>AND(WEEKDAY($BN8)=1)</formula>
    </cfRule>
    <cfRule type="expression" dxfId="25" priority="37">
      <formula>COUNTIF(jourferies,$BN8)</formula>
    </cfRule>
  </conditionalFormatting>
  <conditionalFormatting sqref="BW8:BZ38">
    <cfRule type="expression" dxfId="24" priority="32" stopIfTrue="1">
      <formula>AND(WEEKDAY($BU8)=7)</formula>
    </cfRule>
    <cfRule type="expression" dxfId="23" priority="33" stopIfTrue="1">
      <formula>AND(WEEKDAY($BU8)=1)</formula>
    </cfRule>
    <cfRule type="expression" dxfId="22" priority="34">
      <formula>AND(COUNTIF(jourferies,$BU8))</formula>
    </cfRule>
  </conditionalFormatting>
  <conditionalFormatting sqref="CD8:CG38">
    <cfRule type="expression" dxfId="21" priority="29" stopIfTrue="1">
      <formula>AND(WEEKDAY($CB8)=7)</formula>
    </cfRule>
    <cfRule type="expression" dxfId="20" priority="30" stopIfTrue="1">
      <formula>AND(WEEKDAY($CB8)=1)</formula>
    </cfRule>
    <cfRule type="expression" dxfId="19" priority="31">
      <formula>COUNTIF(jourferies,$CB8)</formula>
    </cfRule>
  </conditionalFormatting>
  <conditionalFormatting sqref="S8:V38">
    <cfRule type="expression" dxfId="18" priority="27" stopIfTrue="1">
      <formula>AND(WEEKDAY($Q8)=1)</formula>
    </cfRule>
    <cfRule type="expression" dxfId="17" priority="28" stopIfTrue="1">
      <formula>AND(WEEKDAY($Q8)=7)</formula>
    </cfRule>
  </conditionalFormatting>
  <conditionalFormatting sqref="F8:F38">
    <cfRule type="expression" dxfId="16" priority="24">
      <formula>AND(WEEKDAY($C8)=1)</formula>
    </cfRule>
    <cfRule type="expression" dxfId="15" priority="25">
      <formula>AND(WEEKDAY($C8)=7)</formula>
    </cfRule>
    <cfRule type="expression" dxfId="14" priority="26">
      <formula>COUNTIF(jourferies,$C8)</formula>
    </cfRule>
  </conditionalFormatting>
  <conditionalFormatting sqref="H8:H38 V8:V38 AC8:AC38 AJ8:AJ38 CG8:CG38 O8:O38 BZ8:BZ38 BS8:BS38 AQ8:AQ38 AX8:AX38 BE8:BE38 BL8:BL38">
    <cfRule type="expression" dxfId="13" priority="17" stopIfTrue="1">
      <formula>MATCH(H8,EvtMichel,0)</formula>
    </cfRule>
  </conditionalFormatting>
  <conditionalFormatting sqref="AQ15:AQ38">
    <cfRule type="expression" dxfId="12" priority="12" stopIfTrue="1">
      <formula>AND(WEEKDAY($AL15)=7)</formula>
    </cfRule>
    <cfRule type="expression" dxfId="11" priority="13" stopIfTrue="1">
      <formula>AND(WEEKDAY($AL15)=1)</formula>
    </cfRule>
    <cfRule type="expression" dxfId="10" priority="14">
      <formula>COUNTIF(jourferies,$AL15)</formula>
    </cfRule>
  </conditionalFormatting>
  <dataValidations disablePrompts="1" count="1">
    <dataValidation type="list" allowBlank="1" showInputMessage="1" showErrorMessage="1" sqref="H4">
      <formula1>Mois</formula1>
    </dataValidation>
  </dataValidations>
  <pageMargins left="0.19685039370078741" right="0.19685039370078741" top="0.39370078740157483" bottom="0.39370078740157483" header="0.31496062992125984" footer="0.31496062992125984"/>
  <pageSetup paperSize="9" scale="66" fitToWidth="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AI49"/>
  <sheetViews>
    <sheetView showGridLines="0" tabSelected="1" zoomScaleNormal="100" workbookViewId="0">
      <selection activeCell="B3" sqref="B3"/>
    </sheetView>
  </sheetViews>
  <sheetFormatPr baseColWidth="10" defaultRowHeight="15"/>
  <cols>
    <col min="1" max="1" width="6.28515625" customWidth="1"/>
    <col min="2" max="2" width="4.140625" customWidth="1"/>
    <col min="3" max="3" width="9.7109375" customWidth="1"/>
    <col min="5" max="5" width="9.7109375" customWidth="1"/>
    <col min="6" max="6" width="9.7109375" hidden="1" customWidth="1"/>
    <col min="7" max="7" width="4.140625" customWidth="1"/>
    <col min="8" max="8" width="9.7109375" customWidth="1"/>
    <col min="10" max="10" width="9.7109375" customWidth="1"/>
    <col min="11" max="11" width="9.7109375" hidden="1" customWidth="1"/>
    <col min="12" max="12" width="4.140625" customWidth="1"/>
    <col min="13" max="15" width="9.7109375" customWidth="1"/>
    <col min="16" max="16" width="9.7109375" hidden="1" customWidth="1"/>
    <col min="17" max="17" width="4.140625" customWidth="1"/>
    <col min="18" max="20" width="9.7109375" customWidth="1"/>
    <col min="21" max="21" width="9.7109375" hidden="1" customWidth="1"/>
    <col min="22" max="22" width="4.140625" customWidth="1"/>
    <col min="23" max="25" width="9.7109375" customWidth="1"/>
    <col min="26" max="26" width="9.7109375" hidden="1" customWidth="1"/>
    <col min="27" max="27" width="4.140625" customWidth="1"/>
    <col min="28" max="30" width="9.7109375" customWidth="1"/>
    <col min="31" max="31" width="9.7109375" hidden="1" customWidth="1"/>
    <col min="32" max="32" width="4.7109375" customWidth="1"/>
    <col min="33" max="35" width="9.7109375" customWidth="1"/>
  </cols>
  <sheetData>
    <row r="1" spans="1:35">
      <c r="I1" s="1"/>
    </row>
    <row r="2" spans="1:35" ht="18.75">
      <c r="C2" s="221">
        <f>Parametre!C5</f>
        <v>2020</v>
      </c>
      <c r="D2" s="222">
        <f>DATE(C2,B3,1)</f>
        <v>43831</v>
      </c>
      <c r="I2" s="1"/>
    </row>
    <row r="3" spans="1:35">
      <c r="B3" s="223">
        <v>1</v>
      </c>
      <c r="C3" s="278"/>
      <c r="D3" s="253">
        <f>DATE(C2,B3,1)</f>
        <v>43831</v>
      </c>
      <c r="H3" s="224"/>
      <c r="I3" s="1"/>
    </row>
    <row r="4" spans="1:35">
      <c r="B4" s="279" t="s">
        <v>2126</v>
      </c>
      <c r="D4" s="253">
        <f>EOMONTH(D3,0)</f>
        <v>43861</v>
      </c>
    </row>
    <row r="5" spans="1:35" ht="28.5">
      <c r="D5" s="254">
        <f>WEEKDAY(D3,1)</f>
        <v>4</v>
      </c>
      <c r="H5" s="225" t="str">
        <f>"Calendrier Mensuel : Jours Fériés, Saints, Anniversaires, &amp; Lunes "</f>
        <v xml:space="preserve">Calendrier Mensuel : Jours Fériés, Saints, Anniversaires, &amp; Lunes </v>
      </c>
      <c r="AG5" s="225" t="str">
        <f>PROPER((TEXT(DATE(C2,B3,1),"MMMM"))&amp;" "&amp;C2)</f>
        <v>Janvier 2020</v>
      </c>
    </row>
    <row r="7" spans="1:35" ht="15.75">
      <c r="B7" s="308" t="s">
        <v>7</v>
      </c>
      <c r="C7" s="309"/>
      <c r="D7" s="309"/>
      <c r="E7" s="309"/>
      <c r="F7" s="226"/>
      <c r="G7" s="305" t="s">
        <v>10</v>
      </c>
      <c r="H7" s="306"/>
      <c r="I7" s="306"/>
      <c r="J7" s="306"/>
      <c r="K7" s="226"/>
      <c r="L7" s="305" t="s">
        <v>13</v>
      </c>
      <c r="M7" s="306"/>
      <c r="N7" s="306"/>
      <c r="O7" s="306"/>
      <c r="P7" s="226"/>
      <c r="Q7" s="305" t="s">
        <v>16</v>
      </c>
      <c r="R7" s="306"/>
      <c r="S7" s="306"/>
      <c r="T7" s="306"/>
      <c r="U7" s="226"/>
      <c r="V7" s="305" t="s">
        <v>19</v>
      </c>
      <c r="W7" s="306"/>
      <c r="X7" s="306"/>
      <c r="Y7" s="306"/>
      <c r="Z7" s="226"/>
      <c r="AA7" s="305" t="s">
        <v>22</v>
      </c>
      <c r="AB7" s="306"/>
      <c r="AC7" s="306"/>
      <c r="AD7" s="306"/>
      <c r="AE7" s="226"/>
      <c r="AF7" s="305" t="s">
        <v>25</v>
      </c>
      <c r="AG7" s="306"/>
      <c r="AH7" s="306"/>
      <c r="AI7" s="307"/>
    </row>
    <row r="8" spans="1:35" ht="18.75">
      <c r="B8" s="227" t="str">
        <f>IF(G8="","",IF(MONTH(G8-1)&lt;&gt;MONTH(G8),"",G8-1))</f>
        <v/>
      </c>
      <c r="C8" s="228" t="str">
        <f>IF(COUNTIF(Parametre!$C$27:$C$39,B8)=0,"",INDEX(Parametre!$B$27:$B$39,MATCH(B8,Parametre!$C$27:$C$39,0)))</f>
        <v/>
      </c>
      <c r="D8" s="229"/>
      <c r="E8" s="230" t="str">
        <f>IFERROR(IF(WEEKDAY(B8,2)=1,INT((B8-LOOKUP(B8,DATE(YEAR(B8)+{-1;0;1},1,3)-WEEKDAY(DATE(YEAR(B8)+{-1;0;1},1,3))+2))/7)+1,""),"")</f>
        <v/>
      </c>
      <c r="F8" s="231"/>
      <c r="G8" s="227" t="str">
        <f>IF(L8="","",IF(MONTH(L8-1)&lt;&gt;MONTH(L8),"",L8-1))</f>
        <v/>
      </c>
      <c r="H8" s="228" t="str">
        <f>IF(COUNTIF(Parametre!$C$27:$C$39,G8)=0,"",INDEX(Parametre!$B$27:$B$39,MATCH(G8,Parametre!$C$27:$C$39,0)))</f>
        <v/>
      </c>
      <c r="I8" s="229"/>
      <c r="J8" s="230" t="str">
        <f>IFERROR(IF(WEEKDAY(G8,2)=1,INT((G8-LOOKUP(G8,DATE(YEAR(G8)+{-1;0;1},1,3)-WEEKDAY(DATE(YEAR(G8)+{-1;0;1},1,3))+2))/7)+1,""),"")</f>
        <v/>
      </c>
      <c r="K8" s="231"/>
      <c r="L8" s="232">
        <f>IF(Q8="","",IF(MONTH(Q8-1)&lt;&gt;MONTH(Q8),"",Q8-1))</f>
        <v>43831</v>
      </c>
      <c r="M8" s="228" t="str">
        <f>IF(COUNTIF(Parametre!$C$27:$C$39,L8)=0,"",INDEX(Parametre!$B$27:$B$39,MATCH(L8,Parametre!$C$27:$C$39,0)))</f>
        <v>Jour de l'An</v>
      </c>
      <c r="N8" s="229"/>
      <c r="O8" s="230" t="str">
        <f>IFERROR(IF(WEEKDAY(L8,2)=1,INT((L8-LOOKUP(L8,DATE(YEAR(L8)+{-1;0;1},1,3)-WEEKDAY(DATE(YEAR(L8)+{-1;0;1},1,3))+2))/7)+1,""),"")</f>
        <v/>
      </c>
      <c r="P8" s="231"/>
      <c r="Q8" s="232">
        <f>IF(V8="","",IF(MONTH(V8-1)&lt;&gt;MONTH(V8),"",V8-1))</f>
        <v>43832</v>
      </c>
      <c r="R8" s="228" t="str">
        <f>IF(COUNTIF(Parametre!$C$27:$C$39,Q8)=0,"",INDEX(Parametre!$B$27:$B$39,MATCH(Q8,Parametre!$C$27:$C$39,0)))</f>
        <v/>
      </c>
      <c r="S8" s="229"/>
      <c r="T8" s="230" t="str">
        <f>IFERROR(IF(WEEKDAY(Q8,2)=1,INT((Q8-LOOKUP(Q8,DATE(YEAR(Q8)+{-1;0;1},1,3)-WEEKDAY(DATE(YEAR(Q8)+{-1;0;1},1,3))+2))/7)+1,""),"")</f>
        <v/>
      </c>
      <c r="U8" s="231"/>
      <c r="V8" s="232">
        <f>IF(AA8="","",IF(MONTH(AA8-1)&lt;&gt;MONTH(AA8),"",AA8-1))</f>
        <v>43833</v>
      </c>
      <c r="W8" s="228" t="str">
        <f>IF(COUNTIF(Parametre!$C$27:$C$39,V8)=0,"",INDEX(Parametre!$B$27:$B$39,MATCH(V8,Parametre!$C$27:$C$39,0)))</f>
        <v/>
      </c>
      <c r="X8" s="229"/>
      <c r="Y8" s="230" t="str">
        <f>IFERROR(IF(WEEKDAY(V8,2)=1,INT((V8-LOOKUP(V8,DATE(YEAR(V8)+{-1;0;1},1,3)-WEEKDAY(DATE(YEAR(V8)+{-1;0;1},1,3))+2))/7)+1,""),"")</f>
        <v/>
      </c>
      <c r="Z8" s="231"/>
      <c r="AA8" s="232">
        <f>IF(AF8="","",IF(MONTH(AF8-1)&lt;&gt;MONTH(AF8),"",AF8-1))</f>
        <v>43834</v>
      </c>
      <c r="AB8" s="228" t="str">
        <f>IF(COUNTIF(Parametre!$C$27:$C$39,AA8)=0,"",INDEX(Parametre!$B$27:$B$39,MATCH(AA8,Parametre!$C$27:$C$39,0)))</f>
        <v/>
      </c>
      <c r="AC8" s="229"/>
      <c r="AD8" s="230" t="str">
        <f>IFERROR(IF(WEEKDAY(AA8,2)=1,INT((AA8-LOOKUP(AA8,DATE(YEAR(AA8)+{-1;0;1},1,3)-WEEKDAY(DATE(YEAR(AA8)+{-1;0;1},1,3))+2))/7)+1,""),"")</f>
        <v/>
      </c>
      <c r="AE8" s="231"/>
      <c r="AF8" s="263">
        <f>D3+7-WEEKDAY(D3-1)</f>
        <v>43835</v>
      </c>
      <c r="AG8" s="264" t="str">
        <f>IF(COUNTIF(Parametre!$C$27:$C$39,AF8)=0,"",INDEX(Parametre!$B$27:$B$39,MATCH(AF8,Parametre!$C$27:$C$39,0)))</f>
        <v/>
      </c>
      <c r="AH8" s="265"/>
      <c r="AI8" s="266" t="str">
        <f>IFERROR(IF(WEEKDAY(AF8,2)=1,INT((AF8-LOOKUP(AF8,DATE(YEAR(AF8)+{-1;0;1},1,3)-WEEKDAY(DATE(YEAR(AF8)+{-1;0;1},1,3))+2))/7)+1,""),"")</f>
        <v/>
      </c>
    </row>
    <row r="9" spans="1:35" ht="19.5">
      <c r="A9" s="280" t="s">
        <v>2125</v>
      </c>
      <c r="B9" s="233" t="str">
        <f>IFERROR(IF(COUNTIF(Saints!$C$2:$C$371,B8)=0,"",INDEX(Saints!$D$2:$D$371,MATCH(B8,Saints!$C$2:$C$371,0))),"")</f>
        <v/>
      </c>
      <c r="C9" s="43"/>
      <c r="D9" s="43"/>
      <c r="E9" s="234" t="str">
        <f>IF(ISERROR(VLOOKUP(B8,Lune!$A$2:$B$55,2,FALSE)),"",VLOOKUP(B8,Lune!$A$2:$B$55,2,FALSE))</f>
        <v/>
      </c>
      <c r="F9" s="235"/>
      <c r="G9" s="233" t="str">
        <f>IFERROR(IF(COUNTIF(Saints!$C$2:$C$371,G8)=0,"",INDEX(Saints!$D$2:$D$371,MATCH(G8,Saints!$C$2:$C$371,0))),"")</f>
        <v/>
      </c>
      <c r="H9" s="43"/>
      <c r="I9" s="43"/>
      <c r="J9" s="234" t="str">
        <f>IF(ISERROR(VLOOKUP(G8,Lune!$A$2:$B$55,2,FALSE)),"",VLOOKUP(G8,Lune!$A$2:$B$55,2,FALSE))</f>
        <v/>
      </c>
      <c r="K9" s="236"/>
      <c r="L9" s="233" t="str">
        <f>IFERROR(IF(COUNTIF(Saints!$C$2:$C$371,L8)=0,"",INDEX(Saints!$D$2:$D$371,MATCH(L8,Saints!$C$2:$C$371,0))),"")</f>
        <v>Maria</v>
      </c>
      <c r="M9" s="43"/>
      <c r="N9" s="43"/>
      <c r="O9" s="234" t="str">
        <f>IF(ISERROR(VLOOKUP(L8,Lune!$A$2:$B$55,2,FALSE)),"",VLOOKUP(L8,Lune!$A$2:$B$55,2,FALSE))</f>
        <v/>
      </c>
      <c r="P9" s="235"/>
      <c r="Q9" s="233" t="str">
        <f>IFERROR(IF(COUNTIF(Saints!$C$2:$C$371,Q8)=0,"",INDEX(Saints!$D$2:$D$371,MATCH(Q8,Saints!$C$2:$C$371,0))),"")</f>
        <v>Basile</v>
      </c>
      <c r="R9" s="43"/>
      <c r="S9" s="43"/>
      <c r="T9" s="234" t="str">
        <f>IF(ISERROR(VLOOKUP(Q8,Lune!$A$2:$B$55,2,FALSE)),"",VLOOKUP(Q8,Lune!$A$2:$B$55,2,FALSE))</f>
        <v/>
      </c>
      <c r="U9" s="235"/>
      <c r="V9" s="233" t="str">
        <f>IFERROR(IF(COUNTIF(Saints!$C$2:$C$371,V8)=0,"",INDEX(Saints!$D$2:$D$371,MATCH(V8,Saints!$C$2:$C$371,0))),"")</f>
        <v>Geneviève</v>
      </c>
      <c r="W9" s="43"/>
      <c r="X9" s="43"/>
      <c r="Y9" s="234" t="str">
        <f>IF(ISERROR(VLOOKUP(V8,Lune!$A$2:$B$55,2,FALSE)),"",VLOOKUP(V8,Lune!$A$2:$B$55,2,FALSE))</f>
        <v></v>
      </c>
      <c r="Z9" s="235"/>
      <c r="AA9" s="233" t="str">
        <f>IFERROR(IF(COUNTIF(Saints!$C$2:$C$371,AA8)=0,"",INDEX(Saints!$D$2:$D$371,MATCH(AA8,Saints!$C$2:$C$371,0))),"")</f>
        <v>Odilon</v>
      </c>
      <c r="AB9" s="43"/>
      <c r="AC9" s="43"/>
      <c r="AD9" s="234" t="str">
        <f>IF(ISERROR(VLOOKUP(AA8,Lune!$A$2:$B$55,2,FALSE)),"",VLOOKUP(AA8,Lune!$A$2:$B$55,2,FALSE))</f>
        <v/>
      </c>
      <c r="AE9" s="235"/>
      <c r="AF9" s="267" t="str">
        <f>IFERROR(IF(COUNTIF(Saints!$C$2:$C$371,AF8)=0,"",INDEX(Saints!$D$2:$D$371,MATCH(AF8,Saints!$C$2:$C$371,0))),"")</f>
        <v>Edouard</v>
      </c>
      <c r="AG9" s="268"/>
      <c r="AH9" s="268"/>
      <c r="AI9" s="269" t="str">
        <f>IF(ISERROR(VLOOKUP(AF8,Lune!$A$2:$B$55,2,FALSE)),"",VLOOKUP(AF8,Lune!$A$2:$B$55,2,FALSE))</f>
        <v/>
      </c>
    </row>
    <row r="10" spans="1:35" ht="15.75">
      <c r="A10" s="280" t="s">
        <v>2124</v>
      </c>
      <c r="B10" s="237"/>
      <c r="C10" s="238" t="str">
        <f>IFERROR(IF(COUNTIF(Parametre!$I$45:$I$94,B8)=0,"",INDEX(Parametre!$K$45:$K$94,MATCH(B8,Parametre!$I$45:$I$94,0))),"")</f>
        <v/>
      </c>
      <c r="D10" s="239"/>
      <c r="E10" s="240"/>
      <c r="F10" s="239"/>
      <c r="G10" s="237"/>
      <c r="H10" s="238" t="str">
        <f>IFERROR(IF(COUNTIF(Parametre!$I$45:$I$94,G8)=0,"",INDEX(Parametre!$K$45:$K$94,MATCH(G8,Parametre!$I$45:$I$94,0))),"")</f>
        <v/>
      </c>
      <c r="I10" s="239"/>
      <c r="J10" s="240"/>
      <c r="K10" s="239"/>
      <c r="L10" s="237"/>
      <c r="M10" s="238" t="str">
        <f>IFERROR(IF(COUNTIF(Parametre!$I$45:$I$94,L8)=0,"",INDEX(Parametre!$K$45:$K$94,MATCH(L8,Parametre!$I$45:$I$94,0))),"")</f>
        <v/>
      </c>
      <c r="N10" s="239"/>
      <c r="O10" s="240"/>
      <c r="P10" s="239"/>
      <c r="Q10" s="237"/>
      <c r="R10" s="238" t="str">
        <f>IFERROR(IF(COUNTIF(Parametre!$I$45:$I$94,Q8)=0,"",INDEX(Parametre!$K$45:$K$94,MATCH(Q8,Parametre!$I$45:$I$94,0))),"")</f>
        <v/>
      </c>
      <c r="S10" s="239"/>
      <c r="T10" s="240"/>
      <c r="U10" s="239"/>
      <c r="V10" s="237"/>
      <c r="W10" s="238" t="str">
        <f>IFERROR(IF(COUNTIF(Parametre!$I$45:$I$94,V8)=0,"",INDEX(Parametre!$K$45:$K$94,MATCH(V8,Parametre!$I$45:$I$94,0))),"")</f>
        <v/>
      </c>
      <c r="X10" s="239"/>
      <c r="Y10" s="240"/>
      <c r="Z10" s="239"/>
      <c r="AA10" s="237"/>
      <c r="AB10" s="238" t="str">
        <f>IFERROR(IF(COUNTIF(Parametre!$I$45:$I$94,AA8)=0,"",INDEX(Parametre!$K$45:$K$94,MATCH(AA8,Parametre!$I$45:$I$94,0))),"")</f>
        <v/>
      </c>
      <c r="AC10" s="239"/>
      <c r="AD10" s="240"/>
      <c r="AE10" s="239"/>
      <c r="AF10" s="270"/>
      <c r="AG10" s="271" t="str">
        <f>IFERROR(IF(COUNTIF(Parametre!$I$45:$I$94,AF8)=0,"",INDEX(Parametre!$K$45:$K$94,MATCH(AF8,Parametre!$I$45:$I$94,0))),"")</f>
        <v>Ephiphanie</v>
      </c>
      <c r="AH10" s="272"/>
      <c r="AI10" s="273"/>
    </row>
    <row r="11" spans="1:35" ht="9" customHeight="1">
      <c r="A11" s="280" t="s">
        <v>2123</v>
      </c>
      <c r="B11" s="241"/>
      <c r="C11" s="43"/>
      <c r="D11" s="43"/>
      <c r="E11" s="242"/>
      <c r="F11" s="43"/>
      <c r="G11" s="241"/>
      <c r="H11" s="43"/>
      <c r="I11" s="43"/>
      <c r="J11" s="242"/>
      <c r="K11" s="43"/>
      <c r="L11" s="43"/>
      <c r="M11" s="43"/>
      <c r="N11" s="43"/>
      <c r="O11" s="242"/>
      <c r="P11" s="43"/>
      <c r="Q11" s="43"/>
      <c r="R11" s="43"/>
      <c r="S11" s="43"/>
      <c r="T11" s="242"/>
      <c r="U11" s="43"/>
      <c r="V11" s="43"/>
      <c r="W11" s="43"/>
      <c r="X11" s="43"/>
      <c r="Y11" s="242"/>
      <c r="Z11" s="43"/>
      <c r="AA11" s="43"/>
      <c r="AB11" s="43"/>
      <c r="AC11" s="43"/>
      <c r="AD11" s="242"/>
      <c r="AE11" s="43"/>
      <c r="AF11" s="268"/>
      <c r="AG11" s="268"/>
      <c r="AH11" s="268"/>
      <c r="AI11" s="274"/>
    </row>
    <row r="12" spans="1:35">
      <c r="B12" s="241"/>
      <c r="C12" s="43"/>
      <c r="D12" s="43"/>
      <c r="E12" s="242"/>
      <c r="F12" s="43"/>
      <c r="G12" s="43"/>
      <c r="H12" s="43"/>
      <c r="I12" s="43"/>
      <c r="J12" s="242"/>
      <c r="K12" s="43"/>
      <c r="L12" s="43"/>
      <c r="M12" s="43"/>
      <c r="N12" s="43"/>
      <c r="O12" s="242"/>
      <c r="P12" s="43"/>
      <c r="Q12" s="43"/>
      <c r="R12" s="43"/>
      <c r="S12" s="43"/>
      <c r="T12" s="242"/>
      <c r="U12" s="43"/>
      <c r="V12" s="43"/>
      <c r="W12" s="43"/>
      <c r="X12" s="43"/>
      <c r="Y12" s="242"/>
      <c r="Z12" s="43"/>
      <c r="AA12" s="43"/>
      <c r="AB12" s="43"/>
      <c r="AC12" s="43"/>
      <c r="AD12" s="242"/>
      <c r="AE12" s="43"/>
      <c r="AF12" s="268"/>
      <c r="AG12" s="268"/>
      <c r="AH12" s="268"/>
      <c r="AI12" s="274"/>
    </row>
    <row r="13" spans="1:35">
      <c r="B13" s="243"/>
      <c r="C13" s="244"/>
      <c r="D13" s="244"/>
      <c r="E13" s="245"/>
      <c r="F13" s="244"/>
      <c r="G13" s="244"/>
      <c r="H13" s="244"/>
      <c r="I13" s="244"/>
      <c r="J13" s="245"/>
      <c r="K13" s="244"/>
      <c r="L13" s="244"/>
      <c r="M13" s="244"/>
      <c r="N13" s="244"/>
      <c r="O13" s="245"/>
      <c r="P13" s="244"/>
      <c r="Q13" s="244"/>
      <c r="R13" s="244"/>
      <c r="S13" s="244"/>
      <c r="T13" s="245"/>
      <c r="U13" s="244"/>
      <c r="V13" s="244"/>
      <c r="W13" s="244"/>
      <c r="X13" s="244"/>
      <c r="Y13" s="245"/>
      <c r="Z13" s="244"/>
      <c r="AA13" s="244"/>
      <c r="AB13" s="244"/>
      <c r="AC13" s="244"/>
      <c r="AD13" s="245"/>
      <c r="AE13" s="244"/>
      <c r="AF13" s="275"/>
      <c r="AG13" s="275"/>
      <c r="AH13" s="275"/>
      <c r="AI13" s="276"/>
    </row>
    <row r="14" spans="1:35" ht="18.75">
      <c r="B14" s="246">
        <f>AF8+1</f>
        <v>43836</v>
      </c>
      <c r="C14" s="247" t="str">
        <f>IF(COUNTIF(Parametre!$C$27:$C$39,B14)=0,"",INDEX(Parametre!$B$27:$B$39,MATCH(B14,Parametre!$C$27:$C$39,0)))</f>
        <v/>
      </c>
      <c r="D14" s="43"/>
      <c r="E14" s="230">
        <f>IFERROR(IF(WEEKDAY(B14,2)=1,INT((B14-LOOKUP(B14,DATE(YEAR(B14)+{-1;0;1},1,3)-WEEKDAY(DATE(YEAR(B14)+{-1;0;1},1,3))+2))/7)+1,""),"")</f>
        <v>2</v>
      </c>
      <c r="F14" s="248"/>
      <c r="G14" s="249">
        <f>B14+1</f>
        <v>43837</v>
      </c>
      <c r="H14" s="247" t="str">
        <f>IF(COUNTIF(Parametre!$C$27:$C$39,G14)=0,"",INDEX(Parametre!$B$27:$B$39,MATCH(G14,Parametre!$C$27:$C$39,0)))</f>
        <v/>
      </c>
      <c r="I14" s="43"/>
      <c r="J14" s="230" t="str">
        <f>IFERROR(IF(WEEKDAY(G14,2)=1,INT((G14-LOOKUP(G14,DATE(YEAR(G14)+{-1;0;1},1,3)-WEEKDAY(DATE(YEAR(G14)+{-1;0;1},1,3))+2))/7)+1,""),"")</f>
        <v/>
      </c>
      <c r="K14" s="248"/>
      <c r="L14" s="232">
        <f>G14+1</f>
        <v>43838</v>
      </c>
      <c r="M14" s="247" t="str">
        <f>IF(COUNTIF(Parametre!$C$27:$C$39,L14)=0,"",INDEX(Parametre!$B$27:$B$39,MATCH(L14,Parametre!$C$27:$C$39,0)))</f>
        <v/>
      </c>
      <c r="N14" s="229"/>
      <c r="O14" s="230" t="str">
        <f>IFERROR(IF(WEEKDAY(L14,2)=1,INT((L14-LOOKUP(L14,DATE(YEAR(L14)+{-1;0;1},1,3)-WEEKDAY(DATE(YEAR(L14)+{-1;0;1},1,3))+2))/7)+1,""),"")</f>
        <v/>
      </c>
      <c r="P14" s="231"/>
      <c r="Q14" s="232">
        <f>L14+1</f>
        <v>43839</v>
      </c>
      <c r="R14" s="247" t="str">
        <f>IF(COUNTIF(Parametre!$C$27:$C$39,Q14)=0,"",INDEX(Parametre!$B$27:$B$39,MATCH(Q14,Parametre!$C$27:$C$39,0)))</f>
        <v/>
      </c>
      <c r="S14" s="229"/>
      <c r="T14" s="230" t="str">
        <f>IFERROR(IF(WEEKDAY(Q14,2)=1,INT((Q14-LOOKUP(Q14,DATE(YEAR(Q14)+{-1;0;1},1,3)-WEEKDAY(DATE(YEAR(Q14)+{-1;0;1},1,3))+2))/7)+1,""),"")</f>
        <v/>
      </c>
      <c r="U14" s="248"/>
      <c r="V14" s="249">
        <f>Q14+1</f>
        <v>43840</v>
      </c>
      <c r="W14" s="247" t="str">
        <f>IF(COUNTIF(Parametre!$C$27:$C$39,V14)=0,"",INDEX(Parametre!$B$27:$B$39,MATCH(V14,Parametre!$C$27:$C$39,0)))</f>
        <v/>
      </c>
      <c r="X14" s="43"/>
      <c r="Y14" s="230" t="str">
        <f>IFERROR(IF(WEEKDAY(V14,2)=1,INT((V14-LOOKUP(V14,DATE(YEAR(V14)+{-1;0;1},1,3)-WEEKDAY(DATE(YEAR(V14)+{-1;0;1},1,3))+2))/7)+1,""),"")</f>
        <v/>
      </c>
      <c r="Z14" s="248"/>
      <c r="AA14" s="249">
        <f>V14+1</f>
        <v>43841</v>
      </c>
      <c r="AB14" s="247" t="str">
        <f>IF(COUNTIF(Parametre!$C$27:$C$39,AA14)=0,"",INDEX(Parametre!$B$27:$B$39,MATCH(AA14,Parametre!$C$27:$C$39,0)))</f>
        <v/>
      </c>
      <c r="AC14" s="43"/>
      <c r="AD14" s="230" t="str">
        <f>IFERROR(IF(WEEKDAY(AA14,2)=1,INT((AA14-LOOKUP(AA14,DATE(YEAR(AA14)+{-1;0;1},1,3)-WEEKDAY(DATE(YEAR(AA14)+{-1;0;1},1,3))+2))/7)+1,""),"")</f>
        <v/>
      </c>
      <c r="AE14" s="248"/>
      <c r="AF14" s="277">
        <f>AA14+1</f>
        <v>43842</v>
      </c>
      <c r="AG14" s="264" t="str">
        <f>IF(COUNTIF(Parametre!$C$27:$C$39,AF14)=0,"",INDEX(Parametre!$B$27:$B$39,MATCH(AF14,Parametre!$C$27:$C$39,0)))</f>
        <v/>
      </c>
      <c r="AH14" s="268"/>
      <c r="AI14" s="266" t="str">
        <f>IFERROR(IF(WEEKDAY(AF14,2)=1,INT((AF14-LOOKUP(AF14,DATE(YEAR(AF14)+{-1;0;1},1,3)-WEEKDAY(DATE(YEAR(AF14)+{-1;0;1},1,3))+2))/7)+1,""),"")</f>
        <v/>
      </c>
    </row>
    <row r="15" spans="1:35" ht="19.5">
      <c r="A15" s="280" t="s">
        <v>2125</v>
      </c>
      <c r="B15" s="233" t="str">
        <f>IFERROR(IF(COUNTIF(Saints!$C$2:$C$371,B14)=0,"",INDEX(Saints!$D$2:$D$371,MATCH(B14,Saints!$C$2:$C$371,0))),"")</f>
        <v>Mélaine</v>
      </c>
      <c r="C15" s="43"/>
      <c r="D15" s="43"/>
      <c r="E15" s="234" t="str">
        <f>IF(ISERROR(VLOOKUP(B14,Lune!$A$2:$B$55,2,FALSE)),"",VLOOKUP(B14,Lune!$A$2:$B$55,2,FALSE))</f>
        <v/>
      </c>
      <c r="F15" s="235"/>
      <c r="G15" s="233" t="str">
        <f>IFERROR(IF(COUNTIF(Saints!$C$2:$C$371,G14)=0,"",INDEX(Saints!$D$2:$D$371,MATCH(G14,Saints!$C$2:$C$371,0))),"")</f>
        <v>Raymond</v>
      </c>
      <c r="H15" s="43"/>
      <c r="I15" s="43"/>
      <c r="J15" s="234" t="str">
        <f>IF(ISERROR(VLOOKUP(G14,Lune!$A$2:$B$55,2,FALSE)),"",VLOOKUP(G14,Lune!$A$2:$B$55,2,FALSE))</f>
        <v/>
      </c>
      <c r="K15" s="236"/>
      <c r="L15" s="233" t="str">
        <f>IFERROR(IF(COUNTIF(Saints!$C$2:$C$371,L14)=0,"",INDEX(Saints!$D$2:$D$371,MATCH(L14,Saints!$C$2:$C$371,0))),"")</f>
        <v>Lucien</v>
      </c>
      <c r="M15" s="43"/>
      <c r="N15" s="43"/>
      <c r="O15" s="234" t="str">
        <f>IF(ISERROR(VLOOKUP(L14,Lune!$A$2:$B$55,2,FALSE)),"",VLOOKUP(L14,Lune!$A$2:$B$55,2,FALSE))</f>
        <v/>
      </c>
      <c r="P15" s="235"/>
      <c r="Q15" s="233" t="str">
        <f>IFERROR(IF(COUNTIF(Saints!$C$2:$C$371,Q14)=0,"",INDEX(Saints!$D$2:$D$371,MATCH(Q14,Saints!$C$2:$C$371,0))),"")</f>
        <v>Alix</v>
      </c>
      <c r="R15" s="43"/>
      <c r="S15" s="43"/>
      <c r="T15" s="234" t="str">
        <f>IF(ISERROR(VLOOKUP(Q14,Lune!$A$2:$B$55,2,FALSE)),"",VLOOKUP(Q14,Lune!$A$2:$B$55,2,FALSE))</f>
        <v/>
      </c>
      <c r="U15" s="235"/>
      <c r="V15" s="233" t="str">
        <f>IFERROR(IF(COUNTIF(Saints!$C$2:$C$371,V14)=0,"",INDEX(Saints!$D$2:$D$371,MATCH(V14,Saints!$C$2:$C$371,0))),"")</f>
        <v>Guillaume</v>
      </c>
      <c r="W15" s="43"/>
      <c r="X15" s="43"/>
      <c r="Y15" s="234" t="str">
        <f>IF(ISERROR(VLOOKUP(V14,Lune!$A$2:$B$55,2,FALSE)),"",VLOOKUP(V14,Lune!$A$2:$B$55,2,FALSE))</f>
        <v></v>
      </c>
      <c r="Z15" s="250"/>
      <c r="AA15" s="233" t="str">
        <f>IFERROR(IF(COUNTIF(Saints!$C$2:$C$371,AA14)=0,"",INDEX(Saints!$D$2:$D$371,MATCH(AA14,Saints!$C$2:$C$371,0))),"")</f>
        <v>Paulin</v>
      </c>
      <c r="AB15" s="43"/>
      <c r="AC15" s="43"/>
      <c r="AD15" s="234" t="str">
        <f>IF(ISERROR(VLOOKUP(AA14,Lune!$A$2:$B$55,2,FALSE)),"",VLOOKUP(AA14,Lune!$A$2:$B$55,2,FALSE))</f>
        <v/>
      </c>
      <c r="AE15" s="235"/>
      <c r="AF15" s="267" t="str">
        <f>IFERROR(IF(COUNTIF(Saints!$C$2:$C$371,AF14)=0,"",INDEX(Saints!$D$2:$D$371,MATCH(AF14,Saints!$C$2:$C$371,0))),"")</f>
        <v>Tatiana</v>
      </c>
      <c r="AG15" s="268"/>
      <c r="AH15" s="268"/>
      <c r="AI15" s="269" t="str">
        <f>IF(ISERROR(VLOOKUP(AF14,Lune!$A$2:$B$55,2,FALSE)),"",VLOOKUP(AF14,Lune!$A$2:$B$55,2,FALSE))</f>
        <v/>
      </c>
    </row>
    <row r="16" spans="1:35" ht="15.75">
      <c r="A16" s="280" t="s">
        <v>2124</v>
      </c>
      <c r="B16" s="237"/>
      <c r="C16" s="238" t="str">
        <f>IFERROR(IF(COUNTIF(Parametre!$I$45:$I$94,B14)=0,"",INDEX(Parametre!$K$45:$K$94,MATCH(B14,Parametre!$I$45:$I$94,0))),"")</f>
        <v/>
      </c>
      <c r="D16" s="239"/>
      <c r="E16" s="240"/>
      <c r="F16" s="239"/>
      <c r="G16" s="237"/>
      <c r="H16" s="238" t="str">
        <f>IFERROR(IF(COUNTIF(Parametre!$I$45:$I$94,G14)=0,"",INDEX(Parametre!$K$45:$K$94,MATCH(G14,Parametre!$I$45:$I$94,0))),"")</f>
        <v/>
      </c>
      <c r="I16" s="239"/>
      <c r="J16" s="240"/>
      <c r="K16" s="239"/>
      <c r="L16" s="237"/>
      <c r="M16" s="238" t="str">
        <f>IFERROR(IF(COUNTIF(Parametre!$I$45:$I$94,L14)=0,"",INDEX(Parametre!$K$45:$K$94,MATCH(L14,Parametre!$I$45:$I$94,0))),"")</f>
        <v/>
      </c>
      <c r="N16" s="239"/>
      <c r="O16" s="240"/>
      <c r="P16" s="239"/>
      <c r="Q16" s="237"/>
      <c r="R16" s="238" t="str">
        <f>IFERROR(IF(COUNTIF(Parametre!$I$45:$I$94,Q14)=0,"",INDEX(Parametre!$K$45:$K$94,MATCH(Q14,Parametre!$I$45:$I$94,0))),"")</f>
        <v/>
      </c>
      <c r="S16" s="239"/>
      <c r="T16" s="240"/>
      <c r="U16" s="239"/>
      <c r="V16" s="237"/>
      <c r="W16" s="238" t="str">
        <f>IFERROR(IF(COUNTIF(Parametre!$I$45:$I$94,V14)=0,"",INDEX(Parametre!$K$45:$K$94,MATCH(V14,Parametre!$I$45:$I$94,0))),"")</f>
        <v/>
      </c>
      <c r="X16" s="239"/>
      <c r="Y16" s="240"/>
      <c r="Z16" s="239"/>
      <c r="AA16" s="237"/>
      <c r="AB16" s="238" t="str">
        <f>IFERROR(IF(COUNTIF(Parametre!$I$45:$I$94,AA14)=0,"",INDEX(Parametre!$K$45:$K$94,MATCH(AA14,Parametre!$I$45:$I$94,0))),"")</f>
        <v/>
      </c>
      <c r="AC16" s="239"/>
      <c r="AD16" s="240"/>
      <c r="AE16" s="239"/>
      <c r="AF16" s="270"/>
      <c r="AG16" s="271" t="str">
        <f>IFERROR(IF(COUNTIF(Parametre!$I$45:$I$94,AF14)=0,"",INDEX(Parametre!$K$45:$K$94,MATCH(AF14,Parametre!$I$45:$I$94,0))),"")</f>
        <v/>
      </c>
      <c r="AH16" s="272"/>
      <c r="AI16" s="273"/>
    </row>
    <row r="17" spans="1:35" ht="9" customHeight="1">
      <c r="A17" s="280" t="s">
        <v>2123</v>
      </c>
      <c r="B17" s="241"/>
      <c r="C17" s="43"/>
      <c r="D17" s="43"/>
      <c r="E17" s="242"/>
      <c r="F17" s="43"/>
      <c r="G17" s="241"/>
      <c r="H17" s="43"/>
      <c r="I17" s="43"/>
      <c r="J17" s="242"/>
      <c r="K17" s="43"/>
      <c r="L17" s="43"/>
      <c r="M17" s="43"/>
      <c r="N17" s="43"/>
      <c r="O17" s="242"/>
      <c r="P17" s="43"/>
      <c r="Q17" s="43"/>
      <c r="R17" s="43"/>
      <c r="S17" s="43"/>
      <c r="T17" s="242"/>
      <c r="U17" s="43"/>
      <c r="V17" s="43"/>
      <c r="W17" s="43"/>
      <c r="X17" s="43"/>
      <c r="Y17" s="242"/>
      <c r="Z17" s="43"/>
      <c r="AA17" s="43"/>
      <c r="AB17" s="43"/>
      <c r="AC17" s="43"/>
      <c r="AD17" s="242"/>
      <c r="AE17" s="43"/>
      <c r="AF17" s="268"/>
      <c r="AG17" s="268"/>
      <c r="AH17" s="268"/>
      <c r="AI17" s="274"/>
    </row>
    <row r="18" spans="1:35">
      <c r="B18" s="241"/>
      <c r="C18" s="43"/>
      <c r="D18" s="43"/>
      <c r="E18" s="242"/>
      <c r="F18" s="43"/>
      <c r="G18" s="43"/>
      <c r="H18" s="43"/>
      <c r="I18" s="43"/>
      <c r="J18" s="242"/>
      <c r="K18" s="43"/>
      <c r="L18" s="43"/>
      <c r="M18" s="43"/>
      <c r="N18" s="43"/>
      <c r="O18" s="242"/>
      <c r="P18" s="43"/>
      <c r="Q18" s="43"/>
      <c r="R18" s="43"/>
      <c r="S18" s="43"/>
      <c r="T18" s="242"/>
      <c r="U18" s="43"/>
      <c r="V18" s="43"/>
      <c r="W18" s="43"/>
      <c r="X18" s="43"/>
      <c r="Y18" s="242"/>
      <c r="Z18" s="43"/>
      <c r="AA18" s="43"/>
      <c r="AB18" s="43"/>
      <c r="AC18" s="43"/>
      <c r="AD18" s="242"/>
      <c r="AE18" s="43"/>
      <c r="AF18" s="268"/>
      <c r="AG18" s="268"/>
      <c r="AH18" s="268"/>
      <c r="AI18" s="274"/>
    </row>
    <row r="19" spans="1:35">
      <c r="B19" s="243"/>
      <c r="C19" s="244"/>
      <c r="D19" s="244"/>
      <c r="E19" s="245"/>
      <c r="F19" s="244"/>
      <c r="G19" s="244"/>
      <c r="H19" s="244"/>
      <c r="I19" s="244"/>
      <c r="J19" s="245"/>
      <c r="K19" s="244"/>
      <c r="L19" s="244"/>
      <c r="M19" s="244"/>
      <c r="N19" s="244"/>
      <c r="O19" s="245"/>
      <c r="P19" s="244"/>
      <c r="Q19" s="244"/>
      <c r="R19" s="244"/>
      <c r="S19" s="244"/>
      <c r="T19" s="245"/>
      <c r="U19" s="244"/>
      <c r="V19" s="244"/>
      <c r="W19" s="244"/>
      <c r="X19" s="244"/>
      <c r="Y19" s="245"/>
      <c r="Z19" s="244"/>
      <c r="AA19" s="244"/>
      <c r="AB19" s="244"/>
      <c r="AC19" s="244"/>
      <c r="AD19" s="245"/>
      <c r="AE19" s="244"/>
      <c r="AF19" s="275"/>
      <c r="AG19" s="275"/>
      <c r="AH19" s="275"/>
      <c r="AI19" s="276"/>
    </row>
    <row r="20" spans="1:35" ht="18.75">
      <c r="B20" s="246">
        <f>AF14+1</f>
        <v>43843</v>
      </c>
      <c r="C20" s="247" t="str">
        <f>IF(COUNTIF(Parametre!$C$27:$C$39,B20)=0,"",INDEX(Parametre!$B$27:$B$39,MATCH(B20,Parametre!$C$27:$C$39,0)))</f>
        <v/>
      </c>
      <c r="D20" s="43"/>
      <c r="E20" s="230">
        <f>IFERROR(IF(WEEKDAY(B20,2)=1,INT((B20-LOOKUP(B20,DATE(YEAR(B20)+{-1;0;1},1,3)-WEEKDAY(DATE(YEAR(B20)+{-1;0;1},1,3))+2))/7)+1,""),"")</f>
        <v>3</v>
      </c>
      <c r="F20" s="248"/>
      <c r="G20" s="249">
        <f>B20+1</f>
        <v>43844</v>
      </c>
      <c r="H20" s="247" t="str">
        <f>IF(COUNTIF(Parametre!$C$27:$C$39,G20)=0,"",INDEX(Parametre!$B$27:$B$39,MATCH(G20,Parametre!$C$27:$C$39,0)))</f>
        <v/>
      </c>
      <c r="I20" s="43"/>
      <c r="J20" s="230" t="str">
        <f>IFERROR(IF(WEEKDAY(G20,2)=1,INT((G20-LOOKUP(G20,DATE(YEAR(G20)+{-1;0;1},1,3)-WEEKDAY(DATE(YEAR(G20)+{-1;0;1},1,3))+2))/7)+1,""),"")</f>
        <v/>
      </c>
      <c r="K20" s="248"/>
      <c r="L20" s="232">
        <f>G20+1</f>
        <v>43845</v>
      </c>
      <c r="M20" s="247" t="str">
        <f>IF(COUNTIF(Parametre!$C$27:$C$39,L20)=0,"",INDEX(Parametre!$B$27:$B$39,MATCH(L20,Parametre!$C$27:$C$39,0)))</f>
        <v/>
      </c>
      <c r="N20" s="229"/>
      <c r="O20" s="230" t="str">
        <f>IFERROR(IF(WEEKDAY(L20,2)=1,INT((L20-LOOKUP(L20,DATE(YEAR(L20)+{-1;0;1},1,3)-WEEKDAY(DATE(YEAR(L20)+{-1;0;1},1,3))+2))/7)+1,""),"")</f>
        <v/>
      </c>
      <c r="P20" s="231"/>
      <c r="Q20" s="232">
        <f>L20+1</f>
        <v>43846</v>
      </c>
      <c r="R20" s="247" t="str">
        <f>IF(COUNTIF(Parametre!$C$27:$C$39,Q20)=0,"",INDEX(Parametre!$B$27:$B$39,MATCH(Q20,Parametre!$C$27:$C$39,0)))</f>
        <v/>
      </c>
      <c r="S20" s="229"/>
      <c r="T20" s="230" t="str">
        <f>IFERROR(IF(WEEKDAY(Q20,2)=1,INT((Q20-LOOKUP(Q20,DATE(YEAR(Q20)+{-1;0;1},1,3)-WEEKDAY(DATE(YEAR(Q20)+{-1;0;1},1,3))+2))/7)+1,""),"")</f>
        <v/>
      </c>
      <c r="U20" s="248"/>
      <c r="V20" s="249">
        <f>Q20+1</f>
        <v>43847</v>
      </c>
      <c r="W20" s="247" t="str">
        <f>IF(COUNTIF(Parametre!$C$27:$C$39,V20)=0,"",INDEX(Parametre!$B$27:$B$39,MATCH(V20,Parametre!$C$27:$C$39,0)))</f>
        <v/>
      </c>
      <c r="X20" s="43"/>
      <c r="Y20" s="230" t="str">
        <f>IFERROR(IF(WEEKDAY(V20,2)=1,INT((V20-LOOKUP(V20,DATE(YEAR(V20)+{-1;0;1},1,3)-WEEKDAY(DATE(YEAR(V20)+{-1;0;1},1,3))+2))/7)+1,""),"")</f>
        <v/>
      </c>
      <c r="Z20" s="248"/>
      <c r="AA20" s="249">
        <f>V20+1</f>
        <v>43848</v>
      </c>
      <c r="AB20" s="247" t="str">
        <f>IF(COUNTIF(Parametre!$C$27:$C$39,AA20)=0,"",INDEX(Parametre!$B$27:$B$39,MATCH(AA20,Parametre!$C$27:$C$39,0)))</f>
        <v/>
      </c>
      <c r="AC20" s="43"/>
      <c r="AD20" s="230" t="str">
        <f>IFERROR(IF(WEEKDAY(AA20,2)=1,INT((AA20-LOOKUP(AA20,DATE(YEAR(AA20)+{-1;0;1},1,3)-WEEKDAY(DATE(YEAR(AA20)+{-1;0;1},1,3))+2))/7)+1,""),"")</f>
        <v/>
      </c>
      <c r="AE20" s="248"/>
      <c r="AF20" s="277">
        <f>AA20+1</f>
        <v>43849</v>
      </c>
      <c r="AG20" s="264" t="str">
        <f>IF(COUNTIF(Parametre!$C$27:$C$39,AF20)=0,"",INDEX(Parametre!$B$27:$B$39,MATCH(AF20,Parametre!$C$27:$C$39,0)))</f>
        <v/>
      </c>
      <c r="AH20" s="268"/>
      <c r="AI20" s="266" t="str">
        <f>IFERROR(IF(WEEKDAY(AF20,2)=1,INT((AF20-LOOKUP(AF20,DATE(YEAR(AF20)+{-1;0;1},1,3)-WEEKDAY(DATE(YEAR(AF20)+{-1;0;1},1,3))+2))/7)+1,""),"")</f>
        <v/>
      </c>
    </row>
    <row r="21" spans="1:35" ht="19.5">
      <c r="A21" s="280" t="s">
        <v>2125</v>
      </c>
      <c r="B21" s="233" t="str">
        <f>IFERROR(IF(COUNTIF(Saints!$C$2:$C$371,B20)=0,"",INDEX(Saints!$D$2:$D$371,MATCH(B20,Saints!$C$2:$C$371,0))),"")</f>
        <v>Yvette</v>
      </c>
      <c r="C21" s="43"/>
      <c r="D21" s="43"/>
      <c r="E21" s="234" t="str">
        <f>IF(ISERROR(VLOOKUP(B20,Lune!$A$2:$B$55,2,FALSE)),"",VLOOKUP(B20,Lune!$A$2:$B$55,2,FALSE))</f>
        <v/>
      </c>
      <c r="F21" s="235"/>
      <c r="G21" s="233" t="str">
        <f>IFERROR(IF(COUNTIF(Saints!$C$2:$C$371,G20)=0,"",INDEX(Saints!$D$2:$D$371,MATCH(G20,Saints!$C$2:$C$371,0))),"")</f>
        <v>Nina</v>
      </c>
      <c r="H21" s="43"/>
      <c r="I21" s="43"/>
      <c r="J21" s="234" t="str">
        <f>IF(ISERROR(VLOOKUP(G20,Lune!$A$2:$B$55,2,FALSE)),"",VLOOKUP(G20,Lune!$A$2:$B$55,2,FALSE))</f>
        <v/>
      </c>
      <c r="K21" s="236"/>
      <c r="L21" s="233" t="str">
        <f>IFERROR(IF(COUNTIF(Saints!$C$2:$C$371,L20)=0,"",INDEX(Saints!$D$2:$D$371,MATCH(L20,Saints!$C$2:$C$371,0))),"")</f>
        <v>Rémi</v>
      </c>
      <c r="M21" s="43"/>
      <c r="N21" s="43"/>
      <c r="O21" s="234" t="str">
        <f>IF(ISERROR(VLOOKUP(L20,Lune!$A$2:$B$55,2,FALSE)),"",VLOOKUP(L20,Lune!$A$2:$B$55,2,FALSE))</f>
        <v/>
      </c>
      <c r="P21" s="235"/>
      <c r="Q21" s="233" t="str">
        <f>IFERROR(IF(COUNTIF(Saints!$C$2:$C$371,Q20)=0,"",INDEX(Saints!$D$2:$D$371,MATCH(Q20,Saints!$C$2:$C$371,0))),"")</f>
        <v>Marcel</v>
      </c>
      <c r="R21" s="43"/>
      <c r="S21" s="43"/>
      <c r="T21" s="234" t="str">
        <f>IF(ISERROR(VLOOKUP(Q20,Lune!$A$2:$B$55,2,FALSE)),"",VLOOKUP(Q20,Lune!$A$2:$B$55,2,FALSE))</f>
        <v/>
      </c>
      <c r="U21" s="235"/>
      <c r="V21" s="233" t="str">
        <f>IFERROR(IF(COUNTIF(Saints!$C$2:$C$371,V20)=0,"",INDEX(Saints!$D$2:$D$371,MATCH(V20,Saints!$C$2:$C$371,0))),"")</f>
        <v>Roseline</v>
      </c>
      <c r="W21" s="43"/>
      <c r="X21" s="43"/>
      <c r="Y21" s="234" t="str">
        <f>IF(ISERROR(VLOOKUP(V20,Lune!$A$2:$B$55,2,FALSE)),"",VLOOKUP(V20,Lune!$A$2:$B$55,2,FALSE))</f>
        <v></v>
      </c>
      <c r="Z21" s="250"/>
      <c r="AA21" s="233" t="str">
        <f>IFERROR(IF(COUNTIF(Saints!$C$2:$C$371,AA20)=0,"",INDEX(Saints!$D$2:$D$371,MATCH(AA20,Saints!$C$2:$C$371,0))),"")</f>
        <v>Prisca</v>
      </c>
      <c r="AB21" s="43"/>
      <c r="AC21" s="43"/>
      <c r="AD21" s="234" t="str">
        <f>IF(ISERROR(VLOOKUP(AA20,Lune!$A$2:$B$55,2,FALSE)),"",VLOOKUP(AA20,Lune!$A$2:$B$55,2,FALSE))</f>
        <v/>
      </c>
      <c r="AE21" s="235"/>
      <c r="AF21" s="267" t="str">
        <f>IFERROR(IF(COUNTIF(Saints!$C$2:$C$371,AF20)=0,"",INDEX(Saints!$D$2:$D$371,MATCH(AF20,Saints!$C$2:$C$371,0))),"")</f>
        <v>Marius</v>
      </c>
      <c r="AG21" s="268"/>
      <c r="AH21" s="268"/>
      <c r="AI21" s="269" t="str">
        <f>IF(ISERROR(VLOOKUP(AF20,Lune!$A$2:$B$55,2,FALSE)),"",VLOOKUP(AF20,Lune!$A$2:$B$55,2,FALSE))</f>
        <v/>
      </c>
    </row>
    <row r="22" spans="1:35" ht="15.75">
      <c r="A22" s="280" t="s">
        <v>2124</v>
      </c>
      <c r="B22" s="237"/>
      <c r="C22" s="238" t="str">
        <f>IFERROR(IF(COUNTIF(Parametre!$I$45:$I$94,B20)=0,"",INDEX(Parametre!$K$45:$K$94,MATCH(B20,Parametre!$I$45:$I$94,0))),"")</f>
        <v/>
      </c>
      <c r="D22" s="239"/>
      <c r="E22" s="240"/>
      <c r="F22" s="239"/>
      <c r="G22" s="237"/>
      <c r="H22" s="238" t="str">
        <f>IFERROR(IF(COUNTIF(Parametre!$I$45:$I$94,G20)=0,"",INDEX(Parametre!$K$45:$K$94,MATCH(G20,Parametre!$I$45:$I$94,0))),"")</f>
        <v/>
      </c>
      <c r="I22" s="239"/>
      <c r="J22" s="240"/>
      <c r="K22" s="239"/>
      <c r="L22" s="237"/>
      <c r="M22" s="238" t="str">
        <f>IFERROR(IF(COUNTIF(Parametre!$I$45:$I$94,L20)=0,"",INDEX(Parametre!$K$45:$K$94,MATCH(L20,Parametre!$I$45:$I$94,0))),"")</f>
        <v/>
      </c>
      <c r="N22" s="239"/>
      <c r="O22" s="240"/>
      <c r="P22" s="239"/>
      <c r="Q22" s="237"/>
      <c r="R22" s="238" t="str">
        <f>IFERROR(IF(COUNTIF(Parametre!$I$45:$I$94,Q20)=0,"",INDEX(Parametre!$K$45:$K$94,MATCH(Q20,Parametre!$I$45:$I$94,0))),"")</f>
        <v/>
      </c>
      <c r="S22" s="239"/>
      <c r="T22" s="240"/>
      <c r="U22" s="239"/>
      <c r="V22" s="237"/>
      <c r="W22" s="238" t="str">
        <f>IFERROR(IF(COUNTIF(Parametre!$I$45:$I$94,V20)=0,"",INDEX(Parametre!$K$45:$K$94,MATCH(V20,Parametre!$I$45:$I$94,0))),"")</f>
        <v/>
      </c>
      <c r="X22" s="239"/>
      <c r="Y22" s="240"/>
      <c r="Z22" s="239"/>
      <c r="AA22" s="237"/>
      <c r="AB22" s="238" t="str">
        <f>IFERROR(IF(COUNTIF(Parametre!$I$45:$I$94,AA20)=0,"",INDEX(Parametre!$K$45:$K$94,MATCH(AA20,Parametre!$I$45:$I$94,0))),"")</f>
        <v/>
      </c>
      <c r="AC22" s="239"/>
      <c r="AD22" s="240"/>
      <c r="AE22" s="239"/>
      <c r="AF22" s="270"/>
      <c r="AG22" s="271" t="str">
        <f>IFERROR(IF(COUNTIF(Parametre!$I$45:$I$94,AF20)=0,"",INDEX(Parametre!$K$45:$K$94,MATCH(AF20,Parametre!$I$45:$I$94,0))),"")</f>
        <v/>
      </c>
      <c r="AH22" s="272"/>
      <c r="AI22" s="273"/>
    </row>
    <row r="23" spans="1:35" ht="9" customHeight="1">
      <c r="A23" s="280" t="s">
        <v>2123</v>
      </c>
      <c r="B23" s="241"/>
      <c r="C23" s="43"/>
      <c r="D23" s="43"/>
      <c r="E23" s="242"/>
      <c r="F23" s="43"/>
      <c r="G23" s="241"/>
      <c r="H23" s="43"/>
      <c r="I23" s="43"/>
      <c r="J23" s="242"/>
      <c r="K23" s="43"/>
      <c r="L23" s="43"/>
      <c r="M23" s="43"/>
      <c r="N23" s="43"/>
      <c r="O23" s="242"/>
      <c r="P23" s="43"/>
      <c r="Q23" s="43"/>
      <c r="R23" s="43"/>
      <c r="S23" s="43"/>
      <c r="T23" s="242"/>
      <c r="U23" s="43"/>
      <c r="V23" s="43"/>
      <c r="W23" s="43"/>
      <c r="X23" s="43"/>
      <c r="Y23" s="242"/>
      <c r="Z23" s="43"/>
      <c r="AA23" s="43"/>
      <c r="AB23" s="43"/>
      <c r="AC23" s="43"/>
      <c r="AD23" s="242"/>
      <c r="AE23" s="43"/>
      <c r="AF23" s="268"/>
      <c r="AG23" s="268"/>
      <c r="AH23" s="268"/>
      <c r="AI23" s="274"/>
    </row>
    <row r="24" spans="1:35">
      <c r="B24" s="241"/>
      <c r="C24" s="43"/>
      <c r="D24" s="43"/>
      <c r="E24" s="242"/>
      <c r="F24" s="43"/>
      <c r="G24" s="43"/>
      <c r="H24" s="43"/>
      <c r="I24" s="43"/>
      <c r="J24" s="242"/>
      <c r="K24" s="43"/>
      <c r="L24" s="43"/>
      <c r="M24" s="43"/>
      <c r="N24" s="43"/>
      <c r="O24" s="242"/>
      <c r="P24" s="43"/>
      <c r="Q24" s="43"/>
      <c r="R24" s="43"/>
      <c r="S24" s="43"/>
      <c r="T24" s="242"/>
      <c r="U24" s="43"/>
      <c r="V24" s="43"/>
      <c r="W24" s="43"/>
      <c r="X24" s="43"/>
      <c r="Y24" s="242"/>
      <c r="Z24" s="43"/>
      <c r="AA24" s="43"/>
      <c r="AB24" s="43"/>
      <c r="AC24" s="43"/>
      <c r="AD24" s="242"/>
      <c r="AE24" s="43"/>
      <c r="AF24" s="268"/>
      <c r="AG24" s="268"/>
      <c r="AH24" s="268"/>
      <c r="AI24" s="274"/>
    </row>
    <row r="25" spans="1:35">
      <c r="B25" s="243"/>
      <c r="C25" s="244"/>
      <c r="D25" s="244"/>
      <c r="E25" s="245"/>
      <c r="F25" s="244"/>
      <c r="G25" s="244"/>
      <c r="H25" s="244"/>
      <c r="I25" s="244"/>
      <c r="J25" s="245"/>
      <c r="K25" s="244"/>
      <c r="L25" s="244"/>
      <c r="M25" s="244"/>
      <c r="N25" s="244"/>
      <c r="O25" s="245"/>
      <c r="P25" s="244"/>
      <c r="Q25" s="244"/>
      <c r="R25" s="244"/>
      <c r="S25" s="244"/>
      <c r="T25" s="245"/>
      <c r="U25" s="244"/>
      <c r="V25" s="244"/>
      <c r="W25" s="244"/>
      <c r="X25" s="244"/>
      <c r="Y25" s="245"/>
      <c r="Z25" s="244"/>
      <c r="AA25" s="244"/>
      <c r="AB25" s="244"/>
      <c r="AC25" s="244"/>
      <c r="AD25" s="245"/>
      <c r="AE25" s="244"/>
      <c r="AF25" s="275"/>
      <c r="AG25" s="275"/>
      <c r="AH25" s="275"/>
      <c r="AI25" s="276"/>
    </row>
    <row r="26" spans="1:35" ht="18.75">
      <c r="B26" s="246">
        <f>AF20+1</f>
        <v>43850</v>
      </c>
      <c r="C26" s="247" t="str">
        <f>IF(COUNTIF(Parametre!$C$27:$C$39,B26)=0,"",INDEX(Parametre!$B$27:$B$39,MATCH(B26,Parametre!$C$27:$C$39,0)))</f>
        <v/>
      </c>
      <c r="D26" s="43"/>
      <c r="E26" s="230">
        <f>IFERROR(IF(WEEKDAY(B26,2)=1,INT((B26-LOOKUP(B26,DATE(YEAR(B26)+{-1;0;1},1,3)-WEEKDAY(DATE(YEAR(B26)+{-1;0;1},1,3))+2))/7)+1,""),"")</f>
        <v>4</v>
      </c>
      <c r="F26" s="248"/>
      <c r="G26" s="249">
        <f>B26+1</f>
        <v>43851</v>
      </c>
      <c r="H26" s="247" t="str">
        <f>IF(COUNTIF(Parametre!$C$27:$C$39,G26)=0,"",INDEX(Parametre!$B$27:$B$39,MATCH(G26,Parametre!$C$27:$C$39,0)))</f>
        <v/>
      </c>
      <c r="I26" s="43"/>
      <c r="J26" s="230" t="str">
        <f>IFERROR(IF(WEEKDAY(G26,2)=1,INT((G26-LOOKUP(G26,DATE(YEAR(G26)+{-1;0;1},1,3)-WEEKDAY(DATE(YEAR(G26)+{-1;0;1},1,3))+2))/7)+1,""),"")</f>
        <v/>
      </c>
      <c r="K26" s="248"/>
      <c r="L26" s="232">
        <f>G26+1</f>
        <v>43852</v>
      </c>
      <c r="M26" s="247" t="str">
        <f>IF(COUNTIF(Parametre!$C$27:$C$39,L26)=0,"",INDEX(Parametre!$B$27:$B$39,MATCH(L26,Parametre!$C$27:$C$39,0)))</f>
        <v/>
      </c>
      <c r="N26" s="229"/>
      <c r="O26" s="230" t="str">
        <f>IFERROR(IF(WEEKDAY(L26,2)=1,INT((L26-LOOKUP(L26,DATE(YEAR(L26)+{-1;0;1},1,3)-WEEKDAY(DATE(YEAR(L26)+{-1;0;1},1,3))+2))/7)+1,""),"")</f>
        <v/>
      </c>
      <c r="P26" s="231"/>
      <c r="Q26" s="232">
        <f>L26+1</f>
        <v>43853</v>
      </c>
      <c r="R26" s="247" t="str">
        <f>IF(COUNTIF(Parametre!$C$27:$C$39,Q26)=0,"",INDEX(Parametre!$B$27:$B$39,MATCH(Q26,Parametre!$C$27:$C$39,0)))</f>
        <v/>
      </c>
      <c r="S26" s="229"/>
      <c r="T26" s="230" t="str">
        <f>IFERROR(IF(WEEKDAY(Q26,2)=1,INT((Q26-LOOKUP(Q26,DATE(YEAR(Q26)+{-1;0;1},1,3)-WEEKDAY(DATE(YEAR(Q26)+{-1;0;1},1,3))+2))/7)+1,""),"")</f>
        <v/>
      </c>
      <c r="U26" s="248"/>
      <c r="V26" s="249">
        <f>Q26+1</f>
        <v>43854</v>
      </c>
      <c r="W26" s="247" t="str">
        <f>IF(COUNTIF(Parametre!$C$27:$C$39,V26)=0,"",INDEX(Parametre!$B$27:$B$39,MATCH(V26,Parametre!$C$27:$C$39,0)))</f>
        <v/>
      </c>
      <c r="X26" s="43"/>
      <c r="Y26" s="230" t="str">
        <f>IFERROR(IF(WEEKDAY(V26,2)=1,INT((V26-LOOKUP(V26,DATE(YEAR(V26)+{-1;0;1},1,3)-WEEKDAY(DATE(YEAR(V26)+{-1;0;1},1,3))+2))/7)+1,""),"")</f>
        <v/>
      </c>
      <c r="Z26" s="248"/>
      <c r="AA26" s="249">
        <f>V26+1</f>
        <v>43855</v>
      </c>
      <c r="AB26" s="247" t="str">
        <f>IF(COUNTIF(Parametre!$C$27:$C$39,AA26)=0,"",INDEX(Parametre!$B$27:$B$39,MATCH(AA26,Parametre!$C$27:$C$39,0)))</f>
        <v/>
      </c>
      <c r="AC26" s="43"/>
      <c r="AD26" s="230" t="str">
        <f>IFERROR(IF(WEEKDAY(AA26,2)=1,INT((AA26-LOOKUP(AA26,DATE(YEAR(AA26)+{-1;0;1},1,3)-WEEKDAY(DATE(YEAR(AA26)+{-1;0;1},1,3))+2))/7)+1,""),"")</f>
        <v/>
      </c>
      <c r="AE26" s="248"/>
      <c r="AF26" s="277">
        <f>AA26+1</f>
        <v>43856</v>
      </c>
      <c r="AG26" s="264" t="str">
        <f>IF(COUNTIF(Parametre!$C$27:$C$39,AF26)=0,"",INDEX(Parametre!$B$27:$B$39,MATCH(AF26,Parametre!$C$27:$C$39,0)))</f>
        <v/>
      </c>
      <c r="AH26" s="268"/>
      <c r="AI26" s="266" t="str">
        <f>IFERROR(IF(WEEKDAY(AF26,2)=1,INT((AF26-LOOKUP(AF26,DATE(YEAR(AF26)+{-1;0;1},1,3)-WEEKDAY(DATE(YEAR(AF26)+{-1;0;1},1,3))+2))/7)+1,""),"")</f>
        <v/>
      </c>
    </row>
    <row r="27" spans="1:35" ht="19.5">
      <c r="A27" s="280" t="s">
        <v>2125</v>
      </c>
      <c r="B27" s="233" t="str">
        <f>IFERROR(IF(COUNTIF(Saints!$C$2:$C$371,B26)=0,"",INDEX(Saints!$D$2:$D$371,MATCH(B26,Saints!$C$2:$C$371,0))),"")</f>
        <v>Sébastien</v>
      </c>
      <c r="C27" s="43"/>
      <c r="D27" s="43"/>
      <c r="E27" s="234" t="str">
        <f>IF(ISERROR(VLOOKUP(B26,Lune!$A$2:$B$55,2,FALSE)),"",VLOOKUP(B26,Lune!$A$2:$B$55,2,FALSE))</f>
        <v/>
      </c>
      <c r="F27" s="235"/>
      <c r="G27" s="233" t="str">
        <f>IFERROR(IF(COUNTIF(Saints!$C$2:$C$371,G26)=0,"",INDEX(Saints!$D$2:$D$371,MATCH(G26,Saints!$C$2:$C$371,0))),"")</f>
        <v>Agnès</v>
      </c>
      <c r="H27" s="43"/>
      <c r="I27" s="43"/>
      <c r="J27" s="234" t="str">
        <f>IF(ISERROR(VLOOKUP(G26,Lune!$A$2:$B$55,2,FALSE)),"",VLOOKUP(G26,Lune!$A$2:$B$55,2,FALSE))</f>
        <v/>
      </c>
      <c r="K27" s="235"/>
      <c r="L27" s="233" t="str">
        <f>IFERROR(IF(COUNTIF(Saints!$C$2:$C$371,L26)=0,"",INDEX(Saints!$D$2:$D$371,MATCH(L26,Saints!$C$2:$C$371,0))),"")</f>
        <v>Vincent</v>
      </c>
      <c r="M27" s="43"/>
      <c r="N27" s="43"/>
      <c r="O27" s="234" t="str">
        <f>IF(ISERROR(VLOOKUP(L26,Lune!$A$2:$B$55,2,FALSE)),"",VLOOKUP(L26,Lune!$A$2:$B$55,2,FALSE))</f>
        <v/>
      </c>
      <c r="P27" s="235"/>
      <c r="Q27" s="233" t="str">
        <f>IFERROR(IF(COUNTIF(Saints!$C$2:$C$371,Q26)=0,"",INDEX(Saints!$D$2:$D$371,MATCH(Q26,Saints!$C$2:$C$371,0))),"")</f>
        <v>Barnard</v>
      </c>
      <c r="R27" s="43"/>
      <c r="S27" s="43"/>
      <c r="T27" s="234" t="str">
        <f>IF(ISERROR(VLOOKUP(Q26,Lune!$A$2:$B$55,2,FALSE)),"",VLOOKUP(Q26,Lune!$A$2:$B$55,2,FALSE))</f>
        <v/>
      </c>
      <c r="U27" s="235"/>
      <c r="V27" s="233" t="str">
        <f>IFERROR(IF(COUNTIF(Saints!$C$2:$C$371,V26)=0,"",INDEX(Saints!$D$2:$D$371,MATCH(V26,Saints!$C$2:$C$371,0))),"")</f>
        <v>Paco</v>
      </c>
      <c r="W27" s="43"/>
      <c r="X27" s="43"/>
      <c r="Y27" s="234" t="str">
        <f>IF(ISERROR(VLOOKUP(V26,Lune!$A$2:$B$55,2,FALSE)),"",VLOOKUP(V26,Lune!$A$2:$B$55,2,FALSE))</f>
        <v></v>
      </c>
      <c r="Z27" s="235"/>
      <c r="AA27" s="233" t="str">
        <f>IFERROR(IF(COUNTIF(Saints!$C$2:$C$371,AA26)=0,"",INDEX(Saints!$D$2:$D$371,MATCH(AA26,Saints!$C$2:$C$371,0))),"")</f>
        <v>Paul</v>
      </c>
      <c r="AB27" s="43"/>
      <c r="AC27" s="43"/>
      <c r="AD27" s="234" t="str">
        <f>IF(ISERROR(VLOOKUP(AA26,Lune!$A$2:$B$55,2,FALSE)),"",VLOOKUP(AA26,Lune!$A$2:$B$55,2,FALSE))</f>
        <v/>
      </c>
      <c r="AE27" s="235"/>
      <c r="AF27" s="267" t="str">
        <f>IFERROR(IF(COUNTIF(Saints!$C$2:$C$371,AF26)=0,"",INDEX(Saints!$D$2:$D$371,MATCH(AF26,Saints!$C$2:$C$371,0))),"")</f>
        <v>Paule</v>
      </c>
      <c r="AG27" s="268"/>
      <c r="AH27" s="268"/>
      <c r="AI27" s="269" t="str">
        <f>IF(ISERROR(VLOOKUP(AF26,Lune!$A$2:$B$55,2,FALSE)),"",VLOOKUP(AF26,Lune!$A$2:$B$55,2,FALSE))</f>
        <v/>
      </c>
    </row>
    <row r="28" spans="1:35" ht="15.75">
      <c r="A28" s="280" t="s">
        <v>2124</v>
      </c>
      <c r="B28" s="237"/>
      <c r="C28" s="238" t="str">
        <f>IFERROR(IF(COUNTIF(Parametre!$I$45:$I$94,B26)=0,"",INDEX(Parametre!$K$45:$K$94,MATCH(B26,Parametre!$I$45:$I$94,0))),"")</f>
        <v/>
      </c>
      <c r="D28" s="239"/>
      <c r="E28" s="240"/>
      <c r="F28" s="239"/>
      <c r="G28" s="237"/>
      <c r="H28" s="238" t="str">
        <f>IFERROR(IF(COUNTIF(Parametre!$I$45:$I$94,G26)=0,"",INDEX(Parametre!$K$45:$K$94,MATCH(G26,Parametre!$I$45:$I$94,0))),"")</f>
        <v/>
      </c>
      <c r="I28" s="239"/>
      <c r="J28" s="240"/>
      <c r="K28" s="239"/>
      <c r="L28" s="237"/>
      <c r="M28" s="238" t="str">
        <f>IFERROR(IF(COUNTIF(Parametre!$I$45:$I$94,L26)=0,"",INDEX(Parametre!$K$45:$K$94,MATCH(L26,Parametre!$I$45:$I$94,0))),"")</f>
        <v/>
      </c>
      <c r="N28" s="239"/>
      <c r="O28" s="240"/>
      <c r="P28" s="239"/>
      <c r="Q28" s="237"/>
      <c r="R28" s="238" t="str">
        <f>IFERROR(IF(COUNTIF(Parametre!$I$45:$I$94,Q26)=0,"",INDEX(Parametre!$K$45:$K$94,MATCH(Q26,Parametre!$I$45:$I$94,0))),"")</f>
        <v/>
      </c>
      <c r="S28" s="239"/>
      <c r="T28" s="240"/>
      <c r="U28" s="239"/>
      <c r="V28" s="237"/>
      <c r="W28" s="238" t="str">
        <f>IFERROR(IF(COUNTIF(Parametre!$I$45:$I$94,V26)=0,"",INDEX(Parametre!$K$45:$K$94,MATCH(V26,Parametre!$I$45:$I$94,0))),"")</f>
        <v/>
      </c>
      <c r="X28" s="239"/>
      <c r="Y28" s="240"/>
      <c r="Z28" s="239"/>
      <c r="AA28" s="237"/>
      <c r="AB28" s="238" t="str">
        <f>IFERROR(IF(COUNTIF(Parametre!$I$45:$I$94,AA26)=0,"",INDEX(Parametre!$K$45:$K$94,MATCH(AA26,Parametre!$I$45:$I$94,0))),"")</f>
        <v/>
      </c>
      <c r="AC28" s="239"/>
      <c r="AD28" s="240"/>
      <c r="AE28" s="239"/>
      <c r="AF28" s="270"/>
      <c r="AG28" s="271" t="str">
        <f>IFERROR(IF(COUNTIF(Parametre!$I$45:$I$94,AF26)=0,"",INDEX(Parametre!$K$45:$K$94,MATCH(AF26,Parametre!$I$45:$I$94,0))),"")</f>
        <v/>
      </c>
      <c r="AH28" s="272"/>
      <c r="AI28" s="273"/>
    </row>
    <row r="29" spans="1:35" ht="9" customHeight="1">
      <c r="A29" s="280" t="s">
        <v>2123</v>
      </c>
      <c r="B29" s="241"/>
      <c r="C29" s="43"/>
      <c r="D29" s="43"/>
      <c r="E29" s="242"/>
      <c r="F29" s="43"/>
      <c r="G29" s="241"/>
      <c r="H29" s="43"/>
      <c r="I29" s="43"/>
      <c r="J29" s="242"/>
      <c r="K29" s="43"/>
      <c r="L29" s="43"/>
      <c r="M29" s="43"/>
      <c r="N29" s="43"/>
      <c r="O29" s="242"/>
      <c r="P29" s="43"/>
      <c r="Q29" s="43"/>
      <c r="R29" s="43"/>
      <c r="S29" s="43"/>
      <c r="T29" s="242"/>
      <c r="U29" s="43"/>
      <c r="V29" s="43"/>
      <c r="W29" s="43"/>
      <c r="X29" s="43"/>
      <c r="Y29" s="242"/>
      <c r="Z29" s="43"/>
      <c r="AA29" s="43"/>
      <c r="AB29" s="43"/>
      <c r="AC29" s="43"/>
      <c r="AD29" s="242"/>
      <c r="AE29" s="43"/>
      <c r="AF29" s="268"/>
      <c r="AG29" s="268"/>
      <c r="AH29" s="268"/>
      <c r="AI29" s="274"/>
    </row>
    <row r="30" spans="1:35">
      <c r="B30" s="241"/>
      <c r="C30" s="43"/>
      <c r="D30" s="43"/>
      <c r="E30" s="242"/>
      <c r="F30" s="43"/>
      <c r="G30" s="43"/>
      <c r="H30" s="43"/>
      <c r="I30" s="43"/>
      <c r="J30" s="242"/>
      <c r="K30" s="43"/>
      <c r="L30" s="43"/>
      <c r="M30" s="43"/>
      <c r="N30" s="43"/>
      <c r="O30" s="242"/>
      <c r="P30" s="43"/>
      <c r="Q30" s="43"/>
      <c r="R30" s="43"/>
      <c r="S30" s="43"/>
      <c r="T30" s="242"/>
      <c r="U30" s="43"/>
      <c r="V30" s="43"/>
      <c r="W30" s="43"/>
      <c r="X30" s="43"/>
      <c r="Y30" s="242"/>
      <c r="Z30" s="43"/>
      <c r="AA30" s="43"/>
      <c r="AB30" s="43"/>
      <c r="AC30" s="43"/>
      <c r="AD30" s="242"/>
      <c r="AE30" s="43"/>
      <c r="AF30" s="268"/>
      <c r="AG30" s="268"/>
      <c r="AH30" s="268"/>
      <c r="AI30" s="274"/>
    </row>
    <row r="31" spans="1:35">
      <c r="B31" s="243"/>
      <c r="C31" s="244"/>
      <c r="D31" s="244"/>
      <c r="E31" s="245"/>
      <c r="F31" s="244"/>
      <c r="G31" s="244"/>
      <c r="H31" s="244"/>
      <c r="I31" s="244"/>
      <c r="J31" s="245"/>
      <c r="K31" s="244"/>
      <c r="L31" s="244"/>
      <c r="M31" s="244"/>
      <c r="N31" s="244"/>
      <c r="O31" s="245"/>
      <c r="P31" s="244"/>
      <c r="Q31" s="244"/>
      <c r="R31" s="244"/>
      <c r="S31" s="244"/>
      <c r="T31" s="245"/>
      <c r="U31" s="244"/>
      <c r="V31" s="244"/>
      <c r="W31" s="244"/>
      <c r="X31" s="244"/>
      <c r="Y31" s="245"/>
      <c r="Z31" s="244"/>
      <c r="AA31" s="244"/>
      <c r="AB31" s="244"/>
      <c r="AC31" s="244"/>
      <c r="AD31" s="245"/>
      <c r="AE31" s="244"/>
      <c r="AF31" s="275"/>
      <c r="AG31" s="275"/>
      <c r="AH31" s="275"/>
      <c r="AI31" s="276"/>
    </row>
    <row r="32" spans="1:35" ht="18.75">
      <c r="B32" s="246">
        <f>IFERROR(IF(AF26="","",IF(MONTH(AF26+1)=MONTH(D3),AF26+1,"")),"")</f>
        <v>43857</v>
      </c>
      <c r="C32" s="247" t="str">
        <f>IF(COUNTIF(Parametre!$C$27:$C$39,B32)=0,"",INDEX(Parametre!$B$27:$B$39,MATCH(B32,Parametre!$C$27:$C$39,0)))</f>
        <v/>
      </c>
      <c r="D32" s="43"/>
      <c r="E32" s="230">
        <f>IFERROR(IF(WEEKDAY(B32,2)=1,INT((B32-LOOKUP(B32,DATE(YEAR(B32)+{-1;0;1},1,3)-WEEKDAY(DATE(YEAR(B32)+{-1;0;1},1,3))+2))/7)+1,""),"")</f>
        <v>5</v>
      </c>
      <c r="F32" s="248"/>
      <c r="G32" s="249">
        <f>IF(B32="","",IF(MONTH(B32+1)&lt;&gt;MONTH(B32),"",B32+1))</f>
        <v>43858</v>
      </c>
      <c r="H32" s="247" t="str">
        <f>IF(COUNTIF(Parametre!$C$27:$C$39,G32)=0,"",INDEX(Parametre!$B$27:$B$39,MATCH(G32,Parametre!$C$27:$C$39,0)))</f>
        <v/>
      </c>
      <c r="I32" s="43"/>
      <c r="J32" s="230" t="str">
        <f>IFERROR(IF(WEEKDAY(G32,2)=1,INT((G32-LOOKUP(G32,DATE(YEAR(G32)+{-1;0;1},1,3)-WEEKDAY(DATE(YEAR(G32)+{-1;0;1},1,3))+2))/7)+1,""),"")</f>
        <v/>
      </c>
      <c r="K32" s="248"/>
      <c r="L32" s="232">
        <f>IF(G32="","",IF(MONTH(G32+1)&lt;&gt;MONTH(G32),"",G32+1))</f>
        <v>43859</v>
      </c>
      <c r="M32" s="247" t="str">
        <f>IF(COUNTIF(Parametre!$C$27:$C$39,L32)=0,"",INDEX(Parametre!$B$27:$B$39,MATCH(L32,Parametre!$C$27:$C$39,0)))</f>
        <v/>
      </c>
      <c r="N32" s="229"/>
      <c r="O32" s="230" t="str">
        <f>IFERROR(IF(WEEKDAY(L32,2)=1,INT((L32-LOOKUP(L32,DATE(YEAR(L32)+{-1;0;1},1,3)-WEEKDAY(DATE(YEAR(L32)+{-1;0;1},1,3))+2))/7)+1,""),"")</f>
        <v/>
      </c>
      <c r="P32" s="231"/>
      <c r="Q32" s="232">
        <f>IF(L32="","",IF(MONTH(L32+1)&lt;&gt;MONTH(L32),"",L32+1))</f>
        <v>43860</v>
      </c>
      <c r="R32" s="247" t="str">
        <f>IF(COUNTIF(Parametre!$C$27:$C$39,Q32)=0,"",INDEX(Parametre!$B$27:$B$39,MATCH(Q32,Parametre!$C$27:$C$39,0)))</f>
        <v/>
      </c>
      <c r="S32" s="229"/>
      <c r="T32" s="230" t="str">
        <f>IFERROR(IF(WEEKDAY(Q32,2)=1,INT((Q32-LOOKUP(Q32,DATE(YEAR(Q32)+{-1;0;1},1,3)-WEEKDAY(DATE(YEAR(Q32)+{-1;0;1},1,3))+2))/7)+1,""),"")</f>
        <v/>
      </c>
      <c r="U32" s="248"/>
      <c r="V32" s="249">
        <f>IF(Q32="","",IF(MONTH(Q32+1)&lt;&gt;MONTH(Q32),"",Q32+1))</f>
        <v>43861</v>
      </c>
      <c r="W32" s="247" t="str">
        <f>IF(COUNTIF(Parametre!$C$27:$C$39,V32)=0,"",INDEX(Parametre!$B$27:$B$39,MATCH(V32,Parametre!$C$27:$C$39,0)))</f>
        <v/>
      </c>
      <c r="X32" s="43"/>
      <c r="Y32" s="230" t="str">
        <f>IFERROR(IF(WEEKDAY(V32,2)=1,INT((V32-LOOKUP(V32,DATE(YEAR(V32)+{-1;0;1},1,3)-WEEKDAY(DATE(YEAR(V32)+{-1;0;1},1,3))+2))/7)+1,""),"")</f>
        <v/>
      </c>
      <c r="Z32" s="248"/>
      <c r="AA32" s="249" t="str">
        <f>IF(V32="","",IF(MONTH(V32+1)&lt;&gt;MONTH(V32),"",V32+1))</f>
        <v/>
      </c>
      <c r="AB32" s="247" t="str">
        <f>IF(COUNTIF(Parametre!$C$27:$C$39,AA32)=0,"",INDEX(Parametre!$B$27:$B$39,MATCH(AA32,Parametre!$C$27:$C$39,0)))</f>
        <v/>
      </c>
      <c r="AC32" s="43"/>
      <c r="AD32" s="230" t="str">
        <f>IFERROR(IF(WEEKDAY(AA32,2)=1,INT((AA32-LOOKUP(AA32,DATE(YEAR(AA32)+{-1;0;1},1,3)-WEEKDAY(DATE(YEAR(AA32)+{-1;0;1},1,3))+2))/7)+1,""),"")</f>
        <v/>
      </c>
      <c r="AE32" s="248"/>
      <c r="AF32" s="277" t="str">
        <f>IF(AA32="","",IF(MONTH(AA32+1)&lt;&gt;MONTH(AA32),"",AA32+1))</f>
        <v/>
      </c>
      <c r="AG32" s="264" t="str">
        <f>IF(COUNTIF(Parametre!$C$27:$C$39,AF32)=0,"",INDEX(Parametre!$B$27:$B$39,MATCH(AF32,Parametre!$C$27:$C$39,0)))</f>
        <v/>
      </c>
      <c r="AH32" s="268"/>
      <c r="AI32" s="266" t="str">
        <f>IFERROR(IF(WEEKDAY(AF32,2)=1,INT((AF32-LOOKUP(AF32,DATE(YEAR(AF32)+{-1;0;1},1,3)-WEEKDAY(DATE(YEAR(AF32)+{-1;0;1},1,3))+2))/7)+1,""),"")</f>
        <v/>
      </c>
    </row>
    <row r="33" spans="1:35" ht="19.5">
      <c r="A33" s="280" t="s">
        <v>2125</v>
      </c>
      <c r="B33" s="233" t="str">
        <f>IFERROR(IF(COUNTIF(Saints!$C$2:$C$371,B32)=0,"",INDEX(Saints!$D$2:$D$371,MATCH(B32,Saints!$C$2:$C$371,0))),"")</f>
        <v>Angèle</v>
      </c>
      <c r="C33" s="43"/>
      <c r="D33" s="43"/>
      <c r="E33" s="234" t="str">
        <f>IF(ISERROR(VLOOKUP(B32,Lune!$A$2:$B$55,2,FALSE)),"",VLOOKUP(B32,Lune!$A$2:$B$55,2,FALSE))</f>
        <v/>
      </c>
      <c r="F33" s="235"/>
      <c r="G33" s="233" t="str">
        <f>IFERROR(IF(COUNTIF(Saints!$C$2:$C$371,G32)=0,"",INDEX(Saints!$D$2:$D$371,MATCH(G32,Saints!$C$2:$C$371,0))),"")</f>
        <v>Thérèse</v>
      </c>
      <c r="H33" s="43"/>
      <c r="I33" s="43"/>
      <c r="J33" s="234" t="str">
        <f>IF(ISERROR(VLOOKUP(G32,Lune!$A$2:$B$55,2,FALSE)),"",VLOOKUP(G32,Lune!$A$2:$B$55,2,FALSE))</f>
        <v/>
      </c>
      <c r="K33" s="235"/>
      <c r="L33" s="233" t="str">
        <f>IFERROR(IF(COUNTIF(Saints!$C$2:$C$371,L32)=0,"",INDEX(Saints!$D$2:$D$371,MATCH(L32,Saints!$C$2:$C$371,0))),"")</f>
        <v>Gildas</v>
      </c>
      <c r="M33" s="43"/>
      <c r="N33" s="43"/>
      <c r="O33" s="234" t="str">
        <f>IF(ISERROR(VLOOKUP(L32,Lune!$A$2:$B$55,2,FALSE)),"",VLOOKUP(L32,Lune!$A$2:$B$55,2,FALSE))</f>
        <v/>
      </c>
      <c r="P33" s="235"/>
      <c r="Q33" s="233" t="str">
        <f>IFERROR(IF(COUNTIF(Saints!$C$2:$C$371,Q32)=0,"",INDEX(Saints!$D$2:$D$371,MATCH(Q32,Saints!$C$2:$C$371,0))),"")</f>
        <v>Martine</v>
      </c>
      <c r="R33" s="43"/>
      <c r="S33" s="43"/>
      <c r="T33" s="234" t="str">
        <f>IF(ISERROR(VLOOKUP(Q32,Lune!$A$2:$B$55,2,FALSE)),"",VLOOKUP(Q32,Lune!$A$2:$B$55,2,FALSE))</f>
        <v/>
      </c>
      <c r="U33" s="235"/>
      <c r="V33" s="233" t="str">
        <f>IFERROR(IF(COUNTIF(Saints!$C$2:$C$371,V32)=0,"",INDEX(Saints!$D$2:$D$371,MATCH(V32,Saints!$C$2:$C$371,0))),"")</f>
        <v>Marcelle</v>
      </c>
      <c r="W33" s="43"/>
      <c r="X33" s="43"/>
      <c r="Y33" s="234" t="str">
        <f>IF(ISERROR(VLOOKUP(V32,Lune!$A$2:$B$55,2,FALSE)),"",VLOOKUP(V32,Lune!$A$2:$B$55,2,FALSE))</f>
        <v/>
      </c>
      <c r="Z33" s="250"/>
      <c r="AA33" s="233" t="str">
        <f>IFERROR(IF(COUNTIF(Saints!$C$2:$C$371,AA32)=0,"",INDEX(Saints!$D$2:$D$371,MATCH(AA32,Saints!$C$2:$C$371,0))),"")</f>
        <v/>
      </c>
      <c r="AB33" s="43"/>
      <c r="AC33" s="43"/>
      <c r="AD33" s="234" t="str">
        <f>IF(ISERROR(VLOOKUP(AA32,Lune!$A$2:$B$55,2,FALSE)),"",VLOOKUP(AA32,Lune!$A$2:$B$55,2,FALSE))</f>
        <v/>
      </c>
      <c r="AE33" s="235"/>
      <c r="AF33" s="267" t="str">
        <f>IFERROR(IF(COUNTIF(Saints!$C$2:$C$371,AF32)=0,"",INDEX(Saints!$D$2:$D$371,MATCH(AF32,Saints!$C$2:$C$371,0))),"")</f>
        <v/>
      </c>
      <c r="AG33" s="268"/>
      <c r="AH33" s="268"/>
      <c r="AI33" s="269" t="str">
        <f>IF(ISERROR(VLOOKUP(AF32,Lune!$A$2:$B$55,2,FALSE)),"",VLOOKUP(AF32,Lune!$A$2:$B$55,2,FALSE))</f>
        <v/>
      </c>
    </row>
    <row r="34" spans="1:35" ht="15.75">
      <c r="A34" s="280" t="s">
        <v>2124</v>
      </c>
      <c r="B34" s="237"/>
      <c r="C34" s="238" t="str">
        <f>IFERROR(IF(COUNTIF(Parametre!$I$45:$I$94,B32)=0,"",INDEX(Parametre!$K$45:$K$94,MATCH(B32,Parametre!$I$45:$I$94,0))),"")</f>
        <v/>
      </c>
      <c r="D34" s="239"/>
      <c r="E34" s="240"/>
      <c r="F34" s="239"/>
      <c r="G34" s="237"/>
      <c r="H34" s="238" t="str">
        <f>IFERROR(IF(COUNTIF(Parametre!$I$45:$I$94,G32)=0,"",INDEX(Parametre!$K$45:$K$94,MATCH(G32,Parametre!$I$45:$I$94,0))),"")</f>
        <v/>
      </c>
      <c r="I34" s="239"/>
      <c r="J34" s="240"/>
      <c r="K34" s="239"/>
      <c r="L34" s="237"/>
      <c r="M34" s="238" t="str">
        <f>IFERROR(IF(COUNTIF(Parametre!$I$45:$I$94,L32)=0,"",INDEX(Parametre!$K$45:$K$94,MATCH(L32,Parametre!$I$45:$I$94,0))),"")</f>
        <v/>
      </c>
      <c r="N34" s="239"/>
      <c r="O34" s="240"/>
      <c r="P34" s="239"/>
      <c r="Q34" s="237"/>
      <c r="R34" s="238" t="str">
        <f>IFERROR(IF(COUNTIF(Parametre!$I$45:$I$94,Q32)=0,"",INDEX(Parametre!$K$45:$K$94,MATCH(Q32,Parametre!$I$45:$I$94,0))),"")</f>
        <v/>
      </c>
      <c r="S34" s="239"/>
      <c r="T34" s="240"/>
      <c r="U34" s="239"/>
      <c r="V34" s="237"/>
      <c r="W34" s="238" t="str">
        <f>IFERROR(IF(COUNTIF(Parametre!$I$45:$I$94,V32)=0,"",INDEX(Parametre!$K$45:$K$94,MATCH(V32,Parametre!$I$45:$I$94,0))),"")</f>
        <v/>
      </c>
      <c r="X34" s="239"/>
      <c r="Y34" s="240"/>
      <c r="Z34" s="239"/>
      <c r="AA34" s="237"/>
      <c r="AB34" s="238" t="str">
        <f>IFERROR(IF(COUNTIF(Parametre!$I$45:$I$94,AA32)=0,"",INDEX(Parametre!$K$45:$K$94,MATCH(AA32,Parametre!$I$45:$I$94,0))),"")</f>
        <v/>
      </c>
      <c r="AC34" s="239"/>
      <c r="AD34" s="240"/>
      <c r="AE34" s="239"/>
      <c r="AF34" s="270"/>
      <c r="AG34" s="271" t="str">
        <f>IFERROR(IF(COUNTIF(Parametre!$I$45:$I$94,AF32)=0,"",INDEX(Parametre!$K$45:$K$94,MATCH(AF32,Parametre!$I$45:$I$94,0))),"")</f>
        <v/>
      </c>
      <c r="AH34" s="272"/>
      <c r="AI34" s="273"/>
    </row>
    <row r="35" spans="1:35" ht="9" customHeight="1">
      <c r="A35" s="280" t="s">
        <v>2123</v>
      </c>
      <c r="B35" s="241"/>
      <c r="C35" s="43"/>
      <c r="D35" s="43"/>
      <c r="E35" s="242"/>
      <c r="F35" s="43"/>
      <c r="G35" s="241"/>
      <c r="H35" s="43"/>
      <c r="I35" s="43"/>
      <c r="J35" s="242"/>
      <c r="K35" s="43"/>
      <c r="L35" s="43"/>
      <c r="M35" s="43"/>
      <c r="N35" s="43"/>
      <c r="O35" s="242"/>
      <c r="P35" s="43"/>
      <c r="Q35" s="43"/>
      <c r="R35" s="43"/>
      <c r="S35" s="43"/>
      <c r="T35" s="242"/>
      <c r="U35" s="43"/>
      <c r="V35" s="43"/>
      <c r="W35" s="43"/>
      <c r="X35" s="43"/>
      <c r="Y35" s="242"/>
      <c r="Z35" s="43"/>
      <c r="AA35" s="43"/>
      <c r="AB35" s="43"/>
      <c r="AC35" s="43"/>
      <c r="AD35" s="242"/>
      <c r="AE35" s="43"/>
      <c r="AF35" s="268"/>
      <c r="AG35" s="268"/>
      <c r="AH35" s="268"/>
      <c r="AI35" s="274"/>
    </row>
    <row r="36" spans="1:35">
      <c r="B36" s="241"/>
      <c r="C36" s="43"/>
      <c r="D36" s="43"/>
      <c r="E36" s="242"/>
      <c r="F36" s="43"/>
      <c r="G36" s="43"/>
      <c r="H36" s="43"/>
      <c r="I36" s="43"/>
      <c r="J36" s="242"/>
      <c r="K36" s="43"/>
      <c r="L36" s="43"/>
      <c r="M36" s="43"/>
      <c r="N36" s="43"/>
      <c r="O36" s="242"/>
      <c r="P36" s="43"/>
      <c r="Q36" s="43"/>
      <c r="R36" s="43"/>
      <c r="S36" s="43"/>
      <c r="T36" s="242"/>
      <c r="U36" s="43"/>
      <c r="V36" s="43"/>
      <c r="W36" s="43"/>
      <c r="X36" s="43"/>
      <c r="Y36" s="242"/>
      <c r="Z36" s="43"/>
      <c r="AA36" s="43"/>
      <c r="AB36" s="43"/>
      <c r="AC36" s="43"/>
      <c r="AD36" s="242"/>
      <c r="AE36" s="43"/>
      <c r="AF36" s="268"/>
      <c r="AG36" s="268"/>
      <c r="AH36" s="268"/>
      <c r="AI36" s="274"/>
    </row>
    <row r="37" spans="1:35">
      <c r="B37" s="243"/>
      <c r="C37" s="244"/>
      <c r="D37" s="244"/>
      <c r="E37" s="245"/>
      <c r="F37" s="244"/>
      <c r="G37" s="244"/>
      <c r="H37" s="244"/>
      <c r="I37" s="244"/>
      <c r="J37" s="245"/>
      <c r="K37" s="244"/>
      <c r="L37" s="244"/>
      <c r="M37" s="244"/>
      <c r="N37" s="244"/>
      <c r="O37" s="245"/>
      <c r="P37" s="244"/>
      <c r="Q37" s="244"/>
      <c r="R37" s="244"/>
      <c r="S37" s="244"/>
      <c r="T37" s="245"/>
      <c r="U37" s="244"/>
      <c r="V37" s="244"/>
      <c r="W37" s="244"/>
      <c r="X37" s="244"/>
      <c r="Y37" s="245"/>
      <c r="Z37" s="244"/>
      <c r="AA37" s="244"/>
      <c r="AB37" s="244"/>
      <c r="AC37" s="244"/>
      <c r="AD37" s="245"/>
      <c r="AE37" s="244"/>
      <c r="AF37" s="275"/>
      <c r="AG37" s="275"/>
      <c r="AH37" s="275"/>
      <c r="AI37" s="276"/>
    </row>
    <row r="38" spans="1:35" ht="18.75">
      <c r="B38" s="251" t="str">
        <f>IF(AF32="","",IF(MONTH(AF32+1)&lt;&gt;MONTH(AF32),"",AF32+1))</f>
        <v/>
      </c>
      <c r="C38" s="247" t="str">
        <f>IF(COUNTIF(Parametre!$C$27:$C$39,B38)=0,"",INDEX(Parametre!$B$27:$B$39,MATCH(B38,Parametre!$C$27:$C$39,0)))</f>
        <v/>
      </c>
      <c r="D38" s="43"/>
      <c r="E38" s="230" t="str">
        <f>IFERROR(IF(WEEKDAY(B38,2)=1,INT((B38-LOOKUP(B38,DATE(YEAR(B38)+{-1;0;1},1,3)-WEEKDAY(DATE(YEAR(B38)+{-1;0;1},1,3))+2))/7)+1,""),"")</f>
        <v/>
      </c>
      <c r="F38" s="248"/>
      <c r="G38" s="249" t="str">
        <f>IF(B38="","",IF(MONTH(B38+1)&lt;&gt;MONTH(B38),"",B38+1))</f>
        <v/>
      </c>
      <c r="H38" s="247" t="str">
        <f>IF(COUNTIF(Parametre!$C$27:$C$39,G38)=0,"",INDEX(Parametre!$B$27:$B$39,MATCH(G38,Parametre!$C$27:$C$39,0)))</f>
        <v/>
      </c>
      <c r="I38" s="43"/>
      <c r="J38" s="230" t="str">
        <f>IFERROR(IF(WEEKDAY(G38,2)=1,INT((G38-LOOKUP(G38,DATE(YEAR(G38)+{-1;0;1},1,3)-WEEKDAY(DATE(YEAR(G38)+{-1;0;1},1,3))+2))/7)+1,""),"")</f>
        <v/>
      </c>
      <c r="K38" s="248"/>
      <c r="L38" s="232" t="str">
        <f>IF(G38="","",IF(MONTH(G38+1)&lt;&gt;MONTH(G38),"",G38+1))</f>
        <v/>
      </c>
      <c r="M38" s="247" t="str">
        <f>IF(COUNTIF(Parametre!$C$27:$C$39,L38)=0,"",INDEX(Parametre!$B$27:$B$39,MATCH(L38,Parametre!$C$27:$C$39,0)))</f>
        <v/>
      </c>
      <c r="N38" s="229"/>
      <c r="O38" s="230" t="str">
        <f>IFERROR(IF(WEEKDAY(L38,2)=1,INT((L38-LOOKUP(L38,DATE(YEAR(L38)+{-1;0;1},1,3)-WEEKDAY(DATE(YEAR(L38)+{-1;0;1},1,3))+2))/7)+1,""),"")</f>
        <v/>
      </c>
      <c r="P38" s="231"/>
      <c r="Q38" s="232" t="str">
        <f>IF(L38="","",IF(MONTH(L38+1)&lt;&gt;MONTH(L38),"",L38+1))</f>
        <v/>
      </c>
      <c r="R38" s="247" t="str">
        <f>IF(COUNTIF(Parametre!$C$27:$C$39,Q38)=0,"",INDEX(Parametre!$B$27:$B$39,MATCH(Q38,Parametre!$C$27:$C$39,0)))</f>
        <v/>
      </c>
      <c r="S38" s="229"/>
      <c r="T38" s="230" t="str">
        <f>IFERROR(IF(WEEKDAY(Q38,2)=1,INT((Q38-LOOKUP(Q38,DATE(YEAR(Q38)+{-1;0;1},1,3)-WEEKDAY(DATE(YEAR(Q38)+{-1;0;1},1,3))+2))/7)+1,""),"")</f>
        <v/>
      </c>
      <c r="U38" s="248"/>
      <c r="V38" s="249" t="str">
        <f>IF(Q38="","",IF(MONTH(Q38+1)&lt;&gt;MONTH(Q38),"",Q38+1))</f>
        <v/>
      </c>
      <c r="W38" s="247" t="str">
        <f>IF(COUNTIF(Parametre!$C$27:$C$39,V38)=0,"",INDEX(Parametre!$B$27:$B$39,MATCH(V38,Parametre!$C$27:$C$39,0)))</f>
        <v/>
      </c>
      <c r="X38" s="43"/>
      <c r="Y38" s="252" t="str">
        <f>IFERROR(IF(WEEKDAY(V38)=3,INT((V38-DATE(YEAR(V38),1,1))/7+1),""),"")</f>
        <v/>
      </c>
      <c r="Z38" s="248"/>
      <c r="AA38" s="249" t="str">
        <f>IF(V38="","",IF(MONTH(V38+1)&lt;&gt;MONTH(V38),"",V38+1))</f>
        <v/>
      </c>
      <c r="AB38" s="247" t="str">
        <f>IF(COUNTIF(Parametre!$C$27:$C$39,AA38)=0,"",INDEX(Parametre!$B$27:$B$39,MATCH(AA38,Parametre!$C$27:$C$39,0)))</f>
        <v/>
      </c>
      <c r="AC38" s="43"/>
      <c r="AD38" s="230" t="str">
        <f>IFERROR(IF(WEEKDAY(AA38,2)=1,INT((AA38-LOOKUP(AA38,DATE(YEAR(AA38)+{-1;0;1},1,3)-WEEKDAY(DATE(YEAR(AA38)+{-1;0;1},1,3))+2))/7)+1,""),"")</f>
        <v/>
      </c>
      <c r="AE38" s="248"/>
      <c r="AF38" s="268"/>
      <c r="AG38" s="264" t="str">
        <f>IF(COUNTIF(Parametre!$C$27:$C$39,AF38)=0,"",INDEX(Parametre!$B$27:$B$39,MATCH(AF38,Parametre!$C$27:$C$39,0)))</f>
        <v/>
      </c>
      <c r="AH38" s="268"/>
      <c r="AI38" s="266" t="str">
        <f>IFERROR(IF(WEEKDAY(AF38,2)=1,INT((AF38-LOOKUP(AF38,DATE(YEAR(AF38)+{-1;0;1},1,3)-WEEKDAY(DATE(YEAR(AF38)+{-1;0;1},1,3))+2))/7)+1,""),"")</f>
        <v/>
      </c>
    </row>
    <row r="39" spans="1:35" ht="19.5">
      <c r="A39" s="280" t="s">
        <v>2125</v>
      </c>
      <c r="B39" s="233" t="str">
        <f>IFERROR(IF(COUNTIF(Saints!$C$2:$C$371,B38)=0,"",INDEX(Saints!$D$2:$D$371,MATCH(B38,Saints!$C$2:$C$371,0))),"")</f>
        <v/>
      </c>
      <c r="C39" s="43"/>
      <c r="D39" s="43"/>
      <c r="E39" s="234" t="str">
        <f>IF(ISERROR(VLOOKUP(B38,Lune!$A$2:$B$55,2,FALSE)),"",VLOOKUP(B38,Lune!$A$2:$B$55,2,FALSE))</f>
        <v/>
      </c>
      <c r="F39" s="235"/>
      <c r="G39" s="233" t="str">
        <f>IFERROR(IF(COUNTIF(Saints!$C$2:$C$371,G38)=0,"",INDEX(Saints!$D$2:$D$371,MATCH(G38,Saints!$C$2:$C$371,0))),"")</f>
        <v/>
      </c>
      <c r="H39" s="43"/>
      <c r="I39" s="43"/>
      <c r="J39" s="234" t="str">
        <f>IF(ISERROR(VLOOKUP(G38,Lune!$A$2:$B$55,2,FALSE)),"",VLOOKUP(G38,Lune!$A$2:$B$55,2,FALSE))</f>
        <v/>
      </c>
      <c r="K39" s="235"/>
      <c r="L39" s="233" t="str">
        <f>IFERROR(IF(COUNTIF(Saints!$C$2:$C$371,L38)=0,"",INDEX(Saints!$D$2:$D$371,MATCH(L38,Saints!$C$2:$C$371,0))),"")</f>
        <v/>
      </c>
      <c r="M39" s="43"/>
      <c r="N39" s="43"/>
      <c r="O39" s="234" t="str">
        <f>IF(ISERROR(VLOOKUP(L38,Lune!$A$2:$B$55,2,FALSE)),"",VLOOKUP(L38,Lune!$A$2:$B$55,2,FALSE))</f>
        <v/>
      </c>
      <c r="P39" s="235"/>
      <c r="Q39" s="233" t="str">
        <f>IFERROR(IF(COUNTIF(Saints!$C$2:$C$371,Q38)=0,"",INDEX(Saints!$D$2:$D$371,MATCH(Q38,Saints!$C$2:$C$371,0))),"")</f>
        <v/>
      </c>
      <c r="R39" s="43"/>
      <c r="S39" s="43"/>
      <c r="T39" s="234" t="str">
        <f>IF(ISERROR(VLOOKUP(Q38,Lune!$A$2:$B$55,2,FALSE)),"",VLOOKUP(Q38,Lune!$A$2:$B$55,2,FALSE))</f>
        <v/>
      </c>
      <c r="U39" s="235"/>
      <c r="V39" s="233" t="str">
        <f>IFERROR(IF(COUNTIF(Saints!$C$2:$C$371,V38)=0,"",INDEX(Saints!$D$2:$D$371,MATCH(V38,Saints!$C$2:$C$371,0))),"")</f>
        <v/>
      </c>
      <c r="W39" s="43"/>
      <c r="X39" s="43"/>
      <c r="Y39" s="234" t="str">
        <f>IF(ISERROR(VLOOKUP(V38,Lune!$A$2:$B$55,2,FALSE)),"",VLOOKUP(V38,Lune!$A$2:$B$55,2,FALSE))</f>
        <v/>
      </c>
      <c r="Z39" s="250"/>
      <c r="AA39" s="233" t="str">
        <f>IFERROR(IF(COUNTIF(Saints!$C$2:$C$371,AA38)=0,"",INDEX(Saints!$D$2:$D$371,MATCH(AA38,Saints!$C$2:$C$371,0))),"")</f>
        <v/>
      </c>
      <c r="AB39" s="43"/>
      <c r="AC39" s="43"/>
      <c r="AD39" s="234" t="str">
        <f>IF(ISERROR(VLOOKUP(AA38,Lune!$A$2:$B$55,2,FALSE)),"",VLOOKUP(AA38,Lune!$A$2:$B$55,2,FALSE))</f>
        <v/>
      </c>
      <c r="AE39" s="235"/>
      <c r="AF39" s="267" t="str">
        <f>IFERROR(IF(COUNTIF(Saints!$C$2:$C$371,AF38)=0,"",INDEX(Saints!$D$2:$D$371,MATCH(AF38,Saints!$C$2:$C$371,0))),"")</f>
        <v/>
      </c>
      <c r="AG39" s="268"/>
      <c r="AH39" s="268"/>
      <c r="AI39" s="269" t="str">
        <f>IF(ISERROR(VLOOKUP(AF38,Lune!$A$2:$B$55,2,FALSE)),"",VLOOKUP(AF38,Lune!$A$2:$B$55,2,FALSE))</f>
        <v/>
      </c>
    </row>
    <row r="40" spans="1:35" ht="15.75">
      <c r="A40" s="280" t="s">
        <v>2124</v>
      </c>
      <c r="B40" s="237"/>
      <c r="C40" s="238" t="str">
        <f>IFERROR(IF(COUNTIF(Parametre!$I$45:$I$94,B38)=0,"",INDEX(Parametre!$K$45:$K$94,MATCH(B38,Parametre!$I$45:$I$94,0))),"")</f>
        <v/>
      </c>
      <c r="D40" s="239"/>
      <c r="E40" s="240"/>
      <c r="F40" s="239"/>
      <c r="G40" s="237"/>
      <c r="H40" s="238" t="str">
        <f>IFERROR(IF(COUNTIF(Parametre!$I$45:$I$94,G38)=0,"",INDEX(Parametre!$K$45:$K$94,MATCH(G38,Parametre!$I$45:$I$94,0))),"")</f>
        <v/>
      </c>
      <c r="I40" s="239"/>
      <c r="J40" s="240"/>
      <c r="K40" s="239"/>
      <c r="L40" s="237"/>
      <c r="M40" s="238" t="str">
        <f>IFERROR(IF(COUNTIF(Parametre!$I$45:$I$94,L38)=0,"",INDEX(Parametre!$K$45:$K$94,MATCH(L38,Parametre!$I$45:$I$94,0))),"")</f>
        <v/>
      </c>
      <c r="N40" s="239"/>
      <c r="O40" s="240"/>
      <c r="P40" s="239"/>
      <c r="Q40" s="237"/>
      <c r="R40" s="238" t="str">
        <f>IFERROR(IF(COUNTIF(Parametre!$I$45:$I$94,Q38)=0,"",INDEX(Parametre!$K$45:$K$94,MATCH(Q38,Parametre!$I$45:$I$94,0))),"")</f>
        <v/>
      </c>
      <c r="S40" s="239"/>
      <c r="T40" s="240"/>
      <c r="U40" s="239"/>
      <c r="V40" s="237"/>
      <c r="W40" s="238" t="str">
        <f>IFERROR(IF(COUNTIF(Parametre!$I$45:$I$94,V38)=0,"",INDEX(Parametre!$K$45:$K$94,MATCH(V38,Parametre!$I$45:$I$94,0))),"")</f>
        <v/>
      </c>
      <c r="X40" s="239"/>
      <c r="Y40" s="240"/>
      <c r="Z40" s="239"/>
      <c r="AA40" s="237"/>
      <c r="AB40" s="238" t="str">
        <f>IFERROR(IF(COUNTIF(Parametre!$I$45:$I$94,AA38)=0,"",INDEX(Parametre!$K$45:$K$94,MATCH(AA38,Parametre!$I$45:$I$94,0))),"")</f>
        <v/>
      </c>
      <c r="AC40" s="239"/>
      <c r="AD40" s="240"/>
      <c r="AE40" s="239"/>
      <c r="AF40" s="270"/>
      <c r="AG40" s="271" t="str">
        <f>IFERROR(IF(COUNTIF(Parametre!$I$45:$I$94,AF38)=0,"",INDEX(Parametre!$K$45:$K$94,MATCH(AF38,Parametre!$I$45:$I$94,0))),"")</f>
        <v/>
      </c>
      <c r="AH40" s="272"/>
      <c r="AI40" s="273"/>
    </row>
    <row r="41" spans="1:35" ht="9" customHeight="1">
      <c r="A41" s="280" t="s">
        <v>2123</v>
      </c>
      <c r="B41" s="241"/>
      <c r="C41" s="43"/>
      <c r="D41" s="43"/>
      <c r="E41" s="242"/>
      <c r="F41" s="43"/>
      <c r="G41" s="241"/>
      <c r="H41" s="43"/>
      <c r="I41" s="43"/>
      <c r="J41" s="242"/>
      <c r="K41" s="43"/>
      <c r="L41" s="43"/>
      <c r="M41" s="43"/>
      <c r="N41" s="43"/>
      <c r="O41" s="242"/>
      <c r="P41" s="43"/>
      <c r="Q41" s="43"/>
      <c r="R41" s="43"/>
      <c r="S41" s="43"/>
      <c r="T41" s="242"/>
      <c r="U41" s="43"/>
      <c r="V41" s="43"/>
      <c r="W41" s="43"/>
      <c r="X41" s="43"/>
      <c r="Y41" s="242"/>
      <c r="Z41" s="43"/>
      <c r="AA41" s="43"/>
      <c r="AB41" s="43"/>
      <c r="AC41" s="43"/>
      <c r="AD41" s="242"/>
      <c r="AE41" s="43"/>
      <c r="AF41" s="268"/>
      <c r="AG41" s="268"/>
      <c r="AH41" s="268"/>
      <c r="AI41" s="274"/>
    </row>
    <row r="42" spans="1:35">
      <c r="B42" s="241"/>
      <c r="C42" s="43"/>
      <c r="D42" s="43"/>
      <c r="E42" s="242"/>
      <c r="F42" s="43"/>
      <c r="G42" s="43"/>
      <c r="H42" s="43"/>
      <c r="I42" s="43"/>
      <c r="J42" s="242"/>
      <c r="K42" s="43"/>
      <c r="L42" s="43"/>
      <c r="M42" s="43"/>
      <c r="N42" s="43"/>
      <c r="O42" s="242"/>
      <c r="P42" s="43"/>
      <c r="Q42" s="43"/>
      <c r="R42" s="43"/>
      <c r="S42" s="43"/>
      <c r="T42" s="242"/>
      <c r="U42" s="43"/>
      <c r="V42" s="43"/>
      <c r="W42" s="43"/>
      <c r="X42" s="43"/>
      <c r="Y42" s="242"/>
      <c r="Z42" s="43"/>
      <c r="AA42" s="43"/>
      <c r="AB42" s="43"/>
      <c r="AC42" s="43"/>
      <c r="AD42" s="242"/>
      <c r="AE42" s="43"/>
      <c r="AF42" s="268"/>
      <c r="AG42" s="268"/>
      <c r="AH42" s="268"/>
      <c r="AI42" s="274"/>
    </row>
    <row r="43" spans="1:35">
      <c r="B43" s="243"/>
      <c r="C43" s="244"/>
      <c r="D43" s="244"/>
      <c r="E43" s="245"/>
      <c r="F43" s="244"/>
      <c r="G43" s="244"/>
      <c r="H43" s="244"/>
      <c r="I43" s="244"/>
      <c r="J43" s="245"/>
      <c r="K43" s="244"/>
      <c r="L43" s="244"/>
      <c r="M43" s="244"/>
      <c r="N43" s="244"/>
      <c r="O43" s="245"/>
      <c r="P43" s="244"/>
      <c r="Q43" s="244"/>
      <c r="R43" s="244"/>
      <c r="S43" s="244"/>
      <c r="T43" s="245"/>
      <c r="U43" s="244"/>
      <c r="V43" s="244"/>
      <c r="W43" s="244"/>
      <c r="X43" s="244"/>
      <c r="Y43" s="245"/>
      <c r="Z43" s="244"/>
      <c r="AA43" s="244"/>
      <c r="AB43" s="244"/>
      <c r="AC43" s="244"/>
      <c r="AD43" s="245"/>
      <c r="AE43" s="244"/>
      <c r="AF43" s="275"/>
      <c r="AG43" s="275"/>
      <c r="AH43" s="275"/>
      <c r="AI43" s="276"/>
    </row>
    <row r="47" spans="1:35">
      <c r="E47" s="1"/>
    </row>
    <row r="49" spans="5:5">
      <c r="E49" s="1"/>
    </row>
  </sheetData>
  <mergeCells count="7">
    <mergeCell ref="AF7:AI7"/>
    <mergeCell ref="B7:E7"/>
    <mergeCell ref="G7:J7"/>
    <mergeCell ref="L7:O7"/>
    <mergeCell ref="Q7:T7"/>
    <mergeCell ref="V7:Y7"/>
    <mergeCell ref="AA7:AD7"/>
  </mergeCells>
  <conditionalFormatting sqref="B10:AI10 B16:AI16 B22:AI22 B28:AI28 B34:AI34 B40:AI40">
    <cfRule type="expression" dxfId="9" priority="55">
      <formula>MATCH(B10,EvtMarie,0)</formula>
    </cfRule>
    <cfRule type="expression" dxfId="8" priority="56">
      <formula>MATCH(B10,EvtMichel,0)</formula>
    </cfRule>
  </conditionalFormatting>
  <conditionalFormatting sqref="B8:E8 B14:E14 B20:E20 B26:E26 B32:E32 B38:E38">
    <cfRule type="expression" dxfId="7" priority="54" stopIfTrue="1">
      <formula>AND(COUNTIF(jourferies,$B8),$B8&lt;&gt;"")</formula>
    </cfRule>
  </conditionalFormatting>
  <conditionalFormatting sqref="G8:J8 G14:J14 G20:J20 G26:J26 G32:J32 G38:J38">
    <cfRule type="expression" dxfId="6" priority="53">
      <formula>AND(COUNTIF(jourferies,$G8),$G8&lt;&gt;"")</formula>
    </cfRule>
  </conditionalFormatting>
  <conditionalFormatting sqref="L8:O8 L14:O14 L20:O20 L26:O26 L32:O32 L38:O38">
    <cfRule type="expression" dxfId="5" priority="52">
      <formula>AND(COUNTIF(jourferies,$L8),$L8&lt;&gt;"")</formula>
    </cfRule>
  </conditionalFormatting>
  <conditionalFormatting sqref="Q8:T8 Q14:T14 Q20:T20 Q26:T26 Q32:T32 Q38:T38">
    <cfRule type="expression" dxfId="4" priority="51">
      <formula>AND(COUNTIF(jourferies,$Q8),$Q8&lt;&gt;"")</formula>
    </cfRule>
  </conditionalFormatting>
  <conditionalFormatting sqref="V8:Y8 V14:Y14 V38:Y38 V20:Y20 V26:Y26 V32:Y32">
    <cfRule type="expression" dxfId="3" priority="50">
      <formula>AND(COUNTIF(jourferies,$V8),$V8&lt;&gt;"")</formula>
    </cfRule>
  </conditionalFormatting>
  <conditionalFormatting sqref="AA8:AD8 AA14:AD14 AA20:AD20 AA26:AD26 AA32:AD32 AA38:AD38">
    <cfRule type="expression" dxfId="2" priority="49">
      <formula>AND(COUNTIF(jourferies,$AA8),$AA8&lt;&gt;"")</formula>
    </cfRule>
  </conditionalFormatting>
  <conditionalFormatting sqref="AF8:AI8 AF14:AI14 AF20:AI20 AF26:AI26 AF32:AI32 AF38:AI38">
    <cfRule type="expression" dxfId="1" priority="48">
      <formula>AND(COUNTIF(jourferies,$AF8),$AF8&lt;&gt;"")</formula>
    </cfRule>
  </conditionalFormatting>
  <conditionalFormatting sqref="B11:AI11">
    <cfRule type="expression" dxfId="0" priority="1" stopIfTrue="1">
      <formula>SUMPRODUCT((B8&gt;=DebutVac)*(B8&lt;=FinVac))&gt;0</formula>
    </cfRule>
  </conditionalFormatting>
  <dataValidations count="1">
    <dataValidation type="list" allowBlank="1" showInputMessage="1" showErrorMessage="1" sqref="B3">
      <formula1>NumMois</formula1>
    </dataValidation>
  </dataValidations>
  <pageMargins left="0.19685039370078741" right="0" top="0.39370078740157483" bottom="0.19685039370078741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Parametre</vt:lpstr>
      <vt:lpstr>Lune</vt:lpstr>
      <vt:lpstr>Saison</vt:lpstr>
      <vt:lpstr>Saints</vt:lpstr>
      <vt:lpstr>CalendrierAn</vt:lpstr>
      <vt:lpstr>Mensuel</vt:lpstr>
      <vt:lpstr>An</vt:lpstr>
      <vt:lpstr>Annee</vt:lpstr>
      <vt:lpstr>DebutVac</vt:lpstr>
      <vt:lpstr>EvtMarie</vt:lpstr>
      <vt:lpstr>EvtMichel</vt:lpstr>
      <vt:lpstr>FinVac</vt:lpstr>
      <vt:lpstr>jourferies</vt:lpstr>
      <vt:lpstr>Jours_Repos</vt:lpstr>
      <vt:lpstr>JoursSem</vt:lpstr>
      <vt:lpstr>Mois</vt:lpstr>
      <vt:lpstr>No_Semaine</vt:lpstr>
      <vt:lpstr>NumMois</vt:lpstr>
      <vt:lpstr>Premierjour</vt:lpstr>
      <vt:lpstr>PremierMois</vt:lpstr>
      <vt:lpstr>Saison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2020-11-27T10:47:20Z</dcterms:created>
  <dcterms:modified xsi:type="dcterms:W3CDTF">2020-11-27T15:20:23Z</dcterms:modified>
</cp:coreProperties>
</file>