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kanak\Desktop\"/>
    </mc:Choice>
  </mc:AlternateContent>
  <xr:revisionPtr revIDLastSave="0" documentId="13_ncr:1_{1E36CCC5-72EA-4D4F-8726-4E211FCF385E}" xr6:coauthVersionLast="47" xr6:coauthVersionMax="47" xr10:uidLastSave="{00000000-0000-0000-0000-000000000000}"/>
  <bookViews>
    <workbookView xWindow="-108" yWindow="-108" windowWidth="23256" windowHeight="12456" tabRatio="754" activeTab="1" xr2:uid="{55B405BF-4633-4519-A112-0CAF35D97F25}"/>
  </bookViews>
  <sheets>
    <sheet name="Feuil1" sheetId="1" r:id="rId1"/>
    <sheet name="Feuil2" sheetId="2" r:id="rId2"/>
  </sheets>
  <externalReferences>
    <externalReference r:id="rId3"/>
    <externalReference r:id="rId4"/>
  </externalReferences>
  <definedNames>
    <definedName name="Trie_Par_secteur">'[1]Volume magasins'!$A$32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A29" i="2" l="1"/>
  <c r="AA28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G1" i="2"/>
  <c r="D1" i="2"/>
  <c r="C1" i="2" a="1"/>
  <c r="C1" i="2" s="1"/>
  <c r="J53" i="2"/>
  <c r="I53" i="2"/>
  <c r="H53" i="2" a="1"/>
  <c r="H53" i="2" s="1"/>
  <c r="G53" i="2"/>
  <c r="J52" i="2"/>
  <c r="I52" i="2"/>
  <c r="H52" i="2" a="1"/>
  <c r="H52" i="2" s="1"/>
  <c r="G52" i="2"/>
  <c r="J51" i="2"/>
  <c r="I51" i="2"/>
  <c r="H51" i="2" a="1"/>
  <c r="H51" i="2" s="1"/>
  <c r="G51" i="2"/>
  <c r="J50" i="2"/>
  <c r="I50" i="2"/>
  <c r="H50" i="2" a="1"/>
  <c r="H50" i="2" s="1"/>
  <c r="G50" i="2"/>
  <c r="J49" i="2"/>
  <c r="I49" i="2"/>
  <c r="H49" i="2" a="1"/>
  <c r="H49" i="2" s="1"/>
  <c r="G49" i="2"/>
  <c r="J48" i="2"/>
  <c r="I48" i="2"/>
  <c r="H48" i="2" a="1"/>
  <c r="H48" i="2" s="1"/>
  <c r="G48" i="2"/>
  <c r="J47" i="2"/>
  <c r="I47" i="2"/>
  <c r="H47" i="2" a="1"/>
  <c r="H47" i="2" s="1"/>
  <c r="G47" i="2"/>
  <c r="J46" i="2"/>
  <c r="I46" i="2"/>
  <c r="H46" i="2" a="1"/>
  <c r="H46" i="2" s="1"/>
  <c r="G46" i="2"/>
  <c r="J45" i="2"/>
  <c r="I45" i="2"/>
  <c r="H45" i="2" a="1"/>
  <c r="H45" i="2" s="1"/>
  <c r="G45" i="2"/>
  <c r="J44" i="2"/>
  <c r="I44" i="2"/>
  <c r="H44" i="2" a="1"/>
  <c r="H44" i="2" s="1"/>
  <c r="G44" i="2"/>
  <c r="J43" i="2"/>
  <c r="I43" i="2"/>
  <c r="H43" i="2" a="1"/>
  <c r="H43" i="2" s="1"/>
  <c r="G43" i="2"/>
  <c r="J42" i="2"/>
  <c r="I42" i="2"/>
  <c r="H42" i="2" a="1"/>
  <c r="H42" i="2" s="1"/>
  <c r="G42" i="2"/>
  <c r="J41" i="2"/>
  <c r="I41" i="2"/>
  <c r="H41" i="2" a="1"/>
  <c r="H41" i="2" s="1"/>
  <c r="G41" i="2"/>
  <c r="J40" i="2"/>
  <c r="I40" i="2"/>
  <c r="H40" i="2" a="1"/>
  <c r="H40" i="2" s="1"/>
  <c r="G40" i="2"/>
  <c r="J39" i="2"/>
  <c r="I39" i="2"/>
  <c r="H39" i="2" a="1"/>
  <c r="H39" i="2" s="1"/>
  <c r="G39" i="2"/>
  <c r="J38" i="2"/>
  <c r="I38" i="2"/>
  <c r="H38" i="2" a="1"/>
  <c r="H38" i="2" s="1"/>
  <c r="G38" i="2"/>
  <c r="J37" i="2"/>
  <c r="I37" i="2"/>
  <c r="H37" i="2" a="1"/>
  <c r="H37" i="2" s="1"/>
  <c r="G37" i="2"/>
  <c r="J36" i="2"/>
  <c r="I36" i="2"/>
  <c r="H36" i="2" a="1"/>
  <c r="H36" i="2" s="1"/>
  <c r="G36" i="2"/>
  <c r="J35" i="2"/>
  <c r="I35" i="2"/>
  <c r="H35" i="2" a="1"/>
  <c r="H35" i="2" s="1"/>
  <c r="G35" i="2"/>
  <c r="J34" i="2"/>
  <c r="I34" i="2"/>
  <c r="H34" i="2" a="1"/>
  <c r="H34" i="2" s="1"/>
  <c r="G34" i="2"/>
  <c r="J33" i="2"/>
  <c r="I33" i="2"/>
  <c r="H33" i="2" a="1"/>
  <c r="H33" i="2" s="1"/>
  <c r="G33" i="2"/>
  <c r="J32" i="2"/>
  <c r="I32" i="2"/>
  <c r="H32" i="2" a="1"/>
  <c r="H32" i="2" s="1"/>
  <c r="G32" i="2"/>
  <c r="J31" i="2"/>
  <c r="I31" i="2"/>
  <c r="H31" i="2" a="1"/>
  <c r="H31" i="2" s="1"/>
  <c r="G31" i="2"/>
  <c r="J30" i="2"/>
  <c r="J54" i="2" s="1"/>
  <c r="I30" i="2"/>
  <c r="H30" i="2" a="1"/>
  <c r="H30" i="2" s="1"/>
  <c r="G30" i="2"/>
  <c r="J26" i="2"/>
  <c r="I26" i="2"/>
  <c r="H26" i="2" a="1"/>
  <c r="H26" i="2" s="1"/>
  <c r="G26" i="2"/>
  <c r="J25" i="2"/>
  <c r="I25" i="2"/>
  <c r="H25" i="2" a="1"/>
  <c r="H25" i="2" s="1"/>
  <c r="G25" i="2"/>
  <c r="J24" i="2"/>
  <c r="I24" i="2"/>
  <c r="H24" i="2" a="1"/>
  <c r="H24" i="2" s="1"/>
  <c r="G24" i="2"/>
  <c r="J23" i="2"/>
  <c r="I23" i="2"/>
  <c r="H23" i="2" a="1"/>
  <c r="H23" i="2" s="1"/>
  <c r="G23" i="2"/>
  <c r="J22" i="2"/>
  <c r="I22" i="2"/>
  <c r="H22" i="2" a="1"/>
  <c r="H22" i="2" s="1"/>
  <c r="G22" i="2"/>
  <c r="J21" i="2"/>
  <c r="I21" i="2"/>
  <c r="H21" i="2" a="1"/>
  <c r="H21" i="2" s="1"/>
  <c r="G21" i="2"/>
  <c r="J20" i="2"/>
  <c r="I20" i="2"/>
  <c r="H20" i="2" a="1"/>
  <c r="H20" i="2" s="1"/>
  <c r="G20" i="2"/>
  <c r="J19" i="2"/>
  <c r="I19" i="2"/>
  <c r="H19" i="2" a="1"/>
  <c r="H19" i="2" s="1"/>
  <c r="G19" i="2"/>
  <c r="J18" i="2"/>
  <c r="I18" i="2"/>
  <c r="H18" i="2" a="1"/>
  <c r="H18" i="2" s="1"/>
  <c r="G18" i="2"/>
  <c r="J17" i="2"/>
  <c r="I17" i="2"/>
  <c r="H17" i="2" a="1"/>
  <c r="H17" i="2" s="1"/>
  <c r="G17" i="2"/>
  <c r="J16" i="2"/>
  <c r="I16" i="2"/>
  <c r="H16" i="2" a="1"/>
  <c r="H16" i="2" s="1"/>
  <c r="G16" i="2"/>
  <c r="J15" i="2"/>
  <c r="I15" i="2"/>
  <c r="H15" i="2" a="1"/>
  <c r="H15" i="2" s="1"/>
  <c r="G15" i="2"/>
  <c r="J14" i="2"/>
  <c r="I14" i="2"/>
  <c r="H14" i="2"/>
  <c r="H14" i="2" a="1"/>
  <c r="G14" i="2"/>
  <c r="J13" i="2"/>
  <c r="I13" i="2"/>
  <c r="H13" i="2" a="1"/>
  <c r="H13" i="2" s="1"/>
  <c r="G13" i="2"/>
  <c r="J12" i="2"/>
  <c r="I12" i="2"/>
  <c r="H12" i="2" a="1"/>
  <c r="H12" i="2" s="1"/>
  <c r="G12" i="2"/>
  <c r="J11" i="2"/>
  <c r="I11" i="2"/>
  <c r="H11" i="2" a="1"/>
  <c r="H11" i="2" s="1"/>
  <c r="G11" i="2"/>
  <c r="J10" i="2"/>
  <c r="I10" i="2"/>
  <c r="H10" i="2" a="1"/>
  <c r="H10" i="2" s="1"/>
  <c r="G10" i="2"/>
  <c r="J9" i="2"/>
  <c r="I9" i="2"/>
  <c r="H9" i="2" a="1"/>
  <c r="H9" i="2" s="1"/>
  <c r="G9" i="2"/>
  <c r="J8" i="2"/>
  <c r="I8" i="2"/>
  <c r="H8" i="2" a="1"/>
  <c r="H8" i="2" s="1"/>
  <c r="G8" i="2"/>
  <c r="J7" i="2"/>
  <c r="I7" i="2"/>
  <c r="H7" i="2" a="1"/>
  <c r="H7" i="2" s="1"/>
  <c r="G7" i="2"/>
  <c r="J6" i="2"/>
  <c r="I6" i="2"/>
  <c r="H6" i="2" a="1"/>
  <c r="H6" i="2" s="1"/>
  <c r="G6" i="2"/>
  <c r="J5" i="2"/>
  <c r="I5" i="2"/>
  <c r="H5" i="2" a="1"/>
  <c r="H5" i="2" s="1"/>
  <c r="G5" i="2"/>
  <c r="J4" i="2"/>
  <c r="I4" i="2"/>
  <c r="H4" i="2" a="1"/>
  <c r="H4" i="2" s="1"/>
  <c r="G4" i="2"/>
  <c r="J3" i="2"/>
  <c r="J27" i="2" s="1"/>
  <c r="I3" i="2"/>
  <c r="H3" i="2" a="1"/>
  <c r="H3" i="2" s="1"/>
  <c r="G3" i="2"/>
  <c r="AA28" i="1" l="1"/>
  <c r="AA1" i="1"/>
  <c r="J26" i="1"/>
  <c r="I26" i="1"/>
  <c r="H26" i="1" a="1"/>
  <c r="H26" i="1" s="1"/>
  <c r="G26" i="1"/>
  <c r="J25" i="1"/>
  <c r="I25" i="1"/>
  <c r="H25" i="1" a="1"/>
  <c r="H25" i="1" s="1"/>
  <c r="G25" i="1"/>
  <c r="J24" i="1"/>
  <c r="I24" i="1"/>
  <c r="H24" i="1" a="1"/>
  <c r="H24" i="1" s="1"/>
  <c r="G24" i="1"/>
  <c r="J23" i="1"/>
  <c r="I23" i="1"/>
  <c r="H23" i="1" a="1"/>
  <c r="H23" i="1" s="1"/>
  <c r="G23" i="1"/>
  <c r="J22" i="1"/>
  <c r="I22" i="1"/>
  <c r="H22" i="1"/>
  <c r="H22" i="1" a="1"/>
  <c r="G22" i="1"/>
  <c r="J21" i="1"/>
  <c r="I21" i="1"/>
  <c r="H21" i="1" a="1"/>
  <c r="H21" i="1" s="1"/>
  <c r="G21" i="1"/>
  <c r="J20" i="1"/>
  <c r="I20" i="1"/>
  <c r="H20" i="1" a="1"/>
  <c r="H20" i="1" s="1"/>
  <c r="G20" i="1"/>
  <c r="J19" i="1"/>
  <c r="I19" i="1"/>
  <c r="H19" i="1" a="1"/>
  <c r="H19" i="1" s="1"/>
  <c r="G19" i="1"/>
  <c r="J18" i="1"/>
  <c r="I18" i="1"/>
  <c r="H18" i="1" a="1"/>
  <c r="H18" i="1" s="1"/>
  <c r="G18" i="1"/>
  <c r="J17" i="1"/>
  <c r="I17" i="1"/>
  <c r="H17" i="1" a="1"/>
  <c r="H17" i="1" s="1"/>
  <c r="G17" i="1"/>
  <c r="J16" i="1"/>
  <c r="I16" i="1"/>
  <c r="H16" i="1" a="1"/>
  <c r="H16" i="1" s="1"/>
  <c r="G16" i="1"/>
  <c r="J15" i="1"/>
  <c r="I15" i="1"/>
  <c r="H15" i="1" a="1"/>
  <c r="H15" i="1" s="1"/>
  <c r="G15" i="1"/>
  <c r="J14" i="1"/>
  <c r="I14" i="1"/>
  <c r="H14" i="1" a="1"/>
  <c r="H14" i="1" s="1"/>
  <c r="G14" i="1"/>
  <c r="J13" i="1"/>
  <c r="I13" i="1"/>
  <c r="H13" i="1" a="1"/>
  <c r="H13" i="1" s="1"/>
  <c r="G13" i="1"/>
  <c r="J12" i="1"/>
  <c r="I12" i="1"/>
  <c r="H12" i="1" a="1"/>
  <c r="H12" i="1" s="1"/>
  <c r="G12" i="1"/>
  <c r="J11" i="1"/>
  <c r="I11" i="1"/>
  <c r="H11" i="1" a="1"/>
  <c r="H11" i="1" s="1"/>
  <c r="G11" i="1"/>
  <c r="J10" i="1"/>
  <c r="I10" i="1"/>
  <c r="H10" i="1" a="1"/>
  <c r="H10" i="1" s="1"/>
  <c r="G10" i="1"/>
  <c r="J9" i="1"/>
  <c r="I9" i="1"/>
  <c r="H9" i="1" a="1"/>
  <c r="H9" i="1" s="1"/>
  <c r="G9" i="1"/>
  <c r="J8" i="1"/>
  <c r="I8" i="1"/>
  <c r="H8" i="1" a="1"/>
  <c r="H8" i="1" s="1"/>
  <c r="G8" i="1"/>
  <c r="J7" i="1"/>
  <c r="I7" i="1"/>
  <c r="H7" i="1" a="1"/>
  <c r="H7" i="1" s="1"/>
  <c r="G7" i="1"/>
  <c r="J6" i="1"/>
  <c r="I6" i="1"/>
  <c r="H6" i="1"/>
  <c r="H6" i="1" a="1"/>
  <c r="G6" i="1"/>
  <c r="J5" i="1"/>
  <c r="I5" i="1"/>
  <c r="H5" i="1" a="1"/>
  <c r="H5" i="1" s="1"/>
  <c r="G5" i="1"/>
  <c r="J4" i="1"/>
  <c r="I4" i="1"/>
  <c r="H4" i="1" a="1"/>
  <c r="H4" i="1" s="1"/>
  <c r="G4" i="1"/>
  <c r="J3" i="1"/>
  <c r="I3" i="1"/>
  <c r="H3" i="1" a="1"/>
  <c r="H3" i="1" s="1"/>
  <c r="G3" i="1"/>
  <c r="J53" i="1"/>
  <c r="I53" i="1"/>
  <c r="H53" i="1" a="1"/>
  <c r="H53" i="1" s="1"/>
  <c r="G53" i="1"/>
  <c r="J52" i="1"/>
  <c r="I52" i="1"/>
  <c r="H52" i="1" a="1"/>
  <c r="H52" i="1" s="1"/>
  <c r="G52" i="1"/>
  <c r="J51" i="1"/>
  <c r="I51" i="1"/>
  <c r="H51" i="1" a="1"/>
  <c r="H51" i="1" s="1"/>
  <c r="G51" i="1"/>
  <c r="J50" i="1"/>
  <c r="I50" i="1"/>
  <c r="H50" i="1" a="1"/>
  <c r="H50" i="1" s="1"/>
  <c r="G50" i="1"/>
  <c r="J49" i="1"/>
  <c r="I49" i="1"/>
  <c r="H49" i="1" a="1"/>
  <c r="H49" i="1" s="1"/>
  <c r="G49" i="1"/>
  <c r="J48" i="1"/>
  <c r="I48" i="1"/>
  <c r="H48" i="1" a="1"/>
  <c r="H48" i="1" s="1"/>
  <c r="G48" i="1"/>
  <c r="J47" i="1"/>
  <c r="I47" i="1"/>
  <c r="H47" i="1" a="1"/>
  <c r="H47" i="1" s="1"/>
  <c r="G47" i="1"/>
  <c r="J46" i="1"/>
  <c r="I46" i="1"/>
  <c r="H46" i="1" a="1"/>
  <c r="H46" i="1" s="1"/>
  <c r="G46" i="1"/>
  <c r="J45" i="1"/>
  <c r="I45" i="1"/>
  <c r="H45" i="1" a="1"/>
  <c r="H45" i="1" s="1"/>
  <c r="G45" i="1"/>
  <c r="J44" i="1"/>
  <c r="I44" i="1"/>
  <c r="H44" i="1" a="1"/>
  <c r="H44" i="1" s="1"/>
  <c r="G44" i="1"/>
  <c r="J43" i="1"/>
  <c r="I43" i="1"/>
  <c r="H43" i="1" a="1"/>
  <c r="H43" i="1" s="1"/>
  <c r="G43" i="1"/>
  <c r="J42" i="1"/>
  <c r="I42" i="1"/>
  <c r="H42" i="1" a="1"/>
  <c r="H42" i="1" s="1"/>
  <c r="G42" i="1"/>
  <c r="J41" i="1"/>
  <c r="I41" i="1"/>
  <c r="H41" i="1" a="1"/>
  <c r="H41" i="1" s="1"/>
  <c r="G41" i="1"/>
  <c r="J40" i="1"/>
  <c r="I40" i="1"/>
  <c r="H40" i="1" a="1"/>
  <c r="H40" i="1" s="1"/>
  <c r="G40" i="1"/>
  <c r="J39" i="1"/>
  <c r="I39" i="1"/>
  <c r="H39" i="1" a="1"/>
  <c r="H39" i="1" s="1"/>
  <c r="G39" i="1"/>
  <c r="J38" i="1"/>
  <c r="I38" i="1"/>
  <c r="H38" i="1" a="1"/>
  <c r="H38" i="1" s="1"/>
  <c r="G38" i="1"/>
  <c r="J37" i="1"/>
  <c r="I37" i="1"/>
  <c r="H37" i="1" a="1"/>
  <c r="H37" i="1" s="1"/>
  <c r="G37" i="1"/>
  <c r="J36" i="1"/>
  <c r="I36" i="1"/>
  <c r="H36" i="1" a="1"/>
  <c r="H36" i="1" s="1"/>
  <c r="G36" i="1"/>
  <c r="J35" i="1"/>
  <c r="I35" i="1"/>
  <c r="H35" i="1" a="1"/>
  <c r="H35" i="1" s="1"/>
  <c r="G35" i="1"/>
  <c r="J34" i="1"/>
  <c r="I34" i="1"/>
  <c r="H34" i="1" a="1"/>
  <c r="H34" i="1" s="1"/>
  <c r="G34" i="1"/>
  <c r="J33" i="1"/>
  <c r="I33" i="1"/>
  <c r="H33" i="1" a="1"/>
  <c r="H33" i="1" s="1"/>
  <c r="G33" i="1"/>
  <c r="J32" i="1"/>
  <c r="I32" i="1"/>
  <c r="H32" i="1" a="1"/>
  <c r="H32" i="1" s="1"/>
  <c r="G32" i="1"/>
  <c r="J31" i="1"/>
  <c r="I31" i="1"/>
  <c r="H31" i="1" a="1"/>
  <c r="H31" i="1" s="1"/>
  <c r="G31" i="1"/>
  <c r="J30" i="1"/>
  <c r="I30" i="1"/>
  <c r="H30" i="1" a="1"/>
  <c r="H30" i="1" s="1"/>
  <c r="G3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tc={30759080-8DC8-4171-9056-01130C357260}</author>
    <author>tc={056DF5FC-7971-4A5F-8CE2-EE332169E1A7}</author>
  </authors>
  <commentList>
    <comment ref="K2" authorId="0" shapeId="0" xr:uid="{30759080-8DC8-4171-9056-01130C35726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Début 4h30</t>
      </text>
    </comment>
    <comment ref="K29" authorId="1" shapeId="0" xr:uid="{056DF5FC-7971-4A5F-8CE2-EE332169E1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Début 4h30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tc={C3EEB54D-9D57-476E-99FA-C7E321D05432}</author>
  </authors>
  <commentList>
    <comment ref="K2" authorId="0" shapeId="0" xr:uid="{C3EEB54D-9D57-476E-99FA-C7E321D0543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Début 4h30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<sst xmlns="http://schemas.openxmlformats.org/spreadsheetml/2006/main" count="269" uniqueCount="97">
  <si>
    <t>Secteur</t>
  </si>
  <si>
    <t>MAGASINS</t>
  </si>
  <si>
    <t>Camion</t>
  </si>
  <si>
    <t>Volume</t>
  </si>
  <si>
    <t>prio</t>
  </si>
  <si>
    <t>Realise</t>
  </si>
  <si>
    <t>solde</t>
  </si>
  <si>
    <t>total</t>
  </si>
  <si>
    <t>%</t>
  </si>
  <si>
    <t>nombre</t>
  </si>
  <si>
    <t>04h30</t>
  </si>
  <si>
    <t>05h30</t>
  </si>
  <si>
    <t>06h30</t>
  </si>
  <si>
    <t>07h30</t>
  </si>
  <si>
    <t>08h30</t>
  </si>
  <si>
    <t>09h30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</si>
  <si>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</si>
  <si>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</si>
  <si>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</si>
  <si>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</si>
  <si>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</si>
  <si>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</si>
  <si>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</si>
  <si>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</si>
  <si>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</si>
  <si>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19h30</t>
  </si>
  <si>
    <t>919(10)</t>
  </si>
  <si>
    <t>715(10)</t>
  </si>
  <si>
    <t>379(9)</t>
  </si>
  <si>
    <t>609(11)</t>
  </si>
  <si>
    <t>609(10)</t>
  </si>
  <si>
    <t>277(23)</t>
  </si>
  <si>
    <t>361(7)</t>
  </si>
  <si>
    <t>361(8)</t>
  </si>
  <si>
    <t>361(23)</t>
  </si>
  <si>
    <t>361(16)</t>
  </si>
  <si>
    <t>379(13)</t>
  </si>
  <si>
    <t>277(3)</t>
  </si>
  <si>
    <t>379(2)</t>
  </si>
  <si>
    <t>379(23)</t>
  </si>
  <si>
    <t>379(6)</t>
  </si>
  <si>
    <t>609(1)</t>
  </si>
  <si>
    <t>609(12)</t>
  </si>
  <si>
    <t>609(2)</t>
  </si>
  <si>
    <t>361(2)</t>
  </si>
  <si>
    <t>379(12)</t>
  </si>
  <si>
    <t>361(13)</t>
  </si>
  <si>
    <t>715(17)</t>
  </si>
  <si>
    <t>715(9)</t>
  </si>
  <si>
    <t>919(21)</t>
  </si>
  <si>
    <t>919(3)</t>
  </si>
  <si>
    <t>379(21)</t>
  </si>
  <si>
    <t>919(16)</t>
  </si>
  <si>
    <t>715(2)</t>
  </si>
  <si>
    <t>919(2)</t>
  </si>
  <si>
    <t>361(15)</t>
  </si>
  <si>
    <t>361(6)</t>
  </si>
  <si>
    <t>379(8)</t>
  </si>
  <si>
    <t>379(3)</t>
  </si>
  <si>
    <t>379(10)</t>
  </si>
  <si>
    <t>379(20)</t>
  </si>
  <si>
    <t>277(18)</t>
  </si>
  <si>
    <t>379 (23)</t>
  </si>
  <si>
    <t>277(2)</t>
  </si>
  <si>
    <t>919(18)</t>
  </si>
  <si>
    <t>715(13)</t>
  </si>
  <si>
    <t>715(14)</t>
  </si>
  <si>
    <t>609(4)</t>
  </si>
  <si>
    <t>361(12)</t>
  </si>
  <si>
    <t>609(8)</t>
  </si>
  <si>
    <t>609(3)</t>
  </si>
  <si>
    <t>361(3)</t>
  </si>
  <si>
    <t>609(6)</t>
  </si>
  <si>
    <t>919(15)</t>
  </si>
  <si>
    <t>379(16)</t>
  </si>
  <si>
    <t>715(1)</t>
  </si>
  <si>
    <t>379(7)</t>
  </si>
  <si>
    <t>277(20)</t>
  </si>
  <si>
    <t>361(18)</t>
  </si>
  <si>
    <t>6 tours imcomplet</t>
  </si>
  <si>
    <t>7 tours imcomplet</t>
  </si>
  <si>
    <t>index</t>
  </si>
  <si>
    <t>277(8)</t>
  </si>
  <si>
    <t>919(17)</t>
  </si>
  <si>
    <t>919(1)</t>
  </si>
  <si>
    <t>277(15)</t>
  </si>
  <si>
    <t>919(13)</t>
  </si>
  <si>
    <t>361(21)</t>
  </si>
  <si>
    <t>277(16)</t>
  </si>
  <si>
    <t>715(3)</t>
  </si>
  <si>
    <t>919(14)</t>
  </si>
  <si>
    <t>5 camions non optimisés</t>
  </si>
  <si>
    <t>avec groupage</t>
  </si>
  <si>
    <t>31 tours sans ajouter les groupages</t>
  </si>
  <si>
    <t xml:space="preserve"> tours sans ajouter les groupages</t>
  </si>
  <si>
    <t>idem l'exploitation risque de gerber 2 pal dans le meme secteur</t>
  </si>
  <si>
    <t>le derniere palette a 13h30 je pense qu'il la gerberons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</si>
</sst>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Camion &quot;0&quot; P&quot;"/>
    <numFmt numFmtId="165" formatCode="0;\-0;"/>
    <numFmt numFmtId="166" formatCode="0;\-0;0;"/>
  </numFmts>
  <fonts count="10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name val="Calibri"/>
      <family val="2"/>
    </font>
    <font>
      <b/>
      <sz val="10"/>
      <color rgb="FFFF0000"/>
      <name val="Calibri"/>
      <family val="2"/>
    </font>
    <font>
      <b/>
      <sz val="10"/>
      <color theme="0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sz val="8"/>
      <name val="Aptos Narrow"/>
      <family val="2"/>
      <scheme val="minor"/>
    </font>
    <font>
      <sz val="9"/>
      <color indexed="81"/>
      <name val="Tahoma"/>
      <family val="2"/>
    </font>
    <font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auto="1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thick">
        <color auto="1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auto="1"/>
      </left>
      <right style="thin">
        <color indexed="64"/>
      </right>
      <top style="thick">
        <color indexed="64"/>
      </top>
      <bottom/>
      <diagonal/>
    </border>
    <border>
      <left style="thin">
        <color auto="1"/>
      </left>
      <right style="thick">
        <color auto="1"/>
      </right>
      <top style="thick">
        <color indexed="64"/>
      </top>
      <bottom/>
      <diagonal/>
    </border>
    <border>
      <left style="thin">
        <color auto="1"/>
      </left>
      <right/>
      <top style="thick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164" fontId="2" fillId="0" borderId="1" xfId="0" applyNumberFormat="1" applyFont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164" fontId="2" fillId="0" borderId="0" xfId="0" applyNumberFormat="1" applyFont="1" applyAlignment="1">
      <alignment horizontal="center" vertical="center" shrinkToFit="1"/>
    </xf>
    <xf numFmtId="164" fontId="2" fillId="0" borderId="2" xfId="0" applyNumberFormat="1" applyFont="1" applyBorder="1" applyAlignment="1">
      <alignment horizontal="center" vertical="center" shrinkToFit="1"/>
    </xf>
    <xf numFmtId="164" fontId="3" fillId="2" borderId="3" xfId="0" applyNumberFormat="1" applyFont="1" applyFill="1" applyBorder="1" applyAlignment="1">
      <alignment horizontal="center" vertical="center" shrinkToFit="1"/>
    </xf>
    <xf numFmtId="164" fontId="2" fillId="0" borderId="4" xfId="0" applyNumberFormat="1" applyFont="1" applyBorder="1" applyAlignment="1">
      <alignment horizontal="center" vertical="center" shrinkToFit="1"/>
    </xf>
    <xf numFmtId="164" fontId="4" fillId="0" borderId="4" xfId="0" applyNumberFormat="1" applyFont="1" applyBorder="1" applyAlignment="1">
      <alignment horizontal="center" vertical="center" shrinkToFit="1"/>
    </xf>
    <xf numFmtId="164" fontId="4" fillId="0" borderId="5" xfId="0" applyNumberFormat="1" applyFont="1" applyBorder="1" applyAlignment="1">
      <alignment horizontal="center" vertical="center" shrinkToFit="1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165" fontId="5" fillId="0" borderId="7" xfId="0" applyNumberFormat="1" applyFont="1" applyBorder="1" applyAlignment="1">
      <alignment horizontal="center" vertical="center"/>
    </xf>
    <xf numFmtId="1" fontId="5" fillId="0" borderId="8" xfId="0" applyNumberFormat="1" applyFont="1" applyBorder="1" applyAlignment="1">
      <alignment horizontal="center" vertical="center"/>
    </xf>
    <xf numFmtId="10" fontId="5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" fontId="5" fillId="2" borderId="7" xfId="0" applyNumberFormat="1" applyFont="1" applyFill="1" applyBorder="1" applyAlignment="1">
      <alignment horizontal="center" vertical="center"/>
    </xf>
    <xf numFmtId="1" fontId="5" fillId="0" borderId="7" xfId="0" applyNumberFormat="1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5" fillId="0" borderId="13" xfId="0" applyNumberFormat="1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1" fontId="5" fillId="0" borderId="13" xfId="0" applyNumberFormat="1" applyFont="1" applyFill="1" applyBorder="1" applyAlignment="1" applyProtection="1">
      <alignment horizontal="center" vertical="center"/>
    </xf>
    <xf numFmtId="1" fontId="5" fillId="0" borderId="13" xfId="0" applyNumberFormat="1" applyFont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/>
    </xf>
    <xf numFmtId="1" fontId="5" fillId="0" borderId="14" xfId="0" applyNumberFormat="1" applyFont="1" applyBorder="1" applyAlignment="1">
      <alignment horizontal="center" vertical="center"/>
    </xf>
    <xf numFmtId="10" fontId="5" fillId="0" borderId="14" xfId="0" applyNumberFormat="1" applyFont="1" applyBorder="1" applyAlignment="1">
      <alignment horizontal="center" vertical="center"/>
    </xf>
    <xf numFmtId="0" fontId="5" fillId="0" borderId="15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6" xfId="0" applyFont="1" applyBorder="1" applyAlignment="1">
      <alignment horizontal="center" vertical="center"/>
    </xf>
  </cellXfs>
  <cellStyles count="1">
    <cellStyle name="Normal" xfId="0" builtinId="0"/>
  </cellStyles>
  <dxfs count="26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0;\-0;"/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indexed="64"/>
        </right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0;\-0;"/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top style="thick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top style="thick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right/>
        <top style="thick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auto="1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0;\-0;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auto="1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0;\-0;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border>
        <bottom/>
        <vertical/>
        <horizontal/>
      </border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top style="thick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top style="thick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right/>
        <top style="thick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auto="1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0;\-0;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auto="1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ck">
          <color indexed="64"/>
        </top>
        <bottom style="thick">
          <color indexed="64"/>
        </bottom>
        <vertical/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5" formatCode="0;\-0;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top style="thick">
          <color indexed="64"/>
        </top>
        <bottom style="thick">
          <color indexed="64"/>
        </bottom>
        <horizontal style="thick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&quot;Camion &quot;0&quot; P&quot;"/>
      <fill>
        <patternFill patternType="none"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microsoft.com/office/2017/10/relationships/person" Target="persons/person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Downloads/test-v12-v3-4.xlsb" TargetMode="External"/><Relationship Id="rId2" Type="http://schemas.openxmlformats.org/officeDocument/2006/relationships/externalLinkPath" Target="file:///C:\Users\kanak\Downloads\test-v12-v3-4.xlsb" TargetMode="External"/><Relationship Id="rId1" Type="http://schemas.openxmlformats.org/officeDocument/2006/relationships/externalLinkPath" Target="/Users/kanak/Downloads/test-v12-v3-4.xlsb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anak\Desktop\test-v12-v3-5.xlsb" TargetMode="External"/><Relationship Id="rId1" Type="http://schemas.openxmlformats.org/officeDocument/2006/relationships/externalLinkPath" Target="test-v12-v3-5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Donnees"/>
      <sheetName val="Volume magasins"/>
      <sheetName val="Brouillon"/>
    </sheetNames>
    <sheetDataSet>
      <sheetData sheetId="0"/>
      <sheetData sheetId="1">
        <row r="32">
          <cell r="A32">
            <v>0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ees"/>
      <sheetName val="Volume magasins"/>
      <sheetName val="Brouillon"/>
    </sheetNames>
    <sheetDataSet>
      <sheetData sheetId="0"/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Emmanuel MARYTHIME" id="{70642BD0-8312-49D7-B3F3-3F9B50152B69}" userId="S::emmanuelm@groupecreo.com::8ae1beb9-1646-4460-9e64-f87fc530e0d7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F85F19-0A27-498E-9A36-13035CB9BF79}" name="Tabel43" displayName="Tabel43" ref="A29:Z53" totalsRowShown="0" headerRowDxfId="259" dataDxfId="258" tableBorderDxfId="257">
  <tableColumns count="26">
    <tableColumn id="7" xr3:uid="{CCEA7C2E-3ECA-4D22-A1F8-5A82563C18F6}" name="Secteur" dataDxfId="256"/>
    <tableColumn id="1" xr3:uid="{160D0D47-F4B1-4424-B878-263C0F229245}" name="MAGASINS" dataDxfId="255"/>
    <tableColumn id="2" xr3:uid="{383FBF27-45EB-4408-8F4D-E7901FDDC4F9}" name="Camion" dataDxfId="204"/>
    <tableColumn id="3" xr3:uid="{8397A63A-EB6D-44EA-BED8-C842D2C9677A}" name="Volume" dataDxfId="202"/>
    <tableColumn id="31" xr3:uid="{5C82BFE8-9252-4271-8304-1249F7BBDA72}" name="prio" dataDxfId="203"/>
    <tableColumn id="10" xr3:uid="{96155C6E-A0C8-4370-9505-D078736F4097}" name="Realise" dataDxfId="254"/>
    <tableColumn id="11" xr3:uid="{56E43F76-D089-4B79-B074-B79C8FA0704F}" name="solde" dataDxfId="253">
      <calculatedColumnFormula>IFERROR(IF(Tabel43[[#This Row],[MAGASINS]]=0,0,TRUNC(+Tabel43[[#This Row],[Volume]]-Tabel43[[#This Row],[Realise]])),0)</calculatedColumnFormula>
    </tableColumn>
    <tableColumn id="5" xr3:uid="{82541B44-7B9E-4B02-A550-6276027EAF98}" name="total" dataDxfId="252">
      <calculatedColumnFormula array="1">SUM(IFERROR(VLOOKUP(Tabel43[[#This Row],[04h30]:[19h30]],[1]!Tabel1[[camion]:[Cap]],2,0),0))</calculatedColumnFormula>
    </tableColumn>
    <tableColumn id="8" xr3:uid="{9F1E3F22-FEC1-4596-8FCB-2D7DF75F38B4}" name="%" dataDxfId="251">
      <calculatedColumnFormula>IFERROR(+Tabel43[[#This Row],[Realise]]/Tabel43[[#This Row],[Volume]],"-")</calculatedColumnFormula>
    </tableColumn>
    <tableColumn id="9" xr3:uid="{83ECD8A1-4AA6-4B1B-ADA9-0BC8A3DEDAA7}" name="nombre" dataDxfId="250">
      <calculatedColumnFormula>COUNTA(Tabel43[[#This Row],[04h30]:[19h30]])</calculatedColumnFormula>
    </tableColumn>
    <tableColumn id="17" xr3:uid="{6FD87DF9-CC46-43BB-8B2B-C1FA41C52C29}" name="04h30" dataDxfId="249"/>
    <tableColumn id="18" xr3:uid="{3753464D-5BA0-42BA-928E-03178730FE87}" name="05h30" dataDxfId="248"/>
    <tableColumn id="19" xr3:uid="{0FD54698-F6AA-43C8-BB97-D2E93DF6B503}" name="06h30" dataDxfId="247"/>
    <tableColumn id="20" xr3:uid="{4BF64AF3-C1D7-4CD3-A87E-167BCED1AA75}" name="07h30" dataDxfId="246"/>
    <tableColumn id="21" xr3:uid="{CA3D6783-225A-404F-B1B1-14201AEFBFD5}" name="08h30" dataDxfId="245"/>
    <tableColumn id="22" xr3:uid="{2E367220-4949-4D04-931A-696261BE7F6F}" name="09h30" dataDxfId="244"/>
    <tableColumn id="23" xr3:uid="{DDA189B7-F763-4D32-8D94-EF4F6706428D}" name="10h30" dataDxfId="243"/>
    <tableColumn id="24" xr3:uid="{5A1DD9D8-AE03-4D23-A180-658875FF1E90}" name="11h30" dataDxfId="242"/>
    <tableColumn id="25" xr3:uid="{9A9B1229-BDC0-47FB-A86E-C70F694F9EE9}" name="12h30" dataDxfId="241"/>
    <tableColumn id="26" xr3:uid="{434BDD20-97DD-41A3-AB65-433B96F40CD5}" name="13h30" dataDxfId="240"/>
    <tableColumn id="27" xr3:uid="{2F332CC4-CCD6-4313-AB9A-E7934A9E66A9}" name="14h30" dataDxfId="239"/>
    <tableColumn id="28" xr3:uid="{0253EB43-AC19-48D4-B23D-39FC63A7081D}" name="15h30" dataDxfId="238"/>
    <tableColumn id="29" xr3:uid="{599D36DA-6D0F-4397-A597-A74A26EF2BAA}" name="16h30" dataDxfId="237"/>
    <tableColumn id="30" xr3:uid="{6356F1F2-5AE3-46FA-B01F-66B99C26DF1F}" name="17h30" dataDxfId="236"/>
    <tableColumn id="6" xr3:uid="{019A0D6A-FDE0-4371-AEAC-AD8EEDC1551A}" name="18h30" dataDxfId="235"/>
    <tableColumn id="4" xr3:uid="{FE81577E-99C7-4954-B1D3-E37A6B4FF08C}" name="19h30" dataDxfId="2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2A6B1E-D5E3-47CE-B883-BC4090F1B607}" name="Tabel4" displayName="Tabel4" ref="A2:Z26" totalsRowShown="0" headerRowDxfId="233" dataDxfId="232" tableBorderDxfId="231">
  <tableColumns count="26">
    <tableColumn id="7" xr3:uid="{9B0330C4-B1D3-47E1-8B8D-1E064AE62F34}" name="Secteur" dataDxfId="230"/>
    <tableColumn id="1" xr3:uid="{A2B88783-59FE-432B-9C81-CEE3322FFB99}" name="MAGASINS" dataDxfId="229"/>
    <tableColumn id="2" xr3:uid="{6745050A-DEE9-4B01-B7C6-403CFC99B1DC}" name="Camion" dataDxfId="228"/>
    <tableColumn id="3" xr3:uid="{C3CCEB8A-0B41-4FB9-BFF9-259A532D6375}" name="Volume" dataDxfId="227"/>
    <tableColumn id="31" xr3:uid="{B23FB5BB-BAFF-458E-9817-5A42F32E5D38}" name="prio" dataDxfId="226"/>
    <tableColumn id="10" xr3:uid="{9B5E41B4-EB61-41EA-819B-49032C19188B}" name="Realise" dataDxfId="225"/>
    <tableColumn id="11" xr3:uid="{4177DE59-67AB-40D7-9945-BA75328A90D4}" name="solde" dataDxfId="224">
      <calculatedColumnFormula>IFERROR(IF(Tabel4[[#This Row],[MAGASINS]]=0,0,TRUNC(+Tabel4[[#This Row],[Volume]]-Tabel4[[#This Row],[Realise]])),0)</calculatedColumnFormula>
    </tableColumn>
    <tableColumn id="5" xr3:uid="{E628B012-1537-4569-AE8E-A89A18D247B7}" name="total" dataDxfId="223">
      <calculatedColumnFormula array="1">SUM(IFERROR(VLOOKUP(Tabel4[[#This Row],[04h30]:[19h30]],[1]!Tabel1[[camion]:[Cap]],2,0),0))</calculatedColumnFormula>
    </tableColumn>
    <tableColumn id="8" xr3:uid="{2116247B-11B3-4A66-9C81-BB61D3684959}" name="%" dataDxfId="222">
      <calculatedColumnFormula>IFERROR(+Tabel4[[#This Row],[Realise]]/Tabel4[[#This Row],[Volume]],"-")</calculatedColumnFormula>
    </tableColumn>
    <tableColumn id="9" xr3:uid="{25B74F63-0CF3-46C2-8BD0-B07F5D58B774}" name="nombre" dataDxfId="221">
      <calculatedColumnFormula>COUNTA(Tabel4[[#This Row],[04h30]:[19h30]])</calculatedColumnFormula>
    </tableColumn>
    <tableColumn id="17" xr3:uid="{1B4917CF-F33D-4997-9BA2-CACCA74D4122}" name="04h30" dataDxfId="220"/>
    <tableColumn id="18" xr3:uid="{40074AB5-B548-4031-99F8-AE2DA4BE8AB2}" name="05h30" dataDxfId="219"/>
    <tableColumn id="19" xr3:uid="{19CAB5B5-5146-480F-9295-303C6CB956D5}" name="06h30" dataDxfId="218"/>
    <tableColumn id="20" xr3:uid="{6726AB61-612E-40DF-874F-90D05743E1B8}" name="07h30" dataDxfId="217"/>
    <tableColumn id="21" xr3:uid="{164267E1-7A30-4740-89C7-BC4AFBD1FCC7}" name="08h30" dataDxfId="216"/>
    <tableColumn id="22" xr3:uid="{748F496F-DF48-47B8-96A0-86054F9E6172}" name="09h30" dataDxfId="215"/>
    <tableColumn id="23" xr3:uid="{A6E7F199-BFB0-4BC3-A8DA-344177FDE302}" name="10h30" dataDxfId="214"/>
    <tableColumn id="24" xr3:uid="{9EAC34D8-C315-4E2A-85E0-8BAE68291D62}" name="11h30" dataDxfId="213"/>
    <tableColumn id="25" xr3:uid="{FEE46881-842F-4892-905D-A2381F183BDC}" name="12h30" dataDxfId="212"/>
    <tableColumn id="26" xr3:uid="{F1D7CD4A-7177-47C1-B025-B77DA2B43403}" name="13h30" dataDxfId="211"/>
    <tableColumn id="27" xr3:uid="{8E2D9128-6B05-402A-99C1-E30FC644F69D}" name="14h30" dataDxfId="210"/>
    <tableColumn id="28" xr3:uid="{0ABBAE0D-F144-4DF3-9118-B2B25B637687}" name="15h30" dataDxfId="209"/>
    <tableColumn id="29" xr3:uid="{DDB3BF35-87F7-40AB-AC0E-B45B95710BE2}" name="16h30" dataDxfId="208"/>
    <tableColumn id="30" xr3:uid="{F4470072-A9B5-45E7-8109-D5CCA3CA36BF}" name="17h30" dataDxfId="207"/>
    <tableColumn id="6" xr3:uid="{028832A4-D020-405D-AFB4-D4720D516207}" name="18h30" dataDxfId="206"/>
    <tableColumn id="4" xr3:uid="{CD050036-4D9A-4D5B-9AE1-7205E3C68D99}" name="19h30" dataDxfId="20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AFED2A-CACC-44C1-BD3F-4B5BE4FCFFC1}" name="Tabel45" displayName="Tabel45" ref="A2:Z27" totalsRowCount="1" headerRowDxfId="83" dataDxfId="82" tableBorderDxfId="81">
  <sortState xmlns:xlrd2="http://schemas.microsoft.com/office/spreadsheetml/2017/richdata2" ref="A3:Z26">
    <sortCondition ref="A35:A58"/>
    <sortCondition ref="B35:B58"/>
  </sortState>
  <tableColumns count="26">
    <tableColumn id="7" xr3:uid="{91696AC3-B617-490D-9CFC-FC7A47D502E4}" name="Secteur" dataDxfId="80" totalsRowDxfId="25"/>
    <tableColumn id="1" xr3:uid="{4BFC88E0-58AA-48EE-A0C3-B0F9AB89591D}" name="MAGASINS" dataDxfId="79" totalsRowDxfId="24"/>
    <tableColumn id="2" xr3:uid="{7F1A12FF-DA6B-4679-82DE-4AD74BAAD07A}" name="index" dataDxfId="78" totalsRowDxfId="23"/>
    <tableColumn id="3" xr3:uid="{9417CEAC-CC76-464B-801C-06C6FED5CA40}" name="Volume" dataDxfId="77" totalsRowDxfId="22"/>
    <tableColumn id="31" xr3:uid="{73FFA588-193D-4FAF-B69E-E0081303CB6D}" name="prio" dataDxfId="76" totalsRowDxfId="21"/>
    <tableColumn id="10" xr3:uid="{BC29085D-C4FA-41CB-BD44-221FFF89C1D4}" name="Realise" dataDxfId="75" totalsRowDxfId="20"/>
    <tableColumn id="11" xr3:uid="{E74B48F7-9295-4BAB-8B80-FC54FD5146CF}" name="solde" dataDxfId="74" totalsRowDxfId="19">
      <calculatedColumnFormula>IFERROR(IF(Tabel45[[#This Row],[MAGASINS]]=0,0,TRUNC(+Tabel45[[#This Row],[Volume]]-Tabel45[[#This Row],[Realise]])),0)</calculatedColumnFormula>
    </tableColumn>
    <tableColumn id="5" xr3:uid="{56D72A6E-3933-4830-B259-0B624CCE24F6}" name="total" dataDxfId="73" totalsRowDxfId="18">
      <calculatedColumnFormula array="1">SUM(IFERROR(VLOOKUP(Tabel45[[#This Row],[04h30]:[19h30]],[2]!Tabel1[[camion]:[Cap]],2,0),0))</calculatedColumnFormula>
    </tableColumn>
    <tableColumn id="8" xr3:uid="{62499C3A-633F-4DC7-A1B0-50C650985709}" name="%" dataDxfId="72" totalsRowDxfId="17">
      <calculatedColumnFormula>IFERROR(+Tabel45[[#This Row],[Realise]]/Tabel45[[#This Row],[Volume]],"-")</calculatedColumnFormula>
    </tableColumn>
    <tableColumn id="9" xr3:uid="{E3E7C50B-059B-4078-BE7D-42545AEC9AA3}" name="nombre" totalsRowFunction="custom" dataDxfId="71" totalsRowDxfId="16">
      <calculatedColumnFormula>COUNTA(Tabel45[[#This Row],[04h30]:[19h30]])</calculatedColumnFormula>
      <totalsRowFormula>SUM(J3:J26)</totalsRowFormula>
    </tableColumn>
    <tableColumn id="17" xr3:uid="{92D71554-1E79-4D49-AE14-3C40EEE1AEEF}" name="04h30" dataDxfId="70" totalsRowDxfId="15"/>
    <tableColumn id="18" xr3:uid="{EB11FAFE-070C-40E3-B94E-C7B10CDE182E}" name="05h30" dataDxfId="69" totalsRowDxfId="14"/>
    <tableColumn id="19" xr3:uid="{BD7C339A-56AF-4B7A-9D5C-B77B7D9DEE21}" name="06h30" dataDxfId="68" totalsRowDxfId="13"/>
    <tableColumn id="20" xr3:uid="{96289DFD-2B2E-4DD3-81A0-152D542C7FC0}" name="07h30" dataDxfId="67" totalsRowDxfId="12"/>
    <tableColumn id="21" xr3:uid="{8A3BD4FD-E649-4D4B-BE3F-E09E2CED53FD}" name="08h30" dataDxfId="66" totalsRowDxfId="11"/>
    <tableColumn id="22" xr3:uid="{B785B048-863F-491B-BF6A-52FC2B1930D0}" name="09h30" dataDxfId="65" totalsRowDxfId="10"/>
    <tableColumn id="23" xr3:uid="{62CE052E-DA1E-4979-877B-D893374EB427}" name="10h30" dataDxfId="64" totalsRowDxfId="9"/>
    <tableColumn id="24" xr3:uid="{514E5DAB-0991-481A-A2F3-10D4F7752DC1}" name="11h30" dataDxfId="63" totalsRowDxfId="8"/>
    <tableColumn id="25" xr3:uid="{16233B9D-D1AC-4313-BFBA-C549A650E076}" name="12h30" dataDxfId="62" totalsRowDxfId="7"/>
    <tableColumn id="26" xr3:uid="{4FF3979D-BC8D-4777-A304-49766A86664B}" name="13h30" dataDxfId="61" totalsRowDxfId="6"/>
    <tableColumn id="27" xr3:uid="{9166A1EE-C364-46C2-9AB7-5AEFBA128BB9}" name="14h30" dataDxfId="60" totalsRowDxfId="5"/>
    <tableColumn id="28" xr3:uid="{75FA2000-3B02-478F-B648-494D4DD30F7F}" name="15h30" dataDxfId="59" totalsRowDxfId="4"/>
    <tableColumn id="29" xr3:uid="{DD17790E-0C01-4F61-9ADE-CFCBC1F66D81}" name="16h30" dataDxfId="58" totalsRowDxfId="3"/>
    <tableColumn id="30" xr3:uid="{C77E9768-FBFB-4A10-B6D9-3550F050F7E2}" name="17h30" dataDxfId="57" totalsRowDxfId="2"/>
    <tableColumn id="6" xr3:uid="{93C6D252-2772-4052-B49D-77A8D5B72F0F}" name="18h30" dataDxfId="56" totalsRowDxfId="1"/>
    <tableColumn id="4" xr3:uid="{1E3F79C9-BBA8-45C8-908C-E8F2B164FC2F}" name="19h30" dataDxfId="55" totalsRow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607A7B-3AF3-421C-9FF8-2EFB73B188E4}" name="Tabel46" displayName="Tabel46" ref="A29:Z54" totalsRowCount="1" headerRowDxfId="109" dataDxfId="108" tableBorderDxfId="107">
  <autoFilter ref="A29:Z53" xr:uid="{F0607A7B-3AF3-421C-9FF8-2EFB73B188E4}"/>
  <sortState xmlns:xlrd2="http://schemas.microsoft.com/office/spreadsheetml/2017/richdata2" ref="A30:Z53">
    <sortCondition ref="A35:A58"/>
    <sortCondition ref="B35:B58"/>
  </sortState>
  <tableColumns count="26">
    <tableColumn id="7" xr3:uid="{22BB5243-F3CF-4A02-A899-D8CCE72624C7}" name="Secteur" dataDxfId="106" totalsRowDxfId="51"/>
    <tableColumn id="1" xr3:uid="{78D92BE2-B3A6-4292-B82B-54CFB37C442A}" name="MAGASINS" dataDxfId="105" totalsRowDxfId="50"/>
    <tableColumn id="2" xr3:uid="{F0378EC1-A560-42D9-91A3-5D3B25ABB6D2}" name="index" dataDxfId="54" totalsRowDxfId="49"/>
    <tableColumn id="3" xr3:uid="{B65EDB7C-9D2A-4BC7-9D5D-935E43DC35D2}" name="Volume" dataDxfId="52" totalsRowDxfId="48"/>
    <tableColumn id="31" xr3:uid="{C2345AA8-26A6-4E57-926A-386F385E21E5}" name="prio" dataDxfId="53" totalsRowDxfId="47"/>
    <tableColumn id="10" xr3:uid="{11EBD20B-E9B7-4439-B2E9-6DDDE388D704}" name="Realise" dataDxfId="104" totalsRowDxfId="46"/>
    <tableColumn id="11" xr3:uid="{EEC711D2-B68E-42A6-9C14-4E22C4193984}" name="solde" dataDxfId="103" totalsRowDxfId="45">
      <calculatedColumnFormula>IFERROR(IF(Tabel46[[#This Row],[MAGASINS]]=0,0,TRUNC(+Tabel46[[#This Row],[Volume]]-Tabel46[[#This Row],[Realise]])),0)</calculatedColumnFormula>
    </tableColumn>
    <tableColumn id="5" xr3:uid="{2403E753-51E3-46F3-88D6-5B4EB209DC9A}" name="total" dataDxfId="102" totalsRowDxfId="44">
      <calculatedColumnFormula array="1">SUM(IFERROR(VLOOKUP(Tabel46[[#This Row],[04h30]:[19h30]],[2]!Tabel1[[camion]:[Cap]],2,0),0))</calculatedColumnFormula>
    </tableColumn>
    <tableColumn id="8" xr3:uid="{6B09D418-D2C6-42F7-ABCE-E5052DFE069B}" name="%" dataDxfId="101" totalsRowDxfId="43">
      <calculatedColumnFormula>IFERROR(+Tabel46[[#This Row],[Realise]]/Tabel46[[#This Row],[Volume]],"-")</calculatedColumnFormula>
    </tableColumn>
    <tableColumn id="9" xr3:uid="{04DC5BB4-136E-4ABC-BD57-5B6901DDD845}" name="nombre" totalsRowFunction="custom" dataDxfId="100" totalsRowDxfId="42">
      <calculatedColumnFormula>COUNTA(Tabel46[[#This Row],[04h30]:[19h30]])</calculatedColumnFormula>
      <totalsRowFormula>SUM(J30:J53)</totalsRowFormula>
    </tableColumn>
    <tableColumn id="17" xr3:uid="{8CD786E2-1317-4BA4-B039-8132F19F0033}" name="04h30" dataDxfId="99" totalsRowDxfId="41"/>
    <tableColumn id="18" xr3:uid="{A7D6053D-71BD-4F82-9539-E56FD36AFA00}" name="05h30" dataDxfId="98" totalsRowDxfId="40"/>
    <tableColumn id="19" xr3:uid="{AD97BD7B-D5AB-4297-BBD7-75F80630BEA9}" name="06h30" dataDxfId="97" totalsRowDxfId="39"/>
    <tableColumn id="20" xr3:uid="{5A279BB9-1A6D-45B2-BA03-9E757E881EF4}" name="07h30" dataDxfId="96" totalsRowDxfId="38"/>
    <tableColumn id="21" xr3:uid="{A83ABA3C-57B6-48DE-A90D-AC79B6254163}" name="08h30" dataDxfId="95" totalsRowDxfId="37"/>
    <tableColumn id="22" xr3:uid="{C2C74635-C492-4629-B4C0-BF4BBB53500C}" name="09h30" dataDxfId="94" totalsRowDxfId="36"/>
    <tableColumn id="23" xr3:uid="{B5F6E9CC-B639-4053-8EF0-8B260FA7B23A}" name="10h30" dataDxfId="93" totalsRowDxfId="35"/>
    <tableColumn id="24" xr3:uid="{10939425-2847-4D61-85B3-84E1320C9136}" name="11h30" dataDxfId="92" totalsRowDxfId="34"/>
    <tableColumn id="25" xr3:uid="{2C4801BA-62BD-4DFE-935C-AF1140EC5390}" name="12h30" dataDxfId="91" totalsRowDxfId="33"/>
    <tableColumn id="26" xr3:uid="{4CD83E1B-1574-4545-AE67-F406309AE7E2}" name="13h30" dataDxfId="90" totalsRowDxfId="32"/>
    <tableColumn id="27" xr3:uid="{B6D1D94D-4D11-473C-9D41-7C1B39F6EEF4}" name="14h30" dataDxfId="89" totalsRowDxfId="31"/>
    <tableColumn id="28" xr3:uid="{E73562ED-3E63-4A45-9E19-FD994984A19A}" name="15h30" dataDxfId="88" totalsRowDxfId="30"/>
    <tableColumn id="29" xr3:uid="{B1B5D91F-0E4C-4BCC-90E9-09F194E75F08}" name="16h30" dataDxfId="87" totalsRowDxfId="29"/>
    <tableColumn id="30" xr3:uid="{310B24F3-F5AB-4909-B6B3-B07F36E45A70}" name="17h30" dataDxfId="86" totalsRowDxfId="28"/>
    <tableColumn id="6" xr3:uid="{9278FBF0-6320-42F2-8A20-111BBD1ACD3F}" name="18h30" dataDxfId="85" totalsRowDxfId="27"/>
    <tableColumn id="4" xr3:uid="{3AB6A4D5-D958-4456-9412-28DEC10EB28F}" name="19h30" dataDxfId="84" totalsRow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2" dT="2026-04-27T21:28:19.97" personId="{70642BD0-8312-49D7-B3F3-3F9B50152B69}" id="{30759080-8DC8-4171-9056-01130C357260}">
    <text>Début 4h30</text>
  </threadedComment>
  <threadedComment ref="K29" dT="2026-04-27T21:28:19.97" personId="{70642BD0-8312-49D7-B3F3-3F9B50152B69}" id="{056DF5FC-7971-4A5F-8CE2-EE332169E1A7}">
    <text>Début 4h30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K2" dT="2026-04-27T21:28:19.97" personId="{70642BD0-8312-49D7-B3F3-3F9B50152B69}" id="{C3EEB54D-9D57-476E-99FA-C7E321D05432}">
    <text>Début 4h30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C24FF4-4CED-443B-8F28-0581DC3E08B5}">
  <dimension ref="A1:AB54"/>
  <sheetViews>
    <sheetView topLeftCell="A13" zoomScale="55" zoomScaleNormal="55" workbookViewId="0">
      <selection activeCell="T55" sqref="T55"/>
    </sheetView>
  </sheetViews>
  <sheetFormatPr baseColWidth="10" defaultRowHeight="14.4" x14ac:dyDescent="0.3"/>
  <cols>
    <col min="1" max="5" width="10.5546875" customWidth="1"/>
    <col min="6" max="6" width="9.44140625" bestFit="1" customWidth="1"/>
    <col min="7" max="7" width="7.33203125" bestFit="1" customWidth="1"/>
    <col min="8" max="8" width="10.5546875" customWidth="1"/>
    <col min="9" max="9" width="13.88671875" customWidth="1"/>
    <col min="10" max="10" width="10.5546875" customWidth="1"/>
    <col min="11" max="11" width="10.5546875" bestFit="1" customWidth="1"/>
    <col min="12" max="12" width="12.109375" bestFit="1" customWidth="1"/>
    <col min="13" max="13" width="10.5546875" bestFit="1" customWidth="1"/>
    <col min="14" max="14" width="11.44140625" bestFit="1" customWidth="1"/>
    <col min="15" max="15" width="10.5546875" bestFit="1" customWidth="1"/>
    <col min="16" max="16" width="11.44140625" bestFit="1" customWidth="1"/>
    <col min="17" max="17" width="10.5546875" bestFit="1" customWidth="1"/>
    <col min="18" max="18" width="11.44140625" bestFit="1" customWidth="1"/>
    <col min="19" max="19" width="7.88671875" bestFit="1" customWidth="1"/>
    <col min="20" max="20" width="11.44140625" bestFit="1" customWidth="1"/>
    <col min="21" max="21" width="7.88671875" bestFit="1" customWidth="1"/>
    <col min="22" max="22" width="11.44140625" bestFit="1" customWidth="1"/>
    <col min="23" max="23" width="7.88671875" bestFit="1" customWidth="1"/>
    <col min="24" max="24" width="11.44140625" bestFit="1" customWidth="1"/>
    <col min="25" max="25" width="7.88671875" bestFit="1" customWidth="1"/>
    <col min="26" max="26" width="11" bestFit="1" customWidth="1"/>
  </cols>
  <sheetData>
    <row r="1" spans="1:28" s="27" customFormat="1" ht="15" thickBot="1" x14ac:dyDescent="0.35">
      <c r="K1" s="27">
        <v>2</v>
      </c>
      <c r="L1" s="27">
        <v>8</v>
      </c>
      <c r="M1" s="27">
        <v>2</v>
      </c>
      <c r="N1" s="27">
        <v>6</v>
      </c>
      <c r="O1" s="27">
        <v>4</v>
      </c>
      <c r="P1" s="27">
        <v>8</v>
      </c>
      <c r="Q1" s="27">
        <v>1</v>
      </c>
      <c r="R1" s="27">
        <v>4</v>
      </c>
      <c r="T1" s="27">
        <v>3</v>
      </c>
      <c r="V1" s="27">
        <v>4</v>
      </c>
      <c r="X1" s="27">
        <v>1</v>
      </c>
      <c r="Z1" s="27">
        <v>1</v>
      </c>
      <c r="AA1" s="27">
        <f>SUM(K1:Z1)</f>
        <v>44</v>
      </c>
    </row>
    <row r="2" spans="1:28" ht="15.6" thickTop="1" thickBot="1" x14ac:dyDescent="0.3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4" t="s">
        <v>9</v>
      </c>
      <c r="K2" s="5" t="s">
        <v>10</v>
      </c>
      <c r="L2" s="6" t="s">
        <v>11</v>
      </c>
      <c r="M2" s="6" t="s">
        <v>12</v>
      </c>
      <c r="N2" s="6" t="s">
        <v>13</v>
      </c>
      <c r="O2" s="6" t="s">
        <v>14</v>
      </c>
      <c r="P2" s="6" t="s">
        <v>15</v>
      </c>
      <c r="Q2" s="6" t="s">
        <v>16</v>
      </c>
      <c r="R2" s="7" t="s">
        <v>17</v>
      </c>
      <c r="S2" s="8" t="s">
        <v>18</v>
      </c>
      <c r="T2" s="7" t="s">
        <v>19</v>
      </c>
      <c r="U2" s="7" t="s">
        <v>20</v>
      </c>
      <c r="V2" s="7" t="s">
        <v>21</v>
      </c>
      <c r="W2" s="7" t="s">
        <v>22</v>
      </c>
      <c r="X2" s="7" t="s">
        <v>23</v>
      </c>
      <c r="Y2" s="7" t="s">
        <v>24</v>
      </c>
      <c r="Z2" s="8" t="s">
        <v>25</v>
      </c>
    </row>
    <row r="3" spans="1:28" ht="16.8" thickTop="1" thickBot="1" x14ac:dyDescent="0.35">
      <c r="A3" s="9">
        <v>5</v>
      </c>
      <c r="B3" s="10">
        <v>41</v>
      </c>
      <c r="C3" s="11">
        <v>23</v>
      </c>
      <c r="D3" s="11">
        <v>10</v>
      </c>
      <c r="E3" s="11">
        <v>1</v>
      </c>
      <c r="F3" s="11">
        <v>10</v>
      </c>
      <c r="G3" s="12">
        <f>IFERROR(IF(Tabel4[[#This Row],[MAGASINS]]=0,0,TRUNC(+Tabel4[[#This Row],[Volume]]-Tabel4[[#This Row],[Realise]])),0)</f>
        <v>0</v>
      </c>
      <c r="H3" s="13" cm="1">
        <f t="array" ref="H3">SUM(IFERROR(VLOOKUP(Tabel4[[#This Row],[04h30]:[19h30]],[1]!Tabel1[[camion]:[Cap]],2,0),0))</f>
        <v>0</v>
      </c>
      <c r="I3" s="14">
        <f>IFERROR(+Tabel4[[#This Row],[Realise]]/Tabel4[[#This Row],[Volume]],"-")</f>
        <v>1</v>
      </c>
      <c r="J3" s="11">
        <f>COUNTA(Tabel4[[#This Row],[04h30]:[19h30]])</f>
        <v>1</v>
      </c>
      <c r="K3" s="15" t="s">
        <v>26</v>
      </c>
      <c r="L3" s="16"/>
      <c r="M3" s="16"/>
      <c r="N3" s="16"/>
      <c r="O3" s="16"/>
      <c r="P3" s="16"/>
      <c r="Q3" s="16"/>
      <c r="R3" s="16"/>
      <c r="S3" s="17"/>
      <c r="T3" s="18"/>
      <c r="U3" s="16"/>
      <c r="V3" s="16"/>
      <c r="W3" s="16"/>
      <c r="X3" s="16"/>
      <c r="Y3" s="19"/>
      <c r="Z3" s="17"/>
    </row>
    <row r="4" spans="1:28" ht="16.8" thickTop="1" thickBot="1" x14ac:dyDescent="0.35">
      <c r="A4" s="9">
        <v>7</v>
      </c>
      <c r="B4" s="10">
        <v>44</v>
      </c>
      <c r="C4" s="11">
        <v>23</v>
      </c>
      <c r="D4" s="11">
        <v>10</v>
      </c>
      <c r="E4" s="11">
        <v>1</v>
      </c>
      <c r="F4" s="11">
        <v>10</v>
      </c>
      <c r="G4" s="12">
        <f>IFERROR(IF(Tabel4[[#This Row],[MAGASINS]]=0,0,TRUNC(+Tabel4[[#This Row],[Volume]]-Tabel4[[#This Row],[Realise]])),0)</f>
        <v>0</v>
      </c>
      <c r="H4" s="13" cm="1">
        <f t="array" ref="H4">SUM(IFERROR(VLOOKUP(Tabel4[[#This Row],[04h30]:[19h30]],[1]!Tabel1[[camion]:[Cap]],2,0),0))</f>
        <v>0</v>
      </c>
      <c r="I4" s="14">
        <f>IFERROR(+Tabel4[[#This Row],[Realise]]/Tabel4[[#This Row],[Volume]],"-")</f>
        <v>1</v>
      </c>
      <c r="J4" s="11">
        <f>COUNTA(Tabel4[[#This Row],[04h30]:[19h30]])</f>
        <v>1</v>
      </c>
      <c r="K4" s="15" t="s">
        <v>27</v>
      </c>
      <c r="L4" s="16"/>
      <c r="M4" s="16"/>
      <c r="N4" s="16"/>
      <c r="O4" s="16"/>
      <c r="P4" s="16"/>
      <c r="Q4" s="16"/>
      <c r="R4" s="16"/>
      <c r="S4" s="17"/>
      <c r="T4" s="18"/>
      <c r="U4" s="16"/>
      <c r="V4" s="16"/>
      <c r="W4" s="16"/>
      <c r="X4" s="16"/>
      <c r="Y4" s="19"/>
      <c r="Z4" s="17"/>
    </row>
    <row r="5" spans="1:28" ht="16.8" thickTop="1" thickBot="1" x14ac:dyDescent="0.35">
      <c r="A5" s="9">
        <v>2</v>
      </c>
      <c r="B5" s="10">
        <v>10</v>
      </c>
      <c r="C5" s="11">
        <v>23</v>
      </c>
      <c r="D5" s="11">
        <v>60</v>
      </c>
      <c r="E5" s="11">
        <v>2</v>
      </c>
      <c r="F5" s="11">
        <v>60</v>
      </c>
      <c r="G5" s="12">
        <f>IFERROR(IF(Tabel4[[#This Row],[MAGASINS]]=0,0,TRUNC(+Tabel4[[#This Row],[Volume]]-Tabel4[[#This Row],[Realise]])),0)</f>
        <v>0</v>
      </c>
      <c r="H5" s="13" cm="1">
        <f t="array" ref="H5">SUM(IFERROR(VLOOKUP(Tabel4[[#This Row],[04h30]:[19h30]],[1]!Tabel1[[camion]:[Cap]],2,0),0))</f>
        <v>0</v>
      </c>
      <c r="I5" s="14">
        <f>IFERROR(+Tabel4[[#This Row],[Realise]]/Tabel4[[#This Row],[Volume]],"-")</f>
        <v>1</v>
      </c>
      <c r="J5" s="11">
        <f>COUNTA(Tabel4[[#This Row],[04h30]:[19h30]])</f>
        <v>5</v>
      </c>
      <c r="K5" s="15"/>
      <c r="L5" s="16"/>
      <c r="M5" s="16"/>
      <c r="N5" s="16" t="s">
        <v>28</v>
      </c>
      <c r="O5" s="16"/>
      <c r="P5" s="16" t="s">
        <v>29</v>
      </c>
      <c r="Q5" s="16"/>
      <c r="R5" s="16" t="s">
        <v>30</v>
      </c>
      <c r="S5" s="17"/>
      <c r="T5" s="18" t="s">
        <v>31</v>
      </c>
      <c r="U5" s="16"/>
      <c r="V5" s="21" t="s">
        <v>32</v>
      </c>
      <c r="W5" s="16"/>
      <c r="X5" s="16"/>
      <c r="Y5" s="19"/>
      <c r="Z5" s="17"/>
    </row>
    <row r="6" spans="1:28" ht="16.8" thickTop="1" thickBot="1" x14ac:dyDescent="0.35">
      <c r="A6" s="9">
        <v>1</v>
      </c>
      <c r="B6" s="10">
        <v>11</v>
      </c>
      <c r="C6" s="11">
        <v>15</v>
      </c>
      <c r="D6" s="11">
        <v>47</v>
      </c>
      <c r="E6" s="11">
        <v>2</v>
      </c>
      <c r="F6" s="11">
        <v>47</v>
      </c>
      <c r="G6" s="12">
        <f>IFERROR(IF(Tabel4[[#This Row],[MAGASINS]]=0,0,TRUNC(+Tabel4[[#This Row],[Volume]]-Tabel4[[#This Row],[Realise]])),0)</f>
        <v>0</v>
      </c>
      <c r="H6" s="13" cm="1">
        <f t="array" ref="H6">SUM(IFERROR(VLOOKUP(Tabel4[[#This Row],[04h30]:[19h30]],[1]!Tabel1[[camion]:[Cap]],2,0),0))</f>
        <v>0</v>
      </c>
      <c r="I6" s="14">
        <f>IFERROR(+Tabel4[[#This Row],[Realise]]/Tabel4[[#This Row],[Volume]],"-")</f>
        <v>1</v>
      </c>
      <c r="J6" s="11">
        <f>COUNTA(Tabel4[[#This Row],[04h30]:[19h30]])</f>
        <v>3</v>
      </c>
      <c r="K6" s="15"/>
      <c r="L6" s="16"/>
      <c r="M6" s="16"/>
      <c r="N6" s="16"/>
      <c r="O6" s="16"/>
      <c r="P6" s="16" t="s">
        <v>33</v>
      </c>
      <c r="Q6" s="16"/>
      <c r="R6" s="16" t="s">
        <v>34</v>
      </c>
      <c r="S6" s="17"/>
      <c r="T6" s="25" t="s">
        <v>35</v>
      </c>
      <c r="U6" s="16"/>
      <c r="V6" s="16"/>
      <c r="W6" s="16"/>
      <c r="X6" s="16"/>
      <c r="Y6" s="19"/>
      <c r="Z6" s="17"/>
    </row>
    <row r="7" spans="1:28" ht="16.8" thickTop="1" thickBot="1" x14ac:dyDescent="0.35">
      <c r="A7" s="9">
        <v>3</v>
      </c>
      <c r="B7" s="10">
        <v>17</v>
      </c>
      <c r="C7" s="11">
        <v>12</v>
      </c>
      <c r="D7" s="11">
        <v>39</v>
      </c>
      <c r="E7" s="11">
        <v>2</v>
      </c>
      <c r="F7" s="11">
        <v>39</v>
      </c>
      <c r="G7" s="12">
        <f>IFERROR(IF(Tabel4[[#This Row],[MAGASINS]]=0,0,TRUNC(+Tabel4[[#This Row],[Volume]]-Tabel4[[#This Row],[Realise]])),0)</f>
        <v>0</v>
      </c>
      <c r="H7" s="13" cm="1">
        <f t="array" ref="H7">SUM(IFERROR(VLOOKUP(Tabel4[[#This Row],[04h30]:[19h30]],[1]!Tabel1[[camion]:[Cap]],2,0),0))</f>
        <v>0</v>
      </c>
      <c r="I7" s="14">
        <f>IFERROR(+Tabel4[[#This Row],[Realise]]/Tabel4[[#This Row],[Volume]],"-")</f>
        <v>1</v>
      </c>
      <c r="J7" s="11">
        <f>COUNTA(Tabel4[[#This Row],[04h30]:[19h30]])</f>
        <v>3</v>
      </c>
      <c r="K7" s="15"/>
      <c r="L7" s="16" t="s">
        <v>36</v>
      </c>
      <c r="M7" s="16"/>
      <c r="N7" s="16" t="s">
        <v>31</v>
      </c>
      <c r="O7" s="16"/>
      <c r="P7" s="21" t="s">
        <v>37</v>
      </c>
      <c r="Q7" s="16"/>
      <c r="R7" s="16"/>
      <c r="S7" s="17"/>
      <c r="T7" s="18"/>
      <c r="U7" s="16"/>
      <c r="V7" s="16"/>
      <c r="W7" s="16"/>
      <c r="X7" s="16"/>
      <c r="Y7" s="19"/>
      <c r="Z7" s="17"/>
    </row>
    <row r="8" spans="1:28" ht="16.8" thickTop="1" thickBot="1" x14ac:dyDescent="0.35">
      <c r="A8" s="9">
        <v>4</v>
      </c>
      <c r="B8" s="10">
        <v>18</v>
      </c>
      <c r="C8" s="11">
        <v>23</v>
      </c>
      <c r="D8" s="11">
        <v>31</v>
      </c>
      <c r="E8" s="11">
        <v>2</v>
      </c>
      <c r="F8" s="11">
        <v>31</v>
      </c>
      <c r="G8" s="12">
        <f>IFERROR(IF(Tabel4[[#This Row],[MAGASINS]]=0,0,TRUNC(+Tabel4[[#This Row],[Volume]]-Tabel4[[#This Row],[Realise]])),0)</f>
        <v>0</v>
      </c>
      <c r="H8" s="13" cm="1">
        <f t="array" ref="H8">SUM(IFERROR(VLOOKUP(Tabel4[[#This Row],[04h30]:[19h30]],[1]!Tabel1[[camion]:[Cap]],2,0),0))</f>
        <v>0</v>
      </c>
      <c r="I8" s="14">
        <f>IFERROR(+Tabel4[[#This Row],[Realise]]/Tabel4[[#This Row],[Volume]],"-")</f>
        <v>1</v>
      </c>
      <c r="J8" s="11">
        <f>COUNTA(Tabel4[[#This Row],[04h30]:[19h30]])</f>
        <v>3</v>
      </c>
      <c r="K8" s="15"/>
      <c r="L8" s="16"/>
      <c r="M8" s="16"/>
      <c r="N8" s="16"/>
      <c r="O8" s="16"/>
      <c r="P8" s="16" t="s">
        <v>38</v>
      </c>
      <c r="Q8" s="16"/>
      <c r="R8" s="16" t="s">
        <v>39</v>
      </c>
      <c r="S8" s="17"/>
      <c r="T8" s="25" t="s">
        <v>40</v>
      </c>
      <c r="U8" s="16"/>
      <c r="V8" s="16"/>
      <c r="W8" s="16"/>
      <c r="X8" s="16"/>
      <c r="Y8" s="19"/>
      <c r="Z8" s="17"/>
    </row>
    <row r="9" spans="1:28" ht="16.8" thickTop="1" thickBot="1" x14ac:dyDescent="0.35">
      <c r="A9" s="9">
        <v>2</v>
      </c>
      <c r="B9" s="10">
        <v>220</v>
      </c>
      <c r="C9" s="11">
        <v>23</v>
      </c>
      <c r="D9" s="11">
        <v>16</v>
      </c>
      <c r="E9" s="11">
        <v>2</v>
      </c>
      <c r="F9" s="11">
        <v>16</v>
      </c>
      <c r="G9" s="12">
        <f>IFERROR(IF(Tabel4[[#This Row],[MAGASINS]]=0,0,TRUNC(+Tabel4[[#This Row],[Volume]]-Tabel4[[#This Row],[Realise]])),0)</f>
        <v>0</v>
      </c>
      <c r="H9" s="13" cm="1">
        <f t="array" ref="H9">SUM(IFERROR(VLOOKUP(Tabel4[[#This Row],[04h30]:[19h30]],[1]!Tabel1[[camion]:[Cap]],2,0),0))</f>
        <v>0</v>
      </c>
      <c r="I9" s="14">
        <f>IFERROR(+Tabel4[[#This Row],[Realise]]/Tabel4[[#This Row],[Volume]],"-")</f>
        <v>1</v>
      </c>
      <c r="J9" s="11">
        <f>COUNTA(Tabel4[[#This Row],[04h30]:[19h30]])</f>
        <v>4</v>
      </c>
      <c r="K9" s="15"/>
      <c r="L9" s="24" t="s">
        <v>41</v>
      </c>
      <c r="M9" s="16"/>
      <c r="N9" s="16" t="s">
        <v>42</v>
      </c>
      <c r="O9" s="16"/>
      <c r="P9" s="16" t="s">
        <v>41</v>
      </c>
      <c r="Q9" s="16"/>
      <c r="R9" s="16" t="s">
        <v>43</v>
      </c>
      <c r="S9" s="17"/>
      <c r="T9" s="18"/>
      <c r="U9" s="16"/>
      <c r="V9" s="16"/>
      <c r="W9" s="16"/>
      <c r="X9" s="16"/>
      <c r="Y9" s="19"/>
      <c r="Z9" s="17"/>
      <c r="AB9" s="27" t="s">
        <v>80</v>
      </c>
    </row>
    <row r="10" spans="1:28" ht="16.8" thickTop="1" thickBot="1" x14ac:dyDescent="0.35">
      <c r="A10" s="9">
        <v>1</v>
      </c>
      <c r="B10" s="10">
        <v>303</v>
      </c>
      <c r="C10" s="11">
        <v>12</v>
      </c>
      <c r="D10" s="11">
        <v>2</v>
      </c>
      <c r="E10" s="11">
        <v>2</v>
      </c>
      <c r="F10" s="11">
        <v>2</v>
      </c>
      <c r="G10" s="12">
        <f>IFERROR(IF(Tabel4[[#This Row],[MAGASINS]]=0,0,TRUNC(+Tabel4[[#This Row],[Volume]]-Tabel4[[#This Row],[Realise]])),0)</f>
        <v>0</v>
      </c>
      <c r="H10" s="13" cm="1">
        <f t="array" ref="H10">SUM(IFERROR(VLOOKUP(Tabel4[[#This Row],[04h30]:[19h30]],[1]!Tabel1[[camion]:[Cap]],2,0),0))</f>
        <v>0</v>
      </c>
      <c r="I10" s="14">
        <f>IFERROR(+Tabel4[[#This Row],[Realise]]/Tabel4[[#This Row],[Volume]],"-")</f>
        <v>1</v>
      </c>
      <c r="J10" s="11">
        <f>COUNTA(Tabel4[[#This Row],[04h30]:[19h30]])</f>
        <v>1</v>
      </c>
      <c r="K10" s="15"/>
      <c r="L10" s="16"/>
      <c r="M10" s="16"/>
      <c r="N10" s="16"/>
      <c r="O10" s="16"/>
      <c r="P10" s="16" t="s">
        <v>44</v>
      </c>
      <c r="Q10" s="16"/>
      <c r="R10" s="16"/>
      <c r="S10" s="17"/>
      <c r="T10" s="18"/>
      <c r="U10" s="16"/>
      <c r="V10" s="16"/>
      <c r="W10" s="16"/>
      <c r="X10" s="16"/>
      <c r="Y10" s="19"/>
      <c r="Z10" s="17"/>
    </row>
    <row r="11" spans="1:28" ht="16.8" thickTop="1" thickBot="1" x14ac:dyDescent="0.35">
      <c r="A11" s="9">
        <v>2</v>
      </c>
      <c r="B11" s="10">
        <v>19</v>
      </c>
      <c r="C11" s="11">
        <v>23</v>
      </c>
      <c r="D11" s="11">
        <v>23</v>
      </c>
      <c r="E11" s="11">
        <v>3</v>
      </c>
      <c r="F11" s="11">
        <v>23</v>
      </c>
      <c r="G11" s="12">
        <f>IFERROR(IF(Tabel4[[#This Row],[MAGASINS]]=0,0,TRUNC(+Tabel4[[#This Row],[Volume]]-Tabel4[[#This Row],[Realise]])),0)</f>
        <v>0</v>
      </c>
      <c r="H11" s="13" cm="1">
        <f t="array" ref="H11">SUM(IFERROR(VLOOKUP(Tabel4[[#This Row],[04h30]:[19h30]],[1]!Tabel1[[camion]:[Cap]],2,0),0))</f>
        <v>0</v>
      </c>
      <c r="I11" s="14">
        <f>IFERROR(+Tabel4[[#This Row],[Realise]]/Tabel4[[#This Row],[Volume]],"-")</f>
        <v>1</v>
      </c>
      <c r="J11" s="11">
        <f>COUNTA(Tabel4[[#This Row],[04h30]:[19h30]])</f>
        <v>2</v>
      </c>
      <c r="K11" s="15"/>
      <c r="L11" s="21" t="s">
        <v>29</v>
      </c>
      <c r="M11" s="16"/>
      <c r="N11" s="16" t="s">
        <v>45</v>
      </c>
      <c r="O11" s="16"/>
      <c r="P11" s="16"/>
      <c r="Q11" s="16"/>
      <c r="R11" s="16"/>
      <c r="S11" s="17"/>
      <c r="T11" s="18"/>
      <c r="U11" s="16"/>
      <c r="V11" s="16"/>
      <c r="W11" s="16"/>
      <c r="X11" s="16"/>
      <c r="Y11" s="19"/>
      <c r="Z11" s="17"/>
    </row>
    <row r="12" spans="1:28" ht="16.8" thickTop="1" thickBot="1" x14ac:dyDescent="0.35">
      <c r="A12" s="9">
        <v>1</v>
      </c>
      <c r="B12" s="10">
        <v>219</v>
      </c>
      <c r="C12" s="11">
        <v>12</v>
      </c>
      <c r="D12" s="11">
        <v>13</v>
      </c>
      <c r="E12" s="11">
        <v>3</v>
      </c>
      <c r="F12" s="11">
        <v>13</v>
      </c>
      <c r="G12" s="12">
        <f>IFERROR(IF(Tabel4[[#This Row],[MAGASINS]]=0,0,TRUNC(+Tabel4[[#This Row],[Volume]]-Tabel4[[#This Row],[Realise]])),0)</f>
        <v>0</v>
      </c>
      <c r="H12" s="13" cm="1">
        <f t="array" ref="H12">SUM(IFERROR(VLOOKUP(Tabel4[[#This Row],[04h30]:[19h30]],[1]!Tabel1[[camion]:[Cap]],2,0),0))</f>
        <v>0</v>
      </c>
      <c r="I12" s="14">
        <f>IFERROR(+Tabel4[[#This Row],[Realise]]/Tabel4[[#This Row],[Volume]],"-")</f>
        <v>1</v>
      </c>
      <c r="J12" s="11">
        <f>COUNTA(Tabel4[[#This Row],[04h30]:[19h30]])</f>
        <v>1</v>
      </c>
      <c r="K12" s="15"/>
      <c r="L12" s="16"/>
      <c r="M12" s="16"/>
      <c r="N12" s="16"/>
      <c r="O12" s="16"/>
      <c r="P12" s="16" t="s">
        <v>46</v>
      </c>
      <c r="Q12" s="16"/>
      <c r="R12" s="16"/>
      <c r="S12" s="17"/>
      <c r="T12" s="18"/>
      <c r="U12" s="16"/>
      <c r="V12" s="16"/>
      <c r="W12" s="16"/>
      <c r="X12" s="16"/>
      <c r="Y12" s="19"/>
      <c r="Z12" s="17"/>
    </row>
    <row r="13" spans="1:28" ht="16.8" thickTop="1" thickBot="1" x14ac:dyDescent="0.35">
      <c r="A13" s="9">
        <v>2</v>
      </c>
      <c r="B13" s="10">
        <v>302</v>
      </c>
      <c r="C13" s="11">
        <v>12</v>
      </c>
      <c r="D13" s="11">
        <v>2</v>
      </c>
      <c r="E13" s="11">
        <v>3</v>
      </c>
      <c r="F13" s="11">
        <v>2</v>
      </c>
      <c r="G13" s="12">
        <f>IFERROR(IF(Tabel4[[#This Row],[MAGASINS]]=0,0,TRUNC(+Tabel4[[#This Row],[Volume]]-Tabel4[[#This Row],[Realise]])),0)</f>
        <v>0</v>
      </c>
      <c r="H13" s="13" cm="1">
        <f t="array" ref="H13">SUM(IFERROR(VLOOKUP(Tabel4[[#This Row],[04h30]:[19h30]],[1]!Tabel1[[camion]:[Cap]],2,0),0))</f>
        <v>0</v>
      </c>
      <c r="I13" s="14">
        <f>IFERROR(+Tabel4[[#This Row],[Realise]]/Tabel4[[#This Row],[Volume]],"-")</f>
        <v>1</v>
      </c>
      <c r="J13" s="11">
        <f>COUNTA(Tabel4[[#This Row],[04h30]:[19h30]])</f>
        <v>1</v>
      </c>
      <c r="K13" s="15"/>
      <c r="L13" s="16"/>
      <c r="M13" s="16"/>
      <c r="N13" s="16" t="s">
        <v>38</v>
      </c>
      <c r="O13" s="16"/>
      <c r="P13" s="16"/>
      <c r="Q13" s="16"/>
      <c r="R13" s="16"/>
      <c r="S13" s="17"/>
      <c r="T13" s="18"/>
      <c r="U13" s="16"/>
      <c r="V13" s="16"/>
      <c r="W13" s="16"/>
      <c r="X13" s="16"/>
      <c r="Y13" s="19"/>
      <c r="Z13" s="17"/>
    </row>
    <row r="14" spans="1:28" ht="16.8" thickTop="1" thickBot="1" x14ac:dyDescent="0.35">
      <c r="A14" s="9">
        <v>8</v>
      </c>
      <c r="B14" s="10">
        <v>50</v>
      </c>
      <c r="C14" s="11">
        <v>23</v>
      </c>
      <c r="D14" s="11">
        <v>26</v>
      </c>
      <c r="E14" s="11">
        <v>4</v>
      </c>
      <c r="F14" s="11">
        <v>26</v>
      </c>
      <c r="G14" s="12">
        <f>IFERROR(IF(Tabel4[[#This Row],[MAGASINS]]=0,0,TRUNC(+Tabel4[[#This Row],[Volume]]-Tabel4[[#This Row],[Realise]])),0)</f>
        <v>0</v>
      </c>
      <c r="H14" s="13" cm="1">
        <f t="array" ref="H14">SUM(IFERROR(VLOOKUP(Tabel4[[#This Row],[04h30]:[19h30]],[1]!Tabel1[[camion]:[Cap]],2,0),0))</f>
        <v>0</v>
      </c>
      <c r="I14" s="14">
        <f>IFERROR(+Tabel4[[#This Row],[Realise]]/Tabel4[[#This Row],[Volume]],"-")</f>
        <v>1</v>
      </c>
      <c r="J14" s="11">
        <f>COUNTA(Tabel4[[#This Row],[04h30]:[19h30]])</f>
        <v>2</v>
      </c>
      <c r="K14" s="15"/>
      <c r="L14" s="16"/>
      <c r="M14" s="16" t="s">
        <v>47</v>
      </c>
      <c r="N14" s="16"/>
      <c r="O14" s="16" t="s">
        <v>48</v>
      </c>
      <c r="P14" s="16"/>
      <c r="Q14" s="16"/>
      <c r="R14" s="16"/>
      <c r="S14" s="17"/>
      <c r="T14" s="18"/>
      <c r="U14" s="16"/>
      <c r="V14" s="16"/>
      <c r="W14" s="16"/>
      <c r="X14" s="16"/>
      <c r="Y14" s="19"/>
      <c r="Z14" s="17"/>
    </row>
    <row r="15" spans="1:28" ht="16.8" thickTop="1" thickBot="1" x14ac:dyDescent="0.35">
      <c r="A15" s="9">
        <v>4</v>
      </c>
      <c r="B15" s="10">
        <v>20</v>
      </c>
      <c r="C15" s="11">
        <v>23</v>
      </c>
      <c r="D15" s="11">
        <v>24</v>
      </c>
      <c r="E15" s="11">
        <v>4</v>
      </c>
      <c r="F15" s="11">
        <v>24</v>
      </c>
      <c r="G15" s="12">
        <f>IFERROR(IF(Tabel4[[#This Row],[MAGASINS]]=0,0,TRUNC(+Tabel4[[#This Row],[Volume]]-Tabel4[[#This Row],[Realise]])),0)</f>
        <v>0</v>
      </c>
      <c r="H15" s="13" cm="1">
        <f t="array" ref="H15">SUM(IFERROR(VLOOKUP(Tabel4[[#This Row],[04h30]:[19h30]],[1]!Tabel1[[camion]:[Cap]],2,0),0))</f>
        <v>0</v>
      </c>
      <c r="I15" s="14">
        <f>IFERROR(+Tabel4[[#This Row],[Realise]]/Tabel4[[#This Row],[Volume]],"-")</f>
        <v>1</v>
      </c>
      <c r="J15" s="11">
        <f>COUNTA(Tabel4[[#This Row],[04h30]:[19h30]])</f>
        <v>2</v>
      </c>
      <c r="K15" s="15"/>
      <c r="L15" s="16"/>
      <c r="M15" s="16" t="s">
        <v>49</v>
      </c>
      <c r="N15" s="16"/>
      <c r="O15" s="16" t="s">
        <v>50</v>
      </c>
      <c r="P15" s="16"/>
      <c r="Q15" s="16"/>
      <c r="R15" s="16"/>
      <c r="S15" s="17"/>
      <c r="T15" s="18"/>
      <c r="U15" s="16"/>
      <c r="V15" s="16"/>
      <c r="W15" s="16"/>
      <c r="X15" s="16"/>
      <c r="Y15" s="19"/>
      <c r="Z15" s="17"/>
    </row>
    <row r="16" spans="1:28" ht="16.8" thickTop="1" thickBot="1" x14ac:dyDescent="0.35">
      <c r="A16" s="9">
        <v>4</v>
      </c>
      <c r="B16" s="10">
        <v>46</v>
      </c>
      <c r="C16" s="11">
        <v>12</v>
      </c>
      <c r="D16" s="11">
        <v>21</v>
      </c>
      <c r="E16" s="11">
        <v>4</v>
      </c>
      <c r="F16" s="11">
        <v>21</v>
      </c>
      <c r="G16" s="12">
        <f>IFERROR(IF(Tabel4[[#This Row],[MAGASINS]]=0,0,TRUNC(+Tabel4[[#This Row],[Volume]]-Tabel4[[#This Row],[Realise]])),0)</f>
        <v>0</v>
      </c>
      <c r="H16" s="13" cm="1">
        <f t="array" ref="H16">SUM(IFERROR(VLOOKUP(Tabel4[[#This Row],[04h30]:[19h30]],[1]!Tabel1[[camion]:[Cap]],2,0),0))</f>
        <v>0</v>
      </c>
      <c r="I16" s="14">
        <f>IFERROR(+Tabel4[[#This Row],[Realise]]/Tabel4[[#This Row],[Volume]],"-")</f>
        <v>1</v>
      </c>
      <c r="J16" s="11">
        <f>COUNTA(Tabel4[[#This Row],[04h30]:[19h30]])</f>
        <v>1</v>
      </c>
      <c r="K16" s="15"/>
      <c r="L16" s="16"/>
      <c r="M16" s="16"/>
      <c r="N16" s="16"/>
      <c r="O16" s="16"/>
      <c r="P16" s="16" t="s">
        <v>51</v>
      </c>
      <c r="Q16" s="16"/>
      <c r="R16" s="16"/>
      <c r="S16" s="17"/>
      <c r="T16" s="18"/>
      <c r="U16" s="16"/>
      <c r="V16" s="16"/>
      <c r="W16" s="16"/>
      <c r="X16" s="16"/>
      <c r="Y16" s="19"/>
      <c r="Z16" s="17"/>
    </row>
    <row r="17" spans="1:28" ht="16.8" thickTop="1" thickBot="1" x14ac:dyDescent="0.35">
      <c r="A17" s="9">
        <v>4</v>
      </c>
      <c r="B17" s="10">
        <v>216</v>
      </c>
      <c r="C17" s="11">
        <v>23</v>
      </c>
      <c r="D17" s="11">
        <v>18</v>
      </c>
      <c r="E17" s="11">
        <v>4</v>
      </c>
      <c r="F17" s="11">
        <v>18</v>
      </c>
      <c r="G17" s="12">
        <f>IFERROR(IF(Tabel4[[#This Row],[MAGASINS]]=0,0,TRUNC(+Tabel4[[#This Row],[Volume]]-Tabel4[[#This Row],[Realise]])),0)</f>
        <v>0</v>
      </c>
      <c r="H17" s="13" cm="1">
        <f t="array" ref="H17">SUM(IFERROR(VLOOKUP(Tabel4[[#This Row],[04h30]:[19h30]],[1]!Tabel1[[camion]:[Cap]],2,0),0))</f>
        <v>0</v>
      </c>
      <c r="I17" s="14">
        <f>IFERROR(+Tabel4[[#This Row],[Realise]]/Tabel4[[#This Row],[Volume]],"-")</f>
        <v>1</v>
      </c>
      <c r="J17" s="11">
        <f>COUNTA(Tabel4[[#This Row],[04h30]:[19h30]])</f>
        <v>2</v>
      </c>
      <c r="K17" s="15"/>
      <c r="L17" s="16"/>
      <c r="M17" s="16"/>
      <c r="N17" s="16"/>
      <c r="O17" s="16" t="s">
        <v>52</v>
      </c>
      <c r="P17" s="16"/>
      <c r="Q17" s="21" t="s">
        <v>53</v>
      </c>
      <c r="R17" s="16"/>
      <c r="S17" s="17"/>
      <c r="T17" s="18"/>
      <c r="U17" s="16"/>
      <c r="V17" s="16"/>
      <c r="W17" s="16"/>
      <c r="X17" s="16"/>
      <c r="Y17" s="19"/>
      <c r="Z17" s="17"/>
    </row>
    <row r="18" spans="1:28" ht="16.8" thickTop="1" thickBot="1" x14ac:dyDescent="0.35">
      <c r="A18" s="9">
        <v>4</v>
      </c>
      <c r="B18" s="10">
        <v>300</v>
      </c>
      <c r="C18" s="11">
        <v>23</v>
      </c>
      <c r="D18" s="11">
        <v>2</v>
      </c>
      <c r="E18" s="11">
        <v>4</v>
      </c>
      <c r="F18" s="11">
        <v>2</v>
      </c>
      <c r="G18" s="12">
        <f>IFERROR(IF(Tabel4[[#This Row],[MAGASINS]]=0,0,TRUNC(+Tabel4[[#This Row],[Volume]]-Tabel4[[#This Row],[Realise]])),0)</f>
        <v>0</v>
      </c>
      <c r="H18" s="13" cm="1">
        <f t="array" ref="H18">SUM(IFERROR(VLOOKUP(Tabel4[[#This Row],[04h30]:[19h30]],[1]!Tabel1[[camion]:[Cap]],2,0),0))</f>
        <v>0</v>
      </c>
      <c r="I18" s="14">
        <f>IFERROR(+Tabel4[[#This Row],[Realise]]/Tabel4[[#This Row],[Volume]],"-")</f>
        <v>1</v>
      </c>
      <c r="J18" s="11">
        <f>COUNTA(Tabel4[[#This Row],[04h30]:[19h30]])</f>
        <v>1</v>
      </c>
      <c r="K18" s="15"/>
      <c r="L18" s="16"/>
      <c r="M18" s="16"/>
      <c r="N18" s="16"/>
      <c r="O18" s="16" t="s">
        <v>54</v>
      </c>
      <c r="P18" s="16"/>
      <c r="Q18" s="16"/>
      <c r="R18" s="16"/>
      <c r="S18" s="17"/>
      <c r="T18" s="18"/>
      <c r="U18" s="16"/>
      <c r="V18" s="16"/>
      <c r="W18" s="16"/>
      <c r="X18" s="16"/>
      <c r="Y18" s="19"/>
      <c r="Z18" s="17"/>
    </row>
    <row r="19" spans="1:28" ht="16.8" thickTop="1" thickBot="1" x14ac:dyDescent="0.35">
      <c r="A19" s="9">
        <v>7</v>
      </c>
      <c r="B19" s="10">
        <v>222</v>
      </c>
      <c r="C19" s="11">
        <v>23</v>
      </c>
      <c r="D19" s="11">
        <v>15</v>
      </c>
      <c r="E19" s="11">
        <v>5</v>
      </c>
      <c r="F19" s="11">
        <v>15</v>
      </c>
      <c r="G19" s="12">
        <f>IFERROR(IF(Tabel4[[#This Row],[MAGASINS]]=0,0,TRUNC(+Tabel4[[#This Row],[Volume]]-Tabel4[[#This Row],[Realise]])),0)</f>
        <v>0</v>
      </c>
      <c r="H19" s="13" cm="1">
        <f t="array" ref="H19">SUM(IFERROR(VLOOKUP(Tabel4[[#This Row],[04h30]:[19h30]],[1]!Tabel1[[camion]:[Cap]],2,0),0))</f>
        <v>0</v>
      </c>
      <c r="I19" s="14">
        <f>IFERROR(+Tabel4[[#This Row],[Realise]]/Tabel4[[#This Row],[Volume]],"-")</f>
        <v>1</v>
      </c>
      <c r="J19" s="11">
        <f>COUNTA(Tabel4[[#This Row],[04h30]:[19h30]])</f>
        <v>1</v>
      </c>
      <c r="K19" s="15"/>
      <c r="L19" s="16" t="s">
        <v>55</v>
      </c>
      <c r="M19" s="16"/>
      <c r="N19" s="16"/>
      <c r="O19" s="16"/>
      <c r="P19" s="16"/>
      <c r="Q19" s="16"/>
      <c r="R19" s="16"/>
      <c r="S19" s="17"/>
      <c r="T19" s="18"/>
      <c r="U19" s="16"/>
      <c r="V19" s="16"/>
      <c r="W19" s="16"/>
      <c r="X19" s="16"/>
      <c r="Y19" s="19"/>
      <c r="Z19" s="17"/>
    </row>
    <row r="20" spans="1:28" ht="16.8" thickTop="1" thickBot="1" x14ac:dyDescent="0.35">
      <c r="A20" s="9">
        <v>7</v>
      </c>
      <c r="B20" s="10">
        <v>721</v>
      </c>
      <c r="C20" s="11">
        <v>12</v>
      </c>
      <c r="D20" s="11">
        <v>14</v>
      </c>
      <c r="E20" s="11">
        <v>5</v>
      </c>
      <c r="F20" s="11">
        <v>14</v>
      </c>
      <c r="G20" s="12">
        <f>IFERROR(IF(Tabel4[[#This Row],[MAGASINS]]=0,0,TRUNC(+Tabel4[[#This Row],[Volume]]-Tabel4[[#This Row],[Realise]])),0)</f>
        <v>0</v>
      </c>
      <c r="H20" s="13" cm="1">
        <f t="array" ref="H20">SUM(IFERROR(VLOOKUP(Tabel4[[#This Row],[04h30]:[19h30]],[1]!Tabel1[[camion]:[Cap]],2,0),0))</f>
        <v>0</v>
      </c>
      <c r="I20" s="14">
        <f>IFERROR(+Tabel4[[#This Row],[Realise]]/Tabel4[[#This Row],[Volume]],"-")</f>
        <v>1</v>
      </c>
      <c r="J20" s="11">
        <f>COUNTA(Tabel4[[#This Row],[04h30]:[19h30]])</f>
        <v>2</v>
      </c>
      <c r="K20" s="15"/>
      <c r="L20" s="16" t="s">
        <v>33</v>
      </c>
      <c r="M20" s="16"/>
      <c r="N20" s="21" t="s">
        <v>56</v>
      </c>
      <c r="O20" s="16"/>
      <c r="P20" s="16"/>
      <c r="Q20" s="16"/>
      <c r="R20" s="16"/>
      <c r="S20" s="17"/>
      <c r="T20" s="18"/>
      <c r="U20" s="16"/>
      <c r="V20" s="16"/>
      <c r="W20" s="16"/>
      <c r="X20" s="16"/>
      <c r="Y20" s="19"/>
      <c r="Z20" s="17"/>
    </row>
    <row r="21" spans="1:28" ht="16.8" thickTop="1" thickBot="1" x14ac:dyDescent="0.35">
      <c r="A21" s="9">
        <v>3</v>
      </c>
      <c r="B21" s="10">
        <v>221</v>
      </c>
      <c r="C21" s="11">
        <v>23</v>
      </c>
      <c r="D21" s="11">
        <v>23</v>
      </c>
      <c r="E21" s="11">
        <v>6</v>
      </c>
      <c r="F21" s="11">
        <v>23</v>
      </c>
      <c r="G21" s="12">
        <f>IFERROR(IF(Tabel4[[#This Row],[MAGASINS]]=0,0,TRUNC(+Tabel4[[#This Row],[Volume]]-Tabel4[[#This Row],[Realise]])),0)</f>
        <v>0</v>
      </c>
      <c r="H21" s="13" cm="1">
        <f t="array" ref="H21">SUM(IFERROR(VLOOKUP(Tabel4[[#This Row],[04h30]:[19h30]],[1]!Tabel1[[camion]:[Cap]],2,0),0))</f>
        <v>0</v>
      </c>
      <c r="I21" s="14">
        <f>IFERROR(+Tabel4[[#This Row],[Realise]]/Tabel4[[#This Row],[Volume]],"-")</f>
        <v>1</v>
      </c>
      <c r="J21" s="11">
        <f>COUNTA(Tabel4[[#This Row],[04h30]:[19h30]])</f>
        <v>1</v>
      </c>
      <c r="K21" s="15"/>
      <c r="L21" s="16" t="s">
        <v>31</v>
      </c>
      <c r="M21" s="16"/>
      <c r="N21" s="16"/>
      <c r="O21" s="16"/>
      <c r="P21" s="16"/>
      <c r="Q21" s="16"/>
      <c r="R21" s="16"/>
      <c r="S21" s="17"/>
      <c r="T21" s="18"/>
      <c r="U21" s="16"/>
      <c r="V21" s="16"/>
      <c r="W21" s="16"/>
      <c r="X21" s="16"/>
      <c r="Y21" s="19"/>
      <c r="Z21" s="17"/>
    </row>
    <row r="22" spans="1:28" ht="16.8" thickTop="1" thickBot="1" x14ac:dyDescent="0.35">
      <c r="A22" s="9">
        <v>3</v>
      </c>
      <c r="B22" s="10">
        <v>218</v>
      </c>
      <c r="C22" s="11">
        <v>12</v>
      </c>
      <c r="D22" s="11">
        <v>8</v>
      </c>
      <c r="E22" s="11">
        <v>6</v>
      </c>
      <c r="F22" s="11">
        <v>8</v>
      </c>
      <c r="G22" s="12">
        <f>IFERROR(IF(Tabel4[[#This Row],[MAGASINS]]=0,0,TRUNC(+Tabel4[[#This Row],[Volume]]-Tabel4[[#This Row],[Realise]])),0)</f>
        <v>0</v>
      </c>
      <c r="H22" s="13" cm="1">
        <f t="array" ref="H22">SUM(IFERROR(VLOOKUP(Tabel4[[#This Row],[04h30]:[19h30]],[1]!Tabel1[[camion]:[Cap]],2,0),0))</f>
        <v>0</v>
      </c>
      <c r="I22" s="14">
        <f>IFERROR(+Tabel4[[#This Row],[Realise]]/Tabel4[[#This Row],[Volume]],"-")</f>
        <v>1</v>
      </c>
      <c r="J22" s="11">
        <f>COUNTA(Tabel4[[#This Row],[04h30]:[19h30]])</f>
        <v>1</v>
      </c>
      <c r="K22" s="15"/>
      <c r="L22" s="16" t="s">
        <v>57</v>
      </c>
      <c r="M22" s="16"/>
      <c r="N22" s="16"/>
      <c r="O22" s="16"/>
      <c r="P22" s="16"/>
      <c r="Q22" s="16"/>
      <c r="R22" s="16"/>
      <c r="S22" s="17"/>
      <c r="T22" s="18"/>
      <c r="U22" s="16"/>
      <c r="V22" s="16"/>
      <c r="W22" s="16"/>
      <c r="X22" s="16"/>
      <c r="Y22" s="19"/>
      <c r="Z22" s="17"/>
    </row>
    <row r="23" spans="1:28" ht="16.8" thickTop="1" thickBot="1" x14ac:dyDescent="0.35">
      <c r="A23" s="9">
        <v>3</v>
      </c>
      <c r="B23" s="10">
        <v>301</v>
      </c>
      <c r="C23" s="11">
        <v>12</v>
      </c>
      <c r="D23" s="11">
        <v>2</v>
      </c>
      <c r="E23" s="11">
        <v>6</v>
      </c>
      <c r="F23" s="11">
        <v>2</v>
      </c>
      <c r="G23" s="12">
        <f>IFERROR(IF(Tabel4[[#This Row],[MAGASINS]]=0,0,TRUNC(+Tabel4[[#This Row],[Volume]]-Tabel4[[#This Row],[Realise]])),0)</f>
        <v>0</v>
      </c>
      <c r="H23" s="13" cm="1">
        <f t="array" ref="H23">SUM(IFERROR(VLOOKUP(Tabel4[[#This Row],[04h30]:[19h30]],[1]!Tabel1[[camion]:[Cap]],2,0),0))</f>
        <v>0</v>
      </c>
      <c r="I23" s="14">
        <f>IFERROR(+Tabel4[[#This Row],[Realise]]/Tabel4[[#This Row],[Volume]],"-")</f>
        <v>1</v>
      </c>
      <c r="J23" s="11">
        <f>COUNTA(Tabel4[[#This Row],[04h30]:[19h30]])</f>
        <v>1</v>
      </c>
      <c r="K23" s="15"/>
      <c r="L23" s="16" t="s">
        <v>38</v>
      </c>
      <c r="M23" s="16"/>
      <c r="N23" s="16"/>
      <c r="O23" s="16"/>
      <c r="P23" s="16"/>
      <c r="Q23" s="16"/>
      <c r="R23" s="16"/>
      <c r="S23" s="17"/>
      <c r="T23" s="18"/>
      <c r="U23" s="16"/>
      <c r="V23" s="16"/>
      <c r="W23" s="16"/>
      <c r="X23" s="16"/>
      <c r="Y23" s="19"/>
      <c r="Z23" s="17"/>
    </row>
    <row r="24" spans="1:28" ht="16.8" thickTop="1" thickBot="1" x14ac:dyDescent="0.35">
      <c r="A24" s="9">
        <v>6</v>
      </c>
      <c r="B24" s="10">
        <v>42</v>
      </c>
      <c r="C24" s="11">
        <v>23</v>
      </c>
      <c r="D24" s="11">
        <v>36</v>
      </c>
      <c r="E24" s="11">
        <v>7</v>
      </c>
      <c r="F24" s="11">
        <v>36</v>
      </c>
      <c r="G24" s="12">
        <f>IFERROR(IF(Tabel4[[#This Row],[MAGASINS]]=0,0,TRUNC(+Tabel4[[#This Row],[Volume]]-Tabel4[[#This Row],[Realise]])),0)</f>
        <v>0</v>
      </c>
      <c r="H24" s="13" cm="1">
        <f t="array" ref="H24">SUM(IFERROR(VLOOKUP(Tabel4[[#This Row],[04h30]:[19h30]],[1]!Tabel1[[camion]:[Cap]],2,0),0))</f>
        <v>0</v>
      </c>
      <c r="I24" s="14">
        <f>IFERROR(+Tabel4[[#This Row],[Realise]]/Tabel4[[#This Row],[Volume]],"-")</f>
        <v>1</v>
      </c>
      <c r="J24" s="11">
        <f>COUNTA(Tabel4[[#This Row],[04h30]:[19h30]])</f>
        <v>3</v>
      </c>
      <c r="K24" s="15"/>
      <c r="L24" s="16"/>
      <c r="M24" s="16"/>
      <c r="N24" s="16"/>
      <c r="O24" s="16"/>
      <c r="P24" s="16"/>
      <c r="Q24" s="16"/>
      <c r="R24" s="16"/>
      <c r="S24" s="17"/>
      <c r="T24" s="18"/>
      <c r="U24" s="16"/>
      <c r="V24" s="16" t="s">
        <v>58</v>
      </c>
      <c r="W24" s="16"/>
      <c r="X24" s="16" t="s">
        <v>39</v>
      </c>
      <c r="Y24" s="19"/>
      <c r="Z24" s="26" t="s">
        <v>59</v>
      </c>
    </row>
    <row r="25" spans="1:28" ht="16.8" thickTop="1" thickBot="1" x14ac:dyDescent="0.35">
      <c r="A25" s="9">
        <v>6</v>
      </c>
      <c r="B25" s="10">
        <v>43</v>
      </c>
      <c r="C25" s="11">
        <v>23</v>
      </c>
      <c r="D25" s="11">
        <v>20</v>
      </c>
      <c r="E25" s="11">
        <v>7</v>
      </c>
      <c r="F25" s="11">
        <v>20</v>
      </c>
      <c r="G25" s="12">
        <f>IFERROR(IF(Tabel4[[#This Row],[MAGASINS]]=0,0,TRUNC(+Tabel4[[#This Row],[Volume]]-Tabel4[[#This Row],[Realise]])),0)</f>
        <v>0</v>
      </c>
      <c r="H25" s="13" cm="1">
        <f t="array" ref="H25">SUM(IFERROR(VLOOKUP(Tabel4[[#This Row],[04h30]:[19h30]],[1]!Tabel1[[camion]:[Cap]],2,0),0))</f>
        <v>0</v>
      </c>
      <c r="I25" s="14">
        <f>IFERROR(+Tabel4[[#This Row],[Realise]]/Tabel4[[#This Row],[Volume]],"-")</f>
        <v>1</v>
      </c>
      <c r="J25" s="11">
        <f>COUNTA(Tabel4[[#This Row],[04h30]:[19h30]])</f>
        <v>1</v>
      </c>
      <c r="K25" s="15"/>
      <c r="L25" s="16"/>
      <c r="M25" s="16"/>
      <c r="N25" s="16"/>
      <c r="O25" s="16"/>
      <c r="P25" s="16"/>
      <c r="Q25" s="16"/>
      <c r="R25" s="16"/>
      <c r="S25" s="17"/>
      <c r="T25" s="18"/>
      <c r="U25" s="16"/>
      <c r="V25" s="16" t="s">
        <v>60</v>
      </c>
      <c r="W25" s="16"/>
      <c r="X25" s="16"/>
      <c r="Y25" s="19"/>
      <c r="Z25" s="17"/>
    </row>
    <row r="26" spans="1:28" ht="16.8" thickTop="1" thickBot="1" x14ac:dyDescent="0.35">
      <c r="A26" s="9">
        <v>6</v>
      </c>
      <c r="B26" s="10">
        <v>45</v>
      </c>
      <c r="C26" s="11">
        <v>12</v>
      </c>
      <c r="D26" s="11">
        <v>18</v>
      </c>
      <c r="E26" s="11">
        <v>7</v>
      </c>
      <c r="F26" s="11">
        <v>18</v>
      </c>
      <c r="G26" s="12">
        <f>IFERROR(IF(Tabel4[[#This Row],[MAGASINS]]=0,0,TRUNC(+Tabel4[[#This Row],[Volume]]-Tabel4[[#This Row],[Realise]])),0)</f>
        <v>0</v>
      </c>
      <c r="H26" s="13" cm="1">
        <f t="array" ref="H26">SUM(IFERROR(VLOOKUP(Tabel4[[#This Row],[04h30]:[19h30]],[1]!Tabel1[[camion]:[Cap]],2,0),0))</f>
        <v>0</v>
      </c>
      <c r="I26" s="14">
        <f>IFERROR(+Tabel4[[#This Row],[Realise]]/Tabel4[[#This Row],[Volume]],"-")</f>
        <v>1</v>
      </c>
      <c r="J26" s="11">
        <f>COUNTA(Tabel4[[#This Row],[04h30]:[19h30]])</f>
        <v>1</v>
      </c>
      <c r="K26" s="15"/>
      <c r="L26" s="16"/>
      <c r="M26" s="16"/>
      <c r="N26" s="16"/>
      <c r="O26" s="16"/>
      <c r="P26" s="16"/>
      <c r="Q26" s="16"/>
      <c r="R26" s="16"/>
      <c r="S26" s="17"/>
      <c r="T26" s="18"/>
      <c r="U26" s="16"/>
      <c r="V26" s="16" t="s">
        <v>61</v>
      </c>
      <c r="W26" s="16"/>
      <c r="X26" s="16"/>
      <c r="Y26" s="19"/>
      <c r="Z26" s="17"/>
    </row>
    <row r="27" spans="1:28" ht="15" thickTop="1" x14ac:dyDescent="0.3"/>
    <row r="28" spans="1:28" s="27" customFormat="1" ht="15" thickBot="1" x14ac:dyDescent="0.35">
      <c r="K28" s="27">
        <v>2</v>
      </c>
      <c r="L28" s="27">
        <v>4</v>
      </c>
      <c r="M28" s="27">
        <v>4</v>
      </c>
      <c r="N28" s="27">
        <v>6</v>
      </c>
      <c r="O28" s="27">
        <v>2</v>
      </c>
      <c r="P28" s="27">
        <v>6</v>
      </c>
      <c r="Q28" s="27">
        <v>2</v>
      </c>
      <c r="R28" s="27">
        <v>7</v>
      </c>
      <c r="V28" s="27">
        <v>3</v>
      </c>
      <c r="X28" s="27">
        <v>1</v>
      </c>
      <c r="AA28" s="27">
        <f>SUM(K28:Z28)</f>
        <v>37</v>
      </c>
    </row>
    <row r="29" spans="1:28" ht="15.6" thickTop="1" thickBot="1" x14ac:dyDescent="0.35">
      <c r="A29" s="1" t="s">
        <v>0</v>
      </c>
      <c r="B29" s="2" t="s">
        <v>1</v>
      </c>
      <c r="C29" s="2" t="s">
        <v>2</v>
      </c>
      <c r="D29" s="2" t="s">
        <v>3</v>
      </c>
      <c r="E29" s="3" t="s">
        <v>4</v>
      </c>
      <c r="F29" s="3" t="s">
        <v>5</v>
      </c>
      <c r="G29" s="3" t="s">
        <v>6</v>
      </c>
      <c r="H29" s="3" t="s">
        <v>7</v>
      </c>
      <c r="I29" s="3" t="s">
        <v>8</v>
      </c>
      <c r="J29" s="4" t="s">
        <v>9</v>
      </c>
      <c r="K29" s="5" t="s">
        <v>10</v>
      </c>
      <c r="L29" s="7" t="s">
        <v>11</v>
      </c>
      <c r="M29" s="7" t="s">
        <v>12</v>
      </c>
      <c r="N29" s="7" t="s">
        <v>13</v>
      </c>
      <c r="O29" s="7" t="s">
        <v>14</v>
      </c>
      <c r="P29" s="7" t="s">
        <v>15</v>
      </c>
      <c r="Q29" s="7" t="s">
        <v>16</v>
      </c>
      <c r="R29" s="7" t="s">
        <v>17</v>
      </c>
      <c r="S29" s="8" t="s">
        <v>18</v>
      </c>
      <c r="T29" s="7" t="s">
        <v>19</v>
      </c>
      <c r="U29" s="7" t="s">
        <v>20</v>
      </c>
      <c r="V29" s="7" t="s">
        <v>21</v>
      </c>
      <c r="W29" s="7" t="s">
        <v>22</v>
      </c>
      <c r="X29" s="7" t="s">
        <v>23</v>
      </c>
      <c r="Y29" s="7" t="s">
        <v>24</v>
      </c>
      <c r="Z29" s="8" t="s">
        <v>25</v>
      </c>
    </row>
    <row r="30" spans="1:28" ht="16.8" thickTop="1" thickBot="1" x14ac:dyDescent="0.35">
      <c r="A30" s="9">
        <v>5</v>
      </c>
      <c r="B30" s="10">
        <v>41</v>
      </c>
      <c r="C30" s="11">
        <v>23</v>
      </c>
      <c r="D30" s="22">
        <v>10</v>
      </c>
      <c r="E30" s="11">
        <v>1</v>
      </c>
      <c r="F30" s="11">
        <v>10</v>
      </c>
      <c r="G30" s="12">
        <f>IFERROR(IF(Tabel43[[#This Row],[MAGASINS]]=0,0,TRUNC(+Tabel43[[#This Row],[Volume]]-Tabel43[[#This Row],[Realise]])),0)</f>
        <v>0</v>
      </c>
      <c r="H30" s="13" cm="1">
        <f t="array" ref="H30">SUM(IFERROR(VLOOKUP(Tabel43[[#This Row],[04h30]:[19h30]],[1]!Tabel1[[camion]:[Cap]],2,0),0))</f>
        <v>0</v>
      </c>
      <c r="I30" s="14">
        <f>IFERROR(+Tabel43[[#This Row],[Realise]]/Tabel43[[#This Row],[Volume]],"-")</f>
        <v>1</v>
      </c>
      <c r="J30" s="11">
        <f>COUNTA(Tabel43[[#This Row],[04h30]:[19h30]])</f>
        <v>1</v>
      </c>
      <c r="K30" s="15" t="s">
        <v>26</v>
      </c>
      <c r="L30" s="16"/>
      <c r="M30" s="16"/>
      <c r="N30" s="16"/>
      <c r="O30" s="16"/>
      <c r="P30" s="16"/>
      <c r="Q30" s="16"/>
      <c r="R30" s="16"/>
      <c r="S30" s="17"/>
      <c r="T30" s="18"/>
      <c r="U30" s="16"/>
      <c r="V30" s="16"/>
      <c r="W30" s="16"/>
      <c r="X30" s="16"/>
      <c r="Y30" s="19"/>
      <c r="Z30" s="17"/>
    </row>
    <row r="31" spans="1:28" ht="16.8" thickTop="1" thickBot="1" x14ac:dyDescent="0.35">
      <c r="A31" s="9">
        <v>7</v>
      </c>
      <c r="B31" s="10">
        <v>44</v>
      </c>
      <c r="C31" s="11">
        <v>23</v>
      </c>
      <c r="D31" s="22">
        <v>10</v>
      </c>
      <c r="E31" s="11">
        <v>1</v>
      </c>
      <c r="F31" s="11">
        <v>10</v>
      </c>
      <c r="G31" s="12">
        <f>IFERROR(IF(Tabel43[[#This Row],[MAGASINS]]=0,0,TRUNC(+Tabel43[[#This Row],[Volume]]-Tabel43[[#This Row],[Realise]])),0)</f>
        <v>0</v>
      </c>
      <c r="H31" s="13" cm="1">
        <f t="array" ref="H31">SUM(IFERROR(VLOOKUP(Tabel43[[#This Row],[04h30]:[19h30]],[1]!Tabel1[[camion]:[Cap]],2,0),0))</f>
        <v>0</v>
      </c>
      <c r="I31" s="14">
        <f>IFERROR(+Tabel43[[#This Row],[Realise]]/Tabel43[[#This Row],[Volume]],"-")</f>
        <v>1</v>
      </c>
      <c r="J31" s="11">
        <f>COUNTA(Tabel43[[#This Row],[04h30]:[19h30]])</f>
        <v>1</v>
      </c>
      <c r="K31" s="15" t="s">
        <v>27</v>
      </c>
      <c r="L31" s="16"/>
      <c r="M31" s="16"/>
      <c r="N31" s="16"/>
      <c r="O31" s="16"/>
      <c r="P31" s="16"/>
      <c r="Q31" s="16"/>
      <c r="R31" s="16"/>
      <c r="S31" s="17"/>
      <c r="T31" s="18"/>
      <c r="U31" s="16"/>
      <c r="V31" s="16"/>
      <c r="W31" s="16"/>
      <c r="X31" s="16"/>
      <c r="Y31" s="19"/>
      <c r="Z31" s="17"/>
    </row>
    <row r="32" spans="1:28" ht="16.8" thickTop="1" thickBot="1" x14ac:dyDescent="0.35">
      <c r="A32" s="9">
        <v>2</v>
      </c>
      <c r="B32" s="10">
        <v>10</v>
      </c>
      <c r="C32" s="11">
        <v>23</v>
      </c>
      <c r="D32" s="22">
        <v>60</v>
      </c>
      <c r="E32" s="11">
        <v>2</v>
      </c>
      <c r="F32" s="11">
        <v>60</v>
      </c>
      <c r="G32" s="12">
        <f>IFERROR(IF(Tabel43[[#This Row],[MAGASINS]]=0,0,TRUNC(+Tabel43[[#This Row],[Volume]]-Tabel43[[#This Row],[Realise]])),0)</f>
        <v>0</v>
      </c>
      <c r="H32" s="13" cm="1">
        <f t="array" ref="H32">SUM(IFERROR(VLOOKUP(Tabel43[[#This Row],[04h30]:[19h30]],[1]!Tabel1[[camion]:[Cap]],2,0),0))</f>
        <v>0</v>
      </c>
      <c r="I32" s="14">
        <f>IFERROR(+Tabel43[[#This Row],[Realise]]/Tabel43[[#This Row],[Volume]],"-")</f>
        <v>1</v>
      </c>
      <c r="J32" s="11">
        <f>COUNTA(Tabel43[[#This Row],[04h30]:[19h30]])</f>
        <v>4</v>
      </c>
      <c r="K32" s="15"/>
      <c r="L32" s="16" t="s">
        <v>62</v>
      </c>
      <c r="M32" s="16"/>
      <c r="N32" s="16" t="s">
        <v>72</v>
      </c>
      <c r="O32" s="16"/>
      <c r="P32" s="16" t="s">
        <v>31</v>
      </c>
      <c r="Q32" s="16"/>
      <c r="R32" s="16" t="s">
        <v>34</v>
      </c>
      <c r="S32" s="17"/>
      <c r="T32" s="18"/>
      <c r="U32" s="16"/>
      <c r="V32" s="16"/>
      <c r="W32" s="16"/>
      <c r="X32" s="16"/>
      <c r="Y32" s="19"/>
      <c r="Z32" s="17"/>
      <c r="AB32" s="27" t="s">
        <v>79</v>
      </c>
    </row>
    <row r="33" spans="1:26" ht="16.8" thickTop="1" thickBot="1" x14ac:dyDescent="0.35">
      <c r="A33" s="9">
        <v>1</v>
      </c>
      <c r="B33" s="10">
        <v>11</v>
      </c>
      <c r="C33" s="11">
        <v>15</v>
      </c>
      <c r="D33" s="22">
        <v>47</v>
      </c>
      <c r="E33" s="11">
        <v>2</v>
      </c>
      <c r="F33" s="11">
        <v>47</v>
      </c>
      <c r="G33" s="12">
        <f>IFERROR(IF(Tabel43[[#This Row],[MAGASINS]]=0,0,TRUNC(+Tabel43[[#This Row],[Volume]]-Tabel43[[#This Row],[Realise]])),0)</f>
        <v>0</v>
      </c>
      <c r="H33" s="13" cm="1">
        <f t="array" ref="H33">SUM(IFERROR(VLOOKUP(Tabel43[[#This Row],[04h30]:[19h30]],[1]!Tabel1[[camion]:[Cap]],2,0),0))</f>
        <v>0</v>
      </c>
      <c r="I33" s="14">
        <f>IFERROR(+Tabel43[[#This Row],[Realise]]/Tabel43[[#This Row],[Volume]],"-")</f>
        <v>1</v>
      </c>
      <c r="J33" s="11">
        <f>COUNTA(Tabel43[[#This Row],[04h30]:[19h30]])</f>
        <v>3</v>
      </c>
      <c r="K33" s="15"/>
      <c r="L33" s="16" t="s">
        <v>31</v>
      </c>
      <c r="M33" s="21" t="s">
        <v>75</v>
      </c>
      <c r="N33" s="16"/>
      <c r="O33" s="16"/>
      <c r="P33" s="16" t="s">
        <v>34</v>
      </c>
      <c r="Q33" s="16"/>
      <c r="R33" s="16"/>
      <c r="S33" s="17"/>
      <c r="T33" s="18"/>
      <c r="U33" s="16"/>
      <c r="V33" s="16"/>
      <c r="W33" s="16"/>
      <c r="X33" s="16"/>
      <c r="Y33" s="19"/>
      <c r="Z33" s="17"/>
    </row>
    <row r="34" spans="1:26" ht="16.8" thickTop="1" thickBot="1" x14ac:dyDescent="0.35">
      <c r="A34" s="9">
        <v>3</v>
      </c>
      <c r="B34" s="10">
        <v>17</v>
      </c>
      <c r="C34" s="11">
        <v>12</v>
      </c>
      <c r="D34" s="22">
        <v>39</v>
      </c>
      <c r="E34" s="11">
        <v>2</v>
      </c>
      <c r="F34" s="11">
        <v>39</v>
      </c>
      <c r="G34" s="12">
        <f>IFERROR(IF(Tabel43[[#This Row],[MAGASINS]]=0,0,TRUNC(+Tabel43[[#This Row],[Volume]]-Tabel43[[#This Row],[Realise]])),0)</f>
        <v>0</v>
      </c>
      <c r="H34" s="13" cm="1">
        <f t="array" ref="H34">SUM(IFERROR(VLOOKUP(Tabel43[[#This Row],[04h30]:[19h30]],[1]!Tabel1[[camion]:[Cap]],2,0),0))</f>
        <v>0</v>
      </c>
      <c r="I34" s="14">
        <f>IFERROR(+Tabel43[[#This Row],[Realise]]/Tabel43[[#This Row],[Volume]],"-")</f>
        <v>1</v>
      </c>
      <c r="J34" s="11">
        <f>COUNTA(Tabel43[[#This Row],[04h30]:[19h30]])</f>
        <v>2</v>
      </c>
      <c r="K34" s="15"/>
      <c r="L34" s="16" t="s">
        <v>34</v>
      </c>
      <c r="M34" s="16"/>
      <c r="N34" s="16"/>
      <c r="O34" s="16"/>
      <c r="P34" s="16" t="s">
        <v>74</v>
      </c>
      <c r="Q34" s="21"/>
      <c r="R34" s="16"/>
      <c r="S34" s="17"/>
      <c r="T34" s="18"/>
      <c r="U34" s="16"/>
      <c r="V34" s="16"/>
      <c r="W34" s="16"/>
      <c r="X34" s="16"/>
      <c r="Y34" s="19"/>
      <c r="Z34" s="17"/>
    </row>
    <row r="35" spans="1:26" ht="16.8" thickTop="1" thickBot="1" x14ac:dyDescent="0.35">
      <c r="A35" s="9">
        <v>4</v>
      </c>
      <c r="B35" s="10">
        <v>18</v>
      </c>
      <c r="C35" s="11">
        <v>23</v>
      </c>
      <c r="D35" s="22">
        <v>31</v>
      </c>
      <c r="E35" s="11">
        <v>2</v>
      </c>
      <c r="F35" s="11">
        <v>31</v>
      </c>
      <c r="G35" s="12">
        <f>IFERROR(IF(Tabel43[[#This Row],[MAGASINS]]=0,0,TRUNC(+Tabel43[[#This Row],[Volume]]-Tabel43[[#This Row],[Realise]])),0)</f>
        <v>0</v>
      </c>
      <c r="H35" s="13" cm="1">
        <f t="array" ref="H35">SUM(IFERROR(VLOOKUP(Tabel43[[#This Row],[04h30]:[19h30]],[1]!Tabel1[[camion]:[Cap]],2,0),0))</f>
        <v>0</v>
      </c>
      <c r="I35" s="14">
        <f>IFERROR(+Tabel43[[#This Row],[Realise]]/Tabel43[[#This Row],[Volume]],"-")</f>
        <v>1</v>
      </c>
      <c r="J35" s="11">
        <f>COUNTA(Tabel43[[#This Row],[04h30]:[19h30]])</f>
        <v>2</v>
      </c>
      <c r="K35" s="15"/>
      <c r="L35" s="16"/>
      <c r="M35" s="16" t="s">
        <v>49</v>
      </c>
      <c r="N35" s="16"/>
      <c r="O35" s="16"/>
      <c r="P35" s="16" t="s">
        <v>30</v>
      </c>
      <c r="Q35" s="16"/>
      <c r="R35" s="21"/>
      <c r="S35" s="17"/>
      <c r="T35" s="18"/>
      <c r="U35" s="16"/>
      <c r="V35" s="16"/>
      <c r="W35" s="16"/>
      <c r="X35" s="16"/>
      <c r="Y35" s="19"/>
      <c r="Z35" s="17"/>
    </row>
    <row r="36" spans="1:26" ht="16.8" thickTop="1" thickBot="1" x14ac:dyDescent="0.35">
      <c r="A36" s="9">
        <v>2</v>
      </c>
      <c r="B36" s="10">
        <v>220</v>
      </c>
      <c r="C36" s="11">
        <v>23</v>
      </c>
      <c r="D36" s="22">
        <v>16</v>
      </c>
      <c r="E36" s="11">
        <v>2</v>
      </c>
      <c r="F36" s="11">
        <v>16</v>
      </c>
      <c r="G36" s="12">
        <f>IFERROR(IF(Tabel43[[#This Row],[MAGASINS]]=0,0,TRUNC(+Tabel43[[#This Row],[Volume]]-Tabel43[[#This Row],[Realise]])),0)</f>
        <v>0</v>
      </c>
      <c r="H36" s="13" cm="1">
        <f t="array" ref="H36">SUM(IFERROR(VLOOKUP(Tabel43[[#This Row],[04h30]:[19h30]],[1]!Tabel1[[camion]:[Cap]],2,0),0))</f>
        <v>0</v>
      </c>
      <c r="I36" s="14">
        <f>IFERROR(+Tabel43[[#This Row],[Realise]]/Tabel43[[#This Row],[Volume]],"-")</f>
        <v>1</v>
      </c>
      <c r="J36" s="11">
        <f>COUNTA(Tabel43[[#This Row],[04h30]:[19h30]])</f>
        <v>2</v>
      </c>
      <c r="K36" s="15"/>
      <c r="L36" s="20" t="s">
        <v>42</v>
      </c>
      <c r="M36" s="16"/>
      <c r="N36" s="16" t="s">
        <v>67</v>
      </c>
      <c r="O36" s="16"/>
      <c r="P36" s="16"/>
      <c r="Q36" s="16"/>
      <c r="R36" s="16"/>
      <c r="S36" s="17"/>
      <c r="T36" s="18"/>
      <c r="U36" s="16"/>
      <c r="V36" s="16"/>
      <c r="W36" s="16"/>
      <c r="X36" s="16"/>
      <c r="Y36" s="19"/>
      <c r="Z36" s="17"/>
    </row>
    <row r="37" spans="1:26" ht="16.8" thickTop="1" thickBot="1" x14ac:dyDescent="0.35">
      <c r="A37" s="9">
        <v>1</v>
      </c>
      <c r="B37" s="10">
        <v>303</v>
      </c>
      <c r="C37" s="11">
        <v>12</v>
      </c>
      <c r="D37" s="22">
        <v>2</v>
      </c>
      <c r="E37" s="11">
        <v>2</v>
      </c>
      <c r="F37" s="11">
        <v>2</v>
      </c>
      <c r="G37" s="12">
        <f>IFERROR(IF(Tabel43[[#This Row],[MAGASINS]]=0,0,TRUNC(+Tabel43[[#This Row],[Volume]]-Tabel43[[#This Row],[Realise]])),0)</f>
        <v>0</v>
      </c>
      <c r="H37" s="13" cm="1">
        <f t="array" ref="H37">SUM(IFERROR(VLOOKUP(Tabel43[[#This Row],[04h30]:[19h30]],[1]!Tabel1[[camion]:[Cap]],2,0),0))</f>
        <v>0</v>
      </c>
      <c r="I37" s="14">
        <f>IFERROR(+Tabel43[[#This Row],[Realise]]/Tabel43[[#This Row],[Volume]],"-")</f>
        <v>1</v>
      </c>
      <c r="J37" s="11">
        <f>COUNTA(Tabel43[[#This Row],[04h30]:[19h30]])</f>
        <v>1</v>
      </c>
      <c r="K37" s="15"/>
      <c r="L37" s="16"/>
      <c r="M37" s="21" t="s">
        <v>53</v>
      </c>
      <c r="N37" s="16"/>
      <c r="O37" s="16"/>
      <c r="P37" s="16"/>
      <c r="Q37" s="16"/>
      <c r="R37" s="21"/>
      <c r="S37" s="17"/>
      <c r="T37" s="18"/>
      <c r="U37" s="16"/>
      <c r="V37" s="16"/>
      <c r="W37" s="16"/>
      <c r="X37" s="16"/>
      <c r="Y37" s="19"/>
      <c r="Z37" s="17"/>
    </row>
    <row r="38" spans="1:26" ht="16.8" thickTop="1" thickBot="1" x14ac:dyDescent="0.35">
      <c r="A38" s="9">
        <v>2</v>
      </c>
      <c r="B38" s="10">
        <v>19</v>
      </c>
      <c r="C38" s="11">
        <v>23</v>
      </c>
      <c r="D38" s="22">
        <v>23</v>
      </c>
      <c r="E38" s="11">
        <v>3</v>
      </c>
      <c r="F38" s="11">
        <v>23</v>
      </c>
      <c r="G38" s="12">
        <f>IFERROR(IF(Tabel43[[#This Row],[MAGASINS]]=0,0,TRUNC(+Tabel43[[#This Row],[Volume]]-Tabel43[[#This Row],[Realise]])),0)</f>
        <v>0</v>
      </c>
      <c r="H38" s="13" cm="1">
        <f t="array" ref="H38">SUM(IFERROR(VLOOKUP(Tabel43[[#This Row],[04h30]:[19h30]],[1]!Tabel1[[camion]:[Cap]],2,0),0))</f>
        <v>0</v>
      </c>
      <c r="I38" s="14">
        <f>IFERROR(+Tabel43[[#This Row],[Realise]]/Tabel43[[#This Row],[Volume]],"-")</f>
        <v>1</v>
      </c>
      <c r="J38" s="11">
        <f>COUNTA(Tabel43[[#This Row],[04h30]:[19h30]])</f>
        <v>1</v>
      </c>
      <c r="K38" s="15"/>
      <c r="L38" s="16"/>
      <c r="M38" s="16"/>
      <c r="N38" s="16" t="s">
        <v>39</v>
      </c>
      <c r="O38" s="16"/>
      <c r="P38" s="16"/>
      <c r="Q38" s="16"/>
      <c r="R38" s="16"/>
      <c r="S38" s="17"/>
      <c r="T38" s="18"/>
      <c r="U38" s="16"/>
      <c r="V38" s="16"/>
      <c r="W38" s="16"/>
      <c r="X38" s="16"/>
      <c r="Y38" s="19"/>
      <c r="Z38" s="17"/>
    </row>
    <row r="39" spans="1:26" ht="16.8" thickTop="1" thickBot="1" x14ac:dyDescent="0.35">
      <c r="A39" s="9">
        <v>1</v>
      </c>
      <c r="B39" s="10">
        <v>219</v>
      </c>
      <c r="C39" s="11">
        <v>12</v>
      </c>
      <c r="D39" s="22">
        <v>13</v>
      </c>
      <c r="E39" s="11">
        <v>3</v>
      </c>
      <c r="F39" s="11">
        <v>13</v>
      </c>
      <c r="G39" s="12">
        <f>IFERROR(IF(Tabel43[[#This Row],[MAGASINS]]=0,0,TRUNC(+Tabel43[[#This Row],[Volume]]-Tabel43[[#This Row],[Realise]])),0)</f>
        <v>0</v>
      </c>
      <c r="H39" s="13" cm="1">
        <f t="array" ref="H39">SUM(IFERROR(VLOOKUP(Tabel43[[#This Row],[04h30]:[19h30]],[1]!Tabel1[[camion]:[Cap]],2,0),0))</f>
        <v>0</v>
      </c>
      <c r="I39" s="14">
        <f>IFERROR(+Tabel43[[#This Row],[Realise]]/Tabel43[[#This Row],[Volume]],"-")</f>
        <v>1</v>
      </c>
      <c r="J39" s="11">
        <f>COUNTA(Tabel43[[#This Row],[04h30]:[19h30]])</f>
        <v>1</v>
      </c>
      <c r="K39" s="15"/>
      <c r="L39" s="16"/>
      <c r="M39" s="21" t="s">
        <v>65</v>
      </c>
      <c r="N39" s="16"/>
      <c r="O39" s="16"/>
      <c r="P39" s="16"/>
      <c r="Q39" s="16"/>
      <c r="R39" s="16"/>
      <c r="S39" s="17"/>
      <c r="T39" s="18"/>
      <c r="U39" s="16"/>
      <c r="V39" s="16"/>
      <c r="W39" s="16"/>
      <c r="X39" s="16"/>
      <c r="Y39" s="19"/>
      <c r="Z39" s="17"/>
    </row>
    <row r="40" spans="1:26" ht="16.8" thickTop="1" thickBot="1" x14ac:dyDescent="0.35">
      <c r="A40" s="9">
        <v>2</v>
      </c>
      <c r="B40" s="10">
        <v>302</v>
      </c>
      <c r="C40" s="11">
        <v>12</v>
      </c>
      <c r="D40" s="22">
        <v>2</v>
      </c>
      <c r="E40" s="11">
        <v>3</v>
      </c>
      <c r="F40" s="11">
        <v>2</v>
      </c>
      <c r="G40" s="12">
        <f>IFERROR(IF(Tabel43[[#This Row],[MAGASINS]]=0,0,TRUNC(+Tabel43[[#This Row],[Volume]]-Tabel43[[#This Row],[Realise]])),0)</f>
        <v>0</v>
      </c>
      <c r="H40" s="13" cm="1">
        <f t="array" ref="H40">SUM(IFERROR(VLOOKUP(Tabel43[[#This Row],[04h30]:[19h30]],[1]!Tabel1[[camion]:[Cap]],2,0),0))</f>
        <v>0</v>
      </c>
      <c r="I40" s="14">
        <f>IFERROR(+Tabel43[[#This Row],[Realise]]/Tabel43[[#This Row],[Volume]],"-")</f>
        <v>1</v>
      </c>
      <c r="J40" s="11">
        <f>COUNTA(Tabel43[[#This Row],[04h30]:[19h30]])</f>
        <v>1</v>
      </c>
      <c r="K40" s="15"/>
      <c r="L40" s="16"/>
      <c r="M40" s="16"/>
      <c r="N40" s="16" t="s">
        <v>43</v>
      </c>
      <c r="O40" s="16"/>
      <c r="P40" s="16"/>
      <c r="Q40" s="16"/>
      <c r="R40" s="16"/>
      <c r="S40" s="17"/>
      <c r="T40" s="18"/>
      <c r="U40" s="16"/>
      <c r="V40" s="16"/>
      <c r="W40" s="16"/>
      <c r="X40" s="16"/>
      <c r="Y40" s="19"/>
      <c r="Z40" s="17"/>
    </row>
    <row r="41" spans="1:26" ht="16.8" thickTop="1" thickBot="1" x14ac:dyDescent="0.35">
      <c r="A41" s="9">
        <v>8</v>
      </c>
      <c r="B41" s="10">
        <v>50</v>
      </c>
      <c r="C41" s="11">
        <v>23</v>
      </c>
      <c r="D41" s="22">
        <v>26</v>
      </c>
      <c r="E41" s="11">
        <v>4</v>
      </c>
      <c r="F41" s="11">
        <v>26</v>
      </c>
      <c r="G41" s="12">
        <f>IFERROR(IF(Tabel43[[#This Row],[MAGASINS]]=0,0,TRUNC(+Tabel43[[#This Row],[Volume]]-Tabel43[[#This Row],[Realise]])),0)</f>
        <v>0</v>
      </c>
      <c r="H41" s="13" cm="1">
        <f t="array" ref="H41">SUM(IFERROR(VLOOKUP(Tabel43[[#This Row],[04h30]:[19h30]],[1]!Tabel1[[camion]:[Cap]],2,0),0))</f>
        <v>0</v>
      </c>
      <c r="I41" s="14">
        <f>IFERROR(+Tabel43[[#This Row],[Realise]]/Tabel43[[#This Row],[Volume]],"-")</f>
        <v>1</v>
      </c>
      <c r="J41" s="11">
        <f>COUNTA(Tabel43[[#This Row],[04h30]:[19h30]])</f>
        <v>2</v>
      </c>
      <c r="K41" s="15"/>
      <c r="L41" s="16"/>
      <c r="M41" s="16"/>
      <c r="N41" s="16" t="s">
        <v>31</v>
      </c>
      <c r="O41" s="16"/>
      <c r="P41" s="16"/>
      <c r="Q41" s="16"/>
      <c r="R41" s="21" t="s">
        <v>70</v>
      </c>
      <c r="S41" s="17"/>
      <c r="T41" s="18"/>
      <c r="U41" s="16"/>
      <c r="V41" s="16"/>
      <c r="W41" s="16"/>
      <c r="X41" s="16"/>
      <c r="Y41" s="19"/>
      <c r="Z41" s="17"/>
    </row>
    <row r="42" spans="1:26" ht="16.8" thickTop="1" thickBot="1" x14ac:dyDescent="0.35">
      <c r="A42" s="9">
        <v>4</v>
      </c>
      <c r="B42" s="10">
        <v>20</v>
      </c>
      <c r="C42" s="11">
        <v>23</v>
      </c>
      <c r="D42" s="22">
        <v>24</v>
      </c>
      <c r="E42" s="11">
        <v>4</v>
      </c>
      <c r="F42" s="11">
        <v>24</v>
      </c>
      <c r="G42" s="12">
        <f>IFERROR(IF(Tabel43[[#This Row],[MAGASINS]]=0,0,TRUNC(+Tabel43[[#This Row],[Volume]]-Tabel43[[#This Row],[Realise]])),0)</f>
        <v>0</v>
      </c>
      <c r="H42" s="13" cm="1">
        <f t="array" ref="H42">SUM(IFERROR(VLOOKUP(Tabel43[[#This Row],[04h30]:[19h30]],[1]!Tabel1[[camion]:[Cap]],2,0),0))</f>
        <v>0</v>
      </c>
      <c r="I42" s="14">
        <f>IFERROR(+Tabel43[[#This Row],[Realise]]/Tabel43[[#This Row],[Volume]],"-")</f>
        <v>1</v>
      </c>
      <c r="J42" s="11">
        <f>COUNTA(Tabel43[[#This Row],[04h30]:[19h30]])</f>
        <v>2</v>
      </c>
      <c r="K42" s="15"/>
      <c r="L42" s="16"/>
      <c r="M42" s="16"/>
      <c r="N42" s="16" t="s">
        <v>34</v>
      </c>
      <c r="O42" s="16"/>
      <c r="P42" s="16"/>
      <c r="Q42" s="16"/>
      <c r="R42" s="21" t="s">
        <v>41</v>
      </c>
      <c r="S42" s="17"/>
      <c r="T42" s="18"/>
      <c r="U42" s="16"/>
      <c r="V42" s="16"/>
      <c r="W42" s="16"/>
      <c r="X42" s="16"/>
      <c r="Y42" s="19"/>
      <c r="Z42" s="17"/>
    </row>
    <row r="43" spans="1:26" ht="16.8" thickTop="1" thickBot="1" x14ac:dyDescent="0.35">
      <c r="A43" s="9">
        <v>4</v>
      </c>
      <c r="B43" s="10">
        <v>46</v>
      </c>
      <c r="C43" s="11">
        <v>12</v>
      </c>
      <c r="D43" s="22">
        <v>21</v>
      </c>
      <c r="E43" s="11">
        <v>4</v>
      </c>
      <c r="F43" s="11">
        <v>21</v>
      </c>
      <c r="G43" s="12">
        <f>IFERROR(IF(Tabel43[[#This Row],[MAGASINS]]=0,0,TRUNC(+Tabel43[[#This Row],[Volume]]-Tabel43[[#This Row],[Realise]])),0)</f>
        <v>0</v>
      </c>
      <c r="H43" s="13" cm="1">
        <f t="array" ref="H43">SUM(IFERROR(VLOOKUP(Tabel43[[#This Row],[04h30]:[19h30]],[1]!Tabel1[[camion]:[Cap]],2,0),0))</f>
        <v>0</v>
      </c>
      <c r="I43" s="14">
        <f>IFERROR(+Tabel43[[#This Row],[Realise]]/Tabel43[[#This Row],[Volume]],"-")</f>
        <v>1</v>
      </c>
      <c r="J43" s="11">
        <f>COUNTA(Tabel43[[#This Row],[04h30]:[19h30]])</f>
        <v>1</v>
      </c>
      <c r="K43" s="15"/>
      <c r="L43" s="16"/>
      <c r="M43" s="16"/>
      <c r="N43" s="16"/>
      <c r="O43" s="16" t="s">
        <v>49</v>
      </c>
      <c r="P43" s="16"/>
      <c r="Q43" s="16"/>
      <c r="R43" s="16"/>
      <c r="S43" s="17"/>
      <c r="T43" s="18"/>
      <c r="U43" s="16"/>
      <c r="V43" s="16"/>
      <c r="W43" s="16"/>
      <c r="X43" s="16"/>
      <c r="Y43" s="19"/>
      <c r="Z43" s="17"/>
    </row>
    <row r="44" spans="1:26" ht="16.8" thickTop="1" thickBot="1" x14ac:dyDescent="0.35">
      <c r="A44" s="9">
        <v>4</v>
      </c>
      <c r="B44" s="10">
        <v>216</v>
      </c>
      <c r="C44" s="11">
        <v>23</v>
      </c>
      <c r="D44" s="22">
        <v>18</v>
      </c>
      <c r="E44" s="11">
        <v>4</v>
      </c>
      <c r="F44" s="11">
        <v>18</v>
      </c>
      <c r="G44" s="12">
        <f>IFERROR(IF(Tabel43[[#This Row],[MAGASINS]]=0,0,TRUNC(+Tabel43[[#This Row],[Volume]]-Tabel43[[#This Row],[Realise]])),0)</f>
        <v>0</v>
      </c>
      <c r="H44" s="13" cm="1">
        <f t="array" ref="H44">SUM(IFERROR(VLOOKUP(Tabel43[[#This Row],[04h30]:[19h30]],[1]!Tabel1[[camion]:[Cap]],2,0),0))</f>
        <v>0</v>
      </c>
      <c r="I44" s="14">
        <f>IFERROR(+Tabel43[[#This Row],[Realise]]/Tabel43[[#This Row],[Volume]],"-")</f>
        <v>1</v>
      </c>
      <c r="J44" s="11">
        <f>COUNTA(Tabel43[[#This Row],[04h30]:[19h30]])</f>
        <v>2</v>
      </c>
      <c r="K44" s="15"/>
      <c r="L44" s="16"/>
      <c r="M44" s="16"/>
      <c r="N44" s="16"/>
      <c r="O44" s="16" t="s">
        <v>47</v>
      </c>
      <c r="P44" s="16" t="s">
        <v>41</v>
      </c>
      <c r="Q44" s="16"/>
      <c r="R44" s="16"/>
      <c r="S44" s="17"/>
      <c r="T44" s="18"/>
      <c r="U44" s="16"/>
      <c r="V44" s="16"/>
      <c r="W44" s="16"/>
      <c r="X44" s="16"/>
      <c r="Y44" s="19"/>
      <c r="Z44" s="17"/>
    </row>
    <row r="45" spans="1:26" ht="16.8" thickTop="1" thickBot="1" x14ac:dyDescent="0.35">
      <c r="A45" s="9">
        <v>4</v>
      </c>
      <c r="B45" s="10">
        <v>300</v>
      </c>
      <c r="C45" s="11">
        <v>23</v>
      </c>
      <c r="D45" s="22">
        <v>2</v>
      </c>
      <c r="E45" s="11">
        <v>4</v>
      </c>
      <c r="F45" s="11">
        <v>2</v>
      </c>
      <c r="G45" s="12">
        <f>IFERROR(IF(Tabel43[[#This Row],[MAGASINS]]=0,0,TRUNC(+Tabel43[[#This Row],[Volume]]-Tabel43[[#This Row],[Realise]])),0)</f>
        <v>0</v>
      </c>
      <c r="H45" s="13" cm="1">
        <f t="array" ref="H45">SUM(IFERROR(VLOOKUP(Tabel43[[#This Row],[04h30]:[19h30]],[1]!Tabel1[[camion]:[Cap]],2,0),0))</f>
        <v>0</v>
      </c>
      <c r="I45" s="14">
        <f>IFERROR(+Tabel43[[#This Row],[Realise]]/Tabel43[[#This Row],[Volume]],"-")</f>
        <v>1</v>
      </c>
      <c r="J45" s="11">
        <f>COUNTA(Tabel43[[#This Row],[04h30]:[19h30]])</f>
        <v>1</v>
      </c>
      <c r="K45" s="15"/>
      <c r="L45" s="16"/>
      <c r="M45" s="16"/>
      <c r="N45" s="16"/>
      <c r="O45" s="16"/>
      <c r="P45" s="16"/>
      <c r="Q45" s="16"/>
      <c r="R45" s="21" t="s">
        <v>43</v>
      </c>
      <c r="S45" s="17"/>
      <c r="T45" s="18"/>
      <c r="U45" s="16"/>
      <c r="V45" s="16"/>
      <c r="W45" s="16"/>
      <c r="X45" s="16"/>
      <c r="Y45" s="19"/>
      <c r="Z45" s="17"/>
    </row>
    <row r="46" spans="1:26" ht="16.8" thickTop="1" thickBot="1" x14ac:dyDescent="0.35">
      <c r="A46" s="9">
        <v>7</v>
      </c>
      <c r="B46" s="10">
        <v>222</v>
      </c>
      <c r="C46" s="11">
        <v>23</v>
      </c>
      <c r="D46" s="22">
        <v>15</v>
      </c>
      <c r="E46" s="11">
        <v>5</v>
      </c>
      <c r="F46" s="11">
        <v>15</v>
      </c>
      <c r="G46" s="12">
        <f>IFERROR(IF(Tabel43[[#This Row],[MAGASINS]]=0,0,TRUNC(+Tabel43[[#This Row],[Volume]]-Tabel43[[#This Row],[Realise]])),0)</f>
        <v>0</v>
      </c>
      <c r="H46" s="13" cm="1">
        <f t="array" ref="H46">SUM(IFERROR(VLOOKUP(Tabel43[[#This Row],[04h30]:[19h30]],[1]!Tabel1[[camion]:[Cap]],2,0),0))</f>
        <v>0</v>
      </c>
      <c r="I46" s="14">
        <f>IFERROR(+Tabel43[[#This Row],[Realise]]/Tabel43[[#This Row],[Volume]],"-")</f>
        <v>1</v>
      </c>
      <c r="J46" s="11">
        <f>COUNTA(Tabel43[[#This Row],[04h30]:[19h30]])</f>
        <v>1</v>
      </c>
      <c r="K46" s="15"/>
      <c r="L46" s="16"/>
      <c r="M46" s="16"/>
      <c r="N46" s="16"/>
      <c r="O46" s="16"/>
      <c r="P46" s="16"/>
      <c r="Q46" s="21" t="s">
        <v>73</v>
      </c>
      <c r="R46" s="16"/>
      <c r="S46" s="17"/>
      <c r="T46" s="18"/>
      <c r="U46" s="16"/>
      <c r="V46" s="16"/>
      <c r="W46" s="16"/>
      <c r="X46" s="16"/>
      <c r="Y46" s="19"/>
      <c r="Z46" s="17"/>
    </row>
    <row r="47" spans="1:26" ht="16.8" thickTop="1" thickBot="1" x14ac:dyDescent="0.35">
      <c r="A47" s="9">
        <v>7</v>
      </c>
      <c r="B47" s="10">
        <v>721</v>
      </c>
      <c r="C47" s="11">
        <v>12</v>
      </c>
      <c r="D47" s="22">
        <v>14</v>
      </c>
      <c r="E47" s="11">
        <v>5</v>
      </c>
      <c r="F47" s="11">
        <v>14</v>
      </c>
      <c r="G47" s="12">
        <f>IFERROR(IF(Tabel43[[#This Row],[MAGASINS]]=0,0,TRUNC(+Tabel43[[#This Row],[Volume]]-Tabel43[[#This Row],[Realise]])),0)</f>
        <v>0</v>
      </c>
      <c r="H47" s="13" cm="1">
        <f t="array" ref="H47">SUM(IFERROR(VLOOKUP(Tabel43[[#This Row],[04h30]:[19h30]],[1]!Tabel1[[camion]:[Cap]],2,0),0))</f>
        <v>0</v>
      </c>
      <c r="I47" s="14">
        <f>IFERROR(+Tabel43[[#This Row],[Realise]]/Tabel43[[#This Row],[Volume]],"-")</f>
        <v>1</v>
      </c>
      <c r="J47" s="11">
        <f>COUNTA(Tabel43[[#This Row],[04h30]:[19h30]])</f>
        <v>1</v>
      </c>
      <c r="K47" s="15"/>
      <c r="L47" s="16"/>
      <c r="M47" s="16"/>
      <c r="N47" s="16"/>
      <c r="O47" s="16"/>
      <c r="P47" s="16"/>
      <c r="Q47" s="21" t="s">
        <v>66</v>
      </c>
      <c r="R47" s="16"/>
      <c r="S47" s="17"/>
      <c r="T47" s="18"/>
      <c r="U47" s="16"/>
      <c r="V47" s="16"/>
      <c r="W47" s="16"/>
      <c r="X47" s="16"/>
      <c r="Y47" s="19"/>
      <c r="Z47" s="17"/>
    </row>
    <row r="48" spans="1:26" ht="16.8" thickTop="1" thickBot="1" x14ac:dyDescent="0.35">
      <c r="A48" s="9">
        <v>3</v>
      </c>
      <c r="B48" s="10">
        <v>221</v>
      </c>
      <c r="C48" s="11">
        <v>23</v>
      </c>
      <c r="D48" s="22">
        <v>23</v>
      </c>
      <c r="E48" s="11">
        <v>6</v>
      </c>
      <c r="F48" s="11">
        <v>23</v>
      </c>
      <c r="G48" s="12">
        <f>IFERROR(IF(Tabel43[[#This Row],[MAGASINS]]=0,0,TRUNC(+Tabel43[[#This Row],[Volume]]-Tabel43[[#This Row],[Realise]])),0)</f>
        <v>0</v>
      </c>
      <c r="H48" s="13" cm="1">
        <f t="array" ref="H48">SUM(IFERROR(VLOOKUP(Tabel43[[#This Row],[04h30]:[19h30]],[1]!Tabel1[[camion]:[Cap]],2,0),0))</f>
        <v>0</v>
      </c>
      <c r="I48" s="14">
        <f>IFERROR(+Tabel43[[#This Row],[Realise]]/Tabel43[[#This Row],[Volume]],"-")</f>
        <v>1</v>
      </c>
      <c r="J48" s="11">
        <f>COUNTA(Tabel43[[#This Row],[04h30]:[19h30]])</f>
        <v>1</v>
      </c>
      <c r="K48" s="15"/>
      <c r="L48" s="16"/>
      <c r="M48" s="16"/>
      <c r="N48" s="16"/>
      <c r="O48" s="16"/>
      <c r="P48" s="16"/>
      <c r="Q48" s="16"/>
      <c r="R48" s="16" t="s">
        <v>31</v>
      </c>
      <c r="S48" s="17"/>
      <c r="T48" s="18"/>
      <c r="U48" s="16"/>
      <c r="V48" s="16"/>
      <c r="W48" s="16"/>
      <c r="X48" s="16"/>
      <c r="Y48" s="19"/>
      <c r="Z48" s="17"/>
    </row>
    <row r="49" spans="1:26" ht="16.8" thickTop="1" thickBot="1" x14ac:dyDescent="0.35">
      <c r="A49" s="9">
        <v>3</v>
      </c>
      <c r="B49" s="10">
        <v>218</v>
      </c>
      <c r="C49" s="11">
        <v>12</v>
      </c>
      <c r="D49" s="22">
        <v>8</v>
      </c>
      <c r="E49" s="11">
        <v>6</v>
      </c>
      <c r="F49" s="11">
        <v>8</v>
      </c>
      <c r="G49" s="12">
        <f>IFERROR(IF(Tabel43[[#This Row],[MAGASINS]]=0,0,TRUNC(+Tabel43[[#This Row],[Volume]]-Tabel43[[#This Row],[Realise]])),0)</f>
        <v>0</v>
      </c>
      <c r="H49" s="13" cm="1">
        <f t="array" ref="H49">SUM(IFERROR(VLOOKUP(Tabel43[[#This Row],[04h30]:[19h30]],[1]!Tabel1[[camion]:[Cap]],2,0),0))</f>
        <v>0</v>
      </c>
      <c r="I49" s="14">
        <f>IFERROR(+Tabel43[[#This Row],[Realise]]/Tabel43[[#This Row],[Volume]],"-")</f>
        <v>1</v>
      </c>
      <c r="J49" s="11">
        <f>COUNTA(Tabel43[[#This Row],[04h30]:[19h30]])</f>
        <v>2</v>
      </c>
      <c r="K49" s="15"/>
      <c r="L49" s="16"/>
      <c r="M49" s="16"/>
      <c r="N49" s="16"/>
      <c r="O49" s="16"/>
      <c r="P49" s="16" t="s">
        <v>76</v>
      </c>
      <c r="Q49" s="16"/>
      <c r="R49" s="21" t="s">
        <v>41</v>
      </c>
      <c r="S49" s="17"/>
      <c r="T49" s="18"/>
      <c r="U49" s="16"/>
      <c r="V49" s="16"/>
      <c r="W49" s="16"/>
      <c r="X49" s="16"/>
      <c r="Y49" s="19"/>
      <c r="Z49" s="17"/>
    </row>
    <row r="50" spans="1:26" ht="16.8" thickTop="1" thickBot="1" x14ac:dyDescent="0.35">
      <c r="A50" s="9">
        <v>3</v>
      </c>
      <c r="B50" s="10">
        <v>301</v>
      </c>
      <c r="C50" s="11">
        <v>12</v>
      </c>
      <c r="D50" s="22">
        <v>2</v>
      </c>
      <c r="E50" s="11">
        <v>6</v>
      </c>
      <c r="F50" s="11">
        <v>2</v>
      </c>
      <c r="G50" s="12">
        <f>IFERROR(IF(Tabel43[[#This Row],[MAGASINS]]=0,0,TRUNC(+Tabel43[[#This Row],[Volume]]-Tabel43[[#This Row],[Realise]])),0)</f>
        <v>0</v>
      </c>
      <c r="H50" s="13" cm="1">
        <f t="array" ref="H50">SUM(IFERROR(VLOOKUP(Tabel43[[#This Row],[04h30]:[19h30]],[1]!Tabel1[[camion]:[Cap]],2,0),0))</f>
        <v>0</v>
      </c>
      <c r="I50" s="14">
        <f>IFERROR(+Tabel43[[#This Row],[Realise]]/Tabel43[[#This Row],[Volume]],"-")</f>
        <v>1</v>
      </c>
      <c r="J50" s="11">
        <f>COUNTA(Tabel43[[#This Row],[04h30]:[19h30]])</f>
        <v>1</v>
      </c>
      <c r="K50" s="15"/>
      <c r="L50" s="16"/>
      <c r="M50" s="16"/>
      <c r="N50" s="16"/>
      <c r="O50" s="16"/>
      <c r="P50" s="21"/>
      <c r="Q50" s="16"/>
      <c r="R50" s="21" t="s">
        <v>43</v>
      </c>
      <c r="S50" s="17"/>
      <c r="T50" s="18"/>
      <c r="U50" s="16"/>
      <c r="V50" s="16"/>
      <c r="W50" s="16"/>
      <c r="X50" s="16"/>
      <c r="Y50" s="19"/>
      <c r="Z50" s="17"/>
    </row>
    <row r="51" spans="1:26" ht="16.8" thickTop="1" thickBot="1" x14ac:dyDescent="0.35">
      <c r="A51" s="9">
        <v>6</v>
      </c>
      <c r="B51" s="10">
        <v>42</v>
      </c>
      <c r="C51" s="11">
        <v>23</v>
      </c>
      <c r="D51" s="22">
        <v>36</v>
      </c>
      <c r="E51" s="11">
        <v>7</v>
      </c>
      <c r="F51" s="11">
        <v>36</v>
      </c>
      <c r="G51" s="12">
        <f>IFERROR(IF(Tabel43[[#This Row],[MAGASINS]]=0,0,TRUNC(+Tabel43[[#This Row],[Volume]]-Tabel43[[#This Row],[Realise]])),0)</f>
        <v>0</v>
      </c>
      <c r="H51" s="13" cm="1">
        <f t="array" ref="H51">SUM(IFERROR(VLOOKUP(Tabel43[[#This Row],[04h30]:[19h30]],[1]!Tabel1[[camion]:[Cap]],2,0),0))</f>
        <v>0</v>
      </c>
      <c r="I51" s="14">
        <f>IFERROR(+Tabel43[[#This Row],[Realise]]/Tabel43[[#This Row],[Volume]],"-")</f>
        <v>1</v>
      </c>
      <c r="J51" s="11">
        <f>COUNTA(Tabel43[[#This Row],[04h30]:[19h30]])</f>
        <v>2</v>
      </c>
      <c r="K51" s="15"/>
      <c r="L51" s="16"/>
      <c r="M51" s="16"/>
      <c r="N51" s="16"/>
      <c r="O51" s="16"/>
      <c r="P51" s="16"/>
      <c r="Q51" s="16"/>
      <c r="R51" s="16"/>
      <c r="S51" s="17"/>
      <c r="T51" s="18"/>
      <c r="U51" s="16"/>
      <c r="V51" s="16" t="s">
        <v>39</v>
      </c>
      <c r="W51" s="16"/>
      <c r="X51" s="21" t="s">
        <v>36</v>
      </c>
      <c r="Y51" s="19"/>
      <c r="Z51" s="17"/>
    </row>
    <row r="52" spans="1:26" ht="16.8" thickTop="1" thickBot="1" x14ac:dyDescent="0.35">
      <c r="A52" s="9">
        <v>6</v>
      </c>
      <c r="B52" s="10">
        <v>43</v>
      </c>
      <c r="C52" s="11">
        <v>23</v>
      </c>
      <c r="D52" s="22">
        <v>20</v>
      </c>
      <c r="E52" s="11">
        <v>7</v>
      </c>
      <c r="F52" s="11">
        <v>20</v>
      </c>
      <c r="G52" s="12">
        <f>IFERROR(IF(Tabel43[[#This Row],[MAGASINS]]=0,0,TRUNC(+Tabel43[[#This Row],[Volume]]-Tabel43[[#This Row],[Realise]])),0)</f>
        <v>0</v>
      </c>
      <c r="H52" s="13" cm="1">
        <f t="array" ref="H52">SUM(IFERROR(VLOOKUP(Tabel43[[#This Row],[04h30]:[19h30]],[1]!Tabel1[[camion]:[Cap]],2,0),0))</f>
        <v>0</v>
      </c>
      <c r="I52" s="14">
        <f>IFERROR(+Tabel43[[#This Row],[Realise]]/Tabel43[[#This Row],[Volume]],"-")</f>
        <v>1</v>
      </c>
      <c r="J52" s="11">
        <f>COUNTA(Tabel43[[#This Row],[04h30]:[19h30]])</f>
        <v>1</v>
      </c>
      <c r="K52" s="15"/>
      <c r="L52" s="16"/>
      <c r="M52" s="16"/>
      <c r="N52" s="16"/>
      <c r="O52" s="16"/>
      <c r="P52" s="16"/>
      <c r="Q52" s="16"/>
      <c r="R52" s="16"/>
      <c r="S52" s="17"/>
      <c r="T52" s="18"/>
      <c r="U52" s="16"/>
      <c r="V52" s="21" t="s">
        <v>77</v>
      </c>
      <c r="W52" s="16"/>
      <c r="X52" s="16"/>
      <c r="Y52" s="19"/>
      <c r="Z52" s="17"/>
    </row>
    <row r="53" spans="1:26" ht="16.8" thickTop="1" thickBot="1" x14ac:dyDescent="0.35">
      <c r="A53" s="9">
        <v>6</v>
      </c>
      <c r="B53" s="10">
        <v>45</v>
      </c>
      <c r="C53" s="11">
        <v>12</v>
      </c>
      <c r="D53" s="23">
        <v>18</v>
      </c>
      <c r="E53" s="11">
        <v>7</v>
      </c>
      <c r="F53" s="11">
        <v>18</v>
      </c>
      <c r="G53" s="12">
        <f>IFERROR(IF(Tabel43[[#This Row],[MAGASINS]]=0,0,TRUNC(+Tabel43[[#This Row],[Volume]]-Tabel43[[#This Row],[Realise]])),0)</f>
        <v>0</v>
      </c>
      <c r="H53" s="13" cm="1">
        <f t="array" ref="H53">SUM(IFERROR(VLOOKUP(Tabel43[[#This Row],[04h30]:[19h30]],[1]!Tabel1[[camion]:[Cap]],2,0),0))</f>
        <v>0</v>
      </c>
      <c r="I53" s="14">
        <f>IFERROR(+Tabel43[[#This Row],[Realise]]/Tabel43[[#This Row],[Volume]],"-")</f>
        <v>1</v>
      </c>
      <c r="J53" s="11">
        <f>COUNTA(Tabel43[[#This Row],[04h30]:[19h30]])</f>
        <v>1</v>
      </c>
      <c r="K53" s="15"/>
      <c r="L53" s="16"/>
      <c r="M53" s="16"/>
      <c r="N53" s="16"/>
      <c r="O53" s="16"/>
      <c r="P53" s="16"/>
      <c r="Q53" s="16"/>
      <c r="R53" s="16"/>
      <c r="S53" s="17"/>
      <c r="T53" s="18"/>
      <c r="U53" s="16"/>
      <c r="V53" s="16" t="s">
        <v>78</v>
      </c>
      <c r="W53" s="16"/>
      <c r="X53" s="16"/>
      <c r="Y53" s="19"/>
      <c r="Z53" s="17"/>
    </row>
    <row r="54" spans="1:26" ht="15" thickTop="1" x14ac:dyDescent="0.3"/>
  </sheetData>
  <phoneticPr fontId="7" type="noConversion"/>
  <conditionalFormatting sqref="K30:Z50 K51:U51 K52:Z52 W51 Y53:Z53 K53:W53 Y51:Z51">
    <cfRule type="expression" dxfId="201" priority="56">
      <formula>ISNUMBER(SEARCH("351",K30))</formula>
    </cfRule>
    <cfRule type="expression" dxfId="200" priority="57">
      <formula>ISNUMBER(SEARCH("802",K30))</formula>
    </cfRule>
    <cfRule type="expression" dxfId="199" priority="58">
      <formula>ISNUMBER(SEARCH("392",K30))</formula>
    </cfRule>
    <cfRule type="expression" dxfId="198" priority="59">
      <formula>ISNUMBER(SEARCH("277",K30))</formula>
    </cfRule>
    <cfRule type="expression" dxfId="197" priority="60">
      <formula>ISNUMBER(SEARCH("379",K30))</formula>
    </cfRule>
    <cfRule type="expression" dxfId="196" priority="61">
      <formula>ISNUMBER(SEARCH("361",K30))</formula>
    </cfRule>
    <cfRule type="expression" dxfId="195" priority="62">
      <formula>ISNUMBER(SEARCH("609",K30))</formula>
    </cfRule>
    <cfRule type="expression" dxfId="194" priority="63">
      <formula>ISNUMBER(SEARCH("715",K30))</formula>
    </cfRule>
    <cfRule type="expression" dxfId="193" priority="64">
      <formula>ISNUMBER(SEARCH("392",K30))</formula>
    </cfRule>
    <cfRule type="expression" dxfId="192" priority="65">
      <formula>ISNUMBER(SEARCH("919",K30))</formula>
    </cfRule>
    <cfRule type="expression" dxfId="191" priority="66">
      <formula>ISNUMBER(SEARCH("225",K30))</formula>
    </cfRule>
  </conditionalFormatting>
  <conditionalFormatting sqref="A30:Z50 A51:U51 A52:Z52 W51 Y53:Z53 A53:W53 Y51:Z51">
    <cfRule type="expression" dxfId="190" priority="55">
      <formula>OR(AND(Trie_Par_secteur=0,$E30=OFFSET($E30,1,)),AND(Trie_Par_secteur&gt;0,$A30=OFFSET($A30,1,)))</formula>
    </cfRule>
  </conditionalFormatting>
  <conditionalFormatting sqref="G30:G53">
    <cfRule type="expression" dxfId="189" priority="54">
      <formula>G30&lt;0</formula>
    </cfRule>
  </conditionalFormatting>
  <conditionalFormatting sqref="A30:J53">
    <cfRule type="expression" dxfId="188" priority="53">
      <formula>$B30=220</formula>
    </cfRule>
  </conditionalFormatting>
  <conditionalFormatting sqref="D30:D53">
    <cfRule type="dataBar" priority="5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{85F919F1-F1A5-4250-859F-8D4259FE36FE}</x14:id>
        </ext>
      </extLst>
    </cfRule>
  </conditionalFormatting>
  <conditionalFormatting sqref="K3:Z26">
    <cfRule type="expression" dxfId="187" priority="41">
      <formula>ISNUMBER(SEARCH("351",K3))</formula>
    </cfRule>
    <cfRule type="expression" dxfId="186" priority="42">
      <formula>ISNUMBER(SEARCH("802",K3))</formula>
    </cfRule>
    <cfRule type="expression" dxfId="185" priority="43">
      <formula>ISNUMBER(SEARCH("392",K3))</formula>
    </cfRule>
    <cfRule type="expression" dxfId="184" priority="44">
      <formula>ISNUMBER(SEARCH("277",K3))</formula>
    </cfRule>
    <cfRule type="expression" dxfId="183" priority="45">
      <formula>ISNUMBER(SEARCH("379",K3))</formula>
    </cfRule>
    <cfRule type="expression" dxfId="182" priority="46">
      <formula>ISNUMBER(SEARCH("361",K3))</formula>
    </cfRule>
    <cfRule type="expression" dxfId="181" priority="47">
      <formula>ISNUMBER(SEARCH("609",K3))</formula>
    </cfRule>
    <cfRule type="expression" dxfId="180" priority="48">
      <formula>ISNUMBER(SEARCH("715",K3))</formula>
    </cfRule>
    <cfRule type="expression" dxfId="179" priority="49">
      <formula>ISNUMBER(SEARCH("392",K3))</formula>
    </cfRule>
    <cfRule type="expression" dxfId="178" priority="50">
      <formula>ISNUMBER(SEARCH("919",K3))</formula>
    </cfRule>
    <cfRule type="expression" dxfId="177" priority="51">
      <formula>ISNUMBER(SEARCH("225",K3))</formula>
    </cfRule>
  </conditionalFormatting>
  <conditionalFormatting sqref="A3:Z26">
    <cfRule type="expression" dxfId="176" priority="40">
      <formula>OR(AND(Trie_Par_secteur=0,$E3=OFFSET($E3,1,)),AND(Trie_Par_secteur&gt;0,$A3=OFFSET($A3,1,)))</formula>
    </cfRule>
  </conditionalFormatting>
  <conditionalFormatting sqref="G3:G26">
    <cfRule type="expression" dxfId="175" priority="39">
      <formula>G3&lt;0</formula>
    </cfRule>
  </conditionalFormatting>
  <conditionalFormatting sqref="A3:J26">
    <cfRule type="expression" dxfId="174" priority="38">
      <formula>$B3=220</formula>
    </cfRule>
  </conditionalFormatting>
  <conditionalFormatting sqref="D3:D26">
    <cfRule type="dataBar" priority="3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{7604AD4C-F05E-4FE7-B73F-E3B0DEB1A200}</x14:id>
        </ext>
      </extLst>
    </cfRule>
  </conditionalFormatting>
  <conditionalFormatting sqref="V51">
    <cfRule type="expression" dxfId="173" priority="26">
      <formula>ISNUMBER(SEARCH("351",V51))</formula>
    </cfRule>
    <cfRule type="expression" dxfId="172" priority="27">
      <formula>ISNUMBER(SEARCH("802",V51))</formula>
    </cfRule>
    <cfRule type="expression" dxfId="171" priority="28">
      <formula>ISNUMBER(SEARCH("392",V51))</formula>
    </cfRule>
    <cfRule type="expression" dxfId="170" priority="29">
      <formula>ISNUMBER(SEARCH("277",V51))</formula>
    </cfRule>
    <cfRule type="expression" dxfId="169" priority="30">
      <formula>ISNUMBER(SEARCH("379",V51))</formula>
    </cfRule>
    <cfRule type="expression" dxfId="168" priority="31">
      <formula>ISNUMBER(SEARCH("361",V51))</formula>
    </cfRule>
    <cfRule type="expression" dxfId="167" priority="32">
      <formula>ISNUMBER(SEARCH("609",V51))</formula>
    </cfRule>
    <cfRule type="expression" dxfId="166" priority="33">
      <formula>ISNUMBER(SEARCH("715",V51))</formula>
    </cfRule>
    <cfRule type="expression" dxfId="165" priority="34">
      <formula>ISNUMBER(SEARCH("392",V51))</formula>
    </cfRule>
    <cfRule type="expression" dxfId="164" priority="35">
      <formula>ISNUMBER(SEARCH("919",V51))</formula>
    </cfRule>
    <cfRule type="expression" dxfId="163" priority="36">
      <formula>ISNUMBER(SEARCH("225",V51))</formula>
    </cfRule>
  </conditionalFormatting>
  <conditionalFormatting sqref="V51">
    <cfRule type="expression" dxfId="162" priority="25">
      <formula>OR(AND(Trie_Par_secteur=0,$E51=OFFSET($E51,1,)),AND(Trie_Par_secteur&gt;0,$A51=OFFSET($A51,1,)))</formula>
    </cfRule>
  </conditionalFormatting>
  <conditionalFormatting sqref="X53">
    <cfRule type="expression" dxfId="161" priority="14">
      <formula>ISNUMBER(SEARCH("351",X53))</formula>
    </cfRule>
    <cfRule type="expression" dxfId="160" priority="15">
      <formula>ISNUMBER(SEARCH("802",X53))</formula>
    </cfRule>
    <cfRule type="expression" dxfId="159" priority="16">
      <formula>ISNUMBER(SEARCH("392",X53))</formula>
    </cfRule>
    <cfRule type="expression" dxfId="158" priority="17">
      <formula>ISNUMBER(SEARCH("277",X53))</formula>
    </cfRule>
    <cfRule type="expression" dxfId="157" priority="18">
      <formula>ISNUMBER(SEARCH("379",X53))</formula>
    </cfRule>
    <cfRule type="expression" dxfId="156" priority="19">
      <formula>ISNUMBER(SEARCH("361",X53))</formula>
    </cfRule>
    <cfRule type="expression" dxfId="155" priority="20">
      <formula>ISNUMBER(SEARCH("609",X53))</formula>
    </cfRule>
    <cfRule type="expression" dxfId="154" priority="21">
      <formula>ISNUMBER(SEARCH("715",X53))</formula>
    </cfRule>
    <cfRule type="expression" dxfId="153" priority="22">
      <formula>ISNUMBER(SEARCH("392",X53))</formula>
    </cfRule>
    <cfRule type="expression" dxfId="152" priority="23">
      <formula>ISNUMBER(SEARCH("919",X53))</formula>
    </cfRule>
    <cfRule type="expression" dxfId="151" priority="24">
      <formula>ISNUMBER(SEARCH("225",X53))</formula>
    </cfRule>
  </conditionalFormatting>
  <conditionalFormatting sqref="X53">
    <cfRule type="expression" dxfId="150" priority="13">
      <formula>OR(AND(Trie_Par_secteur=0,$E53=OFFSET($E53,1,)),AND(Trie_Par_secteur&gt;0,$A53=OFFSET($A53,1,)))</formula>
    </cfRule>
  </conditionalFormatting>
  <conditionalFormatting sqref="X51">
    <cfRule type="expression" dxfId="149" priority="2">
      <formula>ISNUMBER(SEARCH("351",X51))</formula>
    </cfRule>
    <cfRule type="expression" dxfId="148" priority="3">
      <formula>ISNUMBER(SEARCH("802",X51))</formula>
    </cfRule>
    <cfRule type="expression" dxfId="147" priority="4">
      <formula>ISNUMBER(SEARCH("392",X51))</formula>
    </cfRule>
    <cfRule type="expression" dxfId="146" priority="5">
      <formula>ISNUMBER(SEARCH("277",X51))</formula>
    </cfRule>
    <cfRule type="expression" dxfId="145" priority="6">
      <formula>ISNUMBER(SEARCH("379",X51))</formula>
    </cfRule>
    <cfRule type="expression" dxfId="144" priority="7">
      <formula>ISNUMBER(SEARCH("361",X51))</formula>
    </cfRule>
    <cfRule type="expression" dxfId="143" priority="8">
      <formula>ISNUMBER(SEARCH("609",X51))</formula>
    </cfRule>
    <cfRule type="expression" dxfId="142" priority="9">
      <formula>ISNUMBER(SEARCH("715",X51))</formula>
    </cfRule>
    <cfRule type="expression" dxfId="141" priority="10">
      <formula>ISNUMBER(SEARCH("392",X51))</formula>
    </cfRule>
    <cfRule type="expression" dxfId="140" priority="11">
      <formula>ISNUMBER(SEARCH("919",X51))</formula>
    </cfRule>
    <cfRule type="expression" dxfId="139" priority="12">
      <formula>ISNUMBER(SEARCH("225",X51))</formula>
    </cfRule>
  </conditionalFormatting>
  <conditionalFormatting sqref="X51">
    <cfRule type="expression" dxfId="138" priority="1">
      <formula>OR(AND(Trie_Par_secteur=0,$E51=OFFSET($E51,1,)),AND(Trie_Par_secteur&gt;0,$A51=OFFSET($A51,1,)))</formula>
    </cfRule>
  </conditionalFormatting>
  <dataValidations disablePrompts="1" count="1">
    <dataValidation type="list" allowBlank="1" showInputMessage="1" showErrorMessage="1" sqref="C30:C53 C3:C26" xr:uid="{3AA3F369-D0C4-4684-9C01-0836C7F8F1CE}">
      <formula1>$C$20:$C$31</formula1>
    </dataValidation>
  </dataValidation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5F919F1-F1A5-4250-859F-8D4259FE36F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D30:D53</xm:sqref>
        </x14:conditionalFormatting>
        <x14:conditionalFormatting xmlns:xm="http://schemas.microsoft.com/office/excel/2006/main">
          <x14:cfRule type="dataBar" id="{7604AD4C-F05E-4FE7-B73F-E3B0DEB1A20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D3:D26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936EE-E300-4AB3-956D-4EB96CAC1975}">
  <dimension ref="A1:AG54"/>
  <sheetViews>
    <sheetView tabSelected="1" topLeftCell="A25" zoomScale="80" zoomScaleNormal="80" workbookViewId="0">
      <selection activeCell="J3" sqref="J3:J27"/>
    </sheetView>
  </sheetViews>
  <sheetFormatPr baseColWidth="10" defaultRowHeight="14.4" x14ac:dyDescent="0.3"/>
  <sheetData>
    <row r="1" spans="1:33" s="2" customFormat="1" ht="16.2" thickBot="1" x14ac:dyDescent="0.35">
      <c r="A1" s="28">
        <v>1</v>
      </c>
      <c r="C1" s="29" t="str" cm="1">
        <f t="array" ref="C1">INDEX({"Secteur";"Prio";"Index"},Trie_Par_secteur+1)</f>
        <v>Secteur</v>
      </c>
      <c r="D1" s="30">
        <f>SUM([2]!Tabel4[Volume])</f>
        <v>480</v>
      </c>
      <c r="F1" s="30"/>
      <c r="G1" s="31">
        <f>SUM([2]!Tabel4[solde])</f>
        <v>0</v>
      </c>
      <c r="K1" s="32">
        <f>COUNTA([2]!Tabel4[04h30])</f>
        <v>2</v>
      </c>
      <c r="L1" s="2">
        <f>COUNTA([2]!Tabel4[05h30])</f>
        <v>6</v>
      </c>
      <c r="M1" s="2">
        <f>COUNTA([2]!Tabel4[06h30])</f>
        <v>2</v>
      </c>
      <c r="N1" s="2">
        <f>COUNTA([2]!Tabel4[07h30])</f>
        <v>6</v>
      </c>
      <c r="O1" s="2">
        <f>COUNTA([2]!Tabel4[08h30])</f>
        <v>2</v>
      </c>
      <c r="P1" s="2">
        <f>COUNTA([2]!Tabel4[09h30])</f>
        <v>3</v>
      </c>
      <c r="Q1" s="2">
        <f>COUNTA([2]!Tabel4[10h30])</f>
        <v>6</v>
      </c>
      <c r="R1" s="2">
        <f>COUNTA([2]!Tabel4[11h30])</f>
        <v>2</v>
      </c>
      <c r="S1" s="33">
        <f>COUNTA([2]!Tabel4[12h30])</f>
        <v>3</v>
      </c>
      <c r="T1" s="2">
        <f>COUNTA([2]!Tabel4[13h30])</f>
        <v>1</v>
      </c>
      <c r="U1" s="2">
        <f>COUNTA([2]!Tabel4[14h30])</f>
        <v>1</v>
      </c>
      <c r="V1" s="2">
        <f>COUNTA([2]!Tabel4[15h30])</f>
        <v>2</v>
      </c>
      <c r="W1" s="2">
        <f>COUNTA([2]!Tabel4[16h30])</f>
        <v>1</v>
      </c>
      <c r="X1" s="2">
        <f>COUNTA([2]!Tabel4[17h30])</f>
        <v>1</v>
      </c>
      <c r="Y1" s="2">
        <f>COUNTA([2]!Tabel4[18h30])</f>
        <v>0</v>
      </c>
      <c r="Z1" s="2">
        <f>COUNTA([2]!Tabel4[19h30])</f>
        <v>0</v>
      </c>
      <c r="AA1" s="38">
        <f>SUM(K1:Z1)</f>
        <v>38</v>
      </c>
      <c r="AB1" s="37" t="s">
        <v>92</v>
      </c>
      <c r="AC1" s="34"/>
      <c r="AD1" s="35"/>
      <c r="AE1" s="35"/>
      <c r="AF1" s="35"/>
      <c r="AG1" s="28"/>
    </row>
    <row r="2" spans="1:33" ht="15.6" thickTop="1" thickBot="1" x14ac:dyDescent="0.35">
      <c r="A2" s="1" t="s">
        <v>0</v>
      </c>
      <c r="B2" s="2" t="s">
        <v>1</v>
      </c>
      <c r="C2" s="2" t="s">
        <v>81</v>
      </c>
      <c r="D2" s="2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4" t="s">
        <v>9</v>
      </c>
      <c r="K2" s="5" t="s">
        <v>10</v>
      </c>
      <c r="L2" s="6" t="s">
        <v>11</v>
      </c>
      <c r="M2" s="6" t="s">
        <v>12</v>
      </c>
      <c r="N2" s="6" t="s">
        <v>13</v>
      </c>
      <c r="O2" s="6" t="s">
        <v>14</v>
      </c>
      <c r="P2" s="6" t="s">
        <v>15</v>
      </c>
      <c r="Q2" s="6" t="s">
        <v>16</v>
      </c>
      <c r="R2" s="7" t="s">
        <v>17</v>
      </c>
      <c r="S2" s="8" t="s">
        <v>18</v>
      </c>
      <c r="T2" s="7" t="s">
        <v>19</v>
      </c>
      <c r="U2" s="7" t="s">
        <v>20</v>
      </c>
      <c r="V2" s="7" t="s">
        <v>21</v>
      </c>
      <c r="W2" s="7" t="s">
        <v>22</v>
      </c>
      <c r="X2" s="7" t="s">
        <v>23</v>
      </c>
      <c r="Y2" s="7" t="s">
        <v>24</v>
      </c>
      <c r="Z2" s="8" t="s">
        <v>25</v>
      </c>
      <c r="AA2">
        <v>31</v>
      </c>
      <c r="AB2" t="s">
        <v>93</v>
      </c>
    </row>
    <row r="3" spans="1:33" ht="16.8" thickTop="1" thickBot="1" x14ac:dyDescent="0.35">
      <c r="A3" s="9">
        <v>5</v>
      </c>
      <c r="B3" s="10">
        <v>41</v>
      </c>
      <c r="C3" s="11">
        <v>8</v>
      </c>
      <c r="D3" s="11">
        <v>10</v>
      </c>
      <c r="E3" s="11">
        <v>1</v>
      </c>
      <c r="F3" s="11">
        <v>10</v>
      </c>
      <c r="G3" s="12">
        <f>IFERROR(IF(Tabel45[[#This Row],[MAGASINS]]=0,0,TRUNC(+Tabel45[[#This Row],[Volume]]-Tabel45[[#This Row],[Realise]])),0)</f>
        <v>0</v>
      </c>
      <c r="H3" s="13" cm="1">
        <f t="array" ref="H3">SUM(IFERROR(VLOOKUP(Tabel45[[#This Row],[04h30]:[19h30]],[2]!Tabel1[[camion]:[Cap]],2,0),0))</f>
        <v>0</v>
      </c>
      <c r="I3" s="14">
        <f>IFERROR(+Tabel45[[#This Row],[Realise]]/Tabel45[[#This Row],[Volume]],"-")</f>
        <v>1</v>
      </c>
      <c r="J3" s="11">
        <f>COUNTA(Tabel45[[#This Row],[04h30]:[19h30]])</f>
        <v>1</v>
      </c>
      <c r="K3" s="15" t="s">
        <v>27</v>
      </c>
      <c r="L3" s="16"/>
      <c r="M3" s="16"/>
      <c r="N3" s="16"/>
      <c r="O3" s="16"/>
      <c r="P3" s="16"/>
      <c r="Q3" s="16"/>
      <c r="R3" s="16"/>
      <c r="S3" s="17"/>
      <c r="T3" s="18"/>
      <c r="U3" s="16"/>
      <c r="V3" s="16"/>
      <c r="W3" s="16"/>
      <c r="X3" s="16"/>
      <c r="Y3" s="19"/>
      <c r="Z3" s="17"/>
      <c r="AB3" t="s">
        <v>91</v>
      </c>
    </row>
    <row r="4" spans="1:33" ht="16.8" thickTop="1" thickBot="1" x14ac:dyDescent="0.35">
      <c r="A4" s="9">
        <v>7</v>
      </c>
      <c r="B4" s="10">
        <v>44</v>
      </c>
      <c r="C4" s="11">
        <v>11</v>
      </c>
      <c r="D4" s="11">
        <v>10</v>
      </c>
      <c r="E4" s="11">
        <v>1</v>
      </c>
      <c r="F4" s="11">
        <v>10</v>
      </c>
      <c r="G4" s="12">
        <f>IFERROR(IF(Tabel45[[#This Row],[MAGASINS]]=0,0,TRUNC(+Tabel45[[#This Row],[Volume]]-Tabel45[[#This Row],[Realise]])),0)</f>
        <v>0</v>
      </c>
      <c r="H4" s="13" cm="1">
        <f t="array" ref="H4">SUM(IFERROR(VLOOKUP(Tabel45[[#This Row],[04h30]:[19h30]],[2]!Tabel1[[camion]:[Cap]],2,0),0))</f>
        <v>0</v>
      </c>
      <c r="I4" s="14">
        <f>IFERROR(+Tabel45[[#This Row],[Realise]]/Tabel45[[#This Row],[Volume]],"-")</f>
        <v>1</v>
      </c>
      <c r="J4" s="11">
        <f>COUNTA(Tabel45[[#This Row],[04h30]:[19h30]])</f>
        <v>1</v>
      </c>
      <c r="K4" s="15" t="s">
        <v>26</v>
      </c>
      <c r="L4" s="16"/>
      <c r="M4" s="16"/>
      <c r="N4" s="16"/>
      <c r="O4" s="16"/>
      <c r="P4" s="16"/>
      <c r="Q4" s="16"/>
      <c r="R4" s="16"/>
      <c r="S4" s="17"/>
      <c r="T4" s="18"/>
      <c r="U4" s="16"/>
      <c r="V4" s="16"/>
      <c r="W4" s="16"/>
      <c r="X4" s="16"/>
      <c r="Y4" s="19"/>
      <c r="Z4" s="17"/>
    </row>
    <row r="5" spans="1:33" ht="16.8" thickTop="1" thickBot="1" x14ac:dyDescent="0.35">
      <c r="A5" s="9">
        <v>2</v>
      </c>
      <c r="B5" s="10">
        <v>10</v>
      </c>
      <c r="C5" s="11">
        <v>1</v>
      </c>
      <c r="D5" s="11">
        <v>60</v>
      </c>
      <c r="E5" s="11">
        <v>2</v>
      </c>
      <c r="F5" s="11">
        <v>60</v>
      </c>
      <c r="G5" s="12">
        <f>IFERROR(IF(Tabel45[[#This Row],[MAGASINS]]=0,0,TRUNC(+Tabel45[[#This Row],[Volume]]-Tabel45[[#This Row],[Realise]])),0)</f>
        <v>0</v>
      </c>
      <c r="H5" s="13" cm="1">
        <f t="array" ref="H5">SUM(IFERROR(VLOOKUP(Tabel45[[#This Row],[04h30]:[19h30]],[2]!Tabel1[[camion]:[Cap]],2,0),0))</f>
        <v>0</v>
      </c>
      <c r="I5" s="14">
        <f>IFERROR(+Tabel45[[#This Row],[Realise]]/Tabel45[[#This Row],[Volume]],"-")</f>
        <v>1</v>
      </c>
      <c r="J5" s="11">
        <f>COUNTA(Tabel45[[#This Row],[04h30]:[19h30]])</f>
        <v>4</v>
      </c>
      <c r="K5" s="15"/>
      <c r="L5" s="16"/>
      <c r="M5" s="16"/>
      <c r="N5" s="16" t="s">
        <v>72</v>
      </c>
      <c r="O5" s="16"/>
      <c r="P5" s="16" t="s">
        <v>39</v>
      </c>
      <c r="Q5" s="16"/>
      <c r="R5" s="16" t="s">
        <v>34</v>
      </c>
      <c r="S5" s="17"/>
      <c r="T5" s="25" t="s">
        <v>82</v>
      </c>
      <c r="U5" s="16"/>
      <c r="V5" s="16"/>
      <c r="W5" s="16"/>
      <c r="X5" s="16"/>
      <c r="Y5" s="19"/>
      <c r="Z5" s="17"/>
    </row>
    <row r="6" spans="1:33" ht="16.8" thickTop="1" thickBot="1" x14ac:dyDescent="0.35">
      <c r="A6" s="9">
        <v>1</v>
      </c>
      <c r="B6" s="10">
        <v>11</v>
      </c>
      <c r="C6" s="11">
        <v>2</v>
      </c>
      <c r="D6" s="11">
        <v>47</v>
      </c>
      <c r="E6" s="11">
        <v>2</v>
      </c>
      <c r="F6" s="11">
        <v>47</v>
      </c>
      <c r="G6" s="12">
        <f>IFERROR(IF(Tabel45[[#This Row],[MAGASINS]]=0,0,TRUNC(+Tabel45[[#This Row],[Volume]]-Tabel45[[#This Row],[Realise]])),0)</f>
        <v>0</v>
      </c>
      <c r="H6" s="13" cm="1">
        <f t="array" ref="H6">SUM(IFERROR(VLOOKUP(Tabel45[[#This Row],[04h30]:[19h30]],[2]!Tabel1[[camion]:[Cap]],2,0),0))</f>
        <v>0</v>
      </c>
      <c r="I6" s="14">
        <f>IFERROR(+Tabel45[[#This Row],[Realise]]/Tabel45[[#This Row],[Volume]],"-")</f>
        <v>1</v>
      </c>
      <c r="J6" s="11">
        <f>COUNTA(Tabel45[[#This Row],[04h30]:[19h30]])</f>
        <v>3</v>
      </c>
      <c r="K6" s="15"/>
      <c r="L6" s="16"/>
      <c r="M6" s="16"/>
      <c r="N6" s="16"/>
      <c r="O6" s="16"/>
      <c r="P6" s="16"/>
      <c r="Q6" s="16" t="s">
        <v>42</v>
      </c>
      <c r="R6" s="16"/>
      <c r="S6" s="17" t="s">
        <v>39</v>
      </c>
      <c r="T6" s="18"/>
      <c r="U6" s="21" t="s">
        <v>68</v>
      </c>
      <c r="V6" s="16"/>
      <c r="W6" s="16"/>
      <c r="X6" s="16"/>
      <c r="Y6" s="19"/>
      <c r="Z6" s="17"/>
    </row>
    <row r="7" spans="1:33" ht="16.8" thickTop="1" thickBot="1" x14ac:dyDescent="0.35">
      <c r="A7" s="9">
        <v>3</v>
      </c>
      <c r="B7" s="10">
        <v>17</v>
      </c>
      <c r="C7" s="11">
        <v>4</v>
      </c>
      <c r="D7" s="11">
        <v>39</v>
      </c>
      <c r="E7" s="11">
        <v>2</v>
      </c>
      <c r="F7" s="11">
        <v>39</v>
      </c>
      <c r="G7" s="12">
        <f>IFERROR(IF(Tabel45[[#This Row],[MAGASINS]]=0,0,TRUNC(+Tabel45[[#This Row],[Volume]]-Tabel45[[#This Row],[Realise]])),0)</f>
        <v>0</v>
      </c>
      <c r="H7" s="13" cm="1">
        <f t="array" ref="H7">SUM(IFERROR(VLOOKUP(Tabel45[[#This Row],[04h30]:[19h30]],[2]!Tabel1[[camion]:[Cap]],2,0),0))</f>
        <v>0</v>
      </c>
      <c r="I7" s="14">
        <f>IFERROR(+Tabel45[[#This Row],[Realise]]/Tabel45[[#This Row],[Volume]],"-")</f>
        <v>1</v>
      </c>
      <c r="J7" s="11">
        <f>COUNTA(Tabel45[[#This Row],[04h30]:[19h30]])</f>
        <v>3</v>
      </c>
      <c r="K7" s="15"/>
      <c r="L7" s="36" t="s">
        <v>36</v>
      </c>
      <c r="M7" s="16"/>
      <c r="N7" s="16" t="s">
        <v>34</v>
      </c>
      <c r="O7" s="16"/>
      <c r="P7" s="21" t="s">
        <v>71</v>
      </c>
      <c r="Q7" s="16"/>
      <c r="R7" s="16"/>
      <c r="S7" s="17"/>
      <c r="T7" s="18"/>
      <c r="U7" s="16"/>
      <c r="V7" s="16"/>
      <c r="W7" s="16"/>
      <c r="X7" s="16"/>
      <c r="Y7" s="19"/>
      <c r="Z7" s="17"/>
    </row>
    <row r="8" spans="1:33" ht="16.8" thickTop="1" thickBot="1" x14ac:dyDescent="0.35">
      <c r="A8" s="9">
        <v>4</v>
      </c>
      <c r="B8" s="10">
        <v>18</v>
      </c>
      <c r="C8" s="11">
        <v>5</v>
      </c>
      <c r="D8" s="11">
        <v>31</v>
      </c>
      <c r="E8" s="11">
        <v>2</v>
      </c>
      <c r="F8" s="11">
        <v>31</v>
      </c>
      <c r="G8" s="12">
        <f>IFERROR(IF(Tabel45[[#This Row],[MAGASINS]]=0,0,TRUNC(+Tabel45[[#This Row],[Volume]]-Tabel45[[#This Row],[Realise]])),0)</f>
        <v>0</v>
      </c>
      <c r="H8" s="13" cm="1">
        <f t="array" ref="H8">SUM(IFERROR(VLOOKUP(Tabel45[[#This Row],[04h30]:[19h30]],[2]!Tabel1[[camion]:[Cap]],2,0),0))</f>
        <v>0</v>
      </c>
      <c r="I8" s="14">
        <f>IFERROR(+Tabel45[[#This Row],[Realise]]/Tabel45[[#This Row],[Volume]],"-")</f>
        <v>1</v>
      </c>
      <c r="J8" s="11">
        <f>COUNTA(Tabel45[[#This Row],[04h30]:[19h30]])</f>
        <v>2</v>
      </c>
      <c r="K8" s="15"/>
      <c r="L8" s="16"/>
      <c r="M8" s="16"/>
      <c r="N8" s="16"/>
      <c r="O8" s="16"/>
      <c r="P8" s="16"/>
      <c r="Q8" s="16" t="s">
        <v>83</v>
      </c>
      <c r="R8" s="16"/>
      <c r="S8" s="17" t="s">
        <v>66</v>
      </c>
      <c r="T8" s="18"/>
      <c r="U8" s="16"/>
      <c r="V8" s="16"/>
      <c r="W8" s="16"/>
      <c r="X8" s="16"/>
      <c r="Y8" s="19"/>
      <c r="Z8" s="17"/>
    </row>
    <row r="9" spans="1:33" ht="16.8" thickTop="1" thickBot="1" x14ac:dyDescent="0.35">
      <c r="A9" s="9">
        <v>2</v>
      </c>
      <c r="B9" s="10">
        <v>220</v>
      </c>
      <c r="C9" s="11">
        <v>3</v>
      </c>
      <c r="D9" s="11">
        <v>16</v>
      </c>
      <c r="E9" s="11">
        <v>2</v>
      </c>
      <c r="F9" s="11">
        <v>16</v>
      </c>
      <c r="G9" s="12">
        <f>IFERROR(IF(Tabel45[[#This Row],[MAGASINS]]=0,0,TRUNC(+Tabel45[[#This Row],[Volume]]-Tabel45[[#This Row],[Realise]])),0)</f>
        <v>0</v>
      </c>
      <c r="H9" s="13" cm="1">
        <f t="array" ref="H9">SUM(IFERROR(VLOOKUP(Tabel45[[#This Row],[04h30]:[19h30]],[2]!Tabel1[[camion]:[Cap]],2,0),0))</f>
        <v>0</v>
      </c>
      <c r="I9" s="14">
        <f>IFERROR(+Tabel45[[#This Row],[Realise]]/Tabel45[[#This Row],[Volume]],"-")</f>
        <v>1</v>
      </c>
      <c r="J9" s="11">
        <f>COUNTA(Tabel45[[#This Row],[04h30]:[19h30]])</f>
        <v>2</v>
      </c>
      <c r="K9" s="15"/>
      <c r="L9" s="16" t="s">
        <v>42</v>
      </c>
      <c r="M9" s="16"/>
      <c r="N9" s="16" t="s">
        <v>67</v>
      </c>
      <c r="O9" s="16"/>
      <c r="P9" s="16"/>
      <c r="Q9" s="16"/>
      <c r="R9" s="16"/>
      <c r="S9" s="17"/>
      <c r="T9" s="18"/>
      <c r="U9" s="16"/>
      <c r="V9" s="16"/>
      <c r="W9" s="16"/>
      <c r="X9" s="16"/>
      <c r="Y9" s="19"/>
      <c r="Z9" s="17"/>
    </row>
    <row r="10" spans="1:33" ht="16.8" thickTop="1" thickBot="1" x14ac:dyDescent="0.35">
      <c r="A10" s="9">
        <v>1</v>
      </c>
      <c r="B10" s="10">
        <v>303</v>
      </c>
      <c r="C10" s="11">
        <v>24</v>
      </c>
      <c r="D10" s="11">
        <v>2</v>
      </c>
      <c r="E10" s="11">
        <v>2</v>
      </c>
      <c r="F10" s="11">
        <v>2</v>
      </c>
      <c r="G10" s="12">
        <f>IFERROR(IF(Tabel45[[#This Row],[MAGASINS]]=0,0,TRUNC(+Tabel45[[#This Row],[Volume]]-Tabel45[[#This Row],[Realise]])),0)</f>
        <v>0</v>
      </c>
      <c r="H10" s="13" cm="1">
        <f t="array" ref="H10">SUM(IFERROR(VLOOKUP(Tabel45[[#This Row],[04h30]:[19h30]],[2]!Tabel1[[camion]:[Cap]],2,0),0))</f>
        <v>0</v>
      </c>
      <c r="I10" s="14">
        <f>IFERROR(+Tabel45[[#This Row],[Realise]]/Tabel45[[#This Row],[Volume]],"-")</f>
        <v>1</v>
      </c>
      <c r="J10" s="11">
        <f>COUNTA(Tabel45[[#This Row],[04h30]:[19h30]])</f>
        <v>1</v>
      </c>
      <c r="K10" s="15"/>
      <c r="L10" s="16"/>
      <c r="M10" s="16"/>
      <c r="N10" s="16"/>
      <c r="O10" s="16"/>
      <c r="P10" s="16"/>
      <c r="Q10" s="16"/>
      <c r="R10" s="21" t="s">
        <v>63</v>
      </c>
      <c r="S10" s="17"/>
      <c r="T10" s="18"/>
      <c r="U10" s="16"/>
      <c r="V10" s="16"/>
      <c r="W10" s="16"/>
      <c r="X10" s="16"/>
      <c r="Y10" s="19"/>
      <c r="Z10" s="17"/>
    </row>
    <row r="11" spans="1:33" ht="16.8" thickTop="1" thickBot="1" x14ac:dyDescent="0.35">
      <c r="A11" s="9">
        <v>2</v>
      </c>
      <c r="B11" s="10">
        <v>19</v>
      </c>
      <c r="C11" s="11">
        <v>6</v>
      </c>
      <c r="D11" s="11">
        <v>23</v>
      </c>
      <c r="E11" s="11">
        <v>3</v>
      </c>
      <c r="F11" s="11">
        <v>23</v>
      </c>
      <c r="G11" s="12">
        <f>IFERROR(IF(Tabel45[[#This Row],[MAGASINS]]=0,0,TRUNC(+Tabel45[[#This Row],[Volume]]-Tabel45[[#This Row],[Realise]])),0)</f>
        <v>0</v>
      </c>
      <c r="H11" s="13" cm="1">
        <f t="array" ref="H11">SUM(IFERROR(VLOOKUP(Tabel45[[#This Row],[04h30]:[19h30]],[2]!Tabel1[[camion]:[Cap]],2,0),0))</f>
        <v>0</v>
      </c>
      <c r="I11" s="14">
        <f>IFERROR(+Tabel45[[#This Row],[Realise]]/Tabel45[[#This Row],[Volume]],"-")</f>
        <v>1</v>
      </c>
      <c r="J11" s="11">
        <f>COUNTA(Tabel45[[#This Row],[04h30]:[19h30]])</f>
        <v>2</v>
      </c>
      <c r="K11" s="15"/>
      <c r="L11" s="16"/>
      <c r="M11" s="16"/>
      <c r="N11" s="16"/>
      <c r="O11" s="16"/>
      <c r="P11" s="16"/>
      <c r="Q11" s="16" t="s">
        <v>47</v>
      </c>
      <c r="R11" s="16"/>
      <c r="S11" s="17" t="s">
        <v>72</v>
      </c>
      <c r="T11" s="18"/>
      <c r="U11" s="16"/>
      <c r="V11" s="16"/>
      <c r="W11" s="16"/>
      <c r="X11" s="16"/>
      <c r="Y11" s="19"/>
      <c r="Z11" s="17"/>
    </row>
    <row r="12" spans="1:33" ht="16.8" thickTop="1" thickBot="1" x14ac:dyDescent="0.35">
      <c r="A12" s="9">
        <v>2</v>
      </c>
      <c r="B12" s="10">
        <v>302</v>
      </c>
      <c r="C12" s="11">
        <v>21</v>
      </c>
      <c r="D12" s="11">
        <v>2</v>
      </c>
      <c r="E12" s="11">
        <v>3</v>
      </c>
      <c r="F12" s="11">
        <v>2</v>
      </c>
      <c r="G12" s="12">
        <f>IFERROR(IF(Tabel45[[#This Row],[MAGASINS]]=0,0,TRUNC(+Tabel45[[#This Row],[Volume]]-Tabel45[[#This Row],[Realise]])),0)</f>
        <v>0</v>
      </c>
      <c r="H12" s="13" cm="1">
        <f t="array" ref="H12">SUM(IFERROR(VLOOKUP(Tabel45[[#This Row],[04h30]:[19h30]],[2]!Tabel1[[camion]:[Cap]],2,0),0))</f>
        <v>0</v>
      </c>
      <c r="I12" s="14">
        <f>IFERROR(+Tabel45[[#This Row],[Realise]]/Tabel45[[#This Row],[Volume]],"-")</f>
        <v>1</v>
      </c>
      <c r="J12" s="11">
        <f>COUNTA(Tabel45[[#This Row],[04h30]:[19h30]])</f>
        <v>1</v>
      </c>
      <c r="K12" s="15"/>
      <c r="L12" s="16"/>
      <c r="M12" s="16"/>
      <c r="N12" s="16" t="s">
        <v>43</v>
      </c>
      <c r="O12" s="16"/>
      <c r="P12" s="16"/>
      <c r="Q12" s="16"/>
      <c r="R12" s="16"/>
      <c r="S12" s="17"/>
      <c r="T12" s="18"/>
      <c r="U12" s="16"/>
      <c r="V12" s="16"/>
      <c r="W12" s="16"/>
      <c r="X12" s="16"/>
      <c r="Y12" s="19"/>
      <c r="Z12" s="17"/>
    </row>
    <row r="13" spans="1:33" ht="16.8" thickTop="1" thickBot="1" x14ac:dyDescent="0.35">
      <c r="A13" s="9">
        <v>8</v>
      </c>
      <c r="B13" s="10">
        <v>50</v>
      </c>
      <c r="C13" s="11">
        <v>14</v>
      </c>
      <c r="D13" s="11">
        <v>26</v>
      </c>
      <c r="E13" s="11">
        <v>4</v>
      </c>
      <c r="F13" s="11">
        <v>26</v>
      </c>
      <c r="G13" s="12">
        <f>IFERROR(IF(Tabel45[[#This Row],[MAGASINS]]=0,0,TRUNC(+Tabel45[[#This Row],[Volume]]-Tabel45[[#This Row],[Realise]])),0)</f>
        <v>0</v>
      </c>
      <c r="H13" s="13" cm="1">
        <f t="array" ref="H13">SUM(IFERROR(VLOOKUP(Tabel45[[#This Row],[04h30]:[19h30]],[2]!Tabel1[[camion]:[Cap]],2,0),0))</f>
        <v>0</v>
      </c>
      <c r="I13" s="14">
        <f>IFERROR(+Tabel45[[#This Row],[Realise]]/Tabel45[[#This Row],[Volume]],"-")</f>
        <v>1</v>
      </c>
      <c r="J13" s="11">
        <f>COUNTA(Tabel45[[#This Row],[04h30]:[19h30]])</f>
        <v>2</v>
      </c>
      <c r="K13" s="15"/>
      <c r="L13" s="16"/>
      <c r="M13" s="16"/>
      <c r="N13" s="16" t="s">
        <v>31</v>
      </c>
      <c r="O13" s="16"/>
      <c r="P13" s="21" t="s">
        <v>37</v>
      </c>
      <c r="Q13" s="16"/>
      <c r="R13" s="16"/>
      <c r="S13" s="17"/>
      <c r="T13" s="18"/>
      <c r="U13" s="16"/>
      <c r="V13" s="16"/>
      <c r="W13" s="16"/>
      <c r="X13" s="16"/>
      <c r="Y13" s="19"/>
      <c r="Z13" s="17"/>
    </row>
    <row r="14" spans="1:33" ht="16.8" thickTop="1" thickBot="1" x14ac:dyDescent="0.35">
      <c r="A14" s="9">
        <v>4</v>
      </c>
      <c r="B14" s="10">
        <v>20</v>
      </c>
      <c r="C14" s="11">
        <v>7</v>
      </c>
      <c r="D14" s="11">
        <v>24</v>
      </c>
      <c r="E14" s="11">
        <v>4</v>
      </c>
      <c r="F14" s="11">
        <v>24</v>
      </c>
      <c r="G14" s="12">
        <f>IFERROR(IF(Tabel45[[#This Row],[MAGASINS]]=0,0,TRUNC(+Tabel45[[#This Row],[Volume]]-Tabel45[[#This Row],[Realise]])),0)</f>
        <v>0</v>
      </c>
      <c r="H14" s="13" cm="1">
        <f t="array" ref="H14">SUM(IFERROR(VLOOKUP(Tabel45[[#This Row],[04h30]:[19h30]],[2]!Tabel1[[camion]:[Cap]],2,0),0))</f>
        <v>0</v>
      </c>
      <c r="I14" s="14">
        <f>IFERROR(+Tabel45[[#This Row],[Realise]]/Tabel45[[#This Row],[Volume]],"-")</f>
        <v>1</v>
      </c>
      <c r="J14" s="11">
        <f>COUNTA(Tabel45[[#This Row],[04h30]:[19h30]])</f>
        <v>2</v>
      </c>
      <c r="K14" s="15"/>
      <c r="L14" s="16"/>
      <c r="M14" s="16"/>
      <c r="N14" s="16" t="s">
        <v>39</v>
      </c>
      <c r="O14" s="16"/>
      <c r="P14" s="16"/>
      <c r="Q14" s="16" t="s">
        <v>84</v>
      </c>
      <c r="R14" s="16"/>
      <c r="S14" s="17"/>
      <c r="T14" s="18"/>
      <c r="U14" s="16"/>
      <c r="V14" s="16"/>
      <c r="W14" s="16"/>
      <c r="X14" s="16"/>
      <c r="Y14" s="19"/>
      <c r="Z14" s="17"/>
    </row>
    <row r="15" spans="1:33" ht="16.8" thickTop="1" thickBot="1" x14ac:dyDescent="0.35">
      <c r="A15" s="9">
        <v>4</v>
      </c>
      <c r="B15" s="10">
        <v>46</v>
      </c>
      <c r="C15" s="11">
        <v>13</v>
      </c>
      <c r="D15" s="11">
        <v>21</v>
      </c>
      <c r="E15" s="11">
        <v>4</v>
      </c>
      <c r="F15" s="11">
        <v>21</v>
      </c>
      <c r="G15" s="12">
        <f>IFERROR(IF(Tabel45[[#This Row],[MAGASINS]]=0,0,TRUNC(+Tabel45[[#This Row],[Volume]]-Tabel45[[#This Row],[Realise]])),0)</f>
        <v>0</v>
      </c>
      <c r="H15" s="13" cm="1">
        <f t="array" ref="H15">SUM(IFERROR(VLOOKUP(Tabel45[[#This Row],[04h30]:[19h30]],[2]!Tabel1[[camion]:[Cap]],2,0),0))</f>
        <v>0</v>
      </c>
      <c r="I15" s="14">
        <f>IFERROR(+Tabel45[[#This Row],[Realise]]/Tabel45[[#This Row],[Volume]],"-")</f>
        <v>1</v>
      </c>
      <c r="J15" s="11">
        <f>COUNTA(Tabel45[[#This Row],[04h30]:[19h30]])</f>
        <v>1</v>
      </c>
      <c r="K15" s="15"/>
      <c r="L15" s="16"/>
      <c r="M15" s="16"/>
      <c r="N15" s="16"/>
      <c r="O15" s="16" t="s">
        <v>49</v>
      </c>
      <c r="P15" s="16"/>
      <c r="Q15" s="16"/>
      <c r="R15" s="16"/>
      <c r="S15" s="17"/>
      <c r="T15" s="18"/>
      <c r="U15" s="16"/>
      <c r="V15" s="16"/>
      <c r="W15" s="16"/>
      <c r="X15" s="16"/>
      <c r="Y15" s="19"/>
      <c r="Z15" s="17"/>
    </row>
    <row r="16" spans="1:33" ht="16.8" thickTop="1" thickBot="1" x14ac:dyDescent="0.35">
      <c r="A16" s="9">
        <v>4</v>
      </c>
      <c r="B16" s="10">
        <v>216</v>
      </c>
      <c r="C16" s="11">
        <v>15</v>
      </c>
      <c r="D16" s="11">
        <v>18</v>
      </c>
      <c r="E16" s="11">
        <v>4</v>
      </c>
      <c r="F16" s="11">
        <v>18</v>
      </c>
      <c r="G16" s="12">
        <f>IFERROR(IF(Tabel45[[#This Row],[MAGASINS]]=0,0,TRUNC(+Tabel45[[#This Row],[Volume]]-Tabel45[[#This Row],[Realise]])),0)</f>
        <v>0</v>
      </c>
      <c r="H16" s="13" cm="1">
        <f t="array" ref="H16">SUM(IFERROR(VLOOKUP(Tabel45[[#This Row],[04h30]:[19h30]],[2]!Tabel1[[camion]:[Cap]],2,0),0))</f>
        <v>0</v>
      </c>
      <c r="I16" s="14">
        <f>IFERROR(+Tabel45[[#This Row],[Realise]]/Tabel45[[#This Row],[Volume]],"-")</f>
        <v>1</v>
      </c>
      <c r="J16" s="11">
        <f>COUNTA(Tabel45[[#This Row],[04h30]:[19h30]])</f>
        <v>2</v>
      </c>
      <c r="K16" s="15"/>
      <c r="L16" s="16"/>
      <c r="M16" s="16"/>
      <c r="N16" s="16"/>
      <c r="O16" s="16" t="s">
        <v>47</v>
      </c>
      <c r="P16" s="16"/>
      <c r="Q16" s="16" t="s">
        <v>84</v>
      </c>
      <c r="R16" s="16"/>
      <c r="S16" s="17"/>
      <c r="T16" s="18"/>
      <c r="U16" s="16"/>
      <c r="V16" s="16"/>
      <c r="W16" s="16"/>
      <c r="X16" s="16"/>
      <c r="Y16" s="19"/>
      <c r="Z16" s="17"/>
    </row>
    <row r="17" spans="1:28" ht="16.8" thickTop="1" thickBot="1" x14ac:dyDescent="0.35">
      <c r="A17" s="9">
        <v>4</v>
      </c>
      <c r="B17" s="10">
        <v>300</v>
      </c>
      <c r="C17" s="11">
        <v>22</v>
      </c>
      <c r="D17" s="11">
        <v>2</v>
      </c>
      <c r="E17" s="11">
        <v>4</v>
      </c>
      <c r="F17" s="11">
        <v>2</v>
      </c>
      <c r="G17" s="12">
        <f>IFERROR(IF(Tabel45[[#This Row],[MAGASINS]]=0,0,TRUNC(+Tabel45[[#This Row],[Volume]]-Tabel45[[#This Row],[Realise]])),0)</f>
        <v>0</v>
      </c>
      <c r="H17" s="13" cm="1">
        <f t="array" ref="H17">SUM(IFERROR(VLOOKUP(Tabel45[[#This Row],[04h30]:[19h30]],[2]!Tabel1[[camion]:[Cap]],2,0),0))</f>
        <v>0</v>
      </c>
      <c r="I17" s="14">
        <f>IFERROR(+Tabel45[[#This Row],[Realise]]/Tabel45[[#This Row],[Volume]],"-")</f>
        <v>1</v>
      </c>
      <c r="J17" s="11">
        <f>COUNTA(Tabel45[[#This Row],[04h30]:[19h30]])</f>
        <v>1</v>
      </c>
      <c r="K17" s="15"/>
      <c r="L17" s="16"/>
      <c r="M17" s="16"/>
      <c r="N17" s="16"/>
      <c r="O17" s="16"/>
      <c r="P17" s="16"/>
      <c r="Q17" s="16" t="s">
        <v>54</v>
      </c>
      <c r="R17" s="16"/>
      <c r="S17" s="17"/>
      <c r="T17" s="18"/>
      <c r="U17" s="16"/>
      <c r="V17" s="16"/>
      <c r="W17" s="16"/>
      <c r="X17" s="16"/>
      <c r="Y17" s="19"/>
      <c r="Z17" s="17"/>
    </row>
    <row r="18" spans="1:28" ht="16.8" thickTop="1" thickBot="1" x14ac:dyDescent="0.35">
      <c r="A18" s="9">
        <v>7</v>
      </c>
      <c r="B18" s="10">
        <v>222</v>
      </c>
      <c r="C18" s="11">
        <v>19</v>
      </c>
      <c r="D18" s="11">
        <v>15</v>
      </c>
      <c r="E18" s="11">
        <v>5</v>
      </c>
      <c r="F18" s="11">
        <v>15</v>
      </c>
      <c r="G18" s="12">
        <f>IFERROR(IF(Tabel45[[#This Row],[MAGASINS]]=0,0,TRUNC(+Tabel45[[#This Row],[Volume]]-Tabel45[[#This Row],[Realise]])),0)</f>
        <v>0</v>
      </c>
      <c r="H18" s="13" cm="1">
        <f t="array" ref="H18">SUM(IFERROR(VLOOKUP(Tabel45[[#This Row],[04h30]:[19h30]],[2]!Tabel1[[camion]:[Cap]],2,0),0))</f>
        <v>0</v>
      </c>
      <c r="I18" s="14">
        <f>IFERROR(+Tabel45[[#This Row],[Realise]]/Tabel45[[#This Row],[Volume]],"-")</f>
        <v>1</v>
      </c>
      <c r="J18" s="11">
        <f>COUNTA(Tabel45[[#This Row],[04h30]:[19h30]])</f>
        <v>1</v>
      </c>
      <c r="K18" s="15"/>
      <c r="L18" s="21" t="s">
        <v>85</v>
      </c>
      <c r="M18" s="16"/>
      <c r="N18" s="16"/>
      <c r="O18" s="16"/>
      <c r="P18" s="16"/>
      <c r="Q18" s="16"/>
      <c r="R18" s="16"/>
      <c r="S18" s="17"/>
      <c r="T18" s="18"/>
      <c r="U18" s="16"/>
      <c r="V18" s="16"/>
      <c r="W18" s="16"/>
      <c r="X18" s="16"/>
      <c r="Y18" s="19"/>
      <c r="Z18" s="17"/>
    </row>
    <row r="19" spans="1:28" ht="16.8" thickTop="1" thickBot="1" x14ac:dyDescent="0.35">
      <c r="A19" s="9">
        <v>7</v>
      </c>
      <c r="B19" s="10">
        <v>721</v>
      </c>
      <c r="C19" s="11">
        <v>16</v>
      </c>
      <c r="D19" s="11">
        <v>14</v>
      </c>
      <c r="E19" s="11">
        <v>5</v>
      </c>
      <c r="F19" s="11">
        <v>14</v>
      </c>
      <c r="G19" s="12">
        <f>IFERROR(IF(Tabel45[[#This Row],[MAGASINS]]=0,0,TRUNC(+Tabel45[[#This Row],[Volume]]-Tabel45[[#This Row],[Realise]])),0)</f>
        <v>0</v>
      </c>
      <c r="H19" s="13" cm="1">
        <f t="array" ref="H19">SUM(IFERROR(VLOOKUP(Tabel45[[#This Row],[04h30]:[19h30]],[2]!Tabel1[[camion]:[Cap]],2,0),0))</f>
        <v>0</v>
      </c>
      <c r="I19" s="14">
        <f>IFERROR(+Tabel45[[#This Row],[Realise]]/Tabel45[[#This Row],[Volume]],"-")</f>
        <v>1</v>
      </c>
      <c r="J19" s="11">
        <f>COUNTA(Tabel45[[#This Row],[04h30]:[19h30]])</f>
        <v>1</v>
      </c>
      <c r="K19" s="15"/>
      <c r="L19" s="16"/>
      <c r="M19" s="16" t="s">
        <v>66</v>
      </c>
      <c r="N19" s="16"/>
      <c r="O19" s="16"/>
      <c r="P19" s="16"/>
      <c r="Q19" s="16"/>
      <c r="R19" s="16"/>
      <c r="S19" s="17"/>
      <c r="T19" s="18"/>
      <c r="U19" s="16"/>
      <c r="V19" s="16"/>
      <c r="W19" s="16"/>
      <c r="X19" s="16"/>
      <c r="Y19" s="19"/>
      <c r="Z19" s="17"/>
    </row>
    <row r="20" spans="1:28" ht="16.8" thickTop="1" thickBot="1" x14ac:dyDescent="0.35">
      <c r="A20" s="9">
        <v>7</v>
      </c>
      <c r="B20" s="10">
        <v>219</v>
      </c>
      <c r="C20" s="11">
        <v>20</v>
      </c>
      <c r="D20" s="11">
        <v>13</v>
      </c>
      <c r="E20" s="11">
        <v>5</v>
      </c>
      <c r="F20" s="11">
        <v>13</v>
      </c>
      <c r="G20" s="12">
        <f>IFERROR(IF(Tabel45[[#This Row],[MAGASINS]]=0,0,TRUNC(+Tabel45[[#This Row],[Volume]]-Tabel45[[#This Row],[Realise]])),0)</f>
        <v>0</v>
      </c>
      <c r="H20" s="13" cm="1">
        <f t="array" ref="H20">SUM(IFERROR(VLOOKUP(Tabel45[[#This Row],[04h30]:[19h30]],[2]!Tabel1[[camion]:[Cap]],2,0),0))</f>
        <v>0</v>
      </c>
      <c r="I20" s="14">
        <f>IFERROR(+Tabel45[[#This Row],[Realise]]/Tabel45[[#This Row],[Volume]],"-")</f>
        <v>1</v>
      </c>
      <c r="J20" s="11">
        <f>COUNTA(Tabel45[[#This Row],[04h30]:[19h30]])</f>
        <v>1</v>
      </c>
      <c r="K20" s="15"/>
      <c r="L20" s="16"/>
      <c r="M20" s="16" t="s">
        <v>86</v>
      </c>
      <c r="N20" s="16"/>
      <c r="O20" s="16"/>
      <c r="P20" s="16"/>
      <c r="Q20" s="16"/>
      <c r="R20" s="16"/>
      <c r="S20" s="17"/>
      <c r="T20" s="18"/>
      <c r="U20" s="16"/>
      <c r="V20" s="16"/>
      <c r="W20" s="16"/>
      <c r="X20" s="16"/>
      <c r="Y20" s="19"/>
      <c r="Z20" s="17"/>
    </row>
    <row r="21" spans="1:28" ht="16.8" thickTop="1" thickBot="1" x14ac:dyDescent="0.35">
      <c r="A21" s="9">
        <v>3</v>
      </c>
      <c r="B21" s="10">
        <v>221</v>
      </c>
      <c r="C21" s="11">
        <v>18</v>
      </c>
      <c r="D21" s="11">
        <v>23</v>
      </c>
      <c r="E21" s="11">
        <v>6</v>
      </c>
      <c r="F21" s="11">
        <v>23</v>
      </c>
      <c r="G21" s="12">
        <f>IFERROR(IF(Tabel45[[#This Row],[MAGASINS]]=0,0,TRUNC(+Tabel45[[#This Row],[Volume]]-Tabel45[[#This Row],[Realise]])),0)</f>
        <v>0</v>
      </c>
      <c r="H21" s="13" cm="1">
        <f t="array" ref="H21">SUM(IFERROR(VLOOKUP(Tabel45[[#This Row],[04h30]:[19h30]],[2]!Tabel1[[camion]:[Cap]],2,0),0))</f>
        <v>0</v>
      </c>
      <c r="I21" s="14">
        <f>IFERROR(+Tabel45[[#This Row],[Realise]]/Tabel45[[#This Row],[Volume]],"-")</f>
        <v>1</v>
      </c>
      <c r="J21" s="11">
        <f>COUNTA(Tabel45[[#This Row],[04h30]:[19h30]])</f>
        <v>1</v>
      </c>
      <c r="K21" s="15"/>
      <c r="L21" s="16" t="s">
        <v>34</v>
      </c>
      <c r="M21" s="16"/>
      <c r="N21" s="16"/>
      <c r="O21" s="16"/>
      <c r="P21" s="16"/>
      <c r="Q21" s="16"/>
      <c r="R21" s="16"/>
      <c r="S21" s="17"/>
      <c r="T21" s="18"/>
      <c r="U21" s="16"/>
      <c r="V21" s="16"/>
      <c r="W21" s="16"/>
      <c r="X21" s="16"/>
      <c r="Y21" s="19"/>
      <c r="Z21" s="17"/>
    </row>
    <row r="22" spans="1:28" ht="16.8" thickTop="1" thickBot="1" x14ac:dyDescent="0.35">
      <c r="A22" s="9">
        <v>3</v>
      </c>
      <c r="B22" s="10">
        <v>218</v>
      </c>
      <c r="C22" s="11">
        <v>17</v>
      </c>
      <c r="D22" s="11">
        <v>8</v>
      </c>
      <c r="E22" s="11">
        <v>6</v>
      </c>
      <c r="F22" s="11">
        <v>8</v>
      </c>
      <c r="G22" s="12">
        <f>IFERROR(IF(Tabel45[[#This Row],[MAGASINS]]=0,0,TRUNC(+Tabel45[[#This Row],[Volume]]-Tabel45[[#This Row],[Realise]])),0)</f>
        <v>0</v>
      </c>
      <c r="H22" s="13" cm="1">
        <f t="array" ref="H22">SUM(IFERROR(VLOOKUP(Tabel45[[#This Row],[04h30]:[19h30]],[2]!Tabel1[[camion]:[Cap]],2,0),0))</f>
        <v>0</v>
      </c>
      <c r="I22" s="14">
        <f>IFERROR(+Tabel45[[#This Row],[Realise]]/Tabel45[[#This Row],[Volume]],"-")</f>
        <v>1</v>
      </c>
      <c r="J22" s="11">
        <f>COUNTA(Tabel45[[#This Row],[04h30]:[19h30]])</f>
        <v>1</v>
      </c>
      <c r="K22" s="15"/>
      <c r="L22" s="16" t="s">
        <v>57</v>
      </c>
      <c r="M22" s="16"/>
      <c r="N22" s="16"/>
      <c r="O22" s="16"/>
      <c r="P22" s="16"/>
      <c r="Q22" s="16"/>
      <c r="R22" s="16"/>
      <c r="S22" s="17"/>
      <c r="T22" s="18"/>
      <c r="U22" s="16"/>
      <c r="V22" s="16"/>
      <c r="W22" s="16"/>
      <c r="X22" s="16"/>
      <c r="Y22" s="19"/>
      <c r="Z22" s="17"/>
    </row>
    <row r="23" spans="1:28" ht="16.8" thickTop="1" thickBot="1" x14ac:dyDescent="0.35">
      <c r="A23" s="9">
        <v>3</v>
      </c>
      <c r="B23" s="10">
        <v>301</v>
      </c>
      <c r="C23" s="11">
        <v>23</v>
      </c>
      <c r="D23" s="11">
        <v>2</v>
      </c>
      <c r="E23" s="11">
        <v>6</v>
      </c>
      <c r="F23" s="11">
        <v>2</v>
      </c>
      <c r="G23" s="12">
        <f>IFERROR(IF(Tabel45[[#This Row],[MAGASINS]]=0,0,TRUNC(+Tabel45[[#This Row],[Volume]]-Tabel45[[#This Row],[Realise]])),0)</f>
        <v>0</v>
      </c>
      <c r="H23" s="13" cm="1">
        <f t="array" ref="H23">SUM(IFERROR(VLOOKUP(Tabel45[[#This Row],[04h30]:[19h30]],[2]!Tabel1[[camion]:[Cap]],2,0),0))</f>
        <v>0</v>
      </c>
      <c r="I23" s="14">
        <f>IFERROR(+Tabel45[[#This Row],[Realise]]/Tabel45[[#This Row],[Volume]],"-")</f>
        <v>1</v>
      </c>
      <c r="J23" s="11">
        <f>COUNTA(Tabel45[[#This Row],[04h30]:[19h30]])</f>
        <v>1</v>
      </c>
      <c r="K23" s="15"/>
      <c r="L23" s="16" t="s">
        <v>38</v>
      </c>
      <c r="M23" s="16"/>
      <c r="N23" s="16"/>
      <c r="O23" s="16"/>
      <c r="P23" s="16"/>
      <c r="Q23" s="16"/>
      <c r="R23" s="16"/>
      <c r="S23" s="17"/>
      <c r="T23" s="18"/>
      <c r="U23" s="16"/>
      <c r="V23" s="16"/>
      <c r="W23" s="16"/>
      <c r="X23" s="16"/>
      <c r="Y23" s="19"/>
      <c r="Z23" s="17"/>
    </row>
    <row r="24" spans="1:28" ht="16.8" thickTop="1" thickBot="1" x14ac:dyDescent="0.35">
      <c r="A24" s="9">
        <v>6</v>
      </c>
      <c r="B24" s="10">
        <v>42</v>
      </c>
      <c r="C24" s="11">
        <v>9</v>
      </c>
      <c r="D24" s="11">
        <v>36</v>
      </c>
      <c r="E24" s="11">
        <v>7</v>
      </c>
      <c r="F24" s="11">
        <v>36</v>
      </c>
      <c r="G24" s="12">
        <f>IFERROR(IF(Tabel45[[#This Row],[MAGASINS]]=0,0,TRUNC(+Tabel45[[#This Row],[Volume]]-Tabel45[[#This Row],[Realise]])),0)</f>
        <v>0</v>
      </c>
      <c r="H24" s="13" cm="1">
        <f t="array" ref="H24">SUM(IFERROR(VLOOKUP(Tabel45[[#This Row],[04h30]:[19h30]],[2]!Tabel1[[camion]:[Cap]],2,0),0))</f>
        <v>0</v>
      </c>
      <c r="I24" s="14">
        <f>IFERROR(+Tabel45[[#This Row],[Realise]]/Tabel45[[#This Row],[Volume]],"-")</f>
        <v>1</v>
      </c>
      <c r="J24" s="11">
        <f>COUNTA(Tabel45[[#This Row],[04h30]:[19h30]])</f>
        <v>2</v>
      </c>
      <c r="K24" s="15"/>
      <c r="L24" s="16"/>
      <c r="M24" s="16"/>
      <c r="N24" s="16"/>
      <c r="O24" s="16"/>
      <c r="P24" s="16"/>
      <c r="Q24" s="16"/>
      <c r="R24" s="16"/>
      <c r="S24" s="17"/>
      <c r="T24" s="18"/>
      <c r="U24" s="16"/>
      <c r="V24" s="16" t="s">
        <v>31</v>
      </c>
      <c r="W24" s="16"/>
      <c r="X24" s="16" t="s">
        <v>36</v>
      </c>
      <c r="Y24" s="19"/>
      <c r="Z24" s="17"/>
    </row>
    <row r="25" spans="1:28" ht="16.8" thickTop="1" thickBot="1" x14ac:dyDescent="0.35">
      <c r="A25" s="9">
        <v>6</v>
      </c>
      <c r="B25" s="10">
        <v>43</v>
      </c>
      <c r="C25" s="11">
        <v>10</v>
      </c>
      <c r="D25" s="11">
        <v>20</v>
      </c>
      <c r="E25" s="11">
        <v>7</v>
      </c>
      <c r="F25" s="11">
        <v>20</v>
      </c>
      <c r="G25" s="12">
        <f>IFERROR(IF(Tabel45[[#This Row],[MAGASINS]]=0,0,TRUNC(+Tabel45[[#This Row],[Volume]]-Tabel45[[#This Row],[Realise]])),0)</f>
        <v>0</v>
      </c>
      <c r="H25" s="13" cm="1">
        <f t="array" ref="H25">SUM(IFERROR(VLOOKUP(Tabel45[[#This Row],[04h30]:[19h30]],[2]!Tabel1[[camion]:[Cap]],2,0),0))</f>
        <v>0</v>
      </c>
      <c r="I25" s="14">
        <f>IFERROR(+Tabel45[[#This Row],[Realise]]/Tabel45[[#This Row],[Volume]],"-")</f>
        <v>1</v>
      </c>
      <c r="J25" s="11">
        <f>COUNTA(Tabel45[[#This Row],[04h30]:[19h30]])</f>
        <v>1</v>
      </c>
      <c r="K25" s="15"/>
      <c r="L25" s="16"/>
      <c r="M25" s="16"/>
      <c r="N25" s="16"/>
      <c r="O25" s="16"/>
      <c r="P25" s="16"/>
      <c r="Q25" s="16"/>
      <c r="R25" s="16"/>
      <c r="S25" s="17"/>
      <c r="T25" s="18"/>
      <c r="U25" s="16"/>
      <c r="V25" s="16" t="s">
        <v>60</v>
      </c>
      <c r="W25" s="16"/>
      <c r="X25" s="16"/>
      <c r="Y25" s="19"/>
      <c r="Z25" s="17"/>
    </row>
    <row r="26" spans="1:28" ht="16.8" thickTop="1" thickBot="1" x14ac:dyDescent="0.35">
      <c r="A26" s="9">
        <v>6</v>
      </c>
      <c r="B26" s="10">
        <v>45</v>
      </c>
      <c r="C26" s="11">
        <v>12</v>
      </c>
      <c r="D26" s="11">
        <v>18</v>
      </c>
      <c r="E26" s="11">
        <v>7</v>
      </c>
      <c r="F26" s="11">
        <v>18</v>
      </c>
      <c r="G26" s="12">
        <f>IFERROR(IF(Tabel45[[#This Row],[MAGASINS]]=0,0,TRUNC(+Tabel45[[#This Row],[Volume]]-Tabel45[[#This Row],[Realise]])),0)</f>
        <v>0</v>
      </c>
      <c r="H26" s="13" cm="1">
        <f t="array" ref="H26">SUM(IFERROR(VLOOKUP(Tabel45[[#This Row],[04h30]:[19h30]],[2]!Tabel1[[camion]:[Cap]],2,0),0))</f>
        <v>0</v>
      </c>
      <c r="I26" s="14">
        <f>IFERROR(+Tabel45[[#This Row],[Realise]]/Tabel45[[#This Row],[Volume]],"-")</f>
        <v>1</v>
      </c>
      <c r="J26" s="11">
        <f>COUNTA(Tabel45[[#This Row],[04h30]:[19h30]])</f>
        <v>1</v>
      </c>
      <c r="K26" s="15"/>
      <c r="L26" s="16"/>
      <c r="M26" s="16"/>
      <c r="N26" s="16"/>
      <c r="O26" s="16"/>
      <c r="P26" s="16"/>
      <c r="Q26" s="16"/>
      <c r="R26" s="16"/>
      <c r="S26" s="17"/>
      <c r="T26" s="18"/>
      <c r="U26" s="16"/>
      <c r="V26" s="16"/>
      <c r="W26" s="16" t="s">
        <v>78</v>
      </c>
      <c r="X26" s="16"/>
      <c r="Y26" s="19"/>
      <c r="Z26" s="17"/>
    </row>
    <row r="27" spans="1:28" ht="16.2" thickTop="1" x14ac:dyDescent="0.3">
      <c r="A27" s="39"/>
      <c r="B27" s="40"/>
      <c r="C27" s="41"/>
      <c r="D27" s="41"/>
      <c r="E27" s="41"/>
      <c r="F27" s="42"/>
      <c r="G27" s="43"/>
      <c r="H27" s="44"/>
      <c r="I27" s="45"/>
      <c r="J27" s="42">
        <f>SUM(J3:J26)</f>
        <v>38</v>
      </c>
      <c r="K27" s="46"/>
      <c r="L27" s="47"/>
      <c r="M27" s="47"/>
      <c r="N27" s="47"/>
      <c r="O27" s="47"/>
      <c r="P27" s="47"/>
      <c r="Q27" s="47"/>
      <c r="R27" s="47"/>
      <c r="S27" s="48"/>
      <c r="T27" s="46"/>
      <c r="U27" s="47"/>
      <c r="V27" s="47"/>
      <c r="W27" s="47"/>
      <c r="X27" s="47"/>
      <c r="Y27" s="48"/>
      <c r="Z27" s="49"/>
    </row>
    <row r="28" spans="1:28" ht="15" thickBot="1" x14ac:dyDescent="0.35">
      <c r="K28">
        <v>2</v>
      </c>
      <c r="L28">
        <v>4</v>
      </c>
      <c r="M28">
        <v>2</v>
      </c>
      <c r="N28">
        <v>6</v>
      </c>
      <c r="O28">
        <v>3</v>
      </c>
      <c r="P28">
        <v>5</v>
      </c>
      <c r="Q28">
        <v>4</v>
      </c>
      <c r="R28">
        <v>4</v>
      </c>
      <c r="T28">
        <v>2</v>
      </c>
      <c r="V28">
        <v>2</v>
      </c>
      <c r="W28">
        <v>1</v>
      </c>
      <c r="X28">
        <v>1</v>
      </c>
      <c r="AA28" s="38">
        <f>SUM(K28:Z28)</f>
        <v>36</v>
      </c>
      <c r="AB28" s="37" t="s">
        <v>92</v>
      </c>
    </row>
    <row r="29" spans="1:28" ht="15.6" thickTop="1" thickBot="1" x14ac:dyDescent="0.35">
      <c r="A29" s="1" t="s">
        <v>0</v>
      </c>
      <c r="B29" s="2" t="s">
        <v>1</v>
      </c>
      <c r="C29" s="2" t="s">
        <v>81</v>
      </c>
      <c r="D29" s="2" t="s">
        <v>3</v>
      </c>
      <c r="E29" s="3" t="s">
        <v>4</v>
      </c>
      <c r="F29" s="3" t="s">
        <v>5</v>
      </c>
      <c r="G29" s="3" t="s">
        <v>6</v>
      </c>
      <c r="H29" s="3" t="s">
        <v>7</v>
      </c>
      <c r="I29" s="3" t="s">
        <v>8</v>
      </c>
      <c r="J29" s="4" t="s">
        <v>9</v>
      </c>
      <c r="K29" s="5" t="s">
        <v>10</v>
      </c>
      <c r="L29" s="6" t="s">
        <v>11</v>
      </c>
      <c r="M29" s="6" t="s">
        <v>12</v>
      </c>
      <c r="N29" s="6" t="s">
        <v>13</v>
      </c>
      <c r="O29" s="6" t="s">
        <v>14</v>
      </c>
      <c r="P29" s="6" t="s">
        <v>15</v>
      </c>
      <c r="Q29" s="6" t="s">
        <v>16</v>
      </c>
      <c r="R29" s="7" t="s">
        <v>17</v>
      </c>
      <c r="S29" s="8" t="s">
        <v>18</v>
      </c>
      <c r="T29" s="7" t="s">
        <v>19</v>
      </c>
      <c r="U29" s="7" t="s">
        <v>20</v>
      </c>
      <c r="V29" s="7" t="s">
        <v>21</v>
      </c>
      <c r="W29" s="7" t="s">
        <v>22</v>
      </c>
      <c r="X29" s="7" t="s">
        <v>23</v>
      </c>
      <c r="Y29" s="7" t="s">
        <v>24</v>
      </c>
      <c r="Z29" s="8" t="s">
        <v>25</v>
      </c>
      <c r="AA29">
        <f>26</f>
        <v>26</v>
      </c>
      <c r="AB29" t="s">
        <v>94</v>
      </c>
    </row>
    <row r="30" spans="1:28" ht="16.8" thickTop="1" thickBot="1" x14ac:dyDescent="0.35">
      <c r="A30" s="9">
        <v>5</v>
      </c>
      <c r="B30" s="10">
        <v>41</v>
      </c>
      <c r="C30" s="11">
        <v>8</v>
      </c>
      <c r="D30" s="23">
        <v>10</v>
      </c>
      <c r="E30" s="11">
        <v>1</v>
      </c>
      <c r="F30" s="11">
        <v>10</v>
      </c>
      <c r="G30" s="12">
        <f>IFERROR(IF(Tabel46[[#This Row],[MAGASINS]]=0,0,TRUNC(+Tabel46[[#This Row],[Volume]]-Tabel46[[#This Row],[Realise]])),0)</f>
        <v>0</v>
      </c>
      <c r="H30" s="13" cm="1">
        <f t="array" ref="H30">SUM(IFERROR(VLOOKUP(Tabel46[[#This Row],[04h30]:[19h30]],[2]!Tabel1[[camion]:[Cap]],2,0),0))</f>
        <v>0</v>
      </c>
      <c r="I30" s="14">
        <f>IFERROR(+Tabel46[[#This Row],[Realise]]/Tabel46[[#This Row],[Volume]],"-")</f>
        <v>1</v>
      </c>
      <c r="J30" s="11">
        <f>COUNTA(Tabel46[[#This Row],[04h30]:[19h30]])</f>
        <v>1</v>
      </c>
      <c r="K30" s="15" t="s">
        <v>27</v>
      </c>
      <c r="L30" s="16"/>
      <c r="M30" s="16"/>
      <c r="N30" s="16"/>
      <c r="O30" s="16"/>
      <c r="P30" s="16"/>
      <c r="Q30" s="16"/>
      <c r="R30" s="16"/>
      <c r="S30" s="17"/>
      <c r="T30" s="18"/>
      <c r="U30" s="16"/>
      <c r="V30" s="16"/>
      <c r="W30" s="16"/>
      <c r="X30" s="16"/>
      <c r="Y30" s="19"/>
      <c r="Z30" s="17"/>
      <c r="AB30" t="s">
        <v>91</v>
      </c>
    </row>
    <row r="31" spans="1:28" ht="16.8" thickTop="1" thickBot="1" x14ac:dyDescent="0.35">
      <c r="A31" s="9">
        <v>7</v>
      </c>
      <c r="B31" s="10">
        <v>44</v>
      </c>
      <c r="C31" s="11">
        <v>11</v>
      </c>
      <c r="D31" s="23">
        <v>10</v>
      </c>
      <c r="E31" s="11">
        <v>1</v>
      </c>
      <c r="F31" s="11">
        <v>10</v>
      </c>
      <c r="G31" s="12">
        <f>IFERROR(IF(Tabel46[[#This Row],[MAGASINS]]=0,0,TRUNC(+Tabel46[[#This Row],[Volume]]-Tabel46[[#This Row],[Realise]])),0)</f>
        <v>0</v>
      </c>
      <c r="H31" s="13" cm="1">
        <f t="array" ref="H31">SUM(IFERROR(VLOOKUP(Tabel46[[#This Row],[04h30]:[19h30]],[2]!Tabel1[[camion]:[Cap]],2,0),0))</f>
        <v>0</v>
      </c>
      <c r="I31" s="14">
        <f>IFERROR(+Tabel46[[#This Row],[Realise]]/Tabel46[[#This Row],[Volume]],"-")</f>
        <v>1</v>
      </c>
      <c r="J31" s="11">
        <f>COUNTA(Tabel46[[#This Row],[04h30]:[19h30]])</f>
        <v>1</v>
      </c>
      <c r="K31" s="15" t="s">
        <v>26</v>
      </c>
      <c r="L31" s="16"/>
      <c r="M31" s="16"/>
      <c r="N31" s="16"/>
      <c r="O31" s="16"/>
      <c r="P31" s="16"/>
      <c r="Q31" s="16"/>
      <c r="R31" s="16"/>
      <c r="S31" s="17"/>
      <c r="T31" s="18"/>
      <c r="U31" s="16"/>
      <c r="V31" s="16"/>
      <c r="W31" s="16"/>
      <c r="X31" s="16"/>
      <c r="Y31" s="19"/>
      <c r="Z31" s="17"/>
    </row>
    <row r="32" spans="1:28" ht="16.8" thickTop="1" thickBot="1" x14ac:dyDescent="0.35">
      <c r="A32" s="9">
        <v>2</v>
      </c>
      <c r="B32" s="10">
        <v>10</v>
      </c>
      <c r="C32" s="11">
        <v>1</v>
      </c>
      <c r="D32" s="23">
        <v>60</v>
      </c>
      <c r="E32" s="11">
        <v>2</v>
      </c>
      <c r="F32" s="11">
        <v>60</v>
      </c>
      <c r="G32" s="12">
        <f>IFERROR(IF(Tabel46[[#This Row],[MAGASINS]]=0,0,TRUNC(+Tabel46[[#This Row],[Volume]]-Tabel46[[#This Row],[Realise]])),0)</f>
        <v>0</v>
      </c>
      <c r="H32" s="13" cm="1">
        <f t="array" ref="H32">SUM(IFERROR(VLOOKUP(Tabel46[[#This Row],[04h30]:[19h30]],[2]!Tabel1[[camion]:[Cap]],2,0),0))</f>
        <v>0</v>
      </c>
      <c r="I32" s="14">
        <f>IFERROR(+Tabel46[[#This Row],[Realise]]/Tabel46[[#This Row],[Volume]],"-")</f>
        <v>1</v>
      </c>
      <c r="J32" s="11">
        <f>COUNTA(Tabel46[[#This Row],[04h30]:[19h30]])</f>
        <v>4</v>
      </c>
      <c r="K32" s="15"/>
      <c r="L32" s="16" t="s">
        <v>31</v>
      </c>
      <c r="M32" s="16"/>
      <c r="N32" s="16" t="s">
        <v>72</v>
      </c>
      <c r="O32" s="16"/>
      <c r="P32" s="16" t="s">
        <v>34</v>
      </c>
      <c r="Q32" s="16"/>
      <c r="R32" s="26" t="s">
        <v>69</v>
      </c>
      <c r="S32" s="17"/>
      <c r="T32" s="18"/>
      <c r="U32" s="16"/>
      <c r="V32" s="16"/>
      <c r="W32" s="16"/>
      <c r="X32" s="16"/>
      <c r="Y32" s="19"/>
      <c r="Z32" s="17"/>
    </row>
    <row r="33" spans="1:28" ht="16.8" thickTop="1" thickBot="1" x14ac:dyDescent="0.35">
      <c r="A33" s="9">
        <v>1</v>
      </c>
      <c r="B33" s="10">
        <v>11</v>
      </c>
      <c r="C33" s="11">
        <v>2</v>
      </c>
      <c r="D33" s="23">
        <v>47</v>
      </c>
      <c r="E33" s="11">
        <v>2</v>
      </c>
      <c r="F33" s="11">
        <v>47</v>
      </c>
      <c r="G33" s="12">
        <f>IFERROR(IF(Tabel46[[#This Row],[MAGASINS]]=0,0,TRUNC(+Tabel46[[#This Row],[Volume]]-Tabel46[[#This Row],[Realise]])),0)</f>
        <v>0</v>
      </c>
      <c r="H33" s="13" cm="1">
        <f t="array" ref="H33">SUM(IFERROR(VLOOKUP(Tabel46[[#This Row],[04h30]:[19h30]],[2]!Tabel1[[camion]:[Cap]],2,0),0))</f>
        <v>0</v>
      </c>
      <c r="I33" s="14">
        <f>IFERROR(+Tabel46[[#This Row],[Realise]]/Tabel46[[#This Row],[Volume]],"-")</f>
        <v>1</v>
      </c>
      <c r="J33" s="11">
        <f>COUNTA(Tabel46[[#This Row],[04h30]:[19h30]])</f>
        <v>3</v>
      </c>
      <c r="K33" s="15"/>
      <c r="L33" s="16" t="s">
        <v>34</v>
      </c>
      <c r="M33" s="16"/>
      <c r="N33" s="16"/>
      <c r="O33" s="16"/>
      <c r="P33" s="16"/>
      <c r="Q33" s="16"/>
      <c r="R33" s="17" t="s">
        <v>39</v>
      </c>
      <c r="S33" s="17"/>
      <c r="T33" s="26" t="s">
        <v>41</v>
      </c>
      <c r="U33" s="16"/>
      <c r="V33" s="16"/>
      <c r="W33" s="16"/>
      <c r="X33" s="16"/>
      <c r="Y33" s="19"/>
      <c r="Z33" s="17"/>
      <c r="AB33" t="s">
        <v>96</v>
      </c>
    </row>
    <row r="34" spans="1:28" ht="16.8" thickTop="1" thickBot="1" x14ac:dyDescent="0.35">
      <c r="A34" s="9">
        <v>3</v>
      </c>
      <c r="B34" s="10">
        <v>17</v>
      </c>
      <c r="C34" s="11">
        <v>4</v>
      </c>
      <c r="D34" s="23">
        <v>39</v>
      </c>
      <c r="E34" s="11">
        <v>2</v>
      </c>
      <c r="F34" s="11">
        <v>39</v>
      </c>
      <c r="G34" s="12">
        <f>IFERROR(IF(Tabel46[[#This Row],[MAGASINS]]=0,0,TRUNC(+Tabel46[[#This Row],[Volume]]-Tabel46[[#This Row],[Realise]])),0)</f>
        <v>0</v>
      </c>
      <c r="H34" s="13" cm="1">
        <f t="array" ref="H34">SUM(IFERROR(VLOOKUP(Tabel46[[#This Row],[04h30]:[19h30]],[2]!Tabel1[[camion]:[Cap]],2,0),0))</f>
        <v>0</v>
      </c>
      <c r="I34" s="14">
        <f>IFERROR(+Tabel46[[#This Row],[Realise]]/Tabel46[[#This Row],[Volume]],"-")</f>
        <v>1</v>
      </c>
      <c r="J34" s="11">
        <f>COUNTA(Tabel46[[#This Row],[04h30]:[19h30]])</f>
        <v>2</v>
      </c>
      <c r="K34" s="15"/>
      <c r="L34" s="36" t="s">
        <v>39</v>
      </c>
      <c r="M34" s="16"/>
      <c r="N34" s="16"/>
      <c r="O34" s="16"/>
      <c r="P34" s="21" t="s">
        <v>88</v>
      </c>
      <c r="Q34" s="16"/>
      <c r="R34" s="16"/>
      <c r="S34" s="17"/>
      <c r="T34" s="18"/>
      <c r="U34" s="16"/>
      <c r="V34" s="16"/>
      <c r="W34" s="16"/>
      <c r="X34" s="16"/>
      <c r="Y34" s="19"/>
      <c r="Z34" s="17"/>
    </row>
    <row r="35" spans="1:28" ht="16.8" thickTop="1" thickBot="1" x14ac:dyDescent="0.35">
      <c r="A35" s="9">
        <v>4</v>
      </c>
      <c r="B35" s="10">
        <v>18</v>
      </c>
      <c r="C35" s="11">
        <v>5</v>
      </c>
      <c r="D35" s="23">
        <v>31</v>
      </c>
      <c r="E35" s="11">
        <v>2</v>
      </c>
      <c r="F35" s="11">
        <v>31</v>
      </c>
      <c r="G35" s="12">
        <f>IFERROR(IF(Tabel46[[#This Row],[MAGASINS]]=0,0,TRUNC(+Tabel46[[#This Row],[Volume]]-Tabel46[[#This Row],[Realise]])),0)</f>
        <v>0</v>
      </c>
      <c r="H35" s="13" cm="1">
        <f t="array" ref="H35">SUM(IFERROR(VLOOKUP(Tabel46[[#This Row],[04h30]:[19h30]],[2]!Tabel1[[camion]:[Cap]],2,0),0))</f>
        <v>0</v>
      </c>
      <c r="I35" s="14">
        <f>IFERROR(+Tabel46[[#This Row],[Realise]]/Tabel46[[#This Row],[Volume]],"-")</f>
        <v>1</v>
      </c>
      <c r="J35" s="11">
        <f>COUNTA(Tabel46[[#This Row],[04h30]:[19h30]])</f>
        <v>2</v>
      </c>
      <c r="K35" s="15"/>
      <c r="L35" s="16"/>
      <c r="M35" s="16" t="s">
        <v>47</v>
      </c>
      <c r="N35" s="16"/>
      <c r="O35" s="16"/>
      <c r="P35" s="16"/>
      <c r="Q35" s="16" t="s">
        <v>90</v>
      </c>
      <c r="R35" s="16"/>
      <c r="S35" s="17"/>
      <c r="T35" s="18"/>
      <c r="U35" s="16"/>
      <c r="V35" s="16"/>
      <c r="W35" s="16"/>
      <c r="X35" s="16"/>
      <c r="Y35" s="19"/>
      <c r="Z35" s="17"/>
    </row>
    <row r="36" spans="1:28" ht="16.8" thickTop="1" thickBot="1" x14ac:dyDescent="0.35">
      <c r="A36" s="9">
        <v>2</v>
      </c>
      <c r="B36" s="10">
        <v>220</v>
      </c>
      <c r="C36" s="11">
        <v>3</v>
      </c>
      <c r="D36" s="23">
        <v>16</v>
      </c>
      <c r="E36" s="11">
        <v>2</v>
      </c>
      <c r="F36" s="11">
        <v>16</v>
      </c>
      <c r="G36" s="12">
        <f>IFERROR(IF(Tabel46[[#This Row],[MAGASINS]]=0,0,TRUNC(+Tabel46[[#This Row],[Volume]]-Tabel46[[#This Row],[Realise]])),0)</f>
        <v>0</v>
      </c>
      <c r="H36" s="13" cm="1">
        <f t="array" ref="H36">SUM(IFERROR(VLOOKUP(Tabel46[[#This Row],[04h30]:[19h30]],[2]!Tabel1[[camion]:[Cap]],2,0),0))</f>
        <v>0</v>
      </c>
      <c r="I36" s="14">
        <f>IFERROR(+Tabel46[[#This Row],[Realise]]/Tabel46[[#This Row],[Volume]],"-")</f>
        <v>1</v>
      </c>
      <c r="J36" s="11">
        <f>COUNTA(Tabel46[[#This Row],[04h30]:[19h30]])</f>
        <v>2</v>
      </c>
      <c r="K36" s="15"/>
      <c r="L36" s="16" t="s">
        <v>42</v>
      </c>
      <c r="M36" s="16"/>
      <c r="N36" s="16" t="s">
        <v>67</v>
      </c>
      <c r="O36" s="16"/>
      <c r="P36" s="16"/>
      <c r="Q36" s="16"/>
      <c r="R36" s="16"/>
      <c r="S36" s="17"/>
      <c r="T36" s="18"/>
      <c r="U36" s="16"/>
      <c r="V36" s="16"/>
      <c r="W36" s="16"/>
      <c r="X36" s="16"/>
      <c r="Y36" s="19"/>
      <c r="Z36" s="17"/>
    </row>
    <row r="37" spans="1:28" ht="16.8" thickTop="1" thickBot="1" x14ac:dyDescent="0.35">
      <c r="A37" s="9">
        <v>1</v>
      </c>
      <c r="B37" s="10">
        <v>303</v>
      </c>
      <c r="C37" s="11">
        <v>24</v>
      </c>
      <c r="D37" s="23">
        <v>2</v>
      </c>
      <c r="E37" s="11">
        <v>2</v>
      </c>
      <c r="F37" s="11">
        <v>2</v>
      </c>
      <c r="G37" s="12">
        <f>IFERROR(IF(Tabel46[[#This Row],[MAGASINS]]=0,0,TRUNC(+Tabel46[[#This Row],[Volume]]-Tabel46[[#This Row],[Realise]])),0)</f>
        <v>0</v>
      </c>
      <c r="H37" s="13" cm="1">
        <f t="array" ref="H37">SUM(IFERROR(VLOOKUP(Tabel46[[#This Row],[04h30]:[19h30]],[2]!Tabel1[[camion]:[Cap]],2,0),0))</f>
        <v>0</v>
      </c>
      <c r="I37" s="14">
        <f>IFERROR(+Tabel46[[#This Row],[Realise]]/Tabel46[[#This Row],[Volume]],"-")</f>
        <v>1</v>
      </c>
      <c r="J37" s="11">
        <f>COUNTA(Tabel46[[#This Row],[04h30]:[19h30]])</f>
        <v>1</v>
      </c>
      <c r="K37" s="15"/>
      <c r="L37" s="16"/>
      <c r="M37" s="16"/>
      <c r="N37" s="16"/>
      <c r="O37" s="16"/>
      <c r="P37" s="16"/>
      <c r="Q37" s="16"/>
      <c r="R37" s="16"/>
      <c r="S37" s="17"/>
      <c r="T37" s="26" t="s">
        <v>43</v>
      </c>
      <c r="U37" s="16"/>
      <c r="V37" s="16"/>
      <c r="W37" s="16"/>
      <c r="X37" s="16"/>
      <c r="Y37" s="19"/>
      <c r="Z37" s="17"/>
      <c r="AB37" t="s">
        <v>95</v>
      </c>
    </row>
    <row r="38" spans="1:28" ht="16.8" thickTop="1" thickBot="1" x14ac:dyDescent="0.35">
      <c r="A38" s="9">
        <v>2</v>
      </c>
      <c r="B38" s="10">
        <v>19</v>
      </c>
      <c r="C38" s="11">
        <v>6</v>
      </c>
      <c r="D38" s="23">
        <v>23</v>
      </c>
      <c r="E38" s="11">
        <v>3</v>
      </c>
      <c r="F38" s="11">
        <v>23</v>
      </c>
      <c r="G38" s="12">
        <f>IFERROR(IF(Tabel46[[#This Row],[MAGASINS]]=0,0,TRUNC(+Tabel46[[#This Row],[Volume]]-Tabel46[[#This Row],[Realise]])),0)</f>
        <v>0</v>
      </c>
      <c r="H38" s="13" cm="1">
        <f t="array" ref="H38">SUM(IFERROR(VLOOKUP(Tabel46[[#This Row],[04h30]:[19h30]],[2]!Tabel1[[camion]:[Cap]],2,0),0))</f>
        <v>0</v>
      </c>
      <c r="I38" s="14">
        <f>IFERROR(+Tabel46[[#This Row],[Realise]]/Tabel46[[#This Row],[Volume]],"-")</f>
        <v>1</v>
      </c>
      <c r="J38" s="11">
        <f>COUNTA(Tabel46[[#This Row],[04h30]:[19h30]])</f>
        <v>2</v>
      </c>
      <c r="K38" s="15"/>
      <c r="L38" s="16"/>
      <c r="M38" s="16" t="s">
        <v>49</v>
      </c>
      <c r="N38" s="16"/>
      <c r="O38" s="16"/>
      <c r="P38" s="16"/>
      <c r="Q38" s="16"/>
      <c r="R38" s="26" t="s">
        <v>43</v>
      </c>
      <c r="S38" s="17"/>
      <c r="T38" s="18"/>
      <c r="U38" s="16"/>
      <c r="V38" s="16"/>
      <c r="W38" s="16"/>
      <c r="X38" s="16"/>
      <c r="Y38" s="19"/>
      <c r="Z38" s="17"/>
    </row>
    <row r="39" spans="1:28" ht="16.8" thickTop="1" thickBot="1" x14ac:dyDescent="0.35">
      <c r="A39" s="9">
        <v>2</v>
      </c>
      <c r="B39" s="10">
        <v>302</v>
      </c>
      <c r="C39" s="11">
        <v>21</v>
      </c>
      <c r="D39" s="23">
        <v>2</v>
      </c>
      <c r="E39" s="11">
        <v>3</v>
      </c>
      <c r="F39" s="11">
        <v>2</v>
      </c>
      <c r="G39" s="12">
        <f>IFERROR(IF(Tabel46[[#This Row],[MAGASINS]]=0,0,TRUNC(+Tabel46[[#This Row],[Volume]]-Tabel46[[#This Row],[Realise]])),0)</f>
        <v>0</v>
      </c>
      <c r="H39" s="13" cm="1">
        <f t="array" ref="H39">SUM(IFERROR(VLOOKUP(Tabel46[[#This Row],[04h30]:[19h30]],[2]!Tabel1[[camion]:[Cap]],2,0),0))</f>
        <v>0</v>
      </c>
      <c r="I39" s="14">
        <f>IFERROR(+Tabel46[[#This Row],[Realise]]/Tabel46[[#This Row],[Volume]],"-")</f>
        <v>1</v>
      </c>
      <c r="J39" s="11">
        <f>COUNTA(Tabel46[[#This Row],[04h30]:[19h30]])</f>
        <v>1</v>
      </c>
      <c r="K39" s="15"/>
      <c r="L39" s="16"/>
      <c r="M39" s="16"/>
      <c r="N39" s="16" t="s">
        <v>43</v>
      </c>
      <c r="O39" s="16"/>
      <c r="P39" s="16"/>
      <c r="Q39" s="16"/>
      <c r="R39" s="16"/>
      <c r="S39" s="17"/>
      <c r="T39" s="18"/>
      <c r="U39" s="16"/>
      <c r="V39" s="16"/>
      <c r="W39" s="16"/>
      <c r="X39" s="16"/>
      <c r="Y39" s="19"/>
      <c r="Z39" s="17"/>
    </row>
    <row r="40" spans="1:28" ht="16.8" thickTop="1" thickBot="1" x14ac:dyDescent="0.35">
      <c r="A40" s="9">
        <v>8</v>
      </c>
      <c r="B40" s="10">
        <v>50</v>
      </c>
      <c r="C40" s="11">
        <v>14</v>
      </c>
      <c r="D40" s="23">
        <v>26</v>
      </c>
      <c r="E40" s="11">
        <v>4</v>
      </c>
      <c r="F40" s="11">
        <v>26</v>
      </c>
      <c r="G40" s="12">
        <f>IFERROR(IF(Tabel46[[#This Row],[MAGASINS]]=0,0,TRUNC(+Tabel46[[#This Row],[Volume]]-Tabel46[[#This Row],[Realise]])),0)</f>
        <v>0</v>
      </c>
      <c r="H40" s="13" cm="1">
        <f t="array" ref="H40">SUM(IFERROR(VLOOKUP(Tabel46[[#This Row],[04h30]:[19h30]],[2]!Tabel1[[camion]:[Cap]],2,0),0))</f>
        <v>0</v>
      </c>
      <c r="I40" s="14">
        <f>IFERROR(+Tabel46[[#This Row],[Realise]]/Tabel46[[#This Row],[Volume]],"-")</f>
        <v>1</v>
      </c>
      <c r="J40" s="11">
        <f>COUNTA(Tabel46[[#This Row],[04h30]:[19h30]])</f>
        <v>2</v>
      </c>
      <c r="K40" s="15"/>
      <c r="L40" s="16"/>
      <c r="M40" s="16"/>
      <c r="N40" s="16" t="s">
        <v>31</v>
      </c>
      <c r="O40" s="16"/>
      <c r="P40" s="16"/>
      <c r="Q40" s="16"/>
      <c r="R40" s="21" t="s">
        <v>71</v>
      </c>
      <c r="S40" s="17"/>
      <c r="T40" s="18"/>
      <c r="U40" s="16"/>
      <c r="V40" s="16"/>
      <c r="W40" s="16"/>
      <c r="X40" s="16"/>
      <c r="Y40" s="19"/>
      <c r="Z40" s="17"/>
    </row>
    <row r="41" spans="1:28" ht="16.8" thickTop="1" thickBot="1" x14ac:dyDescent="0.35">
      <c r="A41" s="9">
        <v>4</v>
      </c>
      <c r="B41" s="10">
        <v>20</v>
      </c>
      <c r="C41" s="11">
        <v>7</v>
      </c>
      <c r="D41" s="23">
        <v>24</v>
      </c>
      <c r="E41" s="11">
        <v>4</v>
      </c>
      <c r="F41" s="11">
        <v>24</v>
      </c>
      <c r="G41" s="12">
        <f>IFERROR(IF(Tabel46[[#This Row],[MAGASINS]]=0,0,TRUNC(+Tabel46[[#This Row],[Volume]]-Tabel46[[#This Row],[Realise]])),0)</f>
        <v>0</v>
      </c>
      <c r="H41" s="13" cm="1">
        <f t="array" ref="H41">SUM(IFERROR(VLOOKUP(Tabel46[[#This Row],[04h30]:[19h30]],[2]!Tabel1[[camion]:[Cap]],2,0),0))</f>
        <v>0</v>
      </c>
      <c r="I41" s="14">
        <f>IFERROR(+Tabel46[[#This Row],[Realise]]/Tabel46[[#This Row],[Volume]],"-")</f>
        <v>1</v>
      </c>
      <c r="J41" s="11">
        <f>COUNTA(Tabel46[[#This Row],[04h30]:[19h30]])</f>
        <v>2</v>
      </c>
      <c r="K41" s="15"/>
      <c r="L41" s="16"/>
      <c r="M41" s="16"/>
      <c r="N41" s="16" t="s">
        <v>39</v>
      </c>
      <c r="O41" s="16"/>
      <c r="P41" s="16"/>
      <c r="Q41" s="16" t="s">
        <v>84</v>
      </c>
      <c r="R41" s="16"/>
      <c r="S41" s="17"/>
      <c r="T41" s="18"/>
      <c r="U41" s="16"/>
      <c r="V41" s="16"/>
      <c r="W41" s="16"/>
      <c r="X41" s="16"/>
      <c r="Y41" s="19"/>
      <c r="Z41" s="17"/>
    </row>
    <row r="42" spans="1:28" ht="16.8" thickTop="1" thickBot="1" x14ac:dyDescent="0.35">
      <c r="A42" s="9">
        <v>4</v>
      </c>
      <c r="B42" s="10">
        <v>46</v>
      </c>
      <c r="C42" s="11">
        <v>13</v>
      </c>
      <c r="D42" s="23">
        <v>21</v>
      </c>
      <c r="E42" s="11">
        <v>4</v>
      </c>
      <c r="F42" s="11">
        <v>21</v>
      </c>
      <c r="G42" s="12">
        <f>IFERROR(IF(Tabel46[[#This Row],[MAGASINS]]=0,0,TRUNC(+Tabel46[[#This Row],[Volume]]-Tabel46[[#This Row],[Realise]])),0)</f>
        <v>0</v>
      </c>
      <c r="H42" s="13" cm="1">
        <f t="array" ref="H42">SUM(IFERROR(VLOOKUP(Tabel46[[#This Row],[04h30]:[19h30]],[2]!Tabel1[[camion]:[Cap]],2,0),0))</f>
        <v>0</v>
      </c>
      <c r="I42" s="14">
        <f>IFERROR(+Tabel46[[#This Row],[Realise]]/Tabel46[[#This Row],[Volume]],"-")</f>
        <v>1</v>
      </c>
      <c r="J42" s="11">
        <f>COUNTA(Tabel46[[#This Row],[04h30]:[19h30]])</f>
        <v>1</v>
      </c>
      <c r="K42" s="15"/>
      <c r="L42" s="16"/>
      <c r="M42" s="16"/>
      <c r="N42" s="16" t="s">
        <v>87</v>
      </c>
      <c r="O42" s="16"/>
      <c r="P42" s="16"/>
      <c r="Q42" s="16"/>
      <c r="R42" s="16"/>
      <c r="S42" s="17"/>
      <c r="T42" s="18"/>
      <c r="U42" s="16"/>
      <c r="V42" s="16"/>
      <c r="W42" s="16"/>
      <c r="X42" s="16"/>
      <c r="Y42" s="19"/>
      <c r="Z42" s="17"/>
    </row>
    <row r="43" spans="1:28" ht="16.8" thickTop="1" thickBot="1" x14ac:dyDescent="0.35">
      <c r="A43" s="9">
        <v>4</v>
      </c>
      <c r="B43" s="10">
        <v>216</v>
      </c>
      <c r="C43" s="11">
        <v>15</v>
      </c>
      <c r="D43" s="23">
        <v>18</v>
      </c>
      <c r="E43" s="11">
        <v>4</v>
      </c>
      <c r="F43" s="11">
        <v>18</v>
      </c>
      <c r="G43" s="12">
        <f>IFERROR(IF(Tabel46[[#This Row],[MAGASINS]]=0,0,TRUNC(+Tabel46[[#This Row],[Volume]]-Tabel46[[#This Row],[Realise]])),0)</f>
        <v>0</v>
      </c>
      <c r="H43" s="13" cm="1">
        <f t="array" ref="H43">SUM(IFERROR(VLOOKUP(Tabel46[[#This Row],[04h30]:[19h30]],[2]!Tabel1[[camion]:[Cap]],2,0),0))</f>
        <v>0</v>
      </c>
      <c r="I43" s="14">
        <f>IFERROR(+Tabel46[[#This Row],[Realise]]/Tabel46[[#This Row],[Volume]],"-")</f>
        <v>1</v>
      </c>
      <c r="J43" s="11">
        <f>COUNTA(Tabel46[[#This Row],[04h30]:[19h30]])</f>
        <v>1</v>
      </c>
      <c r="K43" s="15"/>
      <c r="L43" s="16"/>
      <c r="M43" s="16"/>
      <c r="N43" s="16"/>
      <c r="O43" s="21" t="s">
        <v>64</v>
      </c>
      <c r="P43" s="16"/>
      <c r="Q43" s="16"/>
      <c r="R43" s="16"/>
      <c r="S43" s="17"/>
      <c r="T43" s="18"/>
      <c r="U43" s="16"/>
      <c r="V43" s="16"/>
      <c r="W43" s="16"/>
      <c r="X43" s="16"/>
      <c r="Y43" s="19"/>
      <c r="Z43" s="17"/>
    </row>
    <row r="44" spans="1:28" ht="16.8" thickTop="1" thickBot="1" x14ac:dyDescent="0.35">
      <c r="A44" s="9">
        <v>4</v>
      </c>
      <c r="B44" s="10">
        <v>300</v>
      </c>
      <c r="C44" s="11">
        <v>22</v>
      </c>
      <c r="D44" s="23">
        <v>2</v>
      </c>
      <c r="E44" s="11">
        <v>4</v>
      </c>
      <c r="F44" s="11">
        <v>2</v>
      </c>
      <c r="G44" s="12">
        <f>IFERROR(IF(Tabel46[[#This Row],[MAGASINS]]=0,0,TRUNC(+Tabel46[[#This Row],[Volume]]-Tabel46[[#This Row],[Realise]])),0)</f>
        <v>0</v>
      </c>
      <c r="H44" s="13" cm="1">
        <f t="array" ref="H44">SUM(IFERROR(VLOOKUP(Tabel46[[#This Row],[04h30]:[19h30]],[2]!Tabel1[[camion]:[Cap]],2,0),0))</f>
        <v>0</v>
      </c>
      <c r="I44" s="14">
        <f>IFERROR(+Tabel46[[#This Row],[Realise]]/Tabel46[[#This Row],[Volume]],"-")</f>
        <v>1</v>
      </c>
      <c r="J44" s="11">
        <f>COUNTA(Tabel46[[#This Row],[04h30]:[19h30]])</f>
        <v>1</v>
      </c>
      <c r="K44" s="15"/>
      <c r="L44" s="16"/>
      <c r="M44" s="16"/>
      <c r="N44" s="16"/>
      <c r="O44" s="16"/>
      <c r="P44" s="16"/>
      <c r="Q44" s="16" t="s">
        <v>54</v>
      </c>
      <c r="R44" s="16"/>
      <c r="S44" s="17"/>
      <c r="T44" s="18"/>
      <c r="U44" s="16"/>
      <c r="V44" s="16"/>
      <c r="W44" s="16"/>
      <c r="X44" s="16"/>
      <c r="Y44" s="19"/>
      <c r="Z44" s="17"/>
    </row>
    <row r="45" spans="1:28" ht="16.8" thickTop="1" thickBot="1" x14ac:dyDescent="0.35">
      <c r="A45" s="9">
        <v>7</v>
      </c>
      <c r="B45" s="10">
        <v>222</v>
      </c>
      <c r="C45" s="11">
        <v>19</v>
      </c>
      <c r="D45" s="23">
        <v>15</v>
      </c>
      <c r="E45" s="11">
        <v>5</v>
      </c>
      <c r="F45" s="11">
        <v>15</v>
      </c>
      <c r="G45" s="12">
        <f>IFERROR(IF(Tabel46[[#This Row],[MAGASINS]]=0,0,TRUNC(+Tabel46[[#This Row],[Volume]]-Tabel46[[#This Row],[Realise]])),0)</f>
        <v>0</v>
      </c>
      <c r="H45" s="13" cm="1">
        <f t="array" ref="H45">SUM(IFERROR(VLOOKUP(Tabel46[[#This Row],[04h30]:[19h30]],[2]!Tabel1[[camion]:[Cap]],2,0),0))</f>
        <v>0</v>
      </c>
      <c r="I45" s="14">
        <f>IFERROR(+Tabel46[[#This Row],[Realise]]/Tabel46[[#This Row],[Volume]],"-")</f>
        <v>1</v>
      </c>
      <c r="J45" s="11">
        <f>COUNTA(Tabel46[[#This Row],[04h30]:[19h30]])</f>
        <v>1</v>
      </c>
      <c r="K45" s="15"/>
      <c r="L45" s="16"/>
      <c r="M45" s="16"/>
      <c r="N45" s="16"/>
      <c r="O45" s="16" t="s">
        <v>66</v>
      </c>
      <c r="P45" s="16"/>
      <c r="Q45" s="16"/>
      <c r="R45" s="16"/>
      <c r="S45" s="17"/>
      <c r="T45" s="18"/>
      <c r="U45" s="16"/>
      <c r="V45" s="16"/>
      <c r="W45" s="16"/>
      <c r="X45" s="16"/>
      <c r="Y45" s="19"/>
      <c r="Z45" s="17"/>
    </row>
    <row r="46" spans="1:28" ht="16.8" thickTop="1" thickBot="1" x14ac:dyDescent="0.35">
      <c r="A46" s="9">
        <v>7</v>
      </c>
      <c r="B46" s="10">
        <v>721</v>
      </c>
      <c r="C46" s="11">
        <v>16</v>
      </c>
      <c r="D46" s="23">
        <v>14</v>
      </c>
      <c r="E46" s="11">
        <v>5</v>
      </c>
      <c r="F46" s="11">
        <v>14</v>
      </c>
      <c r="G46" s="12">
        <f>IFERROR(IF(Tabel46[[#This Row],[MAGASINS]]=0,0,TRUNC(+Tabel46[[#This Row],[Volume]]-Tabel46[[#This Row],[Realise]])),0)</f>
        <v>0</v>
      </c>
      <c r="H46" s="13" cm="1">
        <f t="array" ref="H46">SUM(IFERROR(VLOOKUP(Tabel46[[#This Row],[04h30]:[19h30]],[2]!Tabel1[[camion]:[Cap]],2,0),0))</f>
        <v>0</v>
      </c>
      <c r="I46" s="14">
        <f>IFERROR(+Tabel46[[#This Row],[Realise]]/Tabel46[[#This Row],[Volume]],"-")</f>
        <v>1</v>
      </c>
      <c r="J46" s="11">
        <f>COUNTA(Tabel46[[#This Row],[04h30]:[19h30]])</f>
        <v>1</v>
      </c>
      <c r="K46" s="15"/>
      <c r="L46" s="16"/>
      <c r="M46" s="16"/>
      <c r="N46" s="16"/>
      <c r="O46" s="16" t="s">
        <v>89</v>
      </c>
      <c r="P46" s="16"/>
      <c r="Q46" s="16"/>
      <c r="R46" s="16"/>
      <c r="S46" s="17"/>
      <c r="T46" s="18"/>
      <c r="U46" s="16"/>
      <c r="V46" s="16"/>
      <c r="W46" s="16"/>
      <c r="X46" s="16"/>
      <c r="Y46" s="19"/>
      <c r="Z46" s="17"/>
    </row>
    <row r="47" spans="1:28" ht="16.8" thickTop="1" thickBot="1" x14ac:dyDescent="0.35">
      <c r="A47" s="9">
        <v>7</v>
      </c>
      <c r="B47" s="10">
        <v>219</v>
      </c>
      <c r="C47" s="11">
        <v>20</v>
      </c>
      <c r="D47" s="23">
        <v>13</v>
      </c>
      <c r="E47" s="11">
        <v>5</v>
      </c>
      <c r="F47" s="11">
        <v>13</v>
      </c>
      <c r="G47" s="12">
        <f>IFERROR(IF(Tabel46[[#This Row],[MAGASINS]]=0,0,TRUNC(+Tabel46[[#This Row],[Volume]]-Tabel46[[#This Row],[Realise]])),0)</f>
        <v>0</v>
      </c>
      <c r="H47" s="13" cm="1">
        <f t="array" ref="H47">SUM(IFERROR(VLOOKUP(Tabel46[[#This Row],[04h30]:[19h30]],[2]!Tabel1[[camion]:[Cap]],2,0),0))</f>
        <v>0</v>
      </c>
      <c r="I47" s="14">
        <f>IFERROR(+Tabel46[[#This Row],[Realise]]/Tabel46[[#This Row],[Volume]],"-")</f>
        <v>1</v>
      </c>
      <c r="J47" s="11">
        <f>COUNTA(Tabel46[[#This Row],[04h30]:[19h30]])</f>
        <v>1</v>
      </c>
      <c r="K47" s="15"/>
      <c r="L47" s="16"/>
      <c r="M47" s="16"/>
      <c r="N47" s="16"/>
      <c r="O47" s="16"/>
      <c r="P47" s="16"/>
      <c r="Q47" s="17" t="s">
        <v>65</v>
      </c>
      <c r="R47" s="16"/>
      <c r="S47" s="17"/>
      <c r="T47" s="18"/>
      <c r="U47" s="16"/>
      <c r="V47" s="16"/>
      <c r="W47" s="16"/>
      <c r="X47" s="16"/>
      <c r="Y47" s="19"/>
      <c r="Z47" s="17"/>
    </row>
    <row r="48" spans="1:28" ht="16.8" thickTop="1" thickBot="1" x14ac:dyDescent="0.35">
      <c r="A48" s="9">
        <v>3</v>
      </c>
      <c r="B48" s="10">
        <v>221</v>
      </c>
      <c r="C48" s="11">
        <v>18</v>
      </c>
      <c r="D48" s="23">
        <v>23</v>
      </c>
      <c r="E48" s="11">
        <v>6</v>
      </c>
      <c r="F48" s="11">
        <v>23</v>
      </c>
      <c r="G48" s="12">
        <f>IFERROR(IF(Tabel46[[#This Row],[MAGASINS]]=0,0,TRUNC(+Tabel46[[#This Row],[Volume]]-Tabel46[[#This Row],[Realise]])),0)</f>
        <v>0</v>
      </c>
      <c r="H48" s="13" cm="1">
        <f t="array" ref="H48">SUM(IFERROR(VLOOKUP(Tabel46[[#This Row],[04h30]:[19h30]],[2]!Tabel1[[camion]:[Cap]],2,0),0))</f>
        <v>0</v>
      </c>
      <c r="I48" s="14">
        <f>IFERROR(+Tabel46[[#This Row],[Realise]]/Tabel46[[#This Row],[Volume]],"-")</f>
        <v>1</v>
      </c>
      <c r="J48" s="11">
        <f>COUNTA(Tabel46[[#This Row],[04h30]:[19h30]])</f>
        <v>1</v>
      </c>
      <c r="K48" s="15"/>
      <c r="L48" s="16"/>
      <c r="M48" s="16"/>
      <c r="N48" s="16"/>
      <c r="O48" s="16"/>
      <c r="P48" s="16" t="s">
        <v>39</v>
      </c>
      <c r="Q48" s="16"/>
      <c r="R48" s="16"/>
      <c r="S48" s="17"/>
      <c r="T48" s="18"/>
      <c r="U48" s="16"/>
      <c r="V48" s="16"/>
      <c r="W48" s="16"/>
      <c r="X48" s="16"/>
      <c r="Y48" s="19"/>
      <c r="Z48" s="17"/>
    </row>
    <row r="49" spans="1:26" ht="16.8" thickTop="1" thickBot="1" x14ac:dyDescent="0.35">
      <c r="A49" s="9">
        <v>3</v>
      </c>
      <c r="B49" s="10">
        <v>218</v>
      </c>
      <c r="C49" s="11">
        <v>17</v>
      </c>
      <c r="D49" s="23">
        <v>8</v>
      </c>
      <c r="E49" s="11">
        <v>6</v>
      </c>
      <c r="F49" s="11">
        <v>8</v>
      </c>
      <c r="G49" s="12">
        <f>IFERROR(IF(Tabel46[[#This Row],[MAGASINS]]=0,0,TRUNC(+Tabel46[[#This Row],[Volume]]-Tabel46[[#This Row],[Realise]])),0)</f>
        <v>0</v>
      </c>
      <c r="H49" s="13" cm="1">
        <f t="array" ref="H49">SUM(IFERROR(VLOOKUP(Tabel46[[#This Row],[04h30]:[19h30]],[2]!Tabel1[[camion]:[Cap]],2,0),0))</f>
        <v>0</v>
      </c>
      <c r="I49" s="14">
        <f>IFERROR(+Tabel46[[#This Row],[Realise]]/Tabel46[[#This Row],[Volume]],"-")</f>
        <v>1</v>
      </c>
      <c r="J49" s="11">
        <f>COUNTA(Tabel46[[#This Row],[04h30]:[19h30]])</f>
        <v>1</v>
      </c>
      <c r="K49" s="15"/>
      <c r="L49" s="16"/>
      <c r="M49" s="16"/>
      <c r="N49" s="16"/>
      <c r="O49" s="16"/>
      <c r="P49" s="16" t="s">
        <v>69</v>
      </c>
      <c r="Q49" s="16"/>
      <c r="R49" s="16"/>
      <c r="S49" s="17"/>
      <c r="T49" s="18"/>
      <c r="U49" s="16"/>
      <c r="V49" s="16"/>
      <c r="W49" s="16"/>
      <c r="X49" s="16"/>
      <c r="Y49" s="19"/>
      <c r="Z49" s="17"/>
    </row>
    <row r="50" spans="1:26" ht="16.8" thickTop="1" thickBot="1" x14ac:dyDescent="0.35">
      <c r="A50" s="9">
        <v>3</v>
      </c>
      <c r="B50" s="10">
        <v>301</v>
      </c>
      <c r="C50" s="11">
        <v>23</v>
      </c>
      <c r="D50" s="23">
        <v>2</v>
      </c>
      <c r="E50" s="11">
        <v>6</v>
      </c>
      <c r="F50" s="11">
        <v>2</v>
      </c>
      <c r="G50" s="12">
        <f>IFERROR(IF(Tabel46[[#This Row],[MAGASINS]]=0,0,TRUNC(+Tabel46[[#This Row],[Volume]]-Tabel46[[#This Row],[Realise]])),0)</f>
        <v>0</v>
      </c>
      <c r="H50" s="13" cm="1">
        <f t="array" ref="H50">SUM(IFERROR(VLOOKUP(Tabel46[[#This Row],[04h30]:[19h30]],[2]!Tabel1[[camion]:[Cap]],2,0),0))</f>
        <v>0</v>
      </c>
      <c r="I50" s="14">
        <f>IFERROR(+Tabel46[[#This Row],[Realise]]/Tabel46[[#This Row],[Volume]],"-")</f>
        <v>1</v>
      </c>
      <c r="J50" s="11">
        <f>COUNTA(Tabel46[[#This Row],[04h30]:[19h30]])</f>
        <v>1</v>
      </c>
      <c r="K50" s="15"/>
      <c r="L50" s="16"/>
      <c r="M50" s="16"/>
      <c r="N50" s="16"/>
      <c r="O50" s="16"/>
      <c r="P50" s="16" t="s">
        <v>43</v>
      </c>
      <c r="Q50" s="16"/>
      <c r="R50" s="16"/>
      <c r="S50" s="17"/>
      <c r="T50" s="18"/>
      <c r="U50" s="16"/>
      <c r="V50" s="16"/>
      <c r="W50" s="16"/>
      <c r="X50" s="16"/>
      <c r="Y50" s="19"/>
      <c r="Z50" s="17"/>
    </row>
    <row r="51" spans="1:26" ht="16.8" thickTop="1" thickBot="1" x14ac:dyDescent="0.35">
      <c r="A51" s="9">
        <v>6</v>
      </c>
      <c r="B51" s="10">
        <v>42</v>
      </c>
      <c r="C51" s="11">
        <v>9</v>
      </c>
      <c r="D51" s="23">
        <v>36</v>
      </c>
      <c r="E51" s="11">
        <v>7</v>
      </c>
      <c r="F51" s="11">
        <v>36</v>
      </c>
      <c r="G51" s="12">
        <f>IFERROR(IF(Tabel46[[#This Row],[MAGASINS]]=0,0,TRUNC(+Tabel46[[#This Row],[Volume]]-Tabel46[[#This Row],[Realise]])),0)</f>
        <v>0</v>
      </c>
      <c r="H51" s="13" cm="1">
        <f t="array" ref="H51">SUM(IFERROR(VLOOKUP(Tabel46[[#This Row],[04h30]:[19h30]],[2]!Tabel1[[camion]:[Cap]],2,0),0))</f>
        <v>0</v>
      </c>
      <c r="I51" s="14">
        <f>IFERROR(+Tabel46[[#This Row],[Realise]]/Tabel46[[#This Row],[Volume]],"-")</f>
        <v>1</v>
      </c>
      <c r="J51" s="11">
        <f>COUNTA(Tabel46[[#This Row],[04h30]:[19h30]])</f>
        <v>2</v>
      </c>
      <c r="K51" s="15"/>
      <c r="L51" s="16"/>
      <c r="M51" s="16"/>
      <c r="N51" s="16"/>
      <c r="O51" s="16"/>
      <c r="P51" s="16"/>
      <c r="Q51" s="16"/>
      <c r="R51" s="16"/>
      <c r="S51" s="17"/>
      <c r="T51" s="18"/>
      <c r="U51" s="16"/>
      <c r="V51" s="16" t="s">
        <v>31</v>
      </c>
      <c r="W51" s="16"/>
      <c r="X51" s="16" t="s">
        <v>36</v>
      </c>
      <c r="Y51" s="19"/>
      <c r="Z51" s="17"/>
    </row>
    <row r="52" spans="1:26" ht="16.8" thickTop="1" thickBot="1" x14ac:dyDescent="0.35">
      <c r="A52" s="9">
        <v>6</v>
      </c>
      <c r="B52" s="10">
        <v>43</v>
      </c>
      <c r="C52" s="11">
        <v>10</v>
      </c>
      <c r="D52" s="23">
        <v>20</v>
      </c>
      <c r="E52" s="11">
        <v>7</v>
      </c>
      <c r="F52" s="11">
        <v>20</v>
      </c>
      <c r="G52" s="12">
        <f>IFERROR(IF(Tabel46[[#This Row],[MAGASINS]]=0,0,TRUNC(+Tabel46[[#This Row],[Volume]]-Tabel46[[#This Row],[Realise]])),0)</f>
        <v>0</v>
      </c>
      <c r="H52" s="13" cm="1">
        <f t="array" ref="H52">SUM(IFERROR(VLOOKUP(Tabel46[[#This Row],[04h30]:[19h30]],[2]!Tabel1[[camion]:[Cap]],2,0),0))</f>
        <v>0</v>
      </c>
      <c r="I52" s="14">
        <f>IFERROR(+Tabel46[[#This Row],[Realise]]/Tabel46[[#This Row],[Volume]],"-")</f>
        <v>1</v>
      </c>
      <c r="J52" s="11">
        <f>COUNTA(Tabel46[[#This Row],[04h30]:[19h30]])</f>
        <v>1</v>
      </c>
      <c r="K52" s="15"/>
      <c r="L52" s="16"/>
      <c r="M52" s="16"/>
      <c r="N52" s="16"/>
      <c r="O52" s="16"/>
      <c r="P52" s="16"/>
      <c r="Q52" s="16"/>
      <c r="R52" s="16"/>
      <c r="S52" s="17"/>
      <c r="T52" s="18"/>
      <c r="U52" s="16"/>
      <c r="V52" s="16" t="s">
        <v>60</v>
      </c>
      <c r="W52" s="16"/>
      <c r="X52" s="16"/>
      <c r="Y52" s="19"/>
      <c r="Z52" s="17"/>
    </row>
    <row r="53" spans="1:26" ht="16.8" thickTop="1" thickBot="1" x14ac:dyDescent="0.35">
      <c r="A53" s="9">
        <v>6</v>
      </c>
      <c r="B53" s="10">
        <v>45</v>
      </c>
      <c r="C53" s="11">
        <v>12</v>
      </c>
      <c r="D53" s="23">
        <v>18</v>
      </c>
      <c r="E53" s="11">
        <v>7</v>
      </c>
      <c r="F53" s="11">
        <v>18</v>
      </c>
      <c r="G53" s="12">
        <f>IFERROR(IF(Tabel46[[#This Row],[MAGASINS]]=0,0,TRUNC(+Tabel46[[#This Row],[Volume]]-Tabel46[[#This Row],[Realise]])),0)</f>
        <v>0</v>
      </c>
      <c r="H53" s="13" cm="1">
        <f t="array" ref="H53">SUM(IFERROR(VLOOKUP(Tabel46[[#This Row],[04h30]:[19h30]],[2]!Tabel1[[camion]:[Cap]],2,0),0))</f>
        <v>0</v>
      </c>
      <c r="I53" s="14">
        <f>IFERROR(+Tabel46[[#This Row],[Realise]]/Tabel46[[#This Row],[Volume]],"-")</f>
        <v>1</v>
      </c>
      <c r="J53" s="11">
        <f>COUNTA(Tabel46[[#This Row],[04h30]:[19h30]])</f>
        <v>1</v>
      </c>
      <c r="K53" s="15"/>
      <c r="L53" s="16"/>
      <c r="M53" s="16"/>
      <c r="N53" s="16"/>
      <c r="O53" s="16"/>
      <c r="P53" s="16"/>
      <c r="Q53" s="16"/>
      <c r="R53" s="16"/>
      <c r="S53" s="17"/>
      <c r="T53" s="18"/>
      <c r="U53" s="16"/>
      <c r="V53" s="16"/>
      <c r="W53" s="16" t="s">
        <v>78</v>
      </c>
      <c r="X53" s="16"/>
      <c r="Y53" s="19"/>
      <c r="Z53" s="17"/>
    </row>
    <row r="54" spans="1:26" ht="16.2" thickTop="1" x14ac:dyDescent="0.3">
      <c r="A54" s="39"/>
      <c r="B54" s="40"/>
      <c r="C54" s="41"/>
      <c r="D54" s="41"/>
      <c r="E54" s="41"/>
      <c r="F54" s="42"/>
      <c r="G54" s="43"/>
      <c r="H54" s="44"/>
      <c r="I54" s="45"/>
      <c r="J54" s="42">
        <f>SUM(J30:J53)</f>
        <v>36</v>
      </c>
      <c r="K54" s="46"/>
      <c r="L54" s="47"/>
      <c r="M54" s="47"/>
      <c r="N54" s="47"/>
      <c r="O54" s="47"/>
      <c r="P54" s="47"/>
      <c r="Q54" s="47"/>
      <c r="R54" s="47"/>
      <c r="S54" s="48"/>
      <c r="T54" s="46"/>
      <c r="U54" s="47"/>
      <c r="V54" s="47"/>
      <c r="W54" s="47"/>
      <c r="X54" s="47"/>
      <c r="Y54" s="48"/>
      <c r="Z54" s="49"/>
    </row>
  </sheetData>
  <conditionalFormatting sqref="K3:Z26">
    <cfRule type="expression" dxfId="137" priority="20">
      <formula>ISNUMBER(SEARCH("351",K3))</formula>
    </cfRule>
    <cfRule type="expression" dxfId="136" priority="21">
      <formula>ISNUMBER(SEARCH("802",K3))</formula>
    </cfRule>
    <cfRule type="expression" dxfId="135" priority="22">
      <formula>ISNUMBER(SEARCH("392",K3))</formula>
    </cfRule>
    <cfRule type="expression" dxfId="134" priority="23">
      <formula>ISNUMBER(SEARCH("277",K3))</formula>
    </cfRule>
    <cfRule type="expression" dxfId="133" priority="24">
      <formula>ISNUMBER(SEARCH("379",K3))</formula>
    </cfRule>
    <cfRule type="expression" dxfId="132" priority="25">
      <formula>ISNUMBER(SEARCH("361",K3))</formula>
    </cfRule>
    <cfRule type="expression" dxfId="131" priority="26">
      <formula>ISNUMBER(SEARCH("609",K3))</formula>
    </cfRule>
    <cfRule type="expression" dxfId="130" priority="27">
      <formula>ISNUMBER(SEARCH("715",K3))</formula>
    </cfRule>
    <cfRule type="expression" dxfId="129" priority="28">
      <formula>ISNUMBER(SEARCH("392",K3))</formula>
    </cfRule>
    <cfRule type="expression" dxfId="128" priority="29">
      <formula>ISNUMBER(SEARCH("919",K3))</formula>
    </cfRule>
    <cfRule type="expression" dxfId="127" priority="30">
      <formula>ISNUMBER(SEARCH("225",K3))</formula>
    </cfRule>
  </conditionalFormatting>
  <conditionalFormatting sqref="A3:Z26">
    <cfRule type="expression" dxfId="126" priority="19">
      <formula>OR(Trie_Par_secteur=2,AND(Trie_Par_secteur=1,$E3=OFFSET($E3,1,)),AND(Trie_Par_secteur=0,$A3=OFFSET($A3,1,)))</formula>
    </cfRule>
  </conditionalFormatting>
  <conditionalFormatting sqref="G3:G26">
    <cfRule type="expression" dxfId="125" priority="18">
      <formula>G3&lt;0</formula>
    </cfRule>
  </conditionalFormatting>
  <conditionalFormatting sqref="A3:J26">
    <cfRule type="expression" dxfId="124" priority="17">
      <formula>$B3=220</formula>
    </cfRule>
  </conditionalFormatting>
  <conditionalFormatting sqref="D3:D26"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{DF805A51-4A6E-4E02-8D56-464D34F58B74}</x14:id>
        </ext>
      </extLst>
    </cfRule>
  </conditionalFormatting>
  <conditionalFormatting sqref="K30:Z53">
    <cfRule type="expression" dxfId="123" priority="5">
      <formula>ISNUMBER(SEARCH("351",K30))</formula>
    </cfRule>
    <cfRule type="expression" dxfId="122" priority="6">
      <formula>ISNUMBER(SEARCH("802",K30))</formula>
    </cfRule>
    <cfRule type="expression" dxfId="121" priority="7">
      <formula>ISNUMBER(SEARCH("392",K30))</formula>
    </cfRule>
    <cfRule type="expression" dxfId="120" priority="8">
      <formula>ISNUMBER(SEARCH("277",K30))</formula>
    </cfRule>
    <cfRule type="expression" dxfId="119" priority="9">
      <formula>ISNUMBER(SEARCH("379",K30))</formula>
    </cfRule>
    <cfRule type="expression" dxfId="118" priority="10">
      <formula>ISNUMBER(SEARCH("361",K30))</formula>
    </cfRule>
    <cfRule type="expression" dxfId="117" priority="11">
      <formula>ISNUMBER(SEARCH("609",K30))</formula>
    </cfRule>
    <cfRule type="expression" dxfId="116" priority="12">
      <formula>ISNUMBER(SEARCH("715",K30))</formula>
    </cfRule>
    <cfRule type="expression" dxfId="115" priority="13">
      <formula>ISNUMBER(SEARCH("392",K30))</formula>
    </cfRule>
    <cfRule type="expression" dxfId="114" priority="14">
      <formula>ISNUMBER(SEARCH("919",K30))</formula>
    </cfRule>
    <cfRule type="expression" dxfId="113" priority="15">
      <formula>ISNUMBER(SEARCH("225",K30))</formula>
    </cfRule>
  </conditionalFormatting>
  <conditionalFormatting sqref="A30:Z53">
    <cfRule type="expression" dxfId="112" priority="4">
      <formula>OR(Trie_Par_secteur=2,AND(Trie_Par_secteur=1,$E30=OFFSET($E30,1,)),AND(Trie_Par_secteur=0,$A30=OFFSET($A30,1,)))</formula>
    </cfRule>
  </conditionalFormatting>
  <conditionalFormatting sqref="G30:G53">
    <cfRule type="expression" dxfId="111" priority="3">
      <formula>G30&lt;0</formula>
    </cfRule>
  </conditionalFormatting>
  <conditionalFormatting sqref="A30:J53">
    <cfRule type="expression" dxfId="110" priority="2">
      <formula>$B30=220</formula>
    </cfRule>
  </conditionalFormatting>
  <conditionalFormatting sqref="D30:D53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{36D74870-ADC7-49C1-A284-0D8D0832AA5C}</x14:id>
        </ext>
      </extLst>
    </cfRule>
  </conditionalFormatting>
  <dataValidations disablePrompts="1" count="1">
    <dataValidation type="list" allowBlank="1" showInputMessage="1" showErrorMessage="1" sqref="C3:C26 C30:C53" xr:uid="{1EA7F394-AF5A-4F1A-84AA-E6E5FD199180}">
      <formula1>$C$20:$C$31</formula1>
    </dataValidation>
  </dataValidations>
  <pageMargins left="0.7" right="0.7" top="0.75" bottom="0.75" header="0.3" footer="0.3"/>
  <legacyDrawing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805A51-4A6E-4E02-8D56-464D34F58B7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D3:D26</xm:sqref>
        </x14:conditionalFormatting>
        <x14:conditionalFormatting xmlns:xm="http://schemas.microsoft.com/office/excel/2006/main">
          <x14:cfRule type="dataBar" id="{36D74870-ADC7-49C1-A284-0D8D0832AA5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D30:D53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</dc:creator>
  <cp:lastModifiedBy>Patrick M</cp:lastModifiedBy>
  <dcterms:created xsi:type="dcterms:W3CDTF">2026-05-10T12:54:05Z</dcterms:created>
  <dcterms:modified xsi:type="dcterms:W3CDTF">2026-05-10T22:33:10Z</dcterms:modified>
</cp:coreProperties>
</file>