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M:\Planning exploit\WRK\"/>
    </mc:Choice>
  </mc:AlternateContent>
  <bookViews>
    <workbookView xWindow="0" yWindow="0" windowWidth="20490" windowHeight="7755" activeTab="4"/>
  </bookViews>
  <sheets>
    <sheet name="Juin 2019" sheetId="1" r:id="rId1"/>
    <sheet name="Planning" sheetId="6" r:id="rId2"/>
    <sheet name="Fériés" sheetId="7" state="hidden" r:id="rId3"/>
    <sheet name="lexique" sheetId="2" r:id="rId4"/>
    <sheet name="Date planifiée" sheetId="3" r:id="rId5"/>
  </sheets>
  <externalReferences>
    <externalReference r:id="rId6"/>
  </externalReferences>
  <definedNames>
    <definedName name="_xlnm._FilterDatabase" localSheetId="0" hidden="1">'Juin 2019'!$A$1:$M$247</definedName>
    <definedName name="_xlnm._FilterDatabase" localSheetId="3" hidden="1">lexique!$A$1:$A$263</definedName>
    <definedName name="AC_UN">Planning!$E$6:$P$6</definedName>
    <definedName name="Année_trait" localSheetId="2">Planning!$C$2</definedName>
    <definedName name="Année_trait" localSheetId="1">Planning!$C$2</definedName>
    <definedName name="Année_trait">'Date planifiée'!$G$4</definedName>
    <definedName name="Centr_2°_Compta_HP" localSheetId="2">Planning!$A$49</definedName>
    <definedName name="Centr_2°_Compta_HP" localSheetId="1">Planning!$A$49</definedName>
    <definedName name="Centr_2°_Compta_HP">'Date planifiée'!$A$48</definedName>
    <definedName name="Centr_Immo_Cess_HP">'Date planifiée'!$A$45</definedName>
    <definedName name="Deb_Cloture">'Date planifiée'!$G$10</definedName>
    <definedName name="DEB_PLAN">'Date planifiée'!$G$7</definedName>
    <definedName name="DK_Feries">'Date planifiée'!$E$2:$E$21</definedName>
    <definedName name="Ex_AC1" localSheetId="2">Planning!$A$4</definedName>
    <definedName name="Ex_AC1" localSheetId="1">Planning!$A$4</definedName>
    <definedName name="Ex_AC1">'Date planifiée'!$A$5</definedName>
    <definedName name="Ex_AC2" localSheetId="2">Planning!$A$8</definedName>
    <definedName name="Ex_AC2" localSheetId="1">Planning!$A$8</definedName>
    <definedName name="Ex_AC2">'Date planifiée'!$A$7</definedName>
    <definedName name="Ex_AC3" localSheetId="2">Planning!$A$13</definedName>
    <definedName name="Ex_AC3" localSheetId="1">Planning!$A$13</definedName>
    <definedName name="Ex_AC3">'Date planifiée'!$A$9</definedName>
    <definedName name="Ex_Compta_1_HP" localSheetId="2">Planning!$A$46</definedName>
    <definedName name="Ex_Compta_1_HP" localSheetId="1">Planning!$A$46</definedName>
    <definedName name="Ex_Compta_1_HP">'Date planifiée'!$A$23</definedName>
    <definedName name="Ex_Compta_2_HP" localSheetId="2">Planning!$A$48</definedName>
    <definedName name="Ex_Compta_2_HP" localSheetId="1">Planning!$A$48</definedName>
    <definedName name="Ex_Compta_2_HP">'Date planifiée'!$A$26</definedName>
    <definedName name="Ex_Prep_Hyg" localSheetId="2">Planning!$A$12</definedName>
    <definedName name="Ex_Prep_Hyg" localSheetId="1">Planning!$A$12</definedName>
    <definedName name="Ex_Prep_Hyg">'Date planifiée'!$A$11</definedName>
    <definedName name="Extract_AC1_M1">'Date planifiée'!$A$64</definedName>
    <definedName name="Fact_NEEVA" localSheetId="2">Planning!$A$81</definedName>
    <definedName name="Fact_NEEVA" localSheetId="1">Planning!$A$81</definedName>
    <definedName name="Fact_NEEVA">'Date planifiée'!$A$42</definedName>
    <definedName name="Feries_DK" localSheetId="2">Fériés!$C$2:$C$21</definedName>
    <definedName name="Feries_DK" localSheetId="1">Fériés!$C$2:$C$21</definedName>
    <definedName name="Feries_DK">[1]Fériés!$C$2:$C$21</definedName>
    <definedName name="FIMP_PERS_NEEVA">'Date planifiée'!$A$42</definedName>
    <definedName name="Fin_Clot_MPrec">'Date planifiée'!$G$16</definedName>
    <definedName name="Fin_Cloture">'Date planifiée'!$G$13</definedName>
    <definedName name="Fin_Plan">'Date planifiée'!$A$70</definedName>
    <definedName name="Frais_Info">'Date planifiée'!$A$67</definedName>
    <definedName name="IMP_PERS_NEEVA" localSheetId="2">Planning!$A$82</definedName>
    <definedName name="IMP_PERS_NEEVA" localSheetId="1">Planning!$A$82</definedName>
    <definedName name="IMP_PERS_NEEVA">'Date planifiée'!$A$61</definedName>
    <definedName name="_xlnm.Print_Titles" localSheetId="0">'Juin 2019'!$1:$1</definedName>
    <definedName name="Indice">'Date planifiée'!$H$2</definedName>
    <definedName name="Mois_trait">'Date planifiée'!$G$2</definedName>
    <definedName name="PAIE_DEF" localSheetId="2">Planning!$A$20</definedName>
    <definedName name="PAIE_DEF" localSheetId="1">Planning!$A$20</definedName>
    <definedName name="PAIE_DEF">'Date planifiée'!$A$2</definedName>
    <definedName name="Quick_DK" localSheetId="2">Planning!$A$78</definedName>
    <definedName name="Quick_DK" localSheetId="1">Planning!$A$78</definedName>
    <definedName name="Quick_DK">'Date planifiée'!$A$36</definedName>
    <definedName name="sagirco1" localSheetId="2">Planning!$A$51</definedName>
    <definedName name="sagirco1" localSheetId="1">Planning!$A$51</definedName>
    <definedName name="sagirco1">'Date planifiée'!$A$29</definedName>
    <definedName name="sagirco2" localSheetId="2">Planning!$A$52</definedName>
    <definedName name="sagirco2" localSheetId="1">Planning!$A$52</definedName>
    <definedName name="sagirco2">'Date planifiée'!$A$31</definedName>
    <definedName name="sagirco3" localSheetId="2">Planning!$A$53</definedName>
    <definedName name="sagirco3" localSheetId="1">Planning!$A$53</definedName>
    <definedName name="sagirco3">'Date planifiée'!$A$33</definedName>
    <definedName name="Top_Conso" localSheetId="2">Planning!$A$76</definedName>
    <definedName name="Top_Conso" localSheetId="1">Planning!$A$76</definedName>
    <definedName name="Top_Conso">'Date planifiée'!$A$51</definedName>
    <definedName name="TOP_Cpta_HP" localSheetId="2">Planning!$A$54</definedName>
    <definedName name="TOP_Cpta_HP" localSheetId="1">Planning!$A$54</definedName>
    <definedName name="TOP_Cpta_HP">'Date planifiée'!$A$39</definedName>
    <definedName name="Tr_ACO_LP" localSheetId="2">Planning!$A$35</definedName>
    <definedName name="Tr_ACO_LP" localSheetId="1">Planning!$A$35</definedName>
    <definedName name="Tr_ACO_LP">'Date planifiée'!$A$17</definedName>
    <definedName name="Tr_STC1_LP" localSheetId="2">Planning!$A$32</definedName>
    <definedName name="Tr_STC1_LP" localSheetId="1">Planning!$A$32</definedName>
    <definedName name="Tr_STC1_LP">'Date planifiée'!$A$14</definedName>
    <definedName name="Tr_STC2_LP" localSheetId="2">Planning!$A$38</definedName>
    <definedName name="Tr_STC2_LP" localSheetId="1">Planning!$A$38</definedName>
    <definedName name="Tr_STC2_LP">'Date planifiée'!$A$20</definedName>
    <definedName name="z_feriés">Fériés!$A$2:$A$23</definedName>
    <definedName name="z_fériés">'Date planifiée'!$C$2:$C$23</definedName>
    <definedName name="_xlnm.Print_Area" localSheetId="0">'Juin 2019'!$A$1:$L$244</definedName>
    <definedName name="_xlnm.Print_Area" localSheetId="1">Planning!$B$2:$P$90</definedName>
  </definedNames>
  <calcPr calcId="152511"/>
</workbook>
</file>

<file path=xl/calcChain.xml><?xml version="1.0" encoding="utf-8"?>
<calcChain xmlns="http://schemas.openxmlformats.org/spreadsheetml/2006/main">
  <c r="A7" i="1" l="1"/>
  <c r="A68" i="1" l="1"/>
  <c r="G89" i="6"/>
  <c r="D240" i="1" l="1"/>
  <c r="D230" i="1"/>
  <c r="A151" i="1" l="1"/>
  <c r="A149" i="1"/>
  <c r="D229" i="1"/>
  <c r="D228" i="1"/>
  <c r="F89" i="6"/>
  <c r="H89" i="6"/>
  <c r="I89" i="6"/>
  <c r="J89" i="6"/>
  <c r="K89" i="6"/>
  <c r="L89" i="6"/>
  <c r="M89" i="6"/>
  <c r="N89" i="6"/>
  <c r="O89" i="6"/>
  <c r="P89" i="6"/>
  <c r="E89" i="6"/>
  <c r="D6" i="1"/>
  <c r="D7" i="1"/>
  <c r="D4" i="1"/>
  <c r="D5" i="1"/>
  <c r="D36" i="1"/>
  <c r="D26" i="1"/>
  <c r="D8" i="1"/>
  <c r="D9" i="1"/>
  <c r="D10" i="1"/>
  <c r="D11" i="1"/>
  <c r="D12" i="1"/>
  <c r="D20" i="1"/>
  <c r="D13" i="1"/>
  <c r="D14" i="1"/>
  <c r="D21" i="1"/>
  <c r="D22" i="1"/>
  <c r="D42" i="1"/>
  <c r="D16" i="1"/>
  <c r="D17" i="1"/>
  <c r="D18" i="1"/>
  <c r="D27" i="1"/>
  <c r="D19" i="1"/>
  <c r="D28" i="1"/>
  <c r="D29" i="1"/>
  <c r="D23" i="1"/>
  <c r="D3" i="1"/>
  <c r="D24" i="1"/>
  <c r="D31" i="1"/>
  <c r="D30" i="1"/>
  <c r="D33" i="1"/>
  <c r="D34" i="1"/>
  <c r="D38" i="1"/>
  <c r="D32" i="1"/>
  <c r="D15" i="1"/>
  <c r="D43" i="1"/>
  <c r="D44" i="1"/>
  <c r="D37" i="1"/>
  <c r="D45" i="1"/>
  <c r="D46" i="1"/>
  <c r="D35" i="1"/>
  <c r="D39" i="1"/>
  <c r="D40" i="1"/>
  <c r="D225" i="1"/>
  <c r="D53" i="1"/>
  <c r="D49" i="1"/>
  <c r="D50" i="1"/>
  <c r="D51" i="1"/>
  <c r="D52" i="1"/>
  <c r="D54" i="1"/>
  <c r="D41" i="1"/>
  <c r="D25" i="1"/>
  <c r="D57" i="1"/>
  <c r="D58" i="1"/>
  <c r="D59" i="1"/>
  <c r="D60" i="1"/>
  <c r="D62" i="1"/>
  <c r="D63" i="1"/>
  <c r="D47" i="1"/>
  <c r="D48" i="1"/>
  <c r="D71" i="1"/>
  <c r="D61" i="1"/>
  <c r="D72" i="1"/>
  <c r="D55" i="1"/>
  <c r="D86" i="1"/>
  <c r="D66" i="1"/>
  <c r="D67" i="1"/>
  <c r="D69" i="1"/>
  <c r="D70" i="1"/>
  <c r="D68" i="1"/>
  <c r="D75" i="1"/>
  <c r="D77" i="1"/>
  <c r="D78" i="1"/>
  <c r="D80" i="1"/>
  <c r="D81" i="1"/>
  <c r="D64" i="1"/>
  <c r="D56" i="1"/>
  <c r="D76" i="1"/>
  <c r="D79" i="1"/>
  <c r="D89" i="1"/>
  <c r="D82" i="1"/>
  <c r="D73" i="1"/>
  <c r="D83" i="1"/>
  <c r="D84" i="1"/>
  <c r="D65" i="1"/>
  <c r="D87" i="1"/>
  <c r="D88" i="1"/>
  <c r="D98" i="1"/>
  <c r="D90" i="1"/>
  <c r="D91" i="1"/>
  <c r="D92" i="1"/>
  <c r="D94" i="1"/>
  <c r="D85" i="1"/>
  <c r="D113" i="1"/>
  <c r="D97" i="1"/>
  <c r="D99" i="1"/>
  <c r="D100" i="1"/>
  <c r="D101" i="1"/>
  <c r="D102" i="1"/>
  <c r="D95" i="1"/>
  <c r="D74" i="1"/>
  <c r="D105" i="1"/>
  <c r="D106" i="1"/>
  <c r="D107" i="1"/>
  <c r="D108" i="1"/>
  <c r="D109" i="1"/>
  <c r="D110" i="1"/>
  <c r="D111" i="1"/>
  <c r="D103" i="1"/>
  <c r="D96" i="1"/>
  <c r="D114" i="1"/>
  <c r="D115" i="1"/>
  <c r="D116" i="1"/>
  <c r="D117" i="1"/>
  <c r="D118" i="1"/>
  <c r="D119" i="1"/>
  <c r="D120" i="1"/>
  <c r="D121" i="1"/>
  <c r="D112" i="1"/>
  <c r="D195" i="1"/>
  <c r="D123" i="1"/>
  <c r="D125" i="1"/>
  <c r="D126" i="1"/>
  <c r="D127" i="1"/>
  <c r="D128" i="1"/>
  <c r="D132" i="1"/>
  <c r="D129" i="1"/>
  <c r="D130" i="1"/>
  <c r="D131" i="1"/>
  <c r="D137" i="1"/>
  <c r="D133" i="1"/>
  <c r="D134" i="1"/>
  <c r="D135" i="1"/>
  <c r="D136" i="1"/>
  <c r="D138" i="1"/>
  <c r="D139" i="1"/>
  <c r="D143" i="1"/>
  <c r="D140" i="1"/>
  <c r="D141" i="1"/>
  <c r="D142" i="1"/>
  <c r="D144" i="1"/>
  <c r="D145" i="1"/>
  <c r="D146" i="1"/>
  <c r="D156" i="1"/>
  <c r="D147" i="1"/>
  <c r="D148" i="1"/>
  <c r="D150" i="1"/>
  <c r="D152" i="1"/>
  <c r="D153" i="1"/>
  <c r="D154" i="1"/>
  <c r="D122" i="1"/>
  <c r="D155" i="1"/>
  <c r="D149" i="1"/>
  <c r="D151" i="1"/>
  <c r="D157" i="1"/>
  <c r="D160" i="1"/>
  <c r="D124" i="1"/>
  <c r="D172" i="1"/>
  <c r="D161" i="1"/>
  <c r="D162" i="1"/>
  <c r="D163" i="1"/>
  <c r="D164" i="1"/>
  <c r="D165" i="1"/>
  <c r="D166" i="1"/>
  <c r="D167" i="1"/>
  <c r="D168" i="1"/>
  <c r="D169" i="1"/>
  <c r="D170" i="1"/>
  <c r="D171" i="1"/>
  <c r="D182" i="1"/>
  <c r="D173" i="1"/>
  <c r="D174" i="1"/>
  <c r="D175" i="1"/>
  <c r="D176" i="1"/>
  <c r="D177" i="1"/>
  <c r="D178" i="1"/>
  <c r="D179" i="1"/>
  <c r="D180" i="1"/>
  <c r="D181" i="1"/>
  <c r="D183" i="1"/>
  <c r="D184" i="1"/>
  <c r="D185" i="1"/>
  <c r="D190" i="1"/>
  <c r="D186" i="1"/>
  <c r="D187" i="1"/>
  <c r="D188" i="1"/>
  <c r="D189" i="1"/>
  <c r="D191" i="1"/>
  <c r="D192" i="1"/>
  <c r="D193" i="1"/>
  <c r="D158" i="1"/>
  <c r="D104" i="1"/>
  <c r="D159" i="1"/>
  <c r="D197" i="1"/>
  <c r="D196" i="1"/>
  <c r="D199" i="1"/>
  <c r="D198" i="1"/>
  <c r="D200" i="1"/>
  <c r="D202" i="1"/>
  <c r="D201" i="1"/>
  <c r="D203" i="1"/>
  <c r="D204" i="1"/>
  <c r="D205" i="1"/>
  <c r="D206" i="1"/>
  <c r="D208" i="1"/>
  <c r="D209" i="1"/>
  <c r="D207" i="1"/>
  <c r="D210" i="1"/>
  <c r="D194" i="1"/>
  <c r="D212" i="1"/>
  <c r="D221" i="1"/>
  <c r="D213" i="1"/>
  <c r="D215" i="1"/>
  <c r="D214" i="1"/>
  <c r="D216" i="1"/>
  <c r="D217" i="1"/>
  <c r="D218" i="1"/>
  <c r="D219" i="1"/>
  <c r="D211" i="1"/>
  <c r="D222" i="1"/>
  <c r="D223" i="1"/>
  <c r="D220" i="1"/>
  <c r="D226" i="1"/>
  <c r="D224" i="1"/>
  <c r="D227" i="1"/>
  <c r="D231" i="1"/>
  <c r="D232" i="1"/>
  <c r="D233" i="1"/>
  <c r="D234" i="1"/>
  <c r="D235" i="1"/>
  <c r="D236" i="1"/>
  <c r="D237" i="1"/>
  <c r="D238" i="1"/>
  <c r="D239" i="1"/>
  <c r="D241" i="1"/>
  <c r="D242" i="1"/>
  <c r="D243" i="1"/>
  <c r="D244" i="1"/>
  <c r="D93" i="1"/>
  <c r="D2" i="1"/>
  <c r="H2" i="3" l="1"/>
  <c r="G16" i="3" s="1"/>
  <c r="O78" i="6"/>
  <c r="E6" i="6"/>
  <c r="E5" i="6" s="1"/>
  <c r="F6" i="6"/>
  <c r="F4" i="6" s="1"/>
  <c r="G6" i="6"/>
  <c r="G4" i="6" s="1"/>
  <c r="H6" i="6"/>
  <c r="H4" i="6" s="1"/>
  <c r="I6" i="6"/>
  <c r="I4" i="6" s="1"/>
  <c r="J6" i="6"/>
  <c r="J4" i="6" s="1"/>
  <c r="K6" i="6"/>
  <c r="K4" i="6" s="1"/>
  <c r="L6" i="6"/>
  <c r="L4" i="6" s="1"/>
  <c r="M6" i="6"/>
  <c r="M4" i="6" s="1"/>
  <c r="N6" i="6"/>
  <c r="N4" i="6" s="1"/>
  <c r="O6" i="6"/>
  <c r="O4" i="6" s="1"/>
  <c r="P6" i="6"/>
  <c r="P4" i="6" s="1"/>
  <c r="P8" i="6"/>
  <c r="P12" i="6" s="1"/>
  <c r="E10" i="6"/>
  <c r="E9" i="6" s="1"/>
  <c r="F10" i="6"/>
  <c r="F8" i="6" s="1"/>
  <c r="F12" i="6" s="1"/>
  <c r="G10" i="6"/>
  <c r="G8" i="6" s="1"/>
  <c r="G12" i="6" s="1"/>
  <c r="H10" i="6"/>
  <c r="H8" i="6" s="1"/>
  <c r="H12" i="6" s="1"/>
  <c r="I10" i="6"/>
  <c r="I8" i="6" s="1"/>
  <c r="I12" i="6" s="1"/>
  <c r="J10" i="6"/>
  <c r="J8" i="6" s="1"/>
  <c r="J12" i="6" s="1"/>
  <c r="K10" i="6"/>
  <c r="K8" i="6" s="1"/>
  <c r="L10" i="6"/>
  <c r="L8" i="6" s="1"/>
  <c r="M10" i="6"/>
  <c r="M8" i="6" s="1"/>
  <c r="M12" i="6" s="1"/>
  <c r="N10" i="6"/>
  <c r="N9" i="6" s="1"/>
  <c r="O10" i="6"/>
  <c r="O8" i="6" s="1"/>
  <c r="E15" i="6"/>
  <c r="E14" i="6" s="1"/>
  <c r="F15" i="6"/>
  <c r="F13" i="6" s="1"/>
  <c r="G15" i="6"/>
  <c r="G13" i="6" s="1"/>
  <c r="A54" i="3" s="1"/>
  <c r="H15" i="6"/>
  <c r="H13" i="6" s="1"/>
  <c r="I15" i="6"/>
  <c r="I13" i="6" s="1"/>
  <c r="J15" i="6"/>
  <c r="J13" i="6" s="1"/>
  <c r="K15" i="6"/>
  <c r="K13" i="6" s="1"/>
  <c r="L15" i="6"/>
  <c r="L13" i="6" s="1"/>
  <c r="M15" i="6"/>
  <c r="M13" i="6" s="1"/>
  <c r="N15" i="6"/>
  <c r="N13" i="6" s="1"/>
  <c r="O15" i="6"/>
  <c r="O13" i="6" s="1"/>
  <c r="P15" i="6"/>
  <c r="P13" i="6" s="1"/>
  <c r="E17" i="6"/>
  <c r="F17" i="6"/>
  <c r="G17" i="6"/>
  <c r="H17" i="6"/>
  <c r="I17" i="6"/>
  <c r="J17" i="6"/>
  <c r="K17" i="6"/>
  <c r="L17" i="6"/>
  <c r="M17" i="6"/>
  <c r="N17" i="6"/>
  <c r="O17" i="6"/>
  <c r="P17" i="6"/>
  <c r="E18" i="6"/>
  <c r="F18" i="6"/>
  <c r="G18" i="6"/>
  <c r="H18" i="6"/>
  <c r="I18" i="6"/>
  <c r="J18" i="6"/>
  <c r="K18" i="6"/>
  <c r="L18" i="6"/>
  <c r="M18" i="6"/>
  <c r="N18" i="6"/>
  <c r="O18" i="6"/>
  <c r="P18" i="6"/>
  <c r="E19" i="6"/>
  <c r="F19" i="6"/>
  <c r="G19" i="6"/>
  <c r="H19" i="6"/>
  <c r="I19" i="6"/>
  <c r="J19" i="6"/>
  <c r="K19" i="6"/>
  <c r="L19" i="6"/>
  <c r="M19" i="6"/>
  <c r="N19" i="6"/>
  <c r="O19" i="6"/>
  <c r="P19" i="6"/>
  <c r="E22" i="6"/>
  <c r="E21" i="6" s="1"/>
  <c r="F22" i="6"/>
  <c r="F21" i="6" s="1"/>
  <c r="G22" i="6"/>
  <c r="G21" i="6" s="1"/>
  <c r="H22" i="6"/>
  <c r="H21" i="6" s="1"/>
  <c r="I22" i="6"/>
  <c r="I21" i="6" s="1"/>
  <c r="J22" i="6"/>
  <c r="J21" i="6" s="1"/>
  <c r="K22" i="6"/>
  <c r="K21" i="6" s="1"/>
  <c r="L22" i="6"/>
  <c r="L21" i="6" s="1"/>
  <c r="M22" i="6"/>
  <c r="M21" i="6" s="1"/>
  <c r="N22" i="6"/>
  <c r="N21" i="6" s="1"/>
  <c r="O22" i="6"/>
  <c r="O21" i="6" s="1"/>
  <c r="P22" i="6"/>
  <c r="P21" i="6" s="1"/>
  <c r="E24" i="6"/>
  <c r="F24" i="6"/>
  <c r="F51" i="6" s="1"/>
  <c r="G24" i="6"/>
  <c r="G51" i="6" s="1"/>
  <c r="H24" i="6"/>
  <c r="H52" i="6" s="1"/>
  <c r="I24" i="6"/>
  <c r="J24" i="6"/>
  <c r="J51" i="6" s="1"/>
  <c r="K24" i="6"/>
  <c r="K51" i="6" s="1"/>
  <c r="L24" i="6"/>
  <c r="L52" i="6" s="1"/>
  <c r="M24" i="6"/>
  <c r="N24" i="6"/>
  <c r="N51" i="6" s="1"/>
  <c r="O24" i="6"/>
  <c r="O52" i="6" s="1"/>
  <c r="P24" i="6"/>
  <c r="P52" i="6" s="1"/>
  <c r="E25" i="6"/>
  <c r="F25" i="6"/>
  <c r="G25" i="6"/>
  <c r="H25" i="6"/>
  <c r="I25" i="6"/>
  <c r="J25" i="6"/>
  <c r="K25" i="6"/>
  <c r="L25" i="6"/>
  <c r="M25" i="6"/>
  <c r="N25" i="6"/>
  <c r="O25" i="6"/>
  <c r="P25" i="6"/>
  <c r="E26" i="6"/>
  <c r="F26" i="6"/>
  <c r="G26" i="6"/>
  <c r="H26" i="6"/>
  <c r="I26" i="6"/>
  <c r="J26" i="6"/>
  <c r="K26" i="6"/>
  <c r="L26" i="6"/>
  <c r="M26" i="6"/>
  <c r="N26" i="6"/>
  <c r="O26" i="6"/>
  <c r="P26" i="6"/>
  <c r="E27" i="6"/>
  <c r="F27" i="6"/>
  <c r="G27" i="6"/>
  <c r="H27" i="6"/>
  <c r="I27" i="6"/>
  <c r="J27" i="6"/>
  <c r="K27" i="6"/>
  <c r="L27" i="6"/>
  <c r="M27" i="6"/>
  <c r="N27" i="6"/>
  <c r="O27" i="6"/>
  <c r="P27" i="6"/>
  <c r="E28" i="6"/>
  <c r="F28" i="6"/>
  <c r="G28" i="6"/>
  <c r="H28" i="6"/>
  <c r="I28" i="6"/>
  <c r="J28" i="6"/>
  <c r="K28" i="6"/>
  <c r="L28" i="6"/>
  <c r="M28" i="6"/>
  <c r="N28" i="6"/>
  <c r="O28" i="6"/>
  <c r="P28" i="6"/>
  <c r="E29" i="6"/>
  <c r="F29" i="6"/>
  <c r="G29" i="6"/>
  <c r="H29" i="6"/>
  <c r="I29" i="6"/>
  <c r="J29" i="6"/>
  <c r="K29" i="6"/>
  <c r="L29" i="6"/>
  <c r="M29" i="6"/>
  <c r="N29" i="6"/>
  <c r="O29" i="6"/>
  <c r="P29" i="6"/>
  <c r="E30" i="6"/>
  <c r="F30" i="6"/>
  <c r="G30" i="6"/>
  <c r="H30" i="6"/>
  <c r="I30" i="6"/>
  <c r="J30" i="6"/>
  <c r="K30" i="6"/>
  <c r="L30" i="6"/>
  <c r="M30" i="6"/>
  <c r="N30" i="6"/>
  <c r="O30" i="6"/>
  <c r="P30" i="6"/>
  <c r="F32" i="6"/>
  <c r="G32" i="6"/>
  <c r="J32" i="6"/>
  <c r="K32" i="6"/>
  <c r="E33" i="6"/>
  <c r="F33" i="6"/>
  <c r="G33" i="6"/>
  <c r="H33" i="6"/>
  <c r="I33" i="6"/>
  <c r="J33" i="6"/>
  <c r="K33" i="6"/>
  <c r="L33" i="6"/>
  <c r="M33" i="6"/>
  <c r="N33" i="6"/>
  <c r="O33" i="6"/>
  <c r="P33" i="6"/>
  <c r="I35" i="6"/>
  <c r="O35" i="6"/>
  <c r="P35" i="6"/>
  <c r="I36" i="6"/>
  <c r="P36" i="6"/>
  <c r="E37" i="6"/>
  <c r="E36" i="6" s="1"/>
  <c r="F37" i="6"/>
  <c r="F35" i="6" s="1"/>
  <c r="G37" i="6"/>
  <c r="G36" i="6" s="1"/>
  <c r="H37" i="6"/>
  <c r="H35" i="6" s="1"/>
  <c r="J37" i="6"/>
  <c r="J36" i="6" s="1"/>
  <c r="K37" i="6"/>
  <c r="K36" i="6" s="1"/>
  <c r="L37" i="6"/>
  <c r="L36" i="6" s="1"/>
  <c r="M37" i="6"/>
  <c r="M35" i="6" s="1"/>
  <c r="N37" i="6"/>
  <c r="N35" i="6" s="1"/>
  <c r="I38" i="6"/>
  <c r="I39" i="6"/>
  <c r="F40" i="6"/>
  <c r="F38" i="6" s="1"/>
  <c r="G40" i="6"/>
  <c r="G39" i="6" s="1"/>
  <c r="H40" i="6"/>
  <c r="H38" i="6" s="1"/>
  <c r="J40" i="6"/>
  <c r="J38" i="6" s="1"/>
  <c r="K40" i="6"/>
  <c r="K39" i="6" s="1"/>
  <c r="L40" i="6"/>
  <c r="L39" i="6" s="1"/>
  <c r="M40" i="6"/>
  <c r="M39" i="6" s="1"/>
  <c r="N40" i="6"/>
  <c r="N38" i="6" s="1"/>
  <c r="O40" i="6"/>
  <c r="O39" i="6" s="1"/>
  <c r="P40" i="6"/>
  <c r="P39" i="6" s="1"/>
  <c r="E41" i="6"/>
  <c r="F41" i="6"/>
  <c r="G41" i="6"/>
  <c r="H41" i="6"/>
  <c r="I41" i="6"/>
  <c r="J41" i="6"/>
  <c r="K41" i="6"/>
  <c r="L41" i="6"/>
  <c r="M41" i="6"/>
  <c r="N41" i="6"/>
  <c r="O41" i="6"/>
  <c r="P41" i="6"/>
  <c r="E42" i="6"/>
  <c r="F42" i="6"/>
  <c r="G42" i="6"/>
  <c r="H42" i="6"/>
  <c r="I42" i="6"/>
  <c r="J42" i="6"/>
  <c r="K42" i="6"/>
  <c r="L42" i="6"/>
  <c r="M42" i="6"/>
  <c r="N42" i="6"/>
  <c r="O42" i="6"/>
  <c r="P42" i="6"/>
  <c r="E44" i="6"/>
  <c r="F44" i="6"/>
  <c r="G44" i="6"/>
  <c r="H44" i="6"/>
  <c r="I44" i="6"/>
  <c r="J44" i="6"/>
  <c r="K44" i="6"/>
  <c r="L44" i="6"/>
  <c r="M44" i="6"/>
  <c r="N44" i="6"/>
  <c r="O44" i="6"/>
  <c r="P44" i="6"/>
  <c r="F45" i="6"/>
  <c r="G45" i="6"/>
  <c r="H45" i="6"/>
  <c r="I45" i="6"/>
  <c r="J45" i="6"/>
  <c r="K45" i="6"/>
  <c r="L45" i="6"/>
  <c r="M45" i="6"/>
  <c r="N45" i="6"/>
  <c r="O45" i="6"/>
  <c r="P45" i="6"/>
  <c r="E46" i="6"/>
  <c r="F46" i="6"/>
  <c r="G46" i="6"/>
  <c r="H46" i="6"/>
  <c r="H47" i="6" s="1"/>
  <c r="I46" i="6"/>
  <c r="I47" i="6" s="1"/>
  <c r="J46" i="6"/>
  <c r="J47" i="6" s="1"/>
  <c r="K46" i="6"/>
  <c r="K47" i="6" s="1"/>
  <c r="L46" i="6"/>
  <c r="M46" i="6"/>
  <c r="M47" i="6" s="1"/>
  <c r="N46" i="6"/>
  <c r="N47" i="6" s="1"/>
  <c r="O46" i="6"/>
  <c r="O47" i="6" s="1"/>
  <c r="P46" i="6"/>
  <c r="P47" i="6" s="1"/>
  <c r="E47" i="6"/>
  <c r="F47" i="6"/>
  <c r="G47" i="6"/>
  <c r="L47" i="6"/>
  <c r="E48" i="6"/>
  <c r="E55" i="6" s="1"/>
  <c r="F48" i="6"/>
  <c r="F55" i="6" s="1"/>
  <c r="G48" i="6"/>
  <c r="G55" i="6" s="1"/>
  <c r="H48" i="6"/>
  <c r="H56" i="6" s="1"/>
  <c r="I48" i="6"/>
  <c r="J48" i="6"/>
  <c r="J55" i="6" s="1"/>
  <c r="K48" i="6"/>
  <c r="K55" i="6" s="1"/>
  <c r="L48" i="6"/>
  <c r="L56" i="6" s="1"/>
  <c r="M48" i="6"/>
  <c r="M55" i="6" s="1"/>
  <c r="N48" i="6"/>
  <c r="N55" i="6" s="1"/>
  <c r="O48" i="6"/>
  <c r="O55" i="6" s="1"/>
  <c r="P48" i="6"/>
  <c r="P49" i="6" s="1"/>
  <c r="E49" i="6"/>
  <c r="F49" i="6"/>
  <c r="G49" i="6"/>
  <c r="H49" i="6"/>
  <c r="I49" i="6"/>
  <c r="J49" i="6"/>
  <c r="K49" i="6"/>
  <c r="L49" i="6"/>
  <c r="M49" i="6"/>
  <c r="N49" i="6"/>
  <c r="O49" i="6"/>
  <c r="E50" i="6"/>
  <c r="F50" i="6"/>
  <c r="G50" i="6"/>
  <c r="H50" i="6"/>
  <c r="I50" i="6"/>
  <c r="J50" i="6"/>
  <c r="K50" i="6"/>
  <c r="L50" i="6"/>
  <c r="M50" i="6"/>
  <c r="N50" i="6"/>
  <c r="O50" i="6"/>
  <c r="P50" i="6"/>
  <c r="E51" i="6"/>
  <c r="I51" i="6"/>
  <c r="L51" i="6"/>
  <c r="M51" i="6"/>
  <c r="E52" i="6"/>
  <c r="G52" i="6"/>
  <c r="I52" i="6"/>
  <c r="M52" i="6"/>
  <c r="E53" i="6"/>
  <c r="I53" i="6"/>
  <c r="M53" i="6"/>
  <c r="P53" i="6"/>
  <c r="E54" i="6"/>
  <c r="F54" i="6"/>
  <c r="G54" i="6"/>
  <c r="H54" i="6"/>
  <c r="I54" i="6"/>
  <c r="J54" i="6"/>
  <c r="K54" i="6"/>
  <c r="L54" i="6"/>
  <c r="M54" i="6"/>
  <c r="N54" i="6"/>
  <c r="O54" i="6"/>
  <c r="P54" i="6"/>
  <c r="H55" i="6"/>
  <c r="I55" i="6"/>
  <c r="L55" i="6"/>
  <c r="I56" i="6"/>
  <c r="M56" i="6"/>
  <c r="E57" i="6"/>
  <c r="F57" i="6"/>
  <c r="G57" i="6"/>
  <c r="H57" i="6"/>
  <c r="I57" i="6"/>
  <c r="J57" i="6"/>
  <c r="K57" i="6"/>
  <c r="L57" i="6"/>
  <c r="M57" i="6"/>
  <c r="N57" i="6"/>
  <c r="O57" i="6"/>
  <c r="P57" i="6"/>
  <c r="E62" i="6"/>
  <c r="F62" i="6"/>
  <c r="G62" i="6"/>
  <c r="H62" i="6"/>
  <c r="I62" i="6"/>
  <c r="J62" i="6"/>
  <c r="K62" i="6"/>
  <c r="L62" i="6"/>
  <c r="M62" i="6"/>
  <c r="N62" i="6"/>
  <c r="O62" i="6"/>
  <c r="P62" i="6"/>
  <c r="E66" i="6"/>
  <c r="F66" i="6"/>
  <c r="G66" i="6"/>
  <c r="H66" i="6"/>
  <c r="I66" i="6"/>
  <c r="J66" i="6"/>
  <c r="K66" i="6"/>
  <c r="L66" i="6"/>
  <c r="M66" i="6"/>
  <c r="N66" i="6"/>
  <c r="O66" i="6"/>
  <c r="P66" i="6"/>
  <c r="E67" i="6"/>
  <c r="F67" i="6"/>
  <c r="G67" i="6"/>
  <c r="H67" i="6"/>
  <c r="I67" i="6"/>
  <c r="J67" i="6"/>
  <c r="K67" i="6"/>
  <c r="L67" i="6"/>
  <c r="M67" i="6"/>
  <c r="N67" i="6"/>
  <c r="O67" i="6"/>
  <c r="P67" i="6"/>
  <c r="E68" i="6"/>
  <c r="F68" i="6"/>
  <c r="G68" i="6"/>
  <c r="H68" i="6"/>
  <c r="I68" i="6"/>
  <c r="J68" i="6"/>
  <c r="K68" i="6"/>
  <c r="L68" i="6"/>
  <c r="M68" i="6"/>
  <c r="N68" i="6"/>
  <c r="O68" i="6"/>
  <c r="P68" i="6"/>
  <c r="E69" i="6"/>
  <c r="F69" i="6"/>
  <c r="G69" i="6"/>
  <c r="H69" i="6"/>
  <c r="I69" i="6"/>
  <c r="J69" i="6"/>
  <c r="K69" i="6"/>
  <c r="L69" i="6"/>
  <c r="M69" i="6"/>
  <c r="N69" i="6"/>
  <c r="O69" i="6"/>
  <c r="P69" i="6"/>
  <c r="E70" i="6"/>
  <c r="F70" i="6"/>
  <c r="G70" i="6"/>
  <c r="H70" i="6"/>
  <c r="I70" i="6"/>
  <c r="J70" i="6"/>
  <c r="K70" i="6"/>
  <c r="L70" i="6"/>
  <c r="M70" i="6"/>
  <c r="N70" i="6"/>
  <c r="O70" i="6"/>
  <c r="P70" i="6"/>
  <c r="E71" i="6"/>
  <c r="F71" i="6"/>
  <c r="G71" i="6"/>
  <c r="H71" i="6"/>
  <c r="I71" i="6"/>
  <c r="J71" i="6"/>
  <c r="K71" i="6"/>
  <c r="L71" i="6"/>
  <c r="M71" i="6"/>
  <c r="N71" i="6"/>
  <c r="O71" i="6"/>
  <c r="P71" i="6"/>
  <c r="E78" i="6"/>
  <c r="E75" i="6" s="1"/>
  <c r="F78" i="6"/>
  <c r="F77" i="6" s="1"/>
  <c r="F76" i="6" s="1"/>
  <c r="G78" i="6"/>
  <c r="G75" i="6" s="1"/>
  <c r="H78" i="6"/>
  <c r="H75" i="6" s="1"/>
  <c r="I78" i="6"/>
  <c r="I75" i="6" s="1"/>
  <c r="J78" i="6"/>
  <c r="J75" i="6" s="1"/>
  <c r="K78" i="6"/>
  <c r="K75" i="6" s="1"/>
  <c r="L78" i="6"/>
  <c r="L77" i="6" s="1"/>
  <c r="L76" i="6" s="1"/>
  <c r="M78" i="6"/>
  <c r="M75" i="6" s="1"/>
  <c r="N78" i="6"/>
  <c r="N75" i="6" s="1"/>
  <c r="O75" i="6"/>
  <c r="P78" i="6"/>
  <c r="P77" i="6" s="1"/>
  <c r="P76" i="6" s="1"/>
  <c r="E80" i="6"/>
  <c r="F80" i="6"/>
  <c r="G80" i="6"/>
  <c r="H80" i="6"/>
  <c r="I80" i="6"/>
  <c r="J80" i="6"/>
  <c r="K80" i="6"/>
  <c r="L80" i="6"/>
  <c r="M80" i="6"/>
  <c r="N80" i="6"/>
  <c r="O80" i="6"/>
  <c r="P80" i="6"/>
  <c r="E81" i="6"/>
  <c r="F81" i="6"/>
  <c r="G81" i="6"/>
  <c r="H81" i="6"/>
  <c r="I81" i="6"/>
  <c r="J81" i="6"/>
  <c r="K81" i="6"/>
  <c r="L81" i="6"/>
  <c r="M81" i="6"/>
  <c r="N81" i="6"/>
  <c r="O81" i="6"/>
  <c r="P81" i="6"/>
  <c r="E82" i="6"/>
  <c r="F82" i="6"/>
  <c r="G82" i="6"/>
  <c r="H82" i="6"/>
  <c r="I82" i="6"/>
  <c r="J82" i="6"/>
  <c r="K82" i="6"/>
  <c r="L82" i="6"/>
  <c r="M82" i="6"/>
  <c r="N82" i="6"/>
  <c r="O82" i="6"/>
  <c r="P82" i="6"/>
  <c r="E83" i="6"/>
  <c r="F83" i="6"/>
  <c r="G83" i="6"/>
  <c r="H83" i="6"/>
  <c r="I83" i="6"/>
  <c r="J83" i="6"/>
  <c r="K83" i="6"/>
  <c r="L83" i="6"/>
  <c r="M83" i="6"/>
  <c r="N83" i="6"/>
  <c r="O83" i="6"/>
  <c r="P83" i="6"/>
  <c r="E84" i="6"/>
  <c r="F84" i="6"/>
  <c r="G84" i="6"/>
  <c r="H84" i="6"/>
  <c r="I84" i="6"/>
  <c r="J84" i="6"/>
  <c r="K84" i="6"/>
  <c r="L84" i="6"/>
  <c r="M84" i="6"/>
  <c r="N84" i="6"/>
  <c r="O84" i="6"/>
  <c r="P84" i="6"/>
  <c r="E86" i="6"/>
  <c r="F86" i="6"/>
  <c r="G86" i="6"/>
  <c r="H86" i="6"/>
  <c r="I86" i="6"/>
  <c r="J86" i="6"/>
  <c r="K86" i="6"/>
  <c r="L86" i="6"/>
  <c r="M86" i="6"/>
  <c r="N86" i="6"/>
  <c r="O86" i="6"/>
  <c r="P86" i="6"/>
  <c r="E87" i="6"/>
  <c r="F87" i="6"/>
  <c r="G87" i="6"/>
  <c r="H87" i="6"/>
  <c r="I87" i="6"/>
  <c r="J87" i="6"/>
  <c r="K87" i="6"/>
  <c r="L87" i="6"/>
  <c r="M87" i="6"/>
  <c r="N87" i="6"/>
  <c r="O87" i="6"/>
  <c r="P87" i="6"/>
  <c r="E88" i="6"/>
  <c r="F88" i="6"/>
  <c r="G88" i="6"/>
  <c r="H88" i="6"/>
  <c r="I88" i="6"/>
  <c r="J88" i="6"/>
  <c r="K88" i="6"/>
  <c r="L88" i="6"/>
  <c r="M88" i="6"/>
  <c r="N88" i="6"/>
  <c r="O88" i="6"/>
  <c r="P88" i="6"/>
  <c r="A61" i="3" l="1"/>
  <c r="A70" i="3"/>
  <c r="H7" i="3" s="1"/>
  <c r="A26" i="3"/>
  <c r="A42" i="3"/>
  <c r="A64" i="3"/>
  <c r="A244" i="1" s="1"/>
  <c r="A67" i="3"/>
  <c r="A93" i="1" s="1"/>
  <c r="A56" i="3"/>
  <c r="A9" i="3"/>
  <c r="A29" i="3"/>
  <c r="A45" i="3"/>
  <c r="A14" i="3"/>
  <c r="A36" i="3"/>
  <c r="A48" i="3"/>
  <c r="A17" i="3"/>
  <c r="A39" i="3"/>
  <c r="A51" i="3"/>
  <c r="A5" i="3"/>
  <c r="G7" i="3" s="1"/>
  <c r="A3" i="1" s="1"/>
  <c r="A31" i="3"/>
  <c r="A58" i="3"/>
  <c r="A11" i="3"/>
  <c r="A23" i="3"/>
  <c r="A33" i="3"/>
  <c r="G13" i="3" s="1"/>
  <c r="A2" i="3"/>
  <c r="A7" i="3"/>
  <c r="L53" i="6"/>
  <c r="P51" i="6"/>
  <c r="H51" i="6"/>
  <c r="H53" i="6"/>
  <c r="E56" i="6"/>
  <c r="K53" i="6"/>
  <c r="P55" i="6"/>
  <c r="G53" i="6"/>
  <c r="O51" i="6"/>
  <c r="M38" i="6"/>
  <c r="P56" i="6"/>
  <c r="O53" i="6"/>
  <c r="K52" i="6"/>
  <c r="F39" i="6"/>
  <c r="O38" i="6"/>
  <c r="L35" i="6"/>
  <c r="F36" i="6"/>
  <c r="H9" i="6"/>
  <c r="J39" i="6"/>
  <c r="N56" i="6"/>
  <c r="J56" i="6"/>
  <c r="F56" i="6"/>
  <c r="N39" i="6"/>
  <c r="L9" i="6"/>
  <c r="H36" i="6"/>
  <c r="J9" i="6"/>
  <c r="N8" i="6"/>
  <c r="O56" i="6"/>
  <c r="K56" i="6"/>
  <c r="G56" i="6"/>
  <c r="H39" i="6"/>
  <c r="K38" i="6"/>
  <c r="G35" i="6"/>
  <c r="F9" i="6"/>
  <c r="M5" i="6"/>
  <c r="I5" i="6"/>
  <c r="H77" i="6"/>
  <c r="H76" i="6" s="1"/>
  <c r="P75" i="6"/>
  <c r="L75" i="6"/>
  <c r="N14" i="6"/>
  <c r="J14" i="6"/>
  <c r="F14" i="6"/>
  <c r="O77" i="6"/>
  <c r="O76" i="6" s="1"/>
  <c r="K77" i="6"/>
  <c r="K76" i="6" s="1"/>
  <c r="G77" i="6"/>
  <c r="G76" i="6" s="1"/>
  <c r="P38" i="6"/>
  <c r="L38" i="6"/>
  <c r="J35" i="6"/>
  <c r="M14" i="6"/>
  <c r="I14" i="6"/>
  <c r="M9" i="6"/>
  <c r="I9" i="6"/>
  <c r="P5" i="6"/>
  <c r="L5" i="6"/>
  <c r="H5" i="6"/>
  <c r="N77" i="6"/>
  <c r="N76" i="6" s="1"/>
  <c r="F75" i="6"/>
  <c r="N53" i="6"/>
  <c r="J53" i="6"/>
  <c r="F53" i="6"/>
  <c r="N52" i="6"/>
  <c r="J52" i="6"/>
  <c r="F52" i="6"/>
  <c r="G38" i="6"/>
  <c r="A20" i="3" s="1"/>
  <c r="N36" i="6"/>
  <c r="P14" i="6"/>
  <c r="L14" i="6"/>
  <c r="H14" i="6"/>
  <c r="O5" i="6"/>
  <c r="K5" i="6"/>
  <c r="G5" i="6"/>
  <c r="J77" i="6"/>
  <c r="J76" i="6" s="1"/>
  <c r="M77" i="6"/>
  <c r="M76" i="6" s="1"/>
  <c r="I77" i="6"/>
  <c r="I76" i="6" s="1"/>
  <c r="E77" i="6"/>
  <c r="E76" i="6" s="1"/>
  <c r="E45" i="6"/>
  <c r="M36" i="6"/>
  <c r="O14" i="6"/>
  <c r="K14" i="6"/>
  <c r="G14" i="6"/>
  <c r="O9" i="6"/>
  <c r="K9" i="6"/>
  <c r="G9" i="6"/>
  <c r="N5" i="6"/>
  <c r="J5" i="6"/>
  <c r="F5" i="6"/>
  <c r="A160" i="1" l="1"/>
  <c r="G10" i="3"/>
  <c r="A228" i="1"/>
  <c r="A229" i="1"/>
  <c r="A211" i="1"/>
  <c r="B211" i="1" s="1"/>
  <c r="A155" i="1"/>
  <c r="A95" i="1"/>
  <c r="C95" i="1" s="1"/>
  <c r="A73" i="1"/>
  <c r="C73" i="1" s="1"/>
  <c r="A41" i="1"/>
  <c r="C41" i="1" s="1"/>
  <c r="A32" i="1"/>
  <c r="A22" i="1"/>
  <c r="A2" i="1"/>
  <c r="C2" i="1" s="1"/>
  <c r="A158" i="1"/>
  <c r="A55" i="1"/>
  <c r="A24" i="1"/>
  <c r="A157" i="1"/>
  <c r="A47" i="1"/>
  <c r="A21" i="1"/>
  <c r="C21" i="1" s="1"/>
  <c r="A227" i="1"/>
  <c r="C227" i="1" s="1"/>
  <c r="A194" i="1"/>
  <c r="C194" i="1" s="1"/>
  <c r="A122" i="1"/>
  <c r="A85" i="1"/>
  <c r="C85" i="1" s="1"/>
  <c r="A64" i="1"/>
  <c r="C64" i="1" s="1"/>
  <c r="A40" i="1"/>
  <c r="C40" i="1" s="1"/>
  <c r="A30" i="1"/>
  <c r="A5" i="1"/>
  <c r="A224" i="1"/>
  <c r="A112" i="1"/>
  <c r="C112" i="1" s="1"/>
  <c r="A84" i="1"/>
  <c r="C84" i="1" s="1"/>
  <c r="A39" i="1"/>
  <c r="A14" i="1"/>
  <c r="C14" i="1" s="1"/>
  <c r="A220" i="1"/>
  <c r="A83" i="1"/>
  <c r="C83" i="1" s="1"/>
  <c r="A23" i="1"/>
  <c r="A103" i="1"/>
  <c r="C103" i="1" s="1"/>
  <c r="A35" i="1"/>
  <c r="C35" i="1" s="1"/>
  <c r="A242" i="1"/>
  <c r="C242" i="1" s="1"/>
  <c r="A243" i="1"/>
  <c r="B243" i="1" s="1"/>
  <c r="C244" i="1"/>
  <c r="A241" i="1"/>
  <c r="C241" i="1" s="1"/>
  <c r="A231" i="1"/>
  <c r="C231" i="1" s="1"/>
  <c r="A26" i="1"/>
  <c r="C26" i="1" s="1"/>
  <c r="A239" i="1"/>
  <c r="C239" i="1" s="1"/>
  <c r="A233" i="1"/>
  <c r="B233" i="1" s="1"/>
  <c r="A234" i="1"/>
  <c r="B234" i="1" s="1"/>
  <c r="A235" i="1"/>
  <c r="B235" i="1" s="1"/>
  <c r="A236" i="1"/>
  <c r="C236" i="1" s="1"/>
  <c r="A232" i="1"/>
  <c r="C232" i="1" s="1"/>
  <c r="A226" i="1"/>
  <c r="C226" i="1" s="1"/>
  <c r="A156" i="1"/>
  <c r="A199" i="1"/>
  <c r="A240" i="1" l="1"/>
  <c r="A230" i="1"/>
  <c r="A225" i="1"/>
  <c r="A159" i="1"/>
  <c r="A96" i="1"/>
  <c r="A56" i="1"/>
  <c r="A33" i="1"/>
  <c r="A6" i="1"/>
  <c r="A113" i="1"/>
  <c r="A42" i="1"/>
  <c r="A221" i="1"/>
  <c r="A124" i="1"/>
  <c r="A86" i="1"/>
  <c r="A48" i="1"/>
  <c r="A31" i="1"/>
  <c r="A195" i="1"/>
  <c r="A104" i="1"/>
  <c r="A65" i="1"/>
  <c r="A36" i="1"/>
  <c r="A15" i="1"/>
  <c r="A212" i="1"/>
  <c r="A74" i="1"/>
  <c r="A25" i="1"/>
  <c r="B229" i="1"/>
  <c r="K229" i="1" s="1"/>
  <c r="C229" i="1"/>
  <c r="C211" i="1"/>
  <c r="C228" i="1"/>
  <c r="B228" i="1"/>
  <c r="K228" i="1" s="1"/>
  <c r="C47" i="1"/>
  <c r="C55" i="1"/>
  <c r="C32" i="1"/>
  <c r="B32" i="1"/>
  <c r="K32" i="1" s="1"/>
  <c r="C30" i="1"/>
  <c r="C24" i="1"/>
  <c r="C23" i="1"/>
  <c r="C22" i="1"/>
  <c r="C39" i="1"/>
  <c r="B2" i="1"/>
  <c r="K2" i="1" s="1"/>
  <c r="B227" i="1"/>
  <c r="K227" i="1" s="1"/>
  <c r="C5" i="1"/>
  <c r="C243" i="1"/>
  <c r="C233" i="1"/>
  <c r="B242" i="1"/>
  <c r="B241" i="1"/>
  <c r="B244" i="1"/>
  <c r="B26" i="1"/>
  <c r="B231" i="1"/>
  <c r="B239" i="1"/>
  <c r="C234" i="1"/>
  <c r="C235" i="1"/>
  <c r="B232" i="1"/>
  <c r="B236" i="1"/>
  <c r="B226" i="1"/>
  <c r="A78" i="1"/>
  <c r="C78" i="1" s="1"/>
  <c r="B230" i="1" l="1"/>
  <c r="C230" i="1"/>
  <c r="C240" i="1"/>
  <c r="B240" i="1"/>
  <c r="B78" i="1"/>
  <c r="A27" i="1" l="1"/>
  <c r="B27" i="1" s="1"/>
  <c r="A109" i="1"/>
  <c r="A17" i="1"/>
  <c r="A18" i="1"/>
  <c r="A19" i="1"/>
  <c r="A16" i="1"/>
  <c r="A13" i="1"/>
  <c r="A12" i="1"/>
  <c r="A9" i="1"/>
  <c r="A10" i="1"/>
  <c r="A11" i="1"/>
  <c r="A8" i="1"/>
  <c r="A238" i="1"/>
  <c r="A237" i="1"/>
  <c r="A218" i="1"/>
  <c r="A202" i="1"/>
  <c r="A210" i="1"/>
  <c r="A191" i="1"/>
  <c r="A217" i="1"/>
  <c r="A208" i="1"/>
  <c r="A209" i="1"/>
  <c r="A200" i="1"/>
  <c r="A182" i="1"/>
  <c r="A197" i="1"/>
  <c r="A193" i="1"/>
  <c r="A172" i="1"/>
  <c r="A143" i="1"/>
  <c r="A150" i="1"/>
  <c r="A107" i="1" l="1"/>
  <c r="A106" i="1"/>
  <c r="A69" i="1" l="1"/>
  <c r="A71" i="1"/>
  <c r="C71" i="1" s="1"/>
  <c r="A20" i="1"/>
  <c r="A146" i="1"/>
  <c r="A60" i="1"/>
  <c r="A98" i="1" l="1"/>
  <c r="A89" i="1"/>
  <c r="A88" i="1"/>
  <c r="A37" i="1" l="1"/>
  <c r="A34" i="1"/>
  <c r="A29" i="1" l="1"/>
  <c r="A28" i="1"/>
  <c r="B6" i="1" l="1"/>
  <c r="B20" i="1"/>
  <c r="B28" i="1"/>
  <c r="B29" i="1"/>
  <c r="B34" i="1"/>
  <c r="B60" i="1"/>
  <c r="B71" i="1"/>
  <c r="B89" i="1"/>
  <c r="B88" i="1"/>
  <c r="B68" i="1"/>
  <c r="B69" i="1"/>
  <c r="B98" i="1"/>
  <c r="B106" i="1"/>
  <c r="B107" i="1"/>
  <c r="B109" i="1"/>
  <c r="B150" i="1"/>
  <c r="B143" i="1"/>
  <c r="B146" i="1"/>
  <c r="B156" i="1"/>
  <c r="B149" i="1"/>
  <c r="B151" i="1"/>
  <c r="B172" i="1"/>
  <c r="B193" i="1"/>
  <c r="B197" i="1"/>
  <c r="B182" i="1"/>
  <c r="B199" i="1"/>
  <c r="B200" i="1"/>
  <c r="B217" i="1"/>
  <c r="B208" i="1"/>
  <c r="B209" i="1"/>
  <c r="B191" i="1"/>
  <c r="B210" i="1"/>
  <c r="B202" i="1"/>
  <c r="B218" i="1"/>
  <c r="B237" i="1"/>
  <c r="B7" i="1"/>
  <c r="B238" i="1"/>
  <c r="B5" i="1"/>
  <c r="K5" i="1" s="1"/>
  <c r="B8" i="1"/>
  <c r="B9" i="1"/>
  <c r="B10" i="1"/>
  <c r="B11" i="1"/>
  <c r="B12" i="1"/>
  <c r="B13" i="1"/>
  <c r="B14" i="1"/>
  <c r="K14" i="1" s="1"/>
  <c r="B21" i="1"/>
  <c r="K21" i="1" s="1"/>
  <c r="B22" i="1"/>
  <c r="K22" i="1" s="1"/>
  <c r="B16" i="1"/>
  <c r="B17" i="1"/>
  <c r="B18" i="1"/>
  <c r="B19" i="1"/>
  <c r="B23" i="1"/>
  <c r="K23" i="1" s="1"/>
  <c r="B24" i="1"/>
  <c r="K24" i="1" s="1"/>
  <c r="B30" i="1"/>
  <c r="K30" i="1" s="1"/>
  <c r="B35" i="1"/>
  <c r="K35" i="1" s="1"/>
  <c r="B39" i="1"/>
  <c r="K39" i="1" s="1"/>
  <c r="B40" i="1"/>
  <c r="K40" i="1" s="1"/>
  <c r="B41" i="1"/>
  <c r="K41" i="1" s="1"/>
  <c r="B47" i="1"/>
  <c r="K47" i="1" s="1"/>
  <c r="B55" i="1"/>
  <c r="K55" i="1" s="1"/>
  <c r="B64" i="1"/>
  <c r="K64" i="1" s="1"/>
  <c r="B73" i="1"/>
  <c r="K73" i="1" s="1"/>
  <c r="B83" i="1"/>
  <c r="K83" i="1" s="1"/>
  <c r="B84" i="1"/>
  <c r="K84" i="1" s="1"/>
  <c r="B85" i="1"/>
  <c r="K85" i="1" s="1"/>
  <c r="B95" i="1"/>
  <c r="K95" i="1" s="1"/>
  <c r="B103" i="1"/>
  <c r="K103" i="1" s="1"/>
  <c r="B112" i="1"/>
  <c r="K112" i="1" s="1"/>
  <c r="B122" i="1"/>
  <c r="K122" i="1" s="1"/>
  <c r="B155" i="1"/>
  <c r="K155" i="1" s="1"/>
  <c r="B157" i="1"/>
  <c r="K157" i="1" s="1"/>
  <c r="B158" i="1"/>
  <c r="K158" i="1" s="1"/>
  <c r="B194" i="1"/>
  <c r="K194" i="1" s="1"/>
  <c r="B220" i="1"/>
  <c r="B224" i="1"/>
  <c r="A223" i="1"/>
  <c r="B223" i="1" s="1"/>
  <c r="A87" i="1"/>
  <c r="B87" i="1" s="1"/>
  <c r="A154" i="1" l="1"/>
  <c r="B154" i="1" s="1"/>
  <c r="A152" i="1"/>
  <c r="B152" i="1" s="1"/>
  <c r="A145" i="1"/>
  <c r="B145" i="1" s="1"/>
  <c r="A116" i="1"/>
  <c r="B116" i="1" s="1"/>
  <c r="A153" i="1"/>
  <c r="B153" i="1" s="1"/>
  <c r="A132" i="1"/>
  <c r="B132" i="1" s="1"/>
  <c r="A118" i="1"/>
  <c r="B118" i="1" s="1"/>
  <c r="A53" i="1"/>
  <c r="B53" i="1" s="1"/>
  <c r="A45" i="1"/>
  <c r="B45" i="1" s="1"/>
  <c r="B93" i="1"/>
  <c r="C193" i="1" l="1"/>
  <c r="A219" i="1" l="1"/>
  <c r="B219" i="1" s="1"/>
  <c r="A72" i="1"/>
  <c r="A77" i="1"/>
  <c r="A75" i="1"/>
  <c r="B75" i="1" s="1"/>
  <c r="A81" i="1"/>
  <c r="A80" i="1"/>
  <c r="B80" i="1" s="1"/>
  <c r="A79" i="1"/>
  <c r="B79" i="1" s="1"/>
  <c r="A82" i="1"/>
  <c r="B82" i="1" s="1"/>
  <c r="A67" i="1"/>
  <c r="B67" i="1" s="1"/>
  <c r="A70" i="1"/>
  <c r="B70" i="1" s="1"/>
  <c r="A66" i="1"/>
  <c r="B66" i="1" s="1"/>
  <c r="A61" i="1"/>
  <c r="B61" i="1" s="1"/>
  <c r="A63" i="1"/>
  <c r="B63" i="1" s="1"/>
  <c r="A62" i="1"/>
  <c r="B62" i="1" s="1"/>
  <c r="A50" i="1"/>
  <c r="A51" i="1"/>
  <c r="B51" i="1" s="1"/>
  <c r="A52" i="1"/>
  <c r="B52" i="1" s="1"/>
  <c r="A49" i="1"/>
  <c r="B49" i="1" s="1"/>
  <c r="A38" i="1"/>
  <c r="B38" i="1" s="1"/>
  <c r="A44" i="1"/>
  <c r="B44" i="1" s="1"/>
  <c r="A43" i="1"/>
  <c r="B43" i="1" s="1"/>
  <c r="A59" i="1"/>
  <c r="A57" i="1"/>
  <c r="B57" i="1" s="1"/>
  <c r="A58" i="1"/>
  <c r="B58" i="1" s="1"/>
  <c r="A54" i="1"/>
  <c r="C158" i="1"/>
  <c r="A46" i="1"/>
  <c r="B46" i="1" s="1"/>
  <c r="A4" i="1"/>
  <c r="B4" i="1" s="1"/>
  <c r="C220" i="1"/>
  <c r="C155" i="1"/>
  <c r="C122" i="1"/>
  <c r="B50" i="1" l="1"/>
  <c r="B59" i="1"/>
  <c r="B54" i="1"/>
  <c r="B72" i="1"/>
  <c r="B77" i="1"/>
  <c r="B81" i="1"/>
  <c r="B3" i="1"/>
  <c r="C27" i="1"/>
  <c r="B37" i="1"/>
  <c r="C75" i="1" l="1"/>
  <c r="C77" i="1"/>
  <c r="C69" i="1"/>
  <c r="C98" i="1" l="1"/>
  <c r="C44" i="1"/>
  <c r="C43" i="1"/>
  <c r="C54" i="1"/>
  <c r="C49" i="1"/>
  <c r="C18" i="1" l="1"/>
  <c r="C19" i="1"/>
  <c r="C16" i="1"/>
  <c r="C17" i="1"/>
  <c r="C6" i="1" l="1"/>
  <c r="C157" i="1" l="1"/>
  <c r="C87" i="1"/>
  <c r="C13" i="1" l="1"/>
  <c r="C11" i="1"/>
  <c r="C10" i="1"/>
  <c r="C9" i="1"/>
  <c r="C8" i="1"/>
  <c r="C12" i="1"/>
  <c r="C209" i="1"/>
  <c r="C208" i="1"/>
  <c r="C217" i="1"/>
  <c r="C7" i="1"/>
  <c r="C218" i="1"/>
  <c r="C202" i="1"/>
  <c r="C210" i="1"/>
  <c r="C219" i="1"/>
  <c r="C191" i="1"/>
  <c r="C197" i="1"/>
  <c r="C200" i="1"/>
  <c r="C199" i="1"/>
  <c r="C172" i="1"/>
  <c r="C182" i="1"/>
  <c r="C151" i="1"/>
  <c r="C154" i="1"/>
  <c r="C153" i="1"/>
  <c r="C152" i="1"/>
  <c r="C145" i="1"/>
  <c r="C149" i="1"/>
  <c r="C156" i="1"/>
  <c r="C146" i="1"/>
  <c r="C143" i="1"/>
  <c r="C132" i="1"/>
  <c r="C118" i="1"/>
  <c r="C150" i="1"/>
  <c r="C116" i="1"/>
  <c r="C106" i="1"/>
  <c r="C68" i="1" l="1"/>
  <c r="C3" i="1" l="1"/>
  <c r="C223" i="1"/>
  <c r="C20" i="1"/>
  <c r="C28" i="1"/>
  <c r="C29" i="1"/>
  <c r="C50" i="1"/>
  <c r="C52" i="1"/>
  <c r="C80" i="1"/>
  <c r="C81" i="1"/>
  <c r="C38" i="1"/>
  <c r="C34" i="1"/>
  <c r="C58" i="1"/>
  <c r="C59" i="1"/>
  <c r="C57" i="1"/>
  <c r="C45" i="1"/>
  <c r="C37" i="1"/>
  <c r="C53" i="1"/>
  <c r="C62" i="1"/>
  <c r="C63" i="1"/>
  <c r="C107" i="1"/>
  <c r="C109" i="1"/>
  <c r="C72" i="1"/>
  <c r="C61" i="1"/>
  <c r="C66" i="1"/>
  <c r="C67" i="1"/>
  <c r="C70" i="1"/>
  <c r="C82" i="1"/>
  <c r="C79" i="1"/>
  <c r="C60" i="1"/>
  <c r="C88" i="1"/>
  <c r="C89" i="1"/>
  <c r="C4" i="1"/>
  <c r="C93" i="1"/>
  <c r="A207" i="1"/>
  <c r="C207" i="1" s="1"/>
  <c r="A214" i="1"/>
  <c r="C214" i="1" s="1"/>
  <c r="A198" i="1"/>
  <c r="C198" i="1" s="1"/>
  <c r="A203" i="1"/>
  <c r="C203" i="1" s="1"/>
  <c r="A178" i="1"/>
  <c r="C178" i="1" s="1"/>
  <c r="A97" i="1"/>
  <c r="B97" i="1" s="1"/>
  <c r="A120" i="1"/>
  <c r="B120" i="1" s="1"/>
  <c r="A166" i="1"/>
  <c r="B166" i="1" s="1"/>
  <c r="A183" i="1"/>
  <c r="C183" i="1" s="1"/>
  <c r="A185" i="1"/>
  <c r="C185" i="1" s="1"/>
  <c r="A137" i="1"/>
  <c r="B137" i="1" s="1"/>
  <c r="A135" i="1"/>
  <c r="B135" i="1" s="1"/>
  <c r="A121" i="1"/>
  <c r="B121" i="1" s="1"/>
  <c r="A123" i="1"/>
  <c r="B123" i="1" s="1"/>
  <c r="A205" i="1"/>
  <c r="C205" i="1" s="1"/>
  <c r="A128" i="1"/>
  <c r="C128" i="1" s="1"/>
  <c r="A144" i="1"/>
  <c r="C144" i="1" s="1"/>
  <c r="A206" i="1"/>
  <c r="C206" i="1" s="1"/>
  <c r="A222" i="1"/>
  <c r="B222" i="1" s="1"/>
  <c r="A147" i="1"/>
  <c r="C147" i="1" s="1"/>
  <c r="A170" i="1"/>
  <c r="C170" i="1" s="1"/>
  <c r="A196" i="1"/>
  <c r="B196" i="1" s="1"/>
  <c r="A165" i="1"/>
  <c r="C165" i="1" s="1"/>
  <c r="B160" i="1"/>
  <c r="A161" i="1"/>
  <c r="C161" i="1" s="1"/>
  <c r="A101" i="1"/>
  <c r="C101" i="1" s="1"/>
  <c r="A76" i="1"/>
  <c r="B76" i="1" s="1"/>
  <c r="A140" i="1"/>
  <c r="B140" i="1" s="1"/>
  <c r="A201" i="1"/>
  <c r="B201" i="1" s="1"/>
  <c r="A142" i="1"/>
  <c r="C142" i="1" s="1"/>
  <c r="A168" i="1"/>
  <c r="C168" i="1" s="1"/>
  <c r="A130" i="1"/>
  <c r="C130" i="1" s="1"/>
  <c r="A167" i="1"/>
  <c r="C167" i="1" s="1"/>
  <c r="A181" i="1"/>
  <c r="B181" i="1" s="1"/>
  <c r="A204" i="1"/>
  <c r="C204" i="1" s="1"/>
  <c r="A105" i="1"/>
  <c r="B105" i="1" s="1"/>
  <c r="A177" i="1"/>
  <c r="B177" i="1" s="1"/>
  <c r="A175" i="1"/>
  <c r="C175" i="1" s="1"/>
  <c r="A108" i="1"/>
  <c r="C108" i="1" s="1"/>
  <c r="A94" i="1"/>
  <c r="B94" i="1" s="1"/>
  <c r="A179" i="1"/>
  <c r="C179" i="1" s="1"/>
  <c r="A192" i="1"/>
  <c r="B192" i="1" s="1"/>
  <c r="A141" i="1"/>
  <c r="A163" i="1"/>
  <c r="C163" i="1" s="1"/>
  <c r="A129" i="1"/>
  <c r="C129" i="1" s="1"/>
  <c r="A100" i="1"/>
  <c r="B100" i="1" s="1"/>
  <c r="A133" i="1"/>
  <c r="C133" i="1" s="1"/>
  <c r="A117" i="1"/>
  <c r="B117" i="1" s="1"/>
  <c r="A90" i="1"/>
  <c r="B90" i="1" s="1"/>
  <c r="A162" i="1"/>
  <c r="B162" i="1" s="1"/>
  <c r="A174" i="1"/>
  <c r="C174" i="1" s="1"/>
  <c r="A164" i="1"/>
  <c r="B164" i="1" s="1"/>
  <c r="A139" i="1"/>
  <c r="A187" i="1"/>
  <c r="B187" i="1" s="1"/>
  <c r="A180" i="1"/>
  <c r="C180" i="1" s="1"/>
  <c r="A99" i="1"/>
  <c r="A215" i="1"/>
  <c r="C215" i="1" s="1"/>
  <c r="A115" i="1"/>
  <c r="B115" i="1" s="1"/>
  <c r="A188" i="1"/>
  <c r="C188" i="1" s="1"/>
  <c r="A114" i="1"/>
  <c r="B114" i="1" s="1"/>
  <c r="A102" i="1"/>
  <c r="B102" i="1" s="1"/>
  <c r="A190" i="1"/>
  <c r="B190" i="1" s="1"/>
  <c r="A111" i="1"/>
  <c r="A173" i="1"/>
  <c r="B173" i="1" s="1"/>
  <c r="A127" i="1"/>
  <c r="A216" i="1"/>
  <c r="C216" i="1" s="1"/>
  <c r="A184" i="1"/>
  <c r="B184" i="1" s="1"/>
  <c r="A171" i="1"/>
  <c r="B171" i="1" s="1"/>
  <c r="A119" i="1"/>
  <c r="B119" i="1" s="1"/>
  <c r="A110" i="1"/>
  <c r="A131" i="1"/>
  <c r="B131" i="1" s="1"/>
  <c r="A134" i="1"/>
  <c r="B134" i="1" s="1"/>
  <c r="A125" i="1"/>
  <c r="B125" i="1" s="1"/>
  <c r="A91" i="1"/>
  <c r="B91" i="1" s="1"/>
  <c r="A186" i="1"/>
  <c r="C186" i="1" s="1"/>
  <c r="A176" i="1"/>
  <c r="C176" i="1" s="1"/>
  <c r="A126" i="1"/>
  <c r="B126" i="1" s="1"/>
  <c r="A189" i="1"/>
  <c r="B189" i="1" s="1"/>
  <c r="A138" i="1"/>
  <c r="B138" i="1" s="1"/>
  <c r="A169" i="1"/>
  <c r="B169" i="1" s="1"/>
  <c r="A213" i="1"/>
  <c r="B213" i="1" s="1"/>
  <c r="A92" i="1"/>
  <c r="A136" i="1"/>
  <c r="B136" i="1" s="1"/>
  <c r="A148" i="1"/>
  <c r="B148" i="1" s="1"/>
  <c r="B111" i="1" l="1"/>
  <c r="C110" i="1"/>
  <c r="C139" i="1"/>
  <c r="B92" i="1"/>
  <c r="B99" i="1"/>
  <c r="C127" i="1"/>
  <c r="C136" i="1"/>
  <c r="B207" i="1"/>
  <c r="C189" i="1"/>
  <c r="B216" i="1"/>
  <c r="C115" i="1"/>
  <c r="C190" i="1"/>
  <c r="B110" i="1"/>
  <c r="C187" i="1"/>
  <c r="C196" i="1"/>
  <c r="B176" i="1"/>
  <c r="C173" i="1"/>
  <c r="C99" i="1"/>
  <c r="C162" i="1"/>
  <c r="C117" i="1"/>
  <c r="C100" i="1"/>
  <c r="B163" i="1"/>
  <c r="B101" i="1"/>
  <c r="C171" i="1"/>
  <c r="C114" i="1"/>
  <c r="C164" i="1"/>
  <c r="C123" i="1"/>
  <c r="C134" i="1"/>
  <c r="B147" i="1"/>
  <c r="C148" i="1"/>
  <c r="C169" i="1"/>
  <c r="C160" i="1"/>
  <c r="B128" i="1"/>
  <c r="C92" i="1"/>
  <c r="C91" i="1"/>
  <c r="B206" i="1"/>
  <c r="B179" i="1"/>
  <c r="C177" i="1"/>
  <c r="B167" i="1"/>
  <c r="B108" i="1"/>
  <c r="B204" i="1"/>
  <c r="B168" i="1"/>
  <c r="C201" i="1"/>
  <c r="C137" i="1"/>
  <c r="B183" i="1"/>
  <c r="C120" i="1"/>
  <c r="B178" i="1"/>
  <c r="B198" i="1"/>
  <c r="C135" i="1"/>
  <c r="B141" i="1"/>
  <c r="C213" i="1"/>
  <c r="C138" i="1"/>
  <c r="C126" i="1"/>
  <c r="B186" i="1"/>
  <c r="C125" i="1"/>
  <c r="C131" i="1"/>
  <c r="C119" i="1"/>
  <c r="C184" i="1"/>
  <c r="B127" i="1"/>
  <c r="C111" i="1"/>
  <c r="C102" i="1"/>
  <c r="B188" i="1"/>
  <c r="B215" i="1"/>
  <c r="B180" i="1"/>
  <c r="B139" i="1"/>
  <c r="B174" i="1"/>
  <c r="C90" i="1"/>
  <c r="B133" i="1"/>
  <c r="B129" i="1"/>
  <c r="C141" i="1"/>
  <c r="C192" i="1"/>
  <c r="C94" i="1"/>
  <c r="B175" i="1"/>
  <c r="C105" i="1"/>
  <c r="C181" i="1"/>
  <c r="B130" i="1"/>
  <c r="B142" i="1"/>
  <c r="C76" i="1"/>
  <c r="B161" i="1"/>
  <c r="B165" i="1"/>
  <c r="B170" i="1"/>
  <c r="C222" i="1"/>
  <c r="B144" i="1"/>
  <c r="B205" i="1"/>
  <c r="C121" i="1"/>
  <c r="B185" i="1"/>
  <c r="C166" i="1"/>
  <c r="C97" i="1"/>
  <c r="B203" i="1"/>
  <c r="B214" i="1"/>
  <c r="B31" i="1" l="1"/>
  <c r="B42" i="1"/>
  <c r="C42" i="1"/>
  <c r="C31" i="1" l="1"/>
  <c r="B36" i="1"/>
  <c r="C36" i="1"/>
  <c r="B33" i="1"/>
  <c r="C33" i="1"/>
  <c r="B15" i="1" l="1"/>
  <c r="C15" i="1"/>
  <c r="B225" i="1" l="1"/>
  <c r="C225" i="1"/>
  <c r="B25" i="1" l="1"/>
  <c r="C25" i="1"/>
  <c r="B48" i="1" l="1"/>
  <c r="C48" i="1"/>
  <c r="B86" i="1" l="1"/>
  <c r="C86" i="1"/>
  <c r="B74" i="1" l="1"/>
  <c r="C74" i="1"/>
  <c r="B96" i="1" l="1"/>
  <c r="C96" i="1"/>
  <c r="B221" i="1"/>
  <c r="C212" i="1"/>
  <c r="C104" i="1"/>
  <c r="B104" i="1"/>
  <c r="C195" i="1"/>
  <c r="C113" i="1"/>
  <c r="B124" i="1" l="1"/>
  <c r="B195" i="1"/>
  <c r="B113" i="1"/>
  <c r="C124" i="1"/>
  <c r="C159" i="1"/>
  <c r="B159" i="1"/>
  <c r="B212" i="1"/>
  <c r="C221" i="1"/>
  <c r="B56" i="1"/>
  <c r="C56" i="1"/>
  <c r="B65" i="1"/>
  <c r="C65" i="1"/>
</calcChain>
</file>

<file path=xl/sharedStrings.xml><?xml version="1.0" encoding="utf-8"?>
<sst xmlns="http://schemas.openxmlformats.org/spreadsheetml/2006/main" count="687" uniqueCount="332">
  <si>
    <t xml:space="preserve"> </t>
  </si>
  <si>
    <t>CLO</t>
  </si>
  <si>
    <t>PAI</t>
  </si>
  <si>
    <t>PAF</t>
  </si>
  <si>
    <t>ACO</t>
  </si>
  <si>
    <t>PME</t>
  </si>
  <si>
    <t>DOCA</t>
  </si>
  <si>
    <t>L&amp;P
PAI</t>
  </si>
  <si>
    <t>L&amp;P
PAI
NAV</t>
  </si>
  <si>
    <t>HH
deb</t>
  </si>
  <si>
    <t>HH
fin</t>
  </si>
  <si>
    <t>TRT</t>
  </si>
  <si>
    <t>AGENCE</t>
  </si>
  <si>
    <t>SIEGE</t>
  </si>
  <si>
    <t>DSI</t>
  </si>
  <si>
    <t>17h30</t>
  </si>
  <si>
    <t>FM     PAIE NAV</t>
  </si>
  <si>
    <t>PRO PAIE NAV</t>
  </si>
  <si>
    <t>PRO CLO NAV</t>
  </si>
  <si>
    <t>HLD PAIE NAV</t>
  </si>
  <si>
    <t>GIE    PAIE NAV</t>
  </si>
  <si>
    <t>GIE     PAIE NAV</t>
  </si>
  <si>
    <t>HLD    PAIE NAV</t>
  </si>
  <si>
    <t>ACO NAV</t>
  </si>
  <si>
    <t>PAI NAV</t>
  </si>
  <si>
    <t>NAV H&amp;P</t>
  </si>
  <si>
    <t>commentaire Exploit</t>
  </si>
  <si>
    <t>NEEV</t>
  </si>
  <si>
    <t>SED</t>
  </si>
  <si>
    <t>EXP</t>
  </si>
  <si>
    <t>NEEV
NAV</t>
  </si>
  <si>
    <t>EXP L&amp;P
PAI
NAV</t>
  </si>
  <si>
    <t>EXP ACO NAV</t>
  </si>
  <si>
    <t>EXP L&amp;P
PAI</t>
  </si>
  <si>
    <t>EDI TEL</t>
  </si>
  <si>
    <t>EDI LCL</t>
  </si>
  <si>
    <t>QUICK</t>
  </si>
  <si>
    <t>EXP PRO   PAIE NAV</t>
  </si>
  <si>
    <t>EXP FM PAIE NAV</t>
  </si>
  <si>
    <t>EXP PRO PAIE NAV</t>
  </si>
  <si>
    <t>EXP GIE PAIE NAV</t>
  </si>
  <si>
    <t>EXP HLD PAIE NAV</t>
  </si>
  <si>
    <t>EXP L&amp;P
PAI NAV</t>
  </si>
  <si>
    <t>EXP PAI</t>
  </si>
  <si>
    <t>code Traitement</t>
  </si>
  <si>
    <t>Libelle</t>
  </si>
  <si>
    <t>uniquement pour l'exploitation</t>
  </si>
  <si>
    <t>uniquement pour H&amp;P en fin de mois  cloture</t>
  </si>
  <si>
    <t>EDI France Télécom</t>
  </si>
  <si>
    <t>payroll vers Navision FM</t>
  </si>
  <si>
    <t>payroll vers Navision GIE</t>
  </si>
  <si>
    <t>payroll vers Navision HLD</t>
  </si>
  <si>
    <t>paie Hypervision L&amp;P vers Doca</t>
  </si>
  <si>
    <t>payroll vers  Navision L&amp;P</t>
  </si>
  <si>
    <t>facturation des frais informatiques via SM9 vers NAV</t>
  </si>
  <si>
    <t>transfert des écritures comptables H&amp;P de NAV vers EURO400</t>
  </si>
  <si>
    <t>formation NEEVA centralisation vers EURO400</t>
  </si>
  <si>
    <t>formation NEEVA centralisation vers  Navision</t>
  </si>
  <si>
    <t xml:space="preserve">traitement par l'exploitation concernant la paie GP via AS400 </t>
  </si>
  <si>
    <t>gestion des fichiers souches  chèque et virement vers Navision</t>
  </si>
  <si>
    <t>traitement suivi par le pôle SED (Denis Ranouil)</t>
  </si>
  <si>
    <t>payroll vers Navision Cleaning</t>
  </si>
  <si>
    <t>date de fin de saisie sous NAVISION</t>
  </si>
  <si>
    <t>gestion des fichiers souches  chèque et virement vers Navision pour acomptes et STC</t>
  </si>
  <si>
    <t>acompte et STC  paie  GP    sur AS400  vers   ADP et DOCA</t>
  </si>
  <si>
    <t xml:space="preserve">EDI crédit lyonnais </t>
  </si>
  <si>
    <t>EDI LCL NAV</t>
  </si>
  <si>
    <t>EDI TEL NAV</t>
  </si>
  <si>
    <t xml:space="preserve">uniquement pour H&amp;P paiement fournisseurs  chèques/virement </t>
  </si>
  <si>
    <t>NAV CLO</t>
  </si>
  <si>
    <t>EDI FOUR NAV</t>
  </si>
  <si>
    <t>FRAIS INF NAV</t>
  </si>
  <si>
    <t>EDI FOURN NAV</t>
  </si>
  <si>
    <t>pétrolier et parc auto  vers NAV</t>
  </si>
  <si>
    <t xml:space="preserve"> CLO NAV</t>
  </si>
  <si>
    <t>Partenaire</t>
  </si>
  <si>
    <t>ADP/GSI</t>
  </si>
  <si>
    <t xml:space="preserve">tous les jeudi matin </t>
  </si>
  <si>
    <t>envoyer sur "O" pour Nma les fichiers CGAM reçus et envoyés voir ex mail</t>
  </si>
  <si>
    <t>CLARANET</t>
  </si>
  <si>
    <t>L&amp;P
STC1  LOT 051</t>
  </si>
  <si>
    <t>Date</t>
  </si>
  <si>
    <t>COMPLEO + MIMIX VERIF</t>
  </si>
  <si>
    <t>VOIR</t>
  </si>
  <si>
    <t>Mois</t>
  </si>
  <si>
    <t>Sem</t>
  </si>
  <si>
    <t>VERIF DU  PDF du service paie avant de lancer la payroll paiement</t>
  </si>
  <si>
    <t>Règle</t>
  </si>
  <si>
    <t>PP100</t>
  </si>
  <si>
    <t>V alider le 10 du mois</t>
  </si>
  <si>
    <t>VOIR avec Denis l'futilité de cette tache</t>
  </si>
  <si>
    <t>Sur GO le 10, 20 et 30 du mois</t>
  </si>
  <si>
    <t>AC1 +1jo</t>
  </si>
  <si>
    <t>msg prépa sauvegarde mensuelle</t>
  </si>
  <si>
    <t>a voir</t>
  </si>
  <si>
    <t>VOIR la règle avec Cathia</t>
  </si>
  <si>
    <t>PP760</t>
  </si>
  <si>
    <t>PP410</t>
  </si>
  <si>
    <t>VOIR si 1er traitement de paie</t>
  </si>
  <si>
    <t>Vérifier si veille du premier tour de paie</t>
  </si>
  <si>
    <t>Avant sauvegarde mensuelle</t>
  </si>
  <si>
    <t>Veille de l'extraction du 1er tour</t>
  </si>
  <si>
    <t xml:space="preserve">Topoujours le 25 du mois </t>
  </si>
  <si>
    <t>verifier la règle avec ??? Isabelle Garcin</t>
  </si>
  <si>
    <t>A valider la date de fn de saisie</t>
  </si>
  <si>
    <t>PP510</t>
  </si>
  <si>
    <t>PP570
A voir par rapport a extraction deuxieme tour compta</t>
  </si>
  <si>
    <t>Voir Bernd</t>
  </si>
  <si>
    <t>Après traitement Payroll cleaning</t>
  </si>
  <si>
    <t>attendre GO de la paie</t>
  </si>
  <si>
    <t>Ttendre GO de la compta sociale</t>
  </si>
  <si>
    <t>voir avec catherine signification PME</t>
  </si>
  <si>
    <t>Voir S. Baltus</t>
  </si>
  <si>
    <t>H&amp;P</t>
  </si>
  <si>
    <t>PP790</t>
  </si>
  <si>
    <t>PP350</t>
  </si>
  <si>
    <t>PP530</t>
  </si>
  <si>
    <t>PP595</t>
  </si>
  <si>
    <t>Voir avec José</t>
  </si>
  <si>
    <t>PP820</t>
  </si>
  <si>
    <t>PP830</t>
  </si>
  <si>
    <t>PP700</t>
  </si>
  <si>
    <t>PP540</t>
  </si>
  <si>
    <t>PP550</t>
  </si>
  <si>
    <t>PP730</t>
  </si>
  <si>
    <t>PP720</t>
  </si>
  <si>
    <t>Paie def</t>
  </si>
  <si>
    <t>Français</t>
  </si>
  <si>
    <t>Danois</t>
  </si>
  <si>
    <t>AC1</t>
  </si>
  <si>
    <t>AC2</t>
  </si>
  <si>
    <t>AC3</t>
  </si>
  <si>
    <t>PREP_Hyg</t>
  </si>
  <si>
    <t>STC1_LP</t>
  </si>
  <si>
    <t>ACO_LP</t>
  </si>
  <si>
    <t>STC2_LP</t>
  </si>
  <si>
    <t>Ex_Compta_1_HP</t>
  </si>
  <si>
    <t>Ex_Compta_2_HP</t>
  </si>
  <si>
    <t>Sagirco 1</t>
  </si>
  <si>
    <t>Sagirco 2</t>
  </si>
  <si>
    <t>Sagirco 3</t>
  </si>
  <si>
    <t>Quick_DK</t>
  </si>
  <si>
    <t>Top_Compta_HP</t>
  </si>
  <si>
    <t>CLO
H&amp;P</t>
  </si>
  <si>
    <t xml:space="preserve">CLO
H&amp;P
</t>
  </si>
  <si>
    <t>PAIE DEF</t>
  </si>
  <si>
    <t>PAIE</t>
  </si>
  <si>
    <t>Mois traité</t>
  </si>
  <si>
    <t>Année traitée</t>
  </si>
  <si>
    <t>Centr_Immo_Cess_HP</t>
  </si>
  <si>
    <t>Centr_2°_Compta_HP</t>
  </si>
  <si>
    <t>Top_Conso</t>
  </si>
  <si>
    <t>EDI_FT_PRO_FT</t>
  </si>
  <si>
    <t>EDI_FT_FM</t>
  </si>
  <si>
    <t>EDI_FT_PRO_LCL</t>
  </si>
  <si>
    <t>Facturation NEEVA</t>
  </si>
  <si>
    <t>Imprt_pers_NEEVA</t>
  </si>
  <si>
    <t>Extract_AC1_M + 1</t>
  </si>
  <si>
    <t>indice Mois TRT</t>
  </si>
  <si>
    <t>2°jour ouvré du mois</t>
  </si>
  <si>
    <t>TRAITEMENT EDIT FT NAVISION PRO_M1_EDI LCL</t>
  </si>
  <si>
    <t>3°jour ouvré du mois</t>
  </si>
  <si>
    <t>TRAITEMENT EDIT FT NAVISION FM_M1</t>
  </si>
  <si>
    <t>TRAITEMENT EDIT FT NAVISION PRO_M1_EDI FT</t>
  </si>
  <si>
    <t>n'est plus lancé (voir avec NMA)</t>
  </si>
  <si>
    <t>CAISSE DES CONGES (H&amp;P)</t>
  </si>
  <si>
    <t>1er JO</t>
  </si>
  <si>
    <t>CALCUL HEURES DE NUIT HELIOS D1</t>
  </si>
  <si>
    <t xml:space="preserve">1er jo du mois </t>
  </si>
  <si>
    <t>SCENARIO RH</t>
  </si>
  <si>
    <t>à voir ce mois (le 8 ou JO suivant)</t>
  </si>
  <si>
    <t>NEEVA  -  Import personnel  - Verif</t>
  </si>
  <si>
    <t>IMP_PERS_NEEVA</t>
  </si>
  <si>
    <t>1er jo du mois - 3jo</t>
  </si>
  <si>
    <t xml:space="preserve">NEEVA CENTRALISATION FACTURATION NEEVA </t>
  </si>
  <si>
    <t>Fact_NEEVA</t>
  </si>
  <si>
    <t>le 22 de chaque mois</t>
  </si>
  <si>
    <t>CENTRALISATION FACTURATION FRS PARC AUTO</t>
  </si>
  <si>
    <r>
      <t xml:space="preserve"> </t>
    </r>
    <r>
      <rPr>
        <b/>
        <sz val="11"/>
        <color rgb="FFFF0000"/>
        <rFont val="Franklin Gothic Book"/>
        <family val="2"/>
        <scheme val="minor"/>
      </rPr>
      <t>Planifiée</t>
    </r>
    <r>
      <rPr>
        <sz val="11"/>
        <rFont val="Franklin Gothic Book"/>
        <family val="2"/>
        <scheme val="minor"/>
      </rPr>
      <t xml:space="preserve"> 3 eme JO . Jo+4 en juin</t>
    </r>
    <r>
      <rPr>
        <b/>
        <sz val="11"/>
        <color rgb="FFFF0000"/>
        <rFont val="Franklin Gothic Book"/>
        <family val="2"/>
        <scheme val="minor"/>
      </rPr>
      <t xml:space="preserve"> (QUICK DK)</t>
    </r>
  </si>
  <si>
    <t>GEST</t>
  </si>
  <si>
    <t xml:space="preserve">QUICK DK J+3 </t>
  </si>
  <si>
    <r>
      <t xml:space="preserve"> 3 eme JO  15H. Jo+4 en juin  </t>
    </r>
    <r>
      <rPr>
        <b/>
        <sz val="11"/>
        <color rgb="FFFF0000"/>
        <rFont val="Franklin Gothic Book"/>
        <family val="2"/>
        <scheme val="minor"/>
      </rPr>
      <t>QUICK DK</t>
    </r>
  </si>
  <si>
    <t>INTERFACE CONSO</t>
  </si>
  <si>
    <r>
      <t xml:space="preserve"> 3 eme JO  14H. Jo+4 en juin </t>
    </r>
    <r>
      <rPr>
        <b/>
        <sz val="11"/>
        <color rgb="FFFF0000"/>
        <rFont val="Franklin Gothic Book"/>
        <family val="2"/>
        <scheme val="minor"/>
      </rPr>
      <t xml:space="preserve"> QUICK DK</t>
    </r>
  </si>
  <si>
    <t>TOP CONSO</t>
  </si>
  <si>
    <r>
      <t xml:space="preserve">2eme jo ou 3 eme JO en juin, 18H  </t>
    </r>
    <r>
      <rPr>
        <b/>
        <sz val="11"/>
        <color rgb="FFFF0000"/>
        <rFont val="Franklin Gothic Book"/>
        <family val="2"/>
        <scheme val="minor"/>
      </rPr>
      <t>QUICK DK-1</t>
    </r>
  </si>
  <si>
    <t xml:space="preserve"> QUICK vers CDG J+2 à 18H00</t>
  </si>
  <si>
    <t>NAV</t>
  </si>
  <si>
    <t>Fin saisie ecritures NAV et Blocage</t>
  </si>
  <si>
    <t>Ouverture periode compte Ventes et achat</t>
  </si>
  <si>
    <t>2 jo soir ou 1 jo si paie avancée</t>
  </si>
  <si>
    <t>TOP NAV compta avant QUICK DK</t>
  </si>
  <si>
    <t>TP Organic (CVAE)</t>
  </si>
  <si>
    <t xml:space="preserve">Arrêté des écritures intragroupe </t>
  </si>
  <si>
    <t>Ecritures manuelles (FNP/FAE/..)</t>
  </si>
  <si>
    <t xml:space="preserve">dernier jo du mois </t>
  </si>
  <si>
    <t>Arrêtés informatiques agences Jour 1  FNP (auto)</t>
  </si>
  <si>
    <t>dernier jo du mois (sauf naval- jour suivant)</t>
  </si>
  <si>
    <t xml:space="preserve">arrêtés facturation Clients </t>
  </si>
  <si>
    <t>arrêtés facturation Clients Agence</t>
  </si>
  <si>
    <t>TOP NAV AGENCE</t>
  </si>
  <si>
    <t>Pas d'intervention DSI</t>
  </si>
  <si>
    <t>Immo, Cessions, Dotations</t>
  </si>
  <si>
    <t>Quick DK +1</t>
  </si>
  <si>
    <t>Relance Clients</t>
  </si>
  <si>
    <t>Intégration TP et Organic</t>
  </si>
  <si>
    <t>centralisation</t>
  </si>
  <si>
    <t>3e tour facturation du mois</t>
  </si>
  <si>
    <t>1er JO du mois -3</t>
  </si>
  <si>
    <t>Immo, Cessions, HS, Dotations</t>
  </si>
  <si>
    <t>Extraction FNP FAE +1</t>
  </si>
  <si>
    <t>Centralisation FNP, FAE</t>
  </si>
  <si>
    <t>Date   2e extraction compta</t>
  </si>
  <si>
    <t>Extraction FNP, FAE</t>
  </si>
  <si>
    <t>3e JO  (calendrier fériés DK)</t>
  </si>
  <si>
    <t>TOP H&amp;P compta avant QUICK DK 13h</t>
  </si>
  <si>
    <t>TOP_Cpta_HP</t>
  </si>
  <si>
    <t xml:space="preserve">Sagirco1 + 2jo </t>
  </si>
  <si>
    <t>SAGIRCO 3   13h00</t>
  </si>
  <si>
    <t>sagirco3</t>
  </si>
  <si>
    <t>Sagirco1   + 1jo</t>
  </si>
  <si>
    <t>SAGIRCO 2</t>
  </si>
  <si>
    <t>sagirco2</t>
  </si>
  <si>
    <t>soir de la centrralisation des Paies</t>
  </si>
  <si>
    <t>SAGIRCO 1</t>
  </si>
  <si>
    <t>sagirco1</t>
  </si>
  <si>
    <t>1er du mois suivant</t>
  </si>
  <si>
    <r>
      <t>SIRH (après interface paie)</t>
    </r>
    <r>
      <rPr>
        <b/>
        <sz val="11"/>
        <color rgb="FFFF0000"/>
        <rFont val="Franklin Gothic Book"/>
        <family val="2"/>
        <scheme val="minor"/>
      </rPr>
      <t xml:space="preserve"> </t>
    </r>
  </si>
  <si>
    <t>lendemain de l'extraction</t>
  </si>
  <si>
    <t>Centralisation 2eme tour compta</t>
  </si>
  <si>
    <t>J-1 du dernier jour ouvré de chaque mois</t>
  </si>
  <si>
    <t>COMPTABILITE 2EME tour date extraction</t>
  </si>
  <si>
    <t>Centralisation 1er tour compta</t>
  </si>
  <si>
    <t>15 de chaque mois ou JO après</t>
  </si>
  <si>
    <t xml:space="preserve">COMPTABILITE 1ER tour date extraction </t>
  </si>
  <si>
    <t>10 du mois ou jo précédent</t>
  </si>
  <si>
    <t>Relance Clients H&amp;P LR (a voir avec Stéphanie) (Melevin)</t>
  </si>
  <si>
    <t>1er jo du mois</t>
  </si>
  <si>
    <t>Relance Clients H&amp;P simple (date metier)</t>
  </si>
  <si>
    <t>DEF+1</t>
  </si>
  <si>
    <t>ISS/LP</t>
  </si>
  <si>
    <t>payroll breakdown ISS/LP</t>
  </si>
  <si>
    <t xml:space="preserve">DEF  </t>
  </si>
  <si>
    <t>TRANSMISSION PAIE DEFINITINE</t>
  </si>
  <si>
    <t>STC2</t>
  </si>
  <si>
    <t>STC2 - Paiement</t>
  </si>
  <si>
    <t>STC2 - Virement</t>
  </si>
  <si>
    <t xml:space="preserve">STC2  - TRANSMISSION </t>
  </si>
  <si>
    <t>Tr_STC2_LP</t>
  </si>
  <si>
    <t>ACO - Paiement</t>
  </si>
  <si>
    <t>ACO_LP -1 jo</t>
  </si>
  <si>
    <t>ACO - Virement</t>
  </si>
  <si>
    <t>ACO_LP -2 jo</t>
  </si>
  <si>
    <t xml:space="preserve">ACO - TRANSMISSION  </t>
  </si>
  <si>
    <t>Tr_ACO_LP</t>
  </si>
  <si>
    <t>STC1_PAI</t>
  </si>
  <si>
    <t xml:space="preserve">STC1 - Date de paiement </t>
  </si>
  <si>
    <t>STC1_PAI  - 1jo</t>
  </si>
  <si>
    <t>STC1 - Date de Virement</t>
  </si>
  <si>
    <t>Par défaut  (STC1 - 3jo)  (modif ponctuelle)</t>
  </si>
  <si>
    <t xml:space="preserve">STC1 - TRANSMISSION </t>
  </si>
  <si>
    <t>Tr_STC1_LP</t>
  </si>
  <si>
    <t>1er jo du mois suivant</t>
  </si>
  <si>
    <r>
      <t xml:space="preserve">SINAPSE + SIRH (après interface paie) </t>
    </r>
    <r>
      <rPr>
        <b/>
        <sz val="11"/>
        <color rgb="FFFF0000"/>
        <rFont val="Franklin Gothic Book"/>
        <family val="2"/>
        <scheme val="minor"/>
      </rPr>
      <t>1er du mois suivant</t>
    </r>
  </si>
  <si>
    <t>DEF+3</t>
  </si>
  <si>
    <t xml:space="preserve">Retour VR GSI </t>
  </si>
  <si>
    <t>DEF+2</t>
  </si>
  <si>
    <t>payroll breakdown HLD</t>
  </si>
  <si>
    <t>payroll breakdown GIE</t>
  </si>
  <si>
    <t>payroll breakdown FM</t>
  </si>
  <si>
    <t>payroll breakdown cleaning</t>
  </si>
  <si>
    <t xml:space="preserve">Interface de paie </t>
  </si>
  <si>
    <t>Le 05 si JO sinon précédent</t>
  </si>
  <si>
    <t>DATE DE PAIEMENT</t>
  </si>
  <si>
    <t>Date de paiement -1</t>
  </si>
  <si>
    <t xml:space="preserve">DATE DE VIREMENT  </t>
  </si>
  <si>
    <t>DEF = Planifié.  si NO dernier JO précédent</t>
  </si>
  <si>
    <t>PAIE_DEF</t>
  </si>
  <si>
    <t>DEF -1</t>
  </si>
  <si>
    <t>TRANSMISSION Contrôle de paie N°2</t>
  </si>
  <si>
    <t>DEF -2</t>
  </si>
  <si>
    <t>TRANSMISSION Contrôle de paie N°1</t>
  </si>
  <si>
    <t>DEF -3</t>
  </si>
  <si>
    <t>Fin de saisie webtime</t>
  </si>
  <si>
    <t>AC3= planifié.  si NO dernier JO précédent</t>
  </si>
  <si>
    <t xml:space="preserve">DATE DE PAIEMENT  </t>
  </si>
  <si>
    <t>AC3 -1</t>
  </si>
  <si>
    <t>AC3 -3</t>
  </si>
  <si>
    <t>TRANSMISSION Acomptes</t>
  </si>
  <si>
    <t>Ex_AC3</t>
  </si>
  <si>
    <t>AC3 -4</t>
  </si>
  <si>
    <t>TRANSMISSION Préparation Hygiene 90%</t>
  </si>
  <si>
    <t>Ex_Prep_Hyg</t>
  </si>
  <si>
    <t>AC2 = planifié.  si NO dernier JO précédent</t>
  </si>
  <si>
    <t>AC2 -1</t>
  </si>
  <si>
    <t>AC2 -4</t>
  </si>
  <si>
    <t>TRANSMISSION  Acomptes  paiement au 21 except/Régul</t>
  </si>
  <si>
    <t>Ex_AC2</t>
  </si>
  <si>
    <t>AC1 = planifié.  si NO dernier JO précédent</t>
  </si>
  <si>
    <t>AC1 -1</t>
  </si>
  <si>
    <t xml:space="preserve">DATE DE VIREMENT </t>
  </si>
  <si>
    <t>AC1 -6</t>
  </si>
  <si>
    <t xml:space="preserve"> TRANSMISSION Acomptes paiement au 15 rubrique 3004</t>
  </si>
  <si>
    <t>Ex_AC1</t>
  </si>
  <si>
    <t>DECEM</t>
  </si>
  <si>
    <t>NOVEMBRE</t>
  </si>
  <si>
    <t>OCTOBRE</t>
  </si>
  <si>
    <t>SEPT</t>
  </si>
  <si>
    <t>AOUT</t>
  </si>
  <si>
    <t>JUILLET</t>
  </si>
  <si>
    <t>JUIN</t>
  </si>
  <si>
    <t>MAI</t>
  </si>
  <si>
    <t>AVRIL</t>
  </si>
  <si>
    <t>MARS</t>
  </si>
  <si>
    <t xml:space="preserve">FEVRIER </t>
  </si>
  <si>
    <t xml:space="preserve">JANVIER </t>
  </si>
  <si>
    <t>TRT.</t>
  </si>
  <si>
    <t>TRAVAUX 2019</t>
  </si>
  <si>
    <t>DEF_NOM</t>
  </si>
  <si>
    <t>Debut planning</t>
  </si>
  <si>
    <t>Frais_Info</t>
  </si>
  <si>
    <t>Frais INFORMATIQUE</t>
  </si>
  <si>
    <t>Le 25 du mois</t>
  </si>
  <si>
    <t>Frais Info</t>
  </si>
  <si>
    <t>Fin Planning</t>
  </si>
  <si>
    <t>Jour ouvré</t>
  </si>
  <si>
    <t>Deb_Cloture</t>
  </si>
  <si>
    <t>Fin_Cloture</t>
  </si>
  <si>
    <t>PLANNING PREVISIONNEL</t>
  </si>
  <si>
    <t xml:space="preserve">==&gt; (correspond à la colonne dans laquelle la fonction RECHERCHEV va retrouver la date du mois traité) </t>
  </si>
  <si>
    <t>Fin_AC1_M+1 (Fin_Plan)</t>
  </si>
  <si>
    <t>Fin_Cloture_M-1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</si>
</sst>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d\ dd/mm/yy"/>
    <numFmt numFmtId="166" formatCode="ddd\ dd/mm/yyyy"/>
    <numFmt numFmtId="167" formatCode="[$-40C]d\-mmm;@"/>
  </numFmts>
  <fonts count="33" x14ac:knownFonts="1">
    <font>
      <sz val="8"/>
      <name val="Arial"/>
    </font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8"/>
      <color rgb="FFFF0000"/>
      <name val="Arial"/>
      <family val="2"/>
    </font>
    <font>
      <sz val="8"/>
      <color rgb="FFFF0000"/>
      <name val="Franklin Gothic Medium"/>
      <family val="2"/>
      <scheme val="major"/>
    </font>
    <font>
      <sz val="8"/>
      <name val="Franklin Gothic Medium"/>
      <family val="2"/>
      <scheme val="major"/>
    </font>
    <font>
      <sz val="8"/>
      <color indexed="48"/>
      <name val="Franklin Gothic Medium"/>
      <family val="2"/>
      <scheme val="major"/>
    </font>
    <font>
      <sz val="8"/>
      <color indexed="8"/>
      <name val="Franklin Gothic Medium"/>
      <family val="2"/>
      <scheme val="major"/>
    </font>
    <font>
      <sz val="8"/>
      <color indexed="22"/>
      <name val="Franklin Gothic Medium"/>
      <family val="2"/>
      <scheme val="major"/>
    </font>
    <font>
      <sz val="8"/>
      <color indexed="12"/>
      <name val="Franklin Gothic Medium"/>
      <family val="2"/>
      <scheme val="major"/>
    </font>
    <font>
      <sz val="8"/>
      <color theme="1"/>
      <name val="Franklin Gothic Medium"/>
      <family val="2"/>
      <scheme val="major"/>
    </font>
    <font>
      <sz val="8"/>
      <color rgb="FFFFFF00"/>
      <name val="Franklin Gothic Medium"/>
      <family val="2"/>
      <scheme val="major"/>
    </font>
    <font>
      <sz val="8"/>
      <color indexed="10"/>
      <name val="Franklin Gothic Medium"/>
      <family val="2"/>
      <scheme val="major"/>
    </font>
    <font>
      <sz val="8"/>
      <color theme="6" tint="-0.249977111117893"/>
      <name val="Franklin Gothic Medium"/>
      <family val="2"/>
      <scheme val="major"/>
    </font>
    <font>
      <u/>
      <sz val="8"/>
      <color rgb="FFFF0000"/>
      <name val="Franklin Gothic Medium"/>
      <family val="2"/>
      <scheme val="major"/>
    </font>
    <font>
      <b/>
      <sz val="8"/>
      <color rgb="FFFF0000"/>
      <name val="Franklin Gothic Medium"/>
      <family val="2"/>
      <scheme val="major"/>
    </font>
    <font>
      <b/>
      <sz val="8"/>
      <color indexed="10"/>
      <name val="Franklin Gothic Medium"/>
      <family val="2"/>
      <scheme val="major"/>
    </font>
    <font>
      <sz val="10"/>
      <color rgb="FF002060"/>
      <name val="Arial"/>
      <family val="2"/>
    </font>
    <font>
      <b/>
      <sz val="8"/>
      <color theme="0"/>
      <name val="Franklin Gothic Medium"/>
      <family val="2"/>
      <scheme val="major"/>
    </font>
    <font>
      <sz val="8"/>
      <color theme="9"/>
      <name val="Franklin Gothic Medium"/>
      <family val="2"/>
      <scheme val="major"/>
    </font>
    <font>
      <b/>
      <sz val="11"/>
      <color theme="1"/>
      <name val="Franklin Gothic Book"/>
      <family val="2"/>
      <scheme val="minor"/>
    </font>
    <font>
      <sz val="11"/>
      <name val="Franklin Gothic Book"/>
      <family val="2"/>
      <scheme val="minor"/>
    </font>
    <font>
      <b/>
      <sz val="11"/>
      <color rgb="FFFF0000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14"/>
      <color rgb="FF0070C0"/>
      <name val="Franklin Gothic Book"/>
      <family val="2"/>
      <scheme val="minor"/>
    </font>
    <font>
      <b/>
      <sz val="22"/>
      <color rgb="FFFF000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b/>
      <sz val="22"/>
      <color theme="1"/>
      <name val="Franklin Gothic Book"/>
      <family val="2"/>
      <scheme val="minor"/>
    </font>
    <font>
      <i/>
      <sz val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99FF"/>
        <bgColor indexed="64"/>
      </patternFill>
    </fill>
    <fill>
      <patternFill patternType="lightUp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lightGray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79">
    <xf numFmtId="0" fontId="0" fillId="0" borderId="0" xfId="0"/>
    <xf numFmtId="0" fontId="3" fillId="0" borderId="0" xfId="0" applyFont="1" applyFill="1" applyAlignment="1">
      <alignment vertical="top" wrapText="1"/>
    </xf>
    <xf numFmtId="0" fontId="3" fillId="0" borderId="0" xfId="0" applyFont="1" applyFill="1" applyBorder="1" applyAlignment="1">
      <alignment vertical="top" wrapText="1"/>
    </xf>
    <xf numFmtId="0" fontId="3" fillId="0" borderId="0" xfId="0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left" vertical="top" wrapText="1"/>
    </xf>
    <xf numFmtId="1" fontId="3" fillId="0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 wrapText="1"/>
    </xf>
    <xf numFmtId="164" fontId="4" fillId="0" borderId="1" xfId="0" applyNumberFormat="1" applyFont="1" applyFill="1" applyBorder="1" applyAlignment="1">
      <alignment horizontal="center" vertical="top" wrapText="1"/>
    </xf>
    <xf numFmtId="0" fontId="3" fillId="17" borderId="0" xfId="0" applyFont="1" applyFill="1" applyAlignment="1">
      <alignment vertical="top" wrapText="1"/>
    </xf>
    <xf numFmtId="0" fontId="3" fillId="12" borderId="0" xfId="0" applyFont="1" applyFill="1" applyAlignment="1">
      <alignment vertical="top" wrapText="1"/>
    </xf>
    <xf numFmtId="164" fontId="4" fillId="0" borderId="0" xfId="0" applyNumberFormat="1" applyFont="1" applyFill="1" applyBorder="1" applyAlignment="1">
      <alignment horizontal="center" vertical="top" wrapText="1"/>
    </xf>
    <xf numFmtId="164" fontId="4" fillId="14" borderId="1" xfId="0" applyNumberFormat="1" applyFont="1" applyFill="1" applyBorder="1" applyAlignment="1">
      <alignment horizontal="center" vertical="center" wrapText="1" readingOrder="1"/>
    </xf>
    <xf numFmtId="164" fontId="4" fillId="0" borderId="1" xfId="0" applyNumberFormat="1" applyFont="1" applyFill="1" applyBorder="1" applyAlignment="1">
      <alignment horizontal="center" vertical="center" wrapText="1" readingOrder="1"/>
    </xf>
    <xf numFmtId="164" fontId="3" fillId="12" borderId="1" xfId="0" applyNumberFormat="1" applyFont="1" applyFill="1" applyBorder="1" applyAlignment="1">
      <alignment horizontal="center" vertical="center" wrapText="1" readingOrder="1"/>
    </xf>
    <xf numFmtId="164" fontId="3" fillId="0" borderId="1" xfId="0" applyNumberFormat="1" applyFont="1" applyFill="1" applyBorder="1" applyAlignment="1">
      <alignment horizontal="center" vertical="center" wrapText="1" readingOrder="1"/>
    </xf>
    <xf numFmtId="164" fontId="4" fillId="12" borderId="1" xfId="0" applyNumberFormat="1" applyFont="1" applyFill="1" applyBorder="1" applyAlignment="1">
      <alignment horizontal="center" vertical="center" wrapText="1" readingOrder="1"/>
    </xf>
    <xf numFmtId="164" fontId="5" fillId="0" borderId="1" xfId="0" applyNumberFormat="1" applyFont="1" applyFill="1" applyBorder="1" applyAlignment="1">
      <alignment horizontal="center" vertical="center" wrapText="1" readingOrder="1"/>
    </xf>
    <xf numFmtId="164" fontId="7" fillId="0" borderId="1" xfId="0" applyNumberFormat="1" applyFont="1" applyFill="1" applyBorder="1" applyAlignment="1">
      <alignment horizontal="center" vertical="center" wrapText="1" readingOrder="1"/>
    </xf>
    <xf numFmtId="164" fontId="5" fillId="12" borderId="1" xfId="0" applyNumberFormat="1" applyFont="1" applyFill="1" applyBorder="1" applyAlignment="1">
      <alignment horizontal="center" vertical="center" wrapText="1" readingOrder="1"/>
    </xf>
    <xf numFmtId="164" fontId="7" fillId="12" borderId="1" xfId="0" applyNumberFormat="1" applyFont="1" applyFill="1" applyBorder="1" applyAlignment="1">
      <alignment horizontal="center" vertical="center" wrapText="1" readingOrder="1"/>
    </xf>
    <xf numFmtId="0" fontId="4" fillId="14" borderId="0" xfId="0" applyFont="1" applyFill="1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165" fontId="3" fillId="0" borderId="2" xfId="0" applyNumberFormat="1" applyFont="1" applyFill="1" applyBorder="1" applyAlignment="1">
      <alignment horizontal="center" vertical="top" wrapText="1"/>
    </xf>
    <xf numFmtId="0" fontId="6" fillId="17" borderId="0" xfId="0" applyFont="1" applyFill="1" applyAlignment="1">
      <alignment vertical="top" wrapText="1"/>
    </xf>
    <xf numFmtId="0" fontId="3" fillId="0" borderId="8" xfId="0" applyFont="1" applyFill="1" applyBorder="1" applyAlignment="1">
      <alignment vertical="top" wrapText="1"/>
    </xf>
    <xf numFmtId="0" fontId="9" fillId="0" borderId="3" xfId="0" applyNumberFormat="1" applyFont="1" applyFill="1" applyBorder="1" applyAlignment="1">
      <alignment horizontal="center" vertical="top" wrapText="1"/>
    </xf>
    <xf numFmtId="1" fontId="9" fillId="12" borderId="3" xfId="0" applyNumberFormat="1" applyFont="1" applyFill="1" applyBorder="1" applyAlignment="1">
      <alignment horizontal="center" vertical="top" wrapText="1"/>
    </xf>
    <xf numFmtId="164" fontId="9" fillId="0" borderId="3" xfId="0" applyNumberFormat="1" applyFont="1" applyFill="1" applyBorder="1" applyAlignment="1">
      <alignment horizontal="center" vertical="top" wrapText="1"/>
    </xf>
    <xf numFmtId="0" fontId="9" fillId="0" borderId="3" xfId="0" applyFont="1" applyFill="1" applyBorder="1" applyAlignment="1">
      <alignment vertical="top" wrapText="1"/>
    </xf>
    <xf numFmtId="0" fontId="8" fillId="0" borderId="3" xfId="0" applyFont="1" applyFill="1" applyBorder="1" applyAlignment="1">
      <alignment vertical="top" wrapText="1"/>
    </xf>
    <xf numFmtId="164" fontId="8" fillId="0" borderId="3" xfId="0" applyNumberFormat="1" applyFont="1" applyFill="1" applyBorder="1" applyAlignment="1">
      <alignment horizontal="center" vertical="top" wrapText="1"/>
    </xf>
    <xf numFmtId="0" fontId="8" fillId="12" borderId="3" xfId="0" applyFont="1" applyFill="1" applyBorder="1" applyAlignment="1">
      <alignment horizontal="left" vertical="top" wrapText="1"/>
    </xf>
    <xf numFmtId="0" fontId="13" fillId="13" borderId="3" xfId="0" applyFont="1" applyFill="1" applyBorder="1" applyAlignment="1">
      <alignment vertical="top" wrapText="1"/>
    </xf>
    <xf numFmtId="164" fontId="9" fillId="12" borderId="3" xfId="0" applyNumberFormat="1" applyFont="1" applyFill="1" applyBorder="1" applyAlignment="1">
      <alignment horizontal="center" vertical="top" wrapText="1"/>
    </xf>
    <xf numFmtId="0" fontId="9" fillId="12" borderId="3" xfId="0" applyFont="1" applyFill="1" applyBorder="1" applyAlignment="1">
      <alignment vertical="top" wrapText="1"/>
    </xf>
    <xf numFmtId="0" fontId="11" fillId="12" borderId="3" xfId="0" applyFont="1" applyFill="1" applyBorder="1" applyAlignment="1">
      <alignment vertical="top" wrapText="1"/>
    </xf>
    <xf numFmtId="0" fontId="14" fillId="24" borderId="3" xfId="0" applyFont="1" applyFill="1" applyBorder="1" applyAlignment="1">
      <alignment vertical="top" wrapText="1"/>
    </xf>
    <xf numFmtId="0" fontId="9" fillId="5" borderId="3" xfId="0" applyFont="1" applyFill="1" applyBorder="1" applyAlignment="1">
      <alignment vertical="top" wrapText="1"/>
    </xf>
    <xf numFmtId="0" fontId="9" fillId="0" borderId="3" xfId="0" applyFont="1" applyFill="1" applyBorder="1" applyAlignment="1">
      <alignment horizontal="left" vertical="top" wrapText="1"/>
    </xf>
    <xf numFmtId="0" fontId="9" fillId="12" borderId="3" xfId="0" applyNumberFormat="1" applyFont="1" applyFill="1" applyBorder="1" applyAlignment="1">
      <alignment horizontal="center" vertical="top" wrapText="1"/>
    </xf>
    <xf numFmtId="0" fontId="9" fillId="6" borderId="3" xfId="0" applyFont="1" applyFill="1" applyBorder="1" applyAlignment="1">
      <alignment vertical="top" wrapText="1"/>
    </xf>
    <xf numFmtId="0" fontId="9" fillId="22" borderId="3" xfId="0" applyFont="1" applyFill="1" applyBorder="1" applyAlignment="1">
      <alignment vertical="top" wrapText="1"/>
    </xf>
    <xf numFmtId="0" fontId="8" fillId="12" borderId="3" xfId="0" applyFont="1" applyFill="1" applyBorder="1" applyAlignment="1">
      <alignment vertical="top" wrapText="1"/>
    </xf>
    <xf numFmtId="0" fontId="9" fillId="18" borderId="3" xfId="0" applyFont="1" applyFill="1" applyBorder="1" applyAlignment="1">
      <alignment vertical="top" wrapText="1"/>
    </xf>
    <xf numFmtId="0" fontId="9" fillId="0" borderId="3" xfId="0" applyFont="1" applyFill="1" applyBorder="1" applyAlignment="1">
      <alignment horizontal="center" vertical="top" wrapText="1"/>
    </xf>
    <xf numFmtId="164" fontId="16" fillId="0" borderId="3" xfId="0" applyNumberFormat="1" applyFont="1" applyFill="1" applyBorder="1" applyAlignment="1">
      <alignment horizontal="center" vertical="top" wrapText="1"/>
    </xf>
    <xf numFmtId="0" fontId="13" fillId="9" borderId="3" xfId="0" applyFont="1" applyFill="1" applyBorder="1" applyAlignment="1">
      <alignment vertical="top" wrapText="1"/>
    </xf>
    <xf numFmtId="0" fontId="13" fillId="0" borderId="3" xfId="0" applyFont="1" applyFill="1" applyBorder="1" applyAlignment="1">
      <alignment vertical="top" wrapText="1"/>
    </xf>
    <xf numFmtId="0" fontId="9" fillId="12" borderId="3" xfId="0" applyFont="1" applyFill="1" applyBorder="1" applyAlignment="1">
      <alignment horizontal="center" vertical="top" wrapText="1"/>
    </xf>
    <xf numFmtId="164" fontId="9" fillId="0" borderId="3" xfId="0" applyNumberFormat="1" applyFont="1" applyFill="1" applyBorder="1" applyAlignment="1">
      <alignment horizontal="left" vertical="top" wrapText="1"/>
    </xf>
    <xf numFmtId="0" fontId="9" fillId="8" borderId="3" xfId="0" applyFont="1" applyFill="1" applyBorder="1" applyAlignment="1">
      <alignment vertical="top" wrapText="1"/>
    </xf>
    <xf numFmtId="164" fontId="9" fillId="0" borderId="3" xfId="0" applyNumberFormat="1" applyFont="1" applyFill="1" applyBorder="1" applyAlignment="1">
      <alignment vertical="top" wrapText="1"/>
    </xf>
    <xf numFmtId="0" fontId="9" fillId="16" borderId="3" xfId="0" applyFont="1" applyFill="1" applyBorder="1" applyAlignment="1">
      <alignment vertical="top" wrapText="1"/>
    </xf>
    <xf numFmtId="0" fontId="9" fillId="10" borderId="3" xfId="0" applyFont="1" applyFill="1" applyBorder="1" applyAlignment="1">
      <alignment vertical="top" wrapText="1"/>
    </xf>
    <xf numFmtId="164" fontId="8" fillId="12" borderId="3" xfId="0" applyNumberFormat="1" applyFont="1" applyFill="1" applyBorder="1" applyAlignment="1">
      <alignment horizontal="center" vertical="top" wrapText="1"/>
    </xf>
    <xf numFmtId="164" fontId="16" fillId="12" borderId="3" xfId="0" applyNumberFormat="1" applyFont="1" applyFill="1" applyBorder="1" applyAlignment="1">
      <alignment horizontal="center" vertical="top" wrapText="1"/>
    </xf>
    <xf numFmtId="0" fontId="16" fillId="0" borderId="3" xfId="0" applyFont="1" applyFill="1" applyBorder="1" applyAlignment="1">
      <alignment vertical="top" wrapText="1"/>
    </xf>
    <xf numFmtId="0" fontId="9" fillId="9" borderId="3" xfId="0" applyFont="1" applyFill="1" applyBorder="1" applyAlignment="1">
      <alignment vertical="top" wrapText="1"/>
    </xf>
    <xf numFmtId="0" fontId="8" fillId="12" borderId="3" xfId="0" applyFont="1" applyFill="1" applyBorder="1" applyAlignment="1">
      <alignment horizontal="left" vertical="center" wrapText="1"/>
    </xf>
    <xf numFmtId="164" fontId="9" fillId="12" borderId="3" xfId="0" applyNumberFormat="1" applyFont="1" applyFill="1" applyBorder="1" applyAlignment="1">
      <alignment vertical="top" wrapText="1"/>
    </xf>
    <xf numFmtId="164" fontId="9" fillId="12" borderId="3" xfId="0" applyNumberFormat="1" applyFont="1" applyFill="1" applyBorder="1" applyAlignment="1">
      <alignment horizontal="left" vertical="top" wrapText="1"/>
    </xf>
    <xf numFmtId="165" fontId="9" fillId="0" borderId="3" xfId="0" applyNumberFormat="1" applyFont="1" applyFill="1" applyBorder="1" applyAlignment="1">
      <alignment horizontal="center" vertical="top" wrapText="1"/>
    </xf>
    <xf numFmtId="0" fontId="11" fillId="10" borderId="3" xfId="0" applyFont="1" applyFill="1" applyBorder="1" applyAlignment="1">
      <alignment vertical="top" wrapText="1"/>
    </xf>
    <xf numFmtId="0" fontId="8" fillId="3" borderId="3" xfId="0" applyFont="1" applyFill="1" applyBorder="1" applyAlignment="1">
      <alignment horizontal="left" vertical="center" wrapText="1"/>
    </xf>
    <xf numFmtId="0" fontId="16" fillId="12" borderId="3" xfId="0" applyFont="1" applyFill="1" applyBorder="1" applyAlignment="1">
      <alignment vertical="top" wrapText="1"/>
    </xf>
    <xf numFmtId="0" fontId="13" fillId="10" borderId="3" xfId="0" applyFont="1" applyFill="1" applyBorder="1" applyAlignment="1">
      <alignment vertical="top" wrapText="1"/>
    </xf>
    <xf numFmtId="1" fontId="9" fillId="0" borderId="3" xfId="0" applyNumberFormat="1" applyFont="1" applyFill="1" applyBorder="1" applyAlignment="1">
      <alignment horizontal="center" vertical="top" wrapText="1"/>
    </xf>
    <xf numFmtId="0" fontId="13" fillId="12" borderId="3" xfId="0" applyFont="1" applyFill="1" applyBorder="1" applyAlignment="1">
      <alignment horizontal="left" vertical="top" wrapText="1"/>
    </xf>
    <xf numFmtId="0" fontId="18" fillId="0" borderId="3" xfId="0" applyFont="1" applyBorder="1" applyAlignment="1">
      <alignment vertical="top" wrapText="1"/>
    </xf>
    <xf numFmtId="0" fontId="16" fillId="9" borderId="3" xfId="0" applyFont="1" applyFill="1" applyBorder="1" applyAlignment="1">
      <alignment vertical="top" wrapText="1"/>
    </xf>
    <xf numFmtId="0" fontId="16" fillId="15" borderId="3" xfId="0" applyFont="1" applyFill="1" applyBorder="1" applyAlignment="1">
      <alignment vertical="top" wrapText="1"/>
    </xf>
    <xf numFmtId="0" fontId="11" fillId="0" borderId="3" xfId="0" applyFont="1" applyFill="1" applyBorder="1" applyAlignment="1">
      <alignment vertical="top" wrapText="1"/>
    </xf>
    <xf numFmtId="164" fontId="9" fillId="14" borderId="3" xfId="0" applyNumberFormat="1" applyFont="1" applyFill="1" applyBorder="1" applyAlignment="1">
      <alignment vertical="top" wrapText="1"/>
    </xf>
    <xf numFmtId="0" fontId="9" fillId="0" borderId="0" xfId="0" applyFont="1" applyFill="1" applyBorder="1" applyAlignment="1">
      <alignment vertical="top" wrapText="1"/>
    </xf>
    <xf numFmtId="164" fontId="10" fillId="0" borderId="3" xfId="0" applyNumberFormat="1" applyFont="1" applyFill="1" applyBorder="1" applyAlignment="1">
      <alignment vertical="top" wrapText="1"/>
    </xf>
    <xf numFmtId="0" fontId="9" fillId="12" borderId="0" xfId="0" applyFont="1" applyFill="1" applyBorder="1" applyAlignment="1">
      <alignment vertical="top" wrapText="1"/>
    </xf>
    <xf numFmtId="0" fontId="9" fillId="12" borderId="0" xfId="0" applyFont="1" applyFill="1" applyAlignment="1">
      <alignment vertical="top" wrapText="1"/>
    </xf>
    <xf numFmtId="0" fontId="9" fillId="0" borderId="7" xfId="0" applyFont="1" applyFill="1" applyBorder="1" applyAlignment="1">
      <alignment vertical="top" wrapText="1"/>
    </xf>
    <xf numFmtId="0" fontId="8" fillId="14" borderId="3" xfId="0" applyFont="1" applyFill="1" applyBorder="1" applyAlignment="1">
      <alignment vertical="top" wrapText="1"/>
    </xf>
    <xf numFmtId="0" fontId="9" fillId="14" borderId="3" xfId="0" applyFont="1" applyFill="1" applyBorder="1" applyAlignment="1">
      <alignment vertical="top" wrapText="1"/>
    </xf>
    <xf numFmtId="164" fontId="8" fillId="14" borderId="3" xfId="0" applyNumberFormat="1" applyFont="1" applyFill="1" applyBorder="1" applyAlignment="1">
      <alignment vertical="top" wrapText="1"/>
    </xf>
    <xf numFmtId="0" fontId="9" fillId="20" borderId="3" xfId="0" applyFont="1" applyFill="1" applyBorder="1" applyAlignment="1">
      <alignment vertical="top" wrapText="1"/>
    </xf>
    <xf numFmtId="0" fontId="19" fillId="0" borderId="3" xfId="0" applyFont="1" applyFill="1" applyBorder="1" applyAlignment="1">
      <alignment vertical="top" wrapText="1"/>
    </xf>
    <xf numFmtId="0" fontId="20" fillId="0" borderId="3" xfId="0" applyFont="1" applyFill="1" applyBorder="1" applyAlignment="1">
      <alignment vertical="top" wrapText="1"/>
    </xf>
    <xf numFmtId="164" fontId="11" fillId="0" borderId="3" xfId="0" applyNumberFormat="1" applyFont="1" applyFill="1" applyBorder="1" applyAlignment="1">
      <alignment horizontal="center" vertical="top" wrapText="1"/>
    </xf>
    <xf numFmtId="0" fontId="14" fillId="20" borderId="0" xfId="0" applyFont="1" applyFill="1" applyAlignment="1">
      <alignment vertical="center" wrapText="1"/>
    </xf>
    <xf numFmtId="0" fontId="9" fillId="11" borderId="3" xfId="0" applyFont="1" applyFill="1" applyBorder="1" applyAlignment="1">
      <alignment horizontal="left" vertical="top" wrapText="1"/>
    </xf>
    <xf numFmtId="14" fontId="21" fillId="25" borderId="0" xfId="0" quotePrefix="1" applyNumberFormat="1" applyFont="1" applyFill="1" applyAlignment="1">
      <alignment horizontal="center" vertical="center"/>
    </xf>
    <xf numFmtId="14" fontId="0" fillId="26" borderId="0" xfId="0" applyNumberFormat="1" applyFill="1" applyAlignment="1">
      <alignment horizontal="center"/>
    </xf>
    <xf numFmtId="165" fontId="9" fillId="12" borderId="3" xfId="0" applyNumberFormat="1" applyFont="1" applyFill="1" applyBorder="1" applyAlignment="1">
      <alignment horizontal="center" vertical="top" wrapText="1"/>
    </xf>
    <xf numFmtId="165" fontId="9" fillId="20" borderId="3" xfId="0" applyNumberFormat="1" applyFont="1" applyFill="1" applyBorder="1" applyAlignment="1">
      <alignment horizontal="center" vertical="top" wrapText="1"/>
    </xf>
    <xf numFmtId="164" fontId="8" fillId="20" borderId="3" xfId="0" applyNumberFormat="1" applyFont="1" applyFill="1" applyBorder="1" applyAlignment="1">
      <alignment horizontal="center" vertical="top" wrapText="1"/>
    </xf>
    <xf numFmtId="164" fontId="15" fillId="20" borderId="3" xfId="0" applyNumberFormat="1" applyFont="1" applyFill="1" applyBorder="1" applyAlignment="1">
      <alignment horizontal="center" vertical="top" wrapText="1"/>
    </xf>
    <xf numFmtId="164" fontId="9" fillId="20" borderId="3" xfId="0" applyNumberFormat="1" applyFont="1" applyFill="1" applyBorder="1" applyAlignment="1">
      <alignment horizontal="center" vertical="top" wrapText="1"/>
    </xf>
    <xf numFmtId="0" fontId="8" fillId="20" borderId="3" xfId="0" applyFont="1" applyFill="1" applyBorder="1" applyAlignment="1">
      <alignment vertical="top" wrapText="1"/>
    </xf>
    <xf numFmtId="0" fontId="15" fillId="20" borderId="3" xfId="0" applyFont="1" applyFill="1" applyBorder="1" applyAlignment="1">
      <alignment vertical="top" wrapText="1"/>
    </xf>
    <xf numFmtId="0" fontId="9" fillId="23" borderId="3" xfId="0" applyFont="1" applyFill="1" applyBorder="1" applyAlignment="1">
      <alignment vertical="top" wrapText="1"/>
    </xf>
    <xf numFmtId="0" fontId="14" fillId="12" borderId="0" xfId="0" applyFont="1" applyFill="1" applyBorder="1" applyAlignment="1">
      <alignment vertical="top" wrapText="1"/>
    </xf>
    <xf numFmtId="0" fontId="3" fillId="0" borderId="0" xfId="0" applyFont="1"/>
    <xf numFmtId="16" fontId="0" fillId="0" borderId="0" xfId="0" applyNumberFormat="1"/>
    <xf numFmtId="16" fontId="3" fillId="0" borderId="0" xfId="0" applyNumberFormat="1" applyFont="1"/>
    <xf numFmtId="164" fontId="15" fillId="23" borderId="3" xfId="0" applyNumberFormat="1" applyFont="1" applyFill="1" applyBorder="1" applyAlignment="1">
      <alignment horizontal="center" vertical="top" wrapText="1"/>
    </xf>
    <xf numFmtId="164" fontId="12" fillId="12" borderId="3" xfId="0" applyNumberFormat="1" applyFont="1" applyFill="1" applyBorder="1" applyAlignment="1">
      <alignment horizontal="center" vertical="top" wrapText="1"/>
    </xf>
    <xf numFmtId="0" fontId="15" fillId="23" borderId="3" xfId="0" applyFont="1" applyFill="1" applyBorder="1" applyAlignment="1">
      <alignment vertical="top" wrapText="1"/>
    </xf>
    <xf numFmtId="0" fontId="12" fillId="12" borderId="3" xfId="0" applyFont="1" applyFill="1" applyBorder="1" applyAlignment="1">
      <alignment vertical="top" wrapText="1"/>
    </xf>
    <xf numFmtId="0" fontId="14" fillId="23" borderId="0" xfId="0" applyFont="1" applyFill="1" applyBorder="1" applyAlignment="1">
      <alignment vertical="top" wrapText="1"/>
    </xf>
    <xf numFmtId="0" fontId="14" fillId="0" borderId="0" xfId="0" applyFont="1" applyFill="1" applyBorder="1" applyAlignment="1">
      <alignment vertical="top" wrapText="1"/>
    </xf>
    <xf numFmtId="164" fontId="13" fillId="0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vertical="top" wrapText="1"/>
    </xf>
    <xf numFmtId="165" fontId="3" fillId="0" borderId="0" xfId="0" applyNumberFormat="1" applyFont="1" applyFill="1" applyBorder="1" applyAlignment="1">
      <alignment horizontal="center" vertical="top" wrapText="1"/>
    </xf>
    <xf numFmtId="164" fontId="8" fillId="23" borderId="3" xfId="0" applyNumberFormat="1" applyFont="1" applyFill="1" applyBorder="1" applyAlignment="1">
      <alignment horizontal="center" vertical="top" wrapText="1"/>
    </xf>
    <xf numFmtId="1" fontId="9" fillId="20" borderId="3" xfId="0" applyNumberFormat="1" applyFont="1" applyFill="1" applyBorder="1" applyAlignment="1">
      <alignment horizontal="center" vertical="top" wrapText="1"/>
    </xf>
    <xf numFmtId="0" fontId="8" fillId="23" borderId="3" xfId="0" applyFont="1" applyFill="1" applyBorder="1" applyAlignment="1">
      <alignment vertical="top" wrapText="1"/>
    </xf>
    <xf numFmtId="164" fontId="12" fillId="23" borderId="3" xfId="0" applyNumberFormat="1" applyFont="1" applyFill="1" applyBorder="1" applyAlignment="1">
      <alignment horizontal="center" vertical="top" wrapText="1"/>
    </xf>
    <xf numFmtId="0" fontId="12" fillId="23" borderId="3" xfId="0" applyFont="1" applyFill="1" applyBorder="1" applyAlignment="1">
      <alignment vertical="top" wrapText="1"/>
    </xf>
    <xf numFmtId="0" fontId="11" fillId="8" borderId="3" xfId="0" applyFont="1" applyFill="1" applyBorder="1" applyAlignment="1">
      <alignment vertical="top" wrapText="1"/>
    </xf>
    <xf numFmtId="0" fontId="8" fillId="12" borderId="0" xfId="0" applyFont="1" applyFill="1" applyBorder="1" applyAlignment="1">
      <alignment vertical="top" wrapText="1"/>
    </xf>
    <xf numFmtId="0" fontId="8" fillId="8" borderId="3" xfId="0" applyFont="1" applyFill="1" applyBorder="1" applyAlignment="1">
      <alignment vertical="top" wrapText="1"/>
    </xf>
    <xf numFmtId="0" fontId="9" fillId="0" borderId="9" xfId="0" applyFont="1" applyFill="1" applyBorder="1" applyAlignment="1">
      <alignment vertical="top" wrapText="1"/>
    </xf>
    <xf numFmtId="0" fontId="14" fillId="23" borderId="9" xfId="0" applyFont="1" applyFill="1" applyBorder="1" applyAlignment="1">
      <alignment vertical="top" wrapText="1"/>
    </xf>
    <xf numFmtId="0" fontId="14" fillId="12" borderId="0" xfId="0" applyFont="1" applyFill="1" applyBorder="1" applyAlignment="1">
      <alignment horizontal="center" vertical="top" wrapText="1"/>
    </xf>
    <xf numFmtId="0" fontId="10" fillId="3" borderId="3" xfId="0" applyFont="1" applyFill="1" applyBorder="1" applyAlignment="1">
      <alignment vertical="center" wrapText="1"/>
    </xf>
    <xf numFmtId="0" fontId="13" fillId="21" borderId="3" xfId="0" applyFont="1" applyFill="1" applyBorder="1" applyAlignment="1">
      <alignment vertical="top" wrapText="1"/>
    </xf>
    <xf numFmtId="0" fontId="10" fillId="0" borderId="3" xfId="0" applyFont="1" applyFill="1" applyBorder="1" applyAlignment="1">
      <alignment vertical="top" wrapText="1"/>
    </xf>
    <xf numFmtId="0" fontId="9" fillId="20" borderId="0" xfId="0" applyFont="1" applyFill="1" applyBorder="1" applyAlignment="1">
      <alignment vertical="top" wrapText="1"/>
    </xf>
    <xf numFmtId="0" fontId="17" fillId="19" borderId="3" xfId="0" applyFont="1" applyFill="1" applyBorder="1" applyAlignment="1">
      <alignment vertical="top" wrapText="1"/>
    </xf>
    <xf numFmtId="165" fontId="9" fillId="12" borderId="4" xfId="0" applyNumberFormat="1" applyFont="1" applyFill="1" applyBorder="1" applyAlignment="1">
      <alignment horizontal="center" vertical="top" wrapText="1"/>
    </xf>
    <xf numFmtId="0" fontId="9" fillId="0" borderId="3" xfId="0" applyFont="1" applyFill="1" applyBorder="1" applyAlignment="1">
      <alignment vertical="center" wrapText="1"/>
    </xf>
    <xf numFmtId="0" fontId="9" fillId="12" borderId="3" xfId="0" applyFont="1" applyFill="1" applyBorder="1" applyAlignment="1">
      <alignment horizontal="left" vertical="top" wrapText="1"/>
    </xf>
    <xf numFmtId="0" fontId="9" fillId="4" borderId="3" xfId="0" applyFont="1" applyFill="1" applyBorder="1" applyAlignment="1">
      <alignment vertical="top" wrapText="1"/>
    </xf>
    <xf numFmtId="164" fontId="9" fillId="16" borderId="3" xfId="0" applyNumberFormat="1" applyFont="1" applyFill="1" applyBorder="1" applyAlignment="1">
      <alignment vertical="top" wrapText="1"/>
    </xf>
    <xf numFmtId="0" fontId="19" fillId="12" borderId="3" xfId="0" applyFont="1" applyFill="1" applyBorder="1" applyAlignment="1">
      <alignment vertical="top" wrapText="1"/>
    </xf>
    <xf numFmtId="164" fontId="8" fillId="12" borderId="3" xfId="0" applyNumberFormat="1" applyFont="1" applyFill="1" applyBorder="1" applyAlignment="1">
      <alignment vertical="top" wrapText="1"/>
    </xf>
    <xf numFmtId="0" fontId="13" fillId="12" borderId="3" xfId="0" applyFont="1" applyFill="1" applyBorder="1" applyAlignment="1">
      <alignment vertical="top" wrapText="1"/>
    </xf>
    <xf numFmtId="0" fontId="17" fillId="22" borderId="3" xfId="0" applyFont="1" applyFill="1" applyBorder="1" applyAlignment="1">
      <alignment vertical="top" wrapText="1"/>
    </xf>
    <xf numFmtId="0" fontId="8" fillId="20" borderId="3" xfId="0" applyFont="1" applyFill="1" applyBorder="1" applyAlignment="1">
      <alignment horizontal="left" vertical="center" wrapText="1"/>
    </xf>
    <xf numFmtId="0" fontId="8" fillId="0" borderId="3" xfId="0" applyFont="1" applyFill="1" applyBorder="1" applyAlignment="1">
      <alignment horizontal="left" vertical="center" wrapText="1"/>
    </xf>
    <xf numFmtId="0" fontId="9" fillId="8" borderId="3" xfId="0" applyFont="1" applyFill="1" applyBorder="1" applyAlignment="1">
      <alignment vertical="center" wrapText="1"/>
    </xf>
    <xf numFmtId="0" fontId="14" fillId="12" borderId="9" xfId="0" applyFont="1" applyFill="1" applyBorder="1" applyAlignment="1">
      <alignment vertical="top" wrapText="1"/>
    </xf>
    <xf numFmtId="164" fontId="9" fillId="10" borderId="3" xfId="0" applyNumberFormat="1" applyFont="1" applyFill="1" applyBorder="1" applyAlignment="1">
      <alignment vertical="top" wrapText="1"/>
    </xf>
    <xf numFmtId="0" fontId="11" fillId="21" borderId="3" xfId="0" applyFont="1" applyFill="1" applyBorder="1" applyAlignment="1">
      <alignment vertical="top" wrapText="1"/>
    </xf>
    <xf numFmtId="0" fontId="23" fillId="28" borderId="3" xfId="0" applyFont="1" applyFill="1" applyBorder="1" applyAlignment="1">
      <alignment vertical="top" wrapText="1"/>
    </xf>
    <xf numFmtId="165" fontId="9" fillId="0" borderId="6" xfId="0" applyNumberFormat="1" applyFont="1" applyFill="1" applyBorder="1" applyAlignment="1">
      <alignment horizontal="center" vertical="top" wrapText="1"/>
    </xf>
    <xf numFmtId="165" fontId="9" fillId="23" borderId="3" xfId="0" applyNumberFormat="1" applyFont="1" applyFill="1" applyBorder="1" applyAlignment="1">
      <alignment horizontal="center" vertical="top" wrapText="1"/>
    </xf>
    <xf numFmtId="164" fontId="9" fillId="23" borderId="3" xfId="0" applyNumberFormat="1" applyFont="1" applyFill="1" applyBorder="1" applyAlignment="1">
      <alignment horizontal="center" vertical="top" wrapText="1"/>
    </xf>
    <xf numFmtId="0" fontId="9" fillId="23" borderId="3" xfId="0" applyFont="1" applyFill="1" applyBorder="1" applyAlignment="1">
      <alignment horizontal="left" vertical="top" wrapText="1"/>
    </xf>
    <xf numFmtId="0" fontId="11" fillId="18" borderId="3" xfId="0" applyFont="1" applyFill="1" applyBorder="1" applyAlignment="1">
      <alignment vertical="top" wrapText="1"/>
    </xf>
    <xf numFmtId="0" fontId="9" fillId="13" borderId="3" xfId="0" applyFont="1" applyFill="1" applyBorder="1" applyAlignment="1">
      <alignment vertical="top" wrapText="1"/>
    </xf>
    <xf numFmtId="0" fontId="13" fillId="7" borderId="3" xfId="0" applyFont="1" applyFill="1" applyBorder="1" applyAlignment="1">
      <alignment vertical="top" wrapText="1"/>
    </xf>
    <xf numFmtId="0" fontId="8" fillId="0" borderId="3" xfId="0" applyFont="1" applyFill="1" applyBorder="1" applyAlignment="1">
      <alignment horizontal="left" vertical="top" wrapText="1"/>
    </xf>
    <xf numFmtId="0" fontId="8" fillId="23" borderId="3" xfId="0" applyFont="1" applyFill="1" applyBorder="1" applyAlignment="1">
      <alignment horizontal="left" vertical="center" wrapText="1"/>
    </xf>
    <xf numFmtId="0" fontId="14" fillId="20" borderId="0" xfId="0" applyFont="1" applyFill="1" applyBorder="1" applyAlignment="1">
      <alignment vertical="center" wrapText="1"/>
    </xf>
    <xf numFmtId="165" fontId="9" fillId="12" borderId="6" xfId="0" applyNumberFormat="1" applyFont="1" applyFill="1" applyBorder="1" applyAlignment="1">
      <alignment horizontal="center" vertical="top" wrapText="1"/>
    </xf>
    <xf numFmtId="164" fontId="15" fillId="20" borderId="3" xfId="0" applyNumberFormat="1" applyFont="1" applyFill="1" applyBorder="1" applyAlignment="1">
      <alignment vertical="top" wrapText="1"/>
    </xf>
    <xf numFmtId="0" fontId="10" fillId="18" borderId="3" xfId="0" applyFont="1" applyFill="1" applyBorder="1" applyAlignment="1">
      <alignment vertical="top" wrapText="1"/>
    </xf>
    <xf numFmtId="0" fontId="9" fillId="12" borderId="3" xfId="0" applyFont="1" applyFill="1" applyBorder="1" applyAlignment="1">
      <alignment vertical="center" wrapText="1"/>
    </xf>
    <xf numFmtId="165" fontId="9" fillId="12" borderId="10" xfId="0" applyNumberFormat="1" applyFont="1" applyFill="1" applyBorder="1" applyAlignment="1">
      <alignment horizontal="center" vertical="top" wrapText="1"/>
    </xf>
    <xf numFmtId="165" fontId="9" fillId="12" borderId="11" xfId="0" applyNumberFormat="1" applyFont="1" applyFill="1" applyBorder="1" applyAlignment="1">
      <alignment horizontal="center" vertical="top" wrapText="1"/>
    </xf>
    <xf numFmtId="165" fontId="9" fillId="12" borderId="12" xfId="0" applyNumberFormat="1" applyFont="1" applyFill="1" applyBorder="1" applyAlignment="1">
      <alignment horizontal="center" vertical="top" wrapText="1"/>
    </xf>
    <xf numFmtId="165" fontId="9" fillId="12" borderId="13" xfId="0" applyNumberFormat="1" applyFont="1" applyFill="1" applyBorder="1" applyAlignment="1">
      <alignment horizontal="center" vertical="top" wrapText="1"/>
    </xf>
    <xf numFmtId="165" fontId="9" fillId="12" borderId="14" xfId="0" applyNumberFormat="1" applyFont="1" applyFill="1" applyBorder="1" applyAlignment="1">
      <alignment horizontal="center" vertical="top" wrapText="1"/>
    </xf>
    <xf numFmtId="165" fontId="22" fillId="27" borderId="5" xfId="0" applyNumberFormat="1" applyFont="1" applyFill="1" applyBorder="1" applyAlignment="1">
      <alignment horizontal="center" vertical="top" wrapText="1"/>
    </xf>
    <xf numFmtId="165" fontId="9" fillId="20" borderId="4" xfId="0" applyNumberFormat="1" applyFont="1" applyFill="1" applyBorder="1" applyAlignment="1">
      <alignment horizontal="center" vertical="top" wrapText="1"/>
    </xf>
    <xf numFmtId="165" fontId="9" fillId="0" borderId="14" xfId="0" applyNumberFormat="1" applyFont="1" applyFill="1" applyBorder="1" applyAlignment="1">
      <alignment horizontal="center" vertical="top" wrapText="1"/>
    </xf>
    <xf numFmtId="165" fontId="9" fillId="20" borderId="14" xfId="0" applyNumberFormat="1" applyFont="1" applyFill="1" applyBorder="1" applyAlignment="1">
      <alignment horizontal="center" vertical="top" wrapText="1"/>
    </xf>
    <xf numFmtId="165" fontId="9" fillId="0" borderId="11" xfId="0" applyNumberFormat="1" applyFont="1" applyFill="1" applyBorder="1" applyAlignment="1">
      <alignment horizontal="center" vertical="top" wrapText="1"/>
    </xf>
    <xf numFmtId="165" fontId="9" fillId="0" borderId="13" xfId="0" applyNumberFormat="1" applyFont="1" applyFill="1" applyBorder="1" applyAlignment="1">
      <alignment horizontal="center" vertical="top" wrapText="1"/>
    </xf>
    <xf numFmtId="165" fontId="9" fillId="12" borderId="15" xfId="0" applyNumberFormat="1" applyFont="1" applyFill="1" applyBorder="1" applyAlignment="1">
      <alignment horizontal="center" vertical="top" wrapText="1"/>
    </xf>
    <xf numFmtId="165" fontId="9" fillId="12" borderId="16" xfId="0" applyNumberFormat="1" applyFont="1" applyFill="1" applyBorder="1" applyAlignment="1">
      <alignment horizontal="center" vertical="top" wrapText="1"/>
    </xf>
    <xf numFmtId="165" fontId="9" fillId="0" borderId="16" xfId="0" applyNumberFormat="1" applyFont="1" applyFill="1" applyBorder="1" applyAlignment="1">
      <alignment horizontal="center" vertical="top" wrapText="1"/>
    </xf>
    <xf numFmtId="165" fontId="9" fillId="0" borderId="15" xfId="0" applyNumberFormat="1" applyFont="1" applyFill="1" applyBorder="1" applyAlignment="1">
      <alignment horizontal="center" vertical="top" wrapText="1"/>
    </xf>
    <xf numFmtId="165" fontId="9" fillId="0" borderId="4" xfId="0" applyNumberFormat="1" applyFont="1" applyFill="1" applyBorder="1" applyAlignment="1">
      <alignment horizontal="center" vertical="top" wrapText="1"/>
    </xf>
    <xf numFmtId="165" fontId="22" fillId="27" borderId="3" xfId="0" applyNumberFormat="1" applyFont="1" applyFill="1" applyBorder="1" applyAlignment="1">
      <alignment horizontal="center" vertical="top" wrapText="1"/>
    </xf>
    <xf numFmtId="0" fontId="22" fillId="27" borderId="3" xfId="0" applyFont="1" applyFill="1" applyBorder="1" applyAlignment="1">
      <alignment horizontal="center" vertical="top" wrapText="1"/>
    </xf>
    <xf numFmtId="1" fontId="22" fillId="27" borderId="3" xfId="0" applyNumberFormat="1" applyFont="1" applyFill="1" applyBorder="1" applyAlignment="1">
      <alignment horizontal="center" vertical="top" wrapText="1"/>
    </xf>
    <xf numFmtId="164" fontId="22" fillId="27" borderId="3" xfId="0" applyNumberFormat="1" applyFont="1" applyFill="1" applyBorder="1" applyAlignment="1">
      <alignment horizontal="center" vertical="top" wrapText="1"/>
    </xf>
    <xf numFmtId="0" fontId="22" fillId="27" borderId="3" xfId="0" applyFont="1" applyFill="1" applyBorder="1" applyAlignment="1">
      <alignment vertical="top" wrapText="1"/>
    </xf>
    <xf numFmtId="0" fontId="22" fillId="27" borderId="3" xfId="0" applyFont="1" applyFill="1" applyBorder="1" applyAlignment="1">
      <alignment horizontal="left" vertical="top" wrapText="1"/>
    </xf>
    <xf numFmtId="0" fontId="22" fillId="27" borderId="3" xfId="0" applyFont="1" applyFill="1" applyBorder="1" applyAlignment="1">
      <alignment horizontal="left" vertical="center" wrapText="1"/>
    </xf>
    <xf numFmtId="0" fontId="9" fillId="12" borderId="3" xfId="0" applyFont="1" applyFill="1" applyBorder="1" applyAlignment="1">
      <alignment horizontal="left" vertical="center" wrapText="1"/>
    </xf>
    <xf numFmtId="0" fontId="8" fillId="10" borderId="3" xfId="0" applyFont="1" applyFill="1" applyBorder="1" applyAlignment="1">
      <alignment vertical="top" wrapText="1"/>
    </xf>
    <xf numFmtId="0" fontId="8" fillId="2" borderId="3" xfId="0" applyFont="1" applyFill="1" applyBorder="1" applyAlignment="1">
      <alignment horizontal="left" vertical="center" wrapText="1"/>
    </xf>
    <xf numFmtId="165" fontId="9" fillId="12" borderId="7" xfId="0" applyNumberFormat="1" applyFont="1" applyFill="1" applyBorder="1" applyAlignment="1">
      <alignment horizontal="center" vertical="top" wrapText="1"/>
    </xf>
    <xf numFmtId="0" fontId="2" fillId="0" borderId="0" xfId="1"/>
    <xf numFmtId="0" fontId="21" fillId="0" borderId="0" xfId="1" applyFont="1"/>
    <xf numFmtId="166" fontId="2" fillId="0" borderId="0" xfId="1" applyNumberFormat="1"/>
    <xf numFmtId="165" fontId="2" fillId="0" borderId="0" xfId="1" applyNumberFormat="1"/>
    <xf numFmtId="0" fontId="2" fillId="14" borderId="17" xfId="1" applyFill="1" applyBorder="1"/>
    <xf numFmtId="0" fontId="2" fillId="14" borderId="18" xfId="1" applyFill="1" applyBorder="1"/>
    <xf numFmtId="165" fontId="2" fillId="0" borderId="19" xfId="1" applyNumberFormat="1" applyBorder="1"/>
    <xf numFmtId="0" fontId="24" fillId="0" borderId="19" xfId="1" applyFont="1" applyFill="1" applyBorder="1" applyAlignment="1">
      <alignment horizontal="center"/>
    </xf>
    <xf numFmtId="165" fontId="2" fillId="29" borderId="19" xfId="1" applyNumberFormat="1" applyFill="1" applyBorder="1"/>
    <xf numFmtId="0" fontId="2" fillId="14" borderId="20" xfId="1" applyFill="1" applyBorder="1"/>
    <xf numFmtId="0" fontId="2" fillId="14" borderId="21" xfId="1" applyFill="1" applyBorder="1"/>
    <xf numFmtId="165" fontId="2" fillId="0" borderId="3" xfId="1" applyNumberFormat="1" applyBorder="1"/>
    <xf numFmtId="165" fontId="25" fillId="0" borderId="12" xfId="1" applyNumberFormat="1" applyFont="1" applyBorder="1"/>
    <xf numFmtId="0" fontId="24" fillId="30" borderId="19" xfId="1" applyFont="1" applyFill="1" applyBorder="1" applyAlignment="1">
      <alignment horizontal="center"/>
    </xf>
    <xf numFmtId="165" fontId="2" fillId="0" borderId="22" xfId="1" applyNumberFormat="1" applyBorder="1"/>
    <xf numFmtId="165" fontId="25" fillId="0" borderId="19" xfId="1" applyNumberFormat="1" applyFont="1" applyBorder="1"/>
    <xf numFmtId="0" fontId="27" fillId="30" borderId="19" xfId="1" applyFont="1" applyFill="1" applyBorder="1" applyAlignment="1">
      <alignment horizontal="center"/>
    </xf>
    <xf numFmtId="165" fontId="2" fillId="0" borderId="0" xfId="1" applyNumberFormat="1" applyBorder="1"/>
    <xf numFmtId="165" fontId="2" fillId="0" borderId="17" xfId="1" applyNumberFormat="1" applyBorder="1"/>
    <xf numFmtId="165" fontId="2" fillId="0" borderId="18" xfId="1" applyNumberFormat="1" applyBorder="1"/>
    <xf numFmtId="165" fontId="2" fillId="0" borderId="21" xfId="1" applyNumberFormat="1" applyBorder="1"/>
    <xf numFmtId="0" fontId="24" fillId="31" borderId="19" xfId="1" applyFont="1" applyFill="1" applyBorder="1" applyAlignment="1">
      <alignment horizontal="center"/>
    </xf>
    <xf numFmtId="165" fontId="2" fillId="0" borderId="12" xfId="1" applyNumberFormat="1" applyBorder="1"/>
    <xf numFmtId="165" fontId="2" fillId="32" borderId="19" xfId="1" applyNumberFormat="1" applyFill="1" applyBorder="1"/>
    <xf numFmtId="0" fontId="2" fillId="12" borderId="12" xfId="1" applyFont="1" applyFill="1" applyBorder="1" applyAlignment="1">
      <alignment horizontal="left"/>
    </xf>
    <xf numFmtId="0" fontId="24" fillId="12" borderId="18" xfId="1" applyFont="1" applyFill="1" applyBorder="1" applyAlignment="1">
      <alignment horizontal="left"/>
    </xf>
    <xf numFmtId="0" fontId="24" fillId="33" borderId="19" xfId="1" applyFont="1" applyFill="1" applyBorder="1" applyAlignment="1">
      <alignment horizontal="center"/>
    </xf>
    <xf numFmtId="0" fontId="24" fillId="12" borderId="12" xfId="1" applyFont="1" applyFill="1" applyBorder="1" applyAlignment="1">
      <alignment horizontal="left"/>
    </xf>
    <xf numFmtId="0" fontId="24" fillId="12" borderId="19" xfId="1" applyFont="1" applyFill="1" applyBorder="1" applyAlignment="1">
      <alignment horizontal="left"/>
    </xf>
    <xf numFmtId="0" fontId="2" fillId="14" borderId="18" xfId="1" applyFill="1" applyBorder="1" applyAlignment="1"/>
    <xf numFmtId="0" fontId="24" fillId="12" borderId="19" xfId="1" applyFont="1" applyFill="1" applyBorder="1" applyAlignment="1"/>
    <xf numFmtId="0" fontId="24" fillId="19" borderId="19" xfId="1" applyFont="1" applyFill="1" applyBorder="1" applyAlignment="1">
      <alignment horizontal="center"/>
    </xf>
    <xf numFmtId="0" fontId="26" fillId="12" borderId="19" xfId="1" applyFont="1" applyFill="1" applyBorder="1" applyAlignment="1"/>
    <xf numFmtId="165" fontId="2" fillId="12" borderId="19" xfId="1" applyNumberFormat="1" applyFill="1" applyBorder="1"/>
    <xf numFmtId="165" fontId="2" fillId="20" borderId="19" xfId="1" applyNumberFormat="1" applyFill="1" applyBorder="1"/>
    <xf numFmtId="0" fontId="24" fillId="20" borderId="19" xfId="1" applyFont="1" applyFill="1" applyBorder="1" applyAlignment="1"/>
    <xf numFmtId="0" fontId="24" fillId="12" borderId="22" xfId="1" applyFont="1" applyFill="1" applyBorder="1"/>
    <xf numFmtId="0" fontId="24" fillId="20" borderId="22" xfId="1" applyFont="1" applyFill="1" applyBorder="1"/>
    <xf numFmtId="0" fontId="24" fillId="12" borderId="19" xfId="1" applyFont="1" applyFill="1" applyBorder="1"/>
    <xf numFmtId="0" fontId="24" fillId="20" borderId="19" xfId="1" applyFont="1" applyFill="1" applyBorder="1"/>
    <xf numFmtId="165" fontId="24" fillId="12" borderId="19" xfId="1" applyNumberFormat="1" applyFont="1" applyFill="1" applyBorder="1"/>
    <xf numFmtId="0" fontId="24" fillId="0" borderId="0" xfId="1" applyFont="1"/>
    <xf numFmtId="0" fontId="28" fillId="36" borderId="19" xfId="1" applyFont="1" applyFill="1" applyBorder="1"/>
    <xf numFmtId="17" fontId="28" fillId="36" borderId="19" xfId="1" applyNumberFormat="1" applyFont="1" applyFill="1" applyBorder="1"/>
    <xf numFmtId="0" fontId="29" fillId="20" borderId="12" xfId="1" applyFont="1" applyFill="1" applyBorder="1" applyAlignment="1"/>
    <xf numFmtId="14" fontId="21" fillId="25" borderId="0" xfId="1" quotePrefix="1" applyNumberFormat="1" applyFont="1" applyFill="1" applyAlignment="1">
      <alignment horizontal="center" vertical="center"/>
    </xf>
    <xf numFmtId="14" fontId="2" fillId="26" borderId="0" xfId="1" applyNumberFormat="1" applyFill="1" applyAlignment="1">
      <alignment horizontal="center"/>
    </xf>
    <xf numFmtId="0" fontId="0" fillId="0" borderId="0" xfId="0" applyProtection="1"/>
    <xf numFmtId="0" fontId="9" fillId="12" borderId="9" xfId="0" applyFont="1" applyFill="1" applyBorder="1" applyAlignment="1">
      <alignment vertical="top" wrapText="1"/>
    </xf>
    <xf numFmtId="0" fontId="14" fillId="23" borderId="7" xfId="0" applyFont="1" applyFill="1" applyBorder="1" applyAlignment="1">
      <alignment vertical="top" wrapText="1"/>
    </xf>
    <xf numFmtId="165" fontId="9" fillId="20" borderId="10" xfId="0" applyNumberFormat="1" applyFont="1" applyFill="1" applyBorder="1" applyAlignment="1">
      <alignment horizontal="center" vertical="top" wrapText="1"/>
    </xf>
    <xf numFmtId="165" fontId="9" fillId="23" borderId="4" xfId="0" applyNumberFormat="1" applyFont="1" applyFill="1" applyBorder="1" applyAlignment="1">
      <alignment horizontal="center" vertical="top" wrapText="1"/>
    </xf>
    <xf numFmtId="1" fontId="9" fillId="23" borderId="3" xfId="0" applyNumberFormat="1" applyFont="1" applyFill="1" applyBorder="1" applyAlignment="1">
      <alignment horizontal="center" vertical="top" wrapText="1"/>
    </xf>
    <xf numFmtId="0" fontId="24" fillId="0" borderId="12" xfId="1" applyFont="1" applyFill="1" applyBorder="1" applyAlignment="1">
      <alignment horizontal="center"/>
    </xf>
    <xf numFmtId="165" fontId="2" fillId="0" borderId="9" xfId="1" applyNumberFormat="1" applyBorder="1"/>
    <xf numFmtId="165" fontId="1" fillId="0" borderId="19" xfId="1" applyNumberFormat="1" applyFont="1" applyBorder="1"/>
    <xf numFmtId="165" fontId="9" fillId="23" borderId="14" xfId="0" applyNumberFormat="1" applyFont="1" applyFill="1" applyBorder="1" applyAlignment="1">
      <alignment horizontal="center" vertical="top" wrapText="1"/>
    </xf>
    <xf numFmtId="165" fontId="9" fillId="23" borderId="11" xfId="0" applyNumberFormat="1" applyFont="1" applyFill="1" applyBorder="1" applyAlignment="1">
      <alignment horizontal="center" vertical="top" wrapText="1"/>
    </xf>
    <xf numFmtId="165" fontId="14" fillId="20" borderId="3" xfId="0" applyNumberFormat="1" applyFont="1" applyFill="1" applyBorder="1" applyAlignment="1">
      <alignment horizontal="center" vertical="top" wrapText="1"/>
    </xf>
    <xf numFmtId="165" fontId="14" fillId="23" borderId="3" xfId="0" applyNumberFormat="1" applyFont="1" applyFill="1" applyBorder="1" applyAlignment="1">
      <alignment horizontal="center" vertical="top" wrapText="1"/>
    </xf>
    <xf numFmtId="0" fontId="14" fillId="20" borderId="3" xfId="0" applyFont="1" applyFill="1" applyBorder="1" applyAlignment="1">
      <alignment vertical="top" wrapText="1"/>
    </xf>
    <xf numFmtId="167" fontId="0" fillId="0" borderId="0" xfId="0" applyNumberFormat="1"/>
    <xf numFmtId="0" fontId="30" fillId="20" borderId="18" xfId="1" applyFont="1" applyFill="1" applyBorder="1" applyAlignment="1"/>
    <xf numFmtId="0" fontId="31" fillId="20" borderId="18" xfId="1" applyFont="1" applyFill="1" applyBorder="1" applyAlignment="1"/>
    <xf numFmtId="0" fontId="30" fillId="20" borderId="18" xfId="1" applyNumberFormat="1" applyFont="1" applyFill="1" applyBorder="1" applyAlignment="1"/>
    <xf numFmtId="0" fontId="28" fillId="36" borderId="17" xfId="1" applyFont="1" applyFill="1" applyBorder="1"/>
    <xf numFmtId="0" fontId="24" fillId="0" borderId="17" xfId="1" applyFont="1" applyBorder="1"/>
    <xf numFmtId="0" fontId="24" fillId="0" borderId="17" xfId="1" applyFont="1" applyFill="1" applyBorder="1"/>
    <xf numFmtId="0" fontId="24" fillId="0" borderId="20" xfId="1" applyFont="1" applyBorder="1"/>
    <xf numFmtId="0" fontId="24" fillId="0" borderId="17" xfId="1" applyFont="1" applyBorder="1" applyAlignment="1">
      <alignment wrapText="1"/>
    </xf>
    <xf numFmtId="0" fontId="24" fillId="35" borderId="17" xfId="1" applyFont="1" applyFill="1" applyBorder="1"/>
    <xf numFmtId="0" fontId="24" fillId="30" borderId="17" xfId="1" applyFont="1" applyFill="1" applyBorder="1"/>
    <xf numFmtId="0" fontId="27" fillId="34" borderId="17" xfId="1" applyFont="1" applyFill="1" applyBorder="1"/>
    <xf numFmtId="0" fontId="27" fillId="34" borderId="23" xfId="1" applyFont="1" applyFill="1" applyBorder="1"/>
    <xf numFmtId="0" fontId="27" fillId="34" borderId="20" xfId="1" applyFont="1" applyFill="1" applyBorder="1"/>
    <xf numFmtId="0" fontId="27" fillId="12" borderId="17" xfId="1" applyFont="1" applyFill="1" applyBorder="1"/>
    <xf numFmtId="0" fontId="24" fillId="0" borderId="18" xfId="1" applyFont="1" applyFill="1" applyBorder="1"/>
    <xf numFmtId="0" fontId="24" fillId="0" borderId="18" xfId="1" applyFont="1" applyBorder="1"/>
    <xf numFmtId="0" fontId="27" fillId="0" borderId="17" xfId="1" applyFont="1" applyBorder="1"/>
    <xf numFmtId="0" fontId="2" fillId="20" borderId="22" xfId="1" applyFill="1" applyBorder="1"/>
    <xf numFmtId="0" fontId="2" fillId="0" borderId="3" xfId="1" applyBorder="1"/>
    <xf numFmtId="0" fontId="1" fillId="0" borderId="3" xfId="1" applyFont="1" applyBorder="1"/>
    <xf numFmtId="0" fontId="32" fillId="0" borderId="0" xfId="0" quotePrefix="1" applyFont="1"/>
    <xf numFmtId="165" fontId="9" fillId="20" borderId="12" xfId="0" applyNumberFormat="1" applyFont="1" applyFill="1" applyBorder="1" applyAlignment="1">
      <alignment horizontal="center" vertical="top" wrapText="1"/>
    </xf>
    <xf numFmtId="0" fontId="16" fillId="12" borderId="0" xfId="0" applyFont="1" applyFill="1" applyBorder="1" applyAlignment="1">
      <alignment vertical="top" wrapText="1"/>
    </xf>
    <xf numFmtId="165" fontId="9" fillId="0" borderId="12" xfId="0" applyNumberFormat="1" applyFont="1" applyFill="1" applyBorder="1" applyAlignment="1">
      <alignment horizontal="center" vertical="top" wrapText="1"/>
    </xf>
    <xf numFmtId="165" fontId="9" fillId="0" borderId="5" xfId="0" applyNumberFormat="1" applyFont="1" applyFill="1" applyBorder="1" applyAlignment="1">
      <alignment horizontal="center" vertical="top" wrapText="1"/>
    </xf>
    <xf numFmtId="165" fontId="9" fillId="23" borderId="13" xfId="0" applyNumberFormat="1" applyFont="1" applyFill="1" applyBorder="1" applyAlignment="1">
      <alignment horizontal="center" vertical="top" wrapText="1"/>
    </xf>
    <xf numFmtId="165" fontId="9" fillId="20" borderId="11" xfId="0" applyNumberFormat="1" applyFont="1" applyFill="1" applyBorder="1" applyAlignment="1">
      <alignment horizontal="center" vertical="top" wrapText="1"/>
    </xf>
    <xf numFmtId="165" fontId="9" fillId="20" borderId="6" xfId="0" applyNumberFormat="1" applyFont="1" applyFill="1" applyBorder="1" applyAlignment="1">
      <alignment horizontal="center" vertical="top" wrapText="1"/>
    </xf>
    <xf numFmtId="0" fontId="9" fillId="12" borderId="7" xfId="0" applyFont="1" applyFill="1" applyBorder="1" applyAlignment="1">
      <alignment vertical="top" wrapText="1"/>
    </xf>
    <xf numFmtId="0" fontId="3" fillId="20" borderId="0" xfId="0" applyFont="1" applyFill="1"/>
    <xf numFmtId="167" fontId="0" fillId="20" borderId="0" xfId="0" applyNumberFormat="1" applyFill="1"/>
  </cellXfs>
  <cellStyles count="2">
    <cellStyle name="Normal" xfId="0" builtinId="0"/>
    <cellStyle name="Normal 2" xfId="1"/>
  </cellStyles>
  <dxfs count="3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FF"/>
      <color rgb="FFCCFFFF"/>
      <color rgb="FFFFCCFF"/>
      <color rgb="FFFF9900"/>
      <color rgb="FF99CCFF"/>
      <color rgb="FF66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ning%20exploit/PLANNING%20PREVISONNEL%202019%20-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Fériés"/>
    </sheetNames>
    <sheetDataSet>
      <sheetData sheetId="0"/>
      <sheetData sheetId="1">
        <row r="2">
          <cell r="A2">
            <v>43466</v>
          </cell>
          <cell r="C2">
            <v>43466</v>
          </cell>
        </row>
        <row r="3">
          <cell r="C3">
            <v>43573</v>
          </cell>
        </row>
        <row r="4">
          <cell r="C4">
            <v>43574</v>
          </cell>
        </row>
        <row r="5">
          <cell r="C5">
            <v>43577</v>
          </cell>
        </row>
        <row r="6">
          <cell r="C6">
            <v>43615</v>
          </cell>
        </row>
        <row r="7">
          <cell r="C7">
            <v>43621</v>
          </cell>
        </row>
        <row r="8">
          <cell r="C8">
            <v>43626</v>
          </cell>
        </row>
        <row r="9">
          <cell r="C9">
            <v>43824</v>
          </cell>
        </row>
        <row r="10">
          <cell r="C10">
            <v>43825</v>
          </cell>
        </row>
        <row r="11">
          <cell r="C11">
            <v>43831</v>
          </cell>
        </row>
        <row r="12">
          <cell r="C12">
            <v>43930</v>
          </cell>
        </row>
        <row r="13">
          <cell r="C13">
            <v>43931</v>
          </cell>
        </row>
        <row r="14">
          <cell r="C14">
            <v>43933</v>
          </cell>
        </row>
        <row r="15">
          <cell r="C15">
            <v>43934</v>
          </cell>
        </row>
        <row r="16">
          <cell r="C16">
            <v>43959</v>
          </cell>
        </row>
        <row r="17">
          <cell r="C17">
            <v>43972</v>
          </cell>
        </row>
        <row r="18">
          <cell r="C18">
            <v>43983</v>
          </cell>
        </row>
        <row r="19">
          <cell r="C19">
            <v>43987</v>
          </cell>
        </row>
        <row r="20">
          <cell r="C20">
            <v>44190</v>
          </cell>
        </row>
        <row r="21">
          <cell r="C21">
            <v>44191</v>
          </cell>
        </row>
      </sheetData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9"/>
  <sheetViews>
    <sheetView defaultGridColor="0" view="pageBreakPreview" colorId="8" zoomScale="110" zoomScaleNormal="100" zoomScaleSheetLayoutView="110" zoomScalePageLayoutView="150" workbookViewId="0">
      <pane ySplit="1" topLeftCell="A56" activePane="bottomLeft" state="frozen"/>
      <selection pane="bottomLeft" activeCell="P63" sqref="P63"/>
    </sheetView>
  </sheetViews>
  <sheetFormatPr baseColWidth="10" defaultColWidth="12" defaultRowHeight="11.25" x14ac:dyDescent="0.2"/>
  <cols>
    <col min="1" max="1" width="12.6640625" style="25" bestFit="1" customWidth="1"/>
    <col min="2" max="2" width="12.6640625" style="112" bestFit="1" customWidth="1"/>
    <col min="3" max="3" width="5.33203125" style="3" customWidth="1"/>
    <col min="4" max="4" width="5.83203125" style="6" bestFit="1" customWidth="1"/>
    <col min="5" max="5" width="6" style="4" customWidth="1"/>
    <col min="6" max="6" width="6.5" style="4" bestFit="1" customWidth="1"/>
    <col min="7" max="7" width="5.1640625" style="4" customWidth="1"/>
    <col min="8" max="8" width="19.5" style="2" customWidth="1"/>
    <col min="9" max="9" width="21.5" style="2" customWidth="1"/>
    <col min="10" max="10" width="21.1640625" style="2" customWidth="1"/>
    <col min="11" max="11" width="27.33203125" style="5" customWidth="1"/>
    <col min="12" max="12" width="11" style="24" bestFit="1" customWidth="1"/>
    <col min="13" max="13" width="21.83203125" style="2" hidden="1" customWidth="1"/>
    <col min="14" max="16384" width="12" style="2"/>
  </cols>
  <sheetData>
    <row r="1" spans="1:13" s="1" customFormat="1" ht="25.5" x14ac:dyDescent="0.2">
      <c r="A1" s="164" t="s">
        <v>81</v>
      </c>
      <c r="B1" s="175" t="s">
        <v>81</v>
      </c>
      <c r="C1" s="176" t="s">
        <v>85</v>
      </c>
      <c r="D1" s="177" t="s">
        <v>84</v>
      </c>
      <c r="E1" s="178" t="s">
        <v>9</v>
      </c>
      <c r="F1" s="178" t="s">
        <v>10</v>
      </c>
      <c r="G1" s="178" t="s">
        <v>11</v>
      </c>
      <c r="H1" s="179" t="s">
        <v>12</v>
      </c>
      <c r="I1" s="179" t="s">
        <v>13</v>
      </c>
      <c r="J1" s="179" t="s">
        <v>26</v>
      </c>
      <c r="K1" s="180" t="s">
        <v>14</v>
      </c>
      <c r="L1" s="181" t="s">
        <v>75</v>
      </c>
      <c r="M1" s="88" t="s">
        <v>87</v>
      </c>
    </row>
    <row r="2" spans="1:13" s="1" customFormat="1" ht="13.5" thickBot="1" x14ac:dyDescent="0.25">
      <c r="A2" s="165">
        <f>Ex_AC1</f>
        <v>43621</v>
      </c>
      <c r="B2" s="93">
        <f>A2</f>
        <v>43621</v>
      </c>
      <c r="C2" s="114">
        <f>WEEKNUM(A2,2)</f>
        <v>23</v>
      </c>
      <c r="D2" s="114">
        <f>Mois_trait</f>
        <v>6</v>
      </c>
      <c r="E2" s="95">
        <v>0</v>
      </c>
      <c r="F2" s="96"/>
      <c r="G2" s="96"/>
      <c r="H2" s="84"/>
      <c r="I2" s="84"/>
      <c r="J2" s="84"/>
      <c r="K2" s="84" t="str">
        <f>IF(OR(WEEKDAY(B2,2)&gt;5,COUNTIF(z_fériés,B2)),"Ferié","Ouvré")</f>
        <v>Ouvré</v>
      </c>
      <c r="L2" s="138"/>
      <c r="M2" s="76"/>
    </row>
    <row r="3" spans="1:13" s="1" customFormat="1" ht="13.5" thickBot="1" x14ac:dyDescent="0.25">
      <c r="A3" s="174">
        <f>DEB_PLAN</f>
        <v>43621</v>
      </c>
      <c r="B3" s="92">
        <f>A3</f>
        <v>43621</v>
      </c>
      <c r="C3" s="28">
        <f>WEEKNUM(A3,2)</f>
        <v>23</v>
      </c>
      <c r="D3" s="69">
        <f>Mois_trait</f>
        <v>6</v>
      </c>
      <c r="E3" s="30">
        <v>4.1666666666666664E-2</v>
      </c>
      <c r="F3" s="30"/>
      <c r="G3" s="30" t="s">
        <v>29</v>
      </c>
      <c r="H3" s="31"/>
      <c r="I3" s="31"/>
      <c r="J3" s="32" t="s">
        <v>325</v>
      </c>
      <c r="K3" s="31"/>
      <c r="L3" s="66"/>
      <c r="M3" s="108" t="s">
        <v>89</v>
      </c>
    </row>
    <row r="4" spans="1:13" s="1" customFormat="1" ht="13.5" thickBot="1" x14ac:dyDescent="0.25">
      <c r="A4" s="174">
        <f>Ex_AC1</f>
        <v>43621</v>
      </c>
      <c r="B4" s="92">
        <f>A4</f>
        <v>43621</v>
      </c>
      <c r="C4" s="28">
        <f>WEEKNUM(A4,2)</f>
        <v>23</v>
      </c>
      <c r="D4" s="69">
        <f>Mois_trait</f>
        <v>6</v>
      </c>
      <c r="E4" s="30">
        <v>0.625</v>
      </c>
      <c r="F4" s="30">
        <v>0.70833333333333337</v>
      </c>
      <c r="G4" s="30" t="s">
        <v>4</v>
      </c>
      <c r="H4" s="143"/>
      <c r="I4" s="31"/>
      <c r="J4" s="31"/>
      <c r="K4" s="31"/>
      <c r="L4" s="66"/>
      <c r="M4" s="76"/>
    </row>
    <row r="5" spans="1:13" s="1" customFormat="1" ht="13.5" thickBot="1" x14ac:dyDescent="0.25">
      <c r="A5" s="165">
        <f>Ex_AC1 + 1</f>
        <v>43622</v>
      </c>
      <c r="B5" s="93">
        <f>A5</f>
        <v>43622</v>
      </c>
      <c r="C5" s="114">
        <f>WEEKNUM(A5,2)</f>
        <v>23</v>
      </c>
      <c r="D5" s="114">
        <f>Mois_trait</f>
        <v>6</v>
      </c>
      <c r="E5" s="95">
        <v>0</v>
      </c>
      <c r="F5" s="96"/>
      <c r="G5" s="96"/>
      <c r="H5" s="84"/>
      <c r="I5" s="84"/>
      <c r="J5" s="84"/>
      <c r="K5" s="84" t="str">
        <f>IF(OR(WEEKDAY(B5,2)&gt;5,COUNTIF(z_fériés,B5)),"Ferié","Ouvré")</f>
        <v>Ouvré</v>
      </c>
      <c r="L5" s="138"/>
      <c r="M5" s="76"/>
    </row>
    <row r="6" spans="1:13" s="1" customFormat="1" ht="13.5" thickBot="1" x14ac:dyDescent="0.25">
      <c r="A6" s="174">
        <f>WORKDAY(DEB_PLAN,1,z_feriés)</f>
        <v>43622</v>
      </c>
      <c r="B6" s="92">
        <f>A6</f>
        <v>43622</v>
      </c>
      <c r="C6" s="28">
        <f>WEEKNUM(A6,2)</f>
        <v>23</v>
      </c>
      <c r="D6" s="69">
        <f>Mois_trait</f>
        <v>6</v>
      </c>
      <c r="E6" s="30">
        <v>4.1666666666666664E-2</v>
      </c>
      <c r="F6" s="30"/>
      <c r="G6" s="30" t="s">
        <v>29</v>
      </c>
      <c r="H6" s="31"/>
      <c r="I6" s="31"/>
      <c r="J6" s="32" t="s">
        <v>325</v>
      </c>
      <c r="K6" s="31"/>
      <c r="L6" s="139"/>
      <c r="M6" s="127"/>
    </row>
    <row r="7" spans="1:13" s="1" customFormat="1" ht="39" thickBot="1" x14ac:dyDescent="0.25">
      <c r="A7" s="174">
        <f>DATE(Année_trait,Mois_trait,1)-DAY(DATE(Année_trait,Mois_trait,1))+8-WEEKDAY(DATE(Année_trait,Mois_trait,1)-DAY(DATE(Année_trait,Mois_trait,1))--3)</f>
        <v>43622</v>
      </c>
      <c r="B7" s="92">
        <f>A7</f>
        <v>43622</v>
      </c>
      <c r="C7" s="51">
        <f>WEEKNUM(A7,2)</f>
        <v>23</v>
      </c>
      <c r="D7" s="69">
        <f>Mois_trait</f>
        <v>6</v>
      </c>
      <c r="E7" s="30">
        <v>0.29166666666666669</v>
      </c>
      <c r="F7" s="30"/>
      <c r="G7" s="30" t="s">
        <v>29</v>
      </c>
      <c r="H7" s="31"/>
      <c r="I7" s="31"/>
      <c r="J7" s="32" t="s">
        <v>77</v>
      </c>
      <c r="K7" s="31" t="s">
        <v>78</v>
      </c>
      <c r="L7" s="139"/>
      <c r="M7" s="78"/>
    </row>
    <row r="8" spans="1:13" s="1" customFormat="1" ht="13.5" thickBot="1" x14ac:dyDescent="0.25">
      <c r="A8" s="129">
        <f>WORKDAY(Ex_AC1,1,z_fériés)</f>
        <v>43622</v>
      </c>
      <c r="B8" s="92">
        <f>A8</f>
        <v>43622</v>
      </c>
      <c r="C8" s="51">
        <f>WEEKNUM(A8,2)</f>
        <v>23</v>
      </c>
      <c r="D8" s="69">
        <f>Mois_trait</f>
        <v>6</v>
      </c>
      <c r="E8" s="36">
        <v>0.375</v>
      </c>
      <c r="F8" s="30">
        <v>0.45833333333333331</v>
      </c>
      <c r="G8" s="30" t="s">
        <v>4</v>
      </c>
      <c r="H8" s="31"/>
      <c r="I8" s="31"/>
      <c r="J8" s="31"/>
      <c r="K8" s="132"/>
      <c r="L8" s="66"/>
      <c r="M8" s="78"/>
    </row>
    <row r="9" spans="1:13" s="1" customFormat="1" ht="13.5" thickBot="1" x14ac:dyDescent="0.25">
      <c r="A9" s="129">
        <f>WORKDAY(Ex_AC1,1,z_fériés)</f>
        <v>43622</v>
      </c>
      <c r="B9" s="92">
        <f>A9</f>
        <v>43622</v>
      </c>
      <c r="C9" s="51">
        <f>WEEKNUM(A9,2)</f>
        <v>23</v>
      </c>
      <c r="D9" s="69">
        <f>Mois_trait</f>
        <v>6</v>
      </c>
      <c r="E9" s="36">
        <v>0.375</v>
      </c>
      <c r="F9" s="30">
        <v>0.45833333333333331</v>
      </c>
      <c r="G9" s="30" t="s">
        <v>4</v>
      </c>
      <c r="H9" s="132"/>
      <c r="I9" s="31"/>
      <c r="J9" s="31"/>
      <c r="K9" s="132"/>
      <c r="L9" s="139"/>
      <c r="M9" s="78"/>
    </row>
    <row r="10" spans="1:13" s="1" customFormat="1" ht="51.75" thickBot="1" x14ac:dyDescent="0.25">
      <c r="A10" s="129">
        <f>WORKDAY(Ex_AC1,1,z_fériés)</f>
        <v>43622</v>
      </c>
      <c r="B10" s="92">
        <f>A10</f>
        <v>43622</v>
      </c>
      <c r="C10" s="51">
        <f>WEEKNUM(A10,2)</f>
        <v>23</v>
      </c>
      <c r="D10" s="69">
        <f>Mois_trait</f>
        <v>6</v>
      </c>
      <c r="E10" s="36">
        <v>0.375</v>
      </c>
      <c r="F10" s="30">
        <v>0.45833333333333331</v>
      </c>
      <c r="G10" s="30" t="s">
        <v>23</v>
      </c>
      <c r="H10" s="41"/>
      <c r="I10" s="31"/>
      <c r="J10" s="34" t="s">
        <v>86</v>
      </c>
      <c r="K10" s="35"/>
      <c r="L10" s="139"/>
      <c r="M10" s="78"/>
    </row>
    <row r="11" spans="1:13" s="1" customFormat="1" ht="26.25" thickBot="1" x14ac:dyDescent="0.25">
      <c r="A11" s="129">
        <f>WORKDAY(Ex_AC1,1,z_fériés)</f>
        <v>43622</v>
      </c>
      <c r="B11" s="92">
        <f>A11</f>
        <v>43622</v>
      </c>
      <c r="C11" s="51">
        <f>WEEKNUM(A11,2)</f>
        <v>23</v>
      </c>
      <c r="D11" s="69">
        <f>Mois_trait</f>
        <v>6</v>
      </c>
      <c r="E11" s="36">
        <v>0.375</v>
      </c>
      <c r="F11" s="30">
        <v>0.45833333333333331</v>
      </c>
      <c r="G11" s="30" t="s">
        <v>23</v>
      </c>
      <c r="H11" s="41"/>
      <c r="I11" s="31"/>
      <c r="J11" s="31"/>
      <c r="K11" s="125"/>
      <c r="L11" s="66"/>
      <c r="M11" s="78"/>
    </row>
    <row r="12" spans="1:13" s="9" customFormat="1" ht="13.5" thickBot="1" x14ac:dyDescent="0.25">
      <c r="A12" s="129">
        <f>WORKDAY(Ex_AC1,1,z_fériés)</f>
        <v>43622</v>
      </c>
      <c r="B12" s="92">
        <f>A12</f>
        <v>43622</v>
      </c>
      <c r="C12" s="51">
        <f>WEEKNUM(A12,2)</f>
        <v>23</v>
      </c>
      <c r="D12" s="69">
        <f>Mois_trait</f>
        <v>6</v>
      </c>
      <c r="E12" s="36">
        <v>0.375</v>
      </c>
      <c r="F12" s="30">
        <v>0.75</v>
      </c>
      <c r="G12" s="30" t="s">
        <v>4</v>
      </c>
      <c r="H12" s="31"/>
      <c r="I12" s="31"/>
      <c r="J12" s="31"/>
      <c r="K12" s="150"/>
      <c r="L12" s="66" t="s">
        <v>6</v>
      </c>
      <c r="M12" s="78"/>
    </row>
    <row r="13" spans="1:13" s="1" customFormat="1" ht="13.5" thickBot="1" x14ac:dyDescent="0.25">
      <c r="A13" s="129">
        <f>WORKDAY(Ex_AC1,1,z_fériés)</f>
        <v>43622</v>
      </c>
      <c r="B13" s="92">
        <f>A13</f>
        <v>43622</v>
      </c>
      <c r="C13" s="51">
        <f>WEEKNUM(A13,2)</f>
        <v>23</v>
      </c>
      <c r="D13" s="69">
        <f>Mois_trait</f>
        <v>6</v>
      </c>
      <c r="E13" s="36">
        <v>0.625</v>
      </c>
      <c r="F13" s="87">
        <v>0.70833333333333337</v>
      </c>
      <c r="G13" s="30" t="s">
        <v>4</v>
      </c>
      <c r="H13" s="40"/>
      <c r="I13" s="31"/>
      <c r="J13" s="31"/>
      <c r="K13" s="31"/>
      <c r="L13" s="152"/>
      <c r="M13" s="78"/>
    </row>
    <row r="14" spans="1:13" s="1" customFormat="1" ht="13.5" thickBot="1" x14ac:dyDescent="0.25">
      <c r="A14" s="237">
        <f>Ex_AC1 + 2</f>
        <v>43623</v>
      </c>
      <c r="B14" s="146">
        <f>A14</f>
        <v>43623</v>
      </c>
      <c r="C14" s="238">
        <f>WEEKNUM(A14,2)</f>
        <v>23</v>
      </c>
      <c r="D14" s="69">
        <f>Mois_trait</f>
        <v>6</v>
      </c>
      <c r="E14" s="113">
        <v>0</v>
      </c>
      <c r="F14" s="116"/>
      <c r="G14" s="116"/>
      <c r="H14" s="117"/>
      <c r="I14" s="117"/>
      <c r="J14" s="106"/>
      <c r="K14" s="84" t="str">
        <f>IF(OR(WEEKDAY(B14,2)&gt;5,COUNTIF(z_fériés,B14)),"Ferié","Ouvré")</f>
        <v>Ouvré</v>
      </c>
      <c r="L14" s="153"/>
      <c r="M14" s="76"/>
    </row>
    <row r="15" spans="1:13" s="1" customFormat="1" ht="13.5" thickBot="1" x14ac:dyDescent="0.25">
      <c r="A15" s="174">
        <f>WORKDAY(DEB_PLAN,2,z_feriés)</f>
        <v>43623</v>
      </c>
      <c r="B15" s="92">
        <f>A15</f>
        <v>43623</v>
      </c>
      <c r="C15" s="28">
        <f>WEEKNUM(A15,2)</f>
        <v>23</v>
      </c>
      <c r="D15" s="69">
        <f>Mois_trait</f>
        <v>6</v>
      </c>
      <c r="E15" s="30">
        <v>4.1666666666666664E-2</v>
      </c>
      <c r="F15" s="30"/>
      <c r="G15" s="30" t="s">
        <v>29</v>
      </c>
      <c r="H15" s="31"/>
      <c r="I15" s="52"/>
      <c r="J15" s="32"/>
      <c r="K15" s="31"/>
      <c r="L15" s="66"/>
      <c r="M15" s="76"/>
    </row>
    <row r="16" spans="1:13" s="1" customFormat="1" ht="26.25" thickBot="1" x14ac:dyDescent="0.25">
      <c r="A16" s="174">
        <f>WORKDAY(Ex_AC1,2,z_fériés)</f>
        <v>43623</v>
      </c>
      <c r="B16" s="92">
        <f>A16</f>
        <v>43623</v>
      </c>
      <c r="C16" s="47">
        <f>WEEKNUM(A16,2)</f>
        <v>23</v>
      </c>
      <c r="D16" s="69">
        <f>Mois_trait</f>
        <v>6</v>
      </c>
      <c r="E16" s="30">
        <v>0.25</v>
      </c>
      <c r="F16" s="30">
        <v>0.45833333333333331</v>
      </c>
      <c r="G16" s="30" t="s">
        <v>23</v>
      </c>
      <c r="H16" s="41"/>
      <c r="I16" s="31"/>
      <c r="J16" s="34"/>
      <c r="K16" s="111"/>
      <c r="L16" s="66"/>
      <c r="M16" s="2"/>
    </row>
    <row r="17" spans="1:13" s="1" customFormat="1" ht="26.25" thickBot="1" x14ac:dyDescent="0.25">
      <c r="A17" s="174">
        <f>WORKDAY(Ex_AC1,2,z_fériés)</f>
        <v>43623</v>
      </c>
      <c r="B17" s="92">
        <f>A17</f>
        <v>43623</v>
      </c>
      <c r="C17" s="47">
        <f>WEEKNUM(A17,2)</f>
        <v>23</v>
      </c>
      <c r="D17" s="69">
        <f>Mois_trait</f>
        <v>6</v>
      </c>
      <c r="E17" s="30">
        <v>0.25</v>
      </c>
      <c r="F17" s="30">
        <v>0.45833333333333331</v>
      </c>
      <c r="G17" s="30" t="s">
        <v>23</v>
      </c>
      <c r="H17" s="41"/>
      <c r="I17" s="31"/>
      <c r="J17" s="31"/>
      <c r="K17" s="111"/>
      <c r="L17" s="139" t="s">
        <v>5</v>
      </c>
      <c r="M17" s="76"/>
    </row>
    <row r="18" spans="1:13" ht="13.5" customHeight="1" thickBot="1" x14ac:dyDescent="0.25">
      <c r="A18" s="174">
        <f>WORKDAY(Ex_AC1,2,z_fériés)</f>
        <v>43623</v>
      </c>
      <c r="B18" s="92">
        <f>A18</f>
        <v>43623</v>
      </c>
      <c r="C18" s="47">
        <f>WEEKNUM(A18,2)</f>
        <v>23</v>
      </c>
      <c r="D18" s="69">
        <f>Mois_trait</f>
        <v>6</v>
      </c>
      <c r="E18" s="30">
        <v>0.29166666666666669</v>
      </c>
      <c r="F18" s="30"/>
      <c r="G18" s="30" t="s">
        <v>4</v>
      </c>
      <c r="H18" s="31"/>
      <c r="I18" s="31"/>
      <c r="J18" s="31"/>
      <c r="K18" s="40"/>
      <c r="L18" s="66" t="s">
        <v>6</v>
      </c>
    </row>
    <row r="19" spans="1:13" s="1" customFormat="1" ht="14.25" customHeight="1" thickBot="1" x14ac:dyDescent="0.25">
      <c r="A19" s="174">
        <f>WORKDAY(Ex_AC1,2,z_fériés)</f>
        <v>43623</v>
      </c>
      <c r="B19" s="92">
        <f>A19</f>
        <v>43623</v>
      </c>
      <c r="C19" s="47">
        <f>WEEKNUM(A19,2)</f>
        <v>23</v>
      </c>
      <c r="D19" s="69">
        <f>Mois_trait</f>
        <v>6</v>
      </c>
      <c r="E19" s="30">
        <v>0.375</v>
      </c>
      <c r="F19" s="30">
        <v>0.45833333333333331</v>
      </c>
      <c r="G19" s="30" t="s">
        <v>4</v>
      </c>
      <c r="H19" s="31"/>
      <c r="I19" s="31"/>
      <c r="J19" s="31"/>
      <c r="K19" s="40"/>
      <c r="L19" s="66"/>
      <c r="M19" s="2"/>
    </row>
    <row r="20" spans="1:13" s="1" customFormat="1" ht="26.25" thickBot="1" x14ac:dyDescent="0.25">
      <c r="A20" s="174">
        <f>WORKDAY(DATE(Année_trait,Mois_trait,10),-1,z_fériés)</f>
        <v>43623</v>
      </c>
      <c r="B20" s="92">
        <f>A20</f>
        <v>43623</v>
      </c>
      <c r="C20" s="28">
        <f>WEEKNUM(A20,2)</f>
        <v>23</v>
      </c>
      <c r="D20" s="69">
        <f>Mois_trait</f>
        <v>6</v>
      </c>
      <c r="E20" s="36">
        <v>0.41666666666666669</v>
      </c>
      <c r="F20" s="36">
        <v>0.625</v>
      </c>
      <c r="G20" s="36" t="s">
        <v>3</v>
      </c>
      <c r="H20" s="37"/>
      <c r="I20" s="38"/>
      <c r="J20" s="38"/>
      <c r="K20" s="37"/>
      <c r="L20" s="61"/>
      <c r="M20" s="80" t="s">
        <v>91</v>
      </c>
    </row>
    <row r="21" spans="1:13" s="1" customFormat="1" ht="13.5" thickBot="1" x14ac:dyDescent="0.25">
      <c r="A21" s="237">
        <f>Ex_AC1 + 3</f>
        <v>43624</v>
      </c>
      <c r="B21" s="146">
        <f>A21</f>
        <v>43624</v>
      </c>
      <c r="C21" s="238">
        <f>WEEKNUM(A21,2)</f>
        <v>23</v>
      </c>
      <c r="D21" s="69">
        <f>Mois_trait</f>
        <v>6</v>
      </c>
      <c r="E21" s="113">
        <v>0</v>
      </c>
      <c r="F21" s="116"/>
      <c r="G21" s="116"/>
      <c r="H21" s="117"/>
      <c r="I21" s="117"/>
      <c r="J21" s="106"/>
      <c r="K21" s="84" t="str">
        <f>IF(OR(WEEKDAY(B21,2)&gt;5,COUNTIF(z_fériés,B21)),"Ferié","Ouvré")</f>
        <v>Ferié</v>
      </c>
      <c r="L21" s="153"/>
      <c r="M21" s="76"/>
    </row>
    <row r="22" spans="1:13" s="1" customFormat="1" ht="13.5" thickBot="1" x14ac:dyDescent="0.25">
      <c r="A22" s="165">
        <f>Ex_AC1 + 4</f>
        <v>43625</v>
      </c>
      <c r="B22" s="93">
        <f>A22</f>
        <v>43625</v>
      </c>
      <c r="C22" s="114">
        <f>WEEKNUM(A22,2)</f>
        <v>23</v>
      </c>
      <c r="D22" s="114">
        <f>Mois_trait</f>
        <v>6</v>
      </c>
      <c r="E22" s="95">
        <v>0</v>
      </c>
      <c r="F22" s="95"/>
      <c r="G22" s="95"/>
      <c r="H22" s="98"/>
      <c r="I22" s="98"/>
      <c r="J22" s="98"/>
      <c r="K22" s="84" t="str">
        <f>IF(OR(WEEKDAY(B22,2)&gt;5,COUNTIF(z_fériés,B22)),"Ferié","Ouvré")</f>
        <v>Ferié</v>
      </c>
      <c r="L22" s="138"/>
      <c r="M22" s="76"/>
    </row>
    <row r="23" spans="1:13" s="1" customFormat="1" ht="13.5" customHeight="1" thickBot="1" x14ac:dyDescent="0.25">
      <c r="A23" s="165">
        <f>Ex_AC1 + 5</f>
        <v>43626</v>
      </c>
      <c r="B23" s="93">
        <f>A23</f>
        <v>43626</v>
      </c>
      <c r="C23" s="114">
        <f>WEEKNUM(A23,2)</f>
        <v>24</v>
      </c>
      <c r="D23" s="114">
        <f>Mois_trait</f>
        <v>6</v>
      </c>
      <c r="E23" s="95">
        <v>0</v>
      </c>
      <c r="F23" s="95"/>
      <c r="G23" s="95"/>
      <c r="H23" s="98"/>
      <c r="I23" s="98"/>
      <c r="J23" s="98"/>
      <c r="K23" s="84" t="str">
        <f>IF(OR(WEEKDAY(B23,2)&gt;5,COUNTIF(z_fériés,B23)),"Ferié","Ouvré")</f>
        <v>Ferié</v>
      </c>
      <c r="L23" s="138"/>
      <c r="M23" s="76"/>
    </row>
    <row r="24" spans="1:13" s="1" customFormat="1" ht="14.25" customHeight="1" thickBot="1" x14ac:dyDescent="0.25">
      <c r="A24" s="165">
        <f>Ex_AC1 + 6</f>
        <v>43627</v>
      </c>
      <c r="B24" s="93">
        <f>A24</f>
        <v>43627</v>
      </c>
      <c r="C24" s="114">
        <f>WEEKNUM(A24,2)</f>
        <v>24</v>
      </c>
      <c r="D24" s="114">
        <f>Mois_trait</f>
        <v>6</v>
      </c>
      <c r="E24" s="95">
        <v>0</v>
      </c>
      <c r="F24" s="94"/>
      <c r="G24" s="94"/>
      <c r="H24" s="97"/>
      <c r="I24" s="97"/>
      <c r="J24" s="97"/>
      <c r="K24" s="84" t="str">
        <f>IF(OR(WEEKDAY(B24,2)&gt;5,COUNTIF(z_fériés,B24)),"Ferié","Ouvré")</f>
        <v>Ouvré</v>
      </c>
      <c r="L24" s="138"/>
      <c r="M24" s="76"/>
    </row>
    <row r="25" spans="1:13" s="1" customFormat="1" ht="13.5" thickBot="1" x14ac:dyDescent="0.25">
      <c r="A25" s="174">
        <f>WORKDAY(DEB_PLAN,3,z_feriés)</f>
        <v>43627</v>
      </c>
      <c r="B25" s="92">
        <f>A25</f>
        <v>43627</v>
      </c>
      <c r="C25" s="28">
        <f>WEEKNUM(A25,2)</f>
        <v>24</v>
      </c>
      <c r="D25" s="69">
        <f>Mois_trait</f>
        <v>6</v>
      </c>
      <c r="E25" s="30">
        <v>4.1666666666666664E-2</v>
      </c>
      <c r="F25" s="105"/>
      <c r="G25" s="30" t="s">
        <v>29</v>
      </c>
      <c r="H25" s="107"/>
      <c r="I25" s="107"/>
      <c r="J25" s="32"/>
      <c r="K25" s="31"/>
      <c r="L25" s="61"/>
      <c r="M25" s="78"/>
    </row>
    <row r="26" spans="1:13" s="9" customFormat="1" ht="13.5" thickBot="1" x14ac:dyDescent="0.25">
      <c r="A26" s="174">
        <f>WORKDAY(DATE(Année_trait,Mois_trait,7),1,z_fériés)</f>
        <v>43627</v>
      </c>
      <c r="B26" s="92">
        <f>A26</f>
        <v>43627</v>
      </c>
      <c r="C26" s="28">
        <f>WEEKNUM(A26,2)</f>
        <v>24</v>
      </c>
      <c r="D26" s="69">
        <f>Mois_trait</f>
        <v>6</v>
      </c>
      <c r="E26" s="30">
        <v>0.25347222222222221</v>
      </c>
      <c r="F26" s="30"/>
      <c r="G26" s="30" t="s">
        <v>29</v>
      </c>
      <c r="H26" s="31"/>
      <c r="I26" s="31"/>
      <c r="J26" s="31"/>
      <c r="K26" s="31"/>
      <c r="L26" s="139"/>
      <c r="M26" s="76"/>
    </row>
    <row r="27" spans="1:13" s="1" customFormat="1" ht="13.5" thickBot="1" x14ac:dyDescent="0.25">
      <c r="A27" s="129">
        <f>WORKDAY(DATE(Année_trait,Mois_trait,9),1,z_fériés)</f>
        <v>43627</v>
      </c>
      <c r="B27" s="92">
        <f>A27</f>
        <v>43627</v>
      </c>
      <c r="C27" s="51">
        <f>WEEKNUM(A30,2)</f>
        <v>24</v>
      </c>
      <c r="D27" s="69">
        <f>Mois_trait</f>
        <v>6</v>
      </c>
      <c r="E27" s="36">
        <v>0.375</v>
      </c>
      <c r="F27" s="36"/>
      <c r="G27" s="36"/>
      <c r="H27" s="37"/>
      <c r="I27" s="37"/>
      <c r="J27" s="37"/>
      <c r="K27" s="131"/>
      <c r="L27" s="182"/>
      <c r="M27" s="154"/>
    </row>
    <row r="28" spans="1:13" s="27" customFormat="1" ht="13.5" thickBot="1" x14ac:dyDescent="0.25">
      <c r="A28" s="174">
        <f>WORKDAY(DATE(Année_trait,Mois_trait,9),1,z_fériés)</f>
        <v>43627</v>
      </c>
      <c r="B28" s="92">
        <f>A28</f>
        <v>43627</v>
      </c>
      <c r="C28" s="28">
        <f>WEEKNUM(A28,2)</f>
        <v>24</v>
      </c>
      <c r="D28" s="69">
        <f>Mois_trait</f>
        <v>6</v>
      </c>
      <c r="E28" s="36">
        <v>0.625</v>
      </c>
      <c r="F28" s="36">
        <v>0.64583333333333337</v>
      </c>
      <c r="G28" s="36" t="s">
        <v>3</v>
      </c>
      <c r="H28" s="37"/>
      <c r="I28" s="37"/>
      <c r="J28" s="37"/>
      <c r="K28" s="38"/>
      <c r="L28" s="61"/>
      <c r="M28" s="76" t="s">
        <v>92</v>
      </c>
    </row>
    <row r="29" spans="1:13" s="1" customFormat="1" ht="13.5" thickBot="1" x14ac:dyDescent="0.25">
      <c r="A29" s="174">
        <f>WORKDAY(DATE(Année_trait,Mois_trait,9),1,z_fériés)</f>
        <v>43627</v>
      </c>
      <c r="B29" s="92">
        <f>A29</f>
        <v>43627</v>
      </c>
      <c r="C29" s="28">
        <f>WEEKNUM(A29,2)</f>
        <v>24</v>
      </c>
      <c r="D29" s="69">
        <f>Mois_trait</f>
        <v>6</v>
      </c>
      <c r="E29" s="30">
        <v>0.66666666666666663</v>
      </c>
      <c r="F29" s="30"/>
      <c r="G29" s="30" t="s">
        <v>29</v>
      </c>
      <c r="H29" s="31"/>
      <c r="I29" s="31"/>
      <c r="J29" s="31"/>
      <c r="K29" s="39"/>
      <c r="L29" s="66"/>
      <c r="M29" s="76"/>
    </row>
    <row r="30" spans="1:13" s="1" customFormat="1" ht="13.5" thickBot="1" x14ac:dyDescent="0.25">
      <c r="A30" s="165">
        <f>Ex_AC1 + 7</f>
        <v>43628</v>
      </c>
      <c r="B30" s="93">
        <f>A30</f>
        <v>43628</v>
      </c>
      <c r="C30" s="114">
        <f>WEEKNUM(A30,2)</f>
        <v>24</v>
      </c>
      <c r="D30" s="114">
        <f>Mois_trait</f>
        <v>6</v>
      </c>
      <c r="E30" s="95">
        <v>0</v>
      </c>
      <c r="F30" s="94"/>
      <c r="G30" s="94"/>
      <c r="H30" s="97"/>
      <c r="I30" s="97"/>
      <c r="J30" s="97"/>
      <c r="K30" s="84" t="str">
        <f>IF(OR(WEEKDAY(B30,2)&gt;5,COUNTIF(z_fériés,B30)),"Ferié","Ouvré")</f>
        <v>Ouvré</v>
      </c>
      <c r="L30" s="138"/>
      <c r="M30" s="76"/>
    </row>
    <row r="31" spans="1:13" s="1" customFormat="1" ht="13.5" thickBot="1" x14ac:dyDescent="0.25">
      <c r="A31" s="174">
        <f>WORKDAY(DEB_PLAN,4,z_feriés)</f>
        <v>43628</v>
      </c>
      <c r="B31" s="92">
        <f>A31</f>
        <v>43628</v>
      </c>
      <c r="C31" s="28">
        <f>WEEKNUM(A31,2)</f>
        <v>24</v>
      </c>
      <c r="D31" s="69">
        <f>Mois_trait</f>
        <v>6</v>
      </c>
      <c r="E31" s="30">
        <v>4.1666666666666664E-2</v>
      </c>
      <c r="F31" s="30"/>
      <c r="G31" s="30" t="s">
        <v>29</v>
      </c>
      <c r="H31" s="31"/>
      <c r="I31" s="52"/>
      <c r="J31" s="32" t="s">
        <v>325</v>
      </c>
      <c r="K31" s="31" t="s">
        <v>82</v>
      </c>
      <c r="L31" s="66"/>
      <c r="M31" s="76"/>
    </row>
    <row r="32" spans="1:13" s="1" customFormat="1" ht="13.5" thickBot="1" x14ac:dyDescent="0.25">
      <c r="A32" s="165">
        <f>Ex_AC1 + 8</f>
        <v>43629</v>
      </c>
      <c r="B32" s="93">
        <f>A32</f>
        <v>43629</v>
      </c>
      <c r="C32" s="114">
        <f>WEEKNUM(A32,2)</f>
        <v>24</v>
      </c>
      <c r="D32" s="114">
        <f>Mois_trait</f>
        <v>6</v>
      </c>
      <c r="E32" s="95">
        <v>0</v>
      </c>
      <c r="F32" s="94"/>
      <c r="G32" s="94"/>
      <c r="H32" s="97"/>
      <c r="I32" s="97"/>
      <c r="J32" s="97"/>
      <c r="K32" s="84" t="str">
        <f>IF(OR(WEEKDAY(B32,2)&gt;5,COUNTIF(z_fériés,B32)),"Ferié","Ouvré")</f>
        <v>Ouvré</v>
      </c>
      <c r="L32" s="138"/>
      <c r="M32" s="76"/>
    </row>
    <row r="33" spans="1:13" s="1" customFormat="1" ht="13.5" thickBot="1" x14ac:dyDescent="0.25">
      <c r="A33" s="174">
        <f>WORKDAY(DEB_PLAN,5,z_feriés)</f>
        <v>43629</v>
      </c>
      <c r="B33" s="92">
        <f>A33</f>
        <v>43629</v>
      </c>
      <c r="C33" s="28">
        <f>WEEKNUM(A33,2)</f>
        <v>24</v>
      </c>
      <c r="D33" s="69">
        <f>Mois_trait</f>
        <v>6</v>
      </c>
      <c r="E33" s="30">
        <v>4.1666666666666664E-2</v>
      </c>
      <c r="F33" s="30"/>
      <c r="G33" s="30" t="s">
        <v>29</v>
      </c>
      <c r="H33" s="31"/>
      <c r="I33" s="52"/>
      <c r="J33" s="32" t="s">
        <v>325</v>
      </c>
      <c r="K33" s="31" t="s">
        <v>82</v>
      </c>
      <c r="L33" s="66"/>
      <c r="M33" s="76"/>
    </row>
    <row r="34" spans="1:13" s="1" customFormat="1" ht="39" thickBot="1" x14ac:dyDescent="0.25">
      <c r="A34" s="129">
        <f>DATE(Année_trait,Mois_trait,1)-DAY(DATE(Année_trait,Mois_trait,1))+15-WEEKDAY(DATE(Année_trait,Mois_trait,1)-DAY(DATE(Année_trait,Mois_trait,1))--3)</f>
        <v>43629</v>
      </c>
      <c r="B34" s="92">
        <f>A34</f>
        <v>43629</v>
      </c>
      <c r="C34" s="42">
        <f>WEEKNUM(A34,2)</f>
        <v>24</v>
      </c>
      <c r="D34" s="69">
        <f>Mois_trait</f>
        <v>6</v>
      </c>
      <c r="E34" s="30">
        <v>0.29166666666666669</v>
      </c>
      <c r="F34" s="30"/>
      <c r="G34" s="30" t="s">
        <v>29</v>
      </c>
      <c r="H34" s="31"/>
      <c r="I34" s="31"/>
      <c r="J34" s="32" t="s">
        <v>77</v>
      </c>
      <c r="K34" s="31" t="s">
        <v>78</v>
      </c>
      <c r="L34" s="66"/>
      <c r="M34" s="76"/>
    </row>
    <row r="35" spans="1:13" s="1" customFormat="1" ht="13.5" thickBot="1" x14ac:dyDescent="0.25">
      <c r="A35" s="237">
        <f>Ex_AC1 + 9</f>
        <v>43630</v>
      </c>
      <c r="B35" s="146">
        <f>A35</f>
        <v>43630</v>
      </c>
      <c r="C35" s="238">
        <f>WEEKNUM(A35,2)</f>
        <v>24</v>
      </c>
      <c r="D35" s="238">
        <f>Mois_trait</f>
        <v>6</v>
      </c>
      <c r="E35" s="113">
        <v>0</v>
      </c>
      <c r="F35" s="147"/>
      <c r="G35" s="147"/>
      <c r="H35" s="148"/>
      <c r="I35" s="99"/>
      <c r="J35" s="106"/>
      <c r="K35" s="84" t="str">
        <f>IF(OR(WEEKDAY(B35,2)&gt;5,COUNTIF(z_fériés,B35)),"Ferié","Ouvré")</f>
        <v>Ouvré</v>
      </c>
      <c r="L35" s="153"/>
      <c r="M35" s="76"/>
    </row>
    <row r="36" spans="1:13" s="1" customFormat="1" ht="12.75" x14ac:dyDescent="0.2">
      <c r="A36" s="166">
        <f>WORKDAY(DEB_PLAN,6,z_feriés)</f>
        <v>43630</v>
      </c>
      <c r="B36" s="92">
        <f>A36</f>
        <v>43630</v>
      </c>
      <c r="C36" s="47">
        <f>WEEKNUM(A36,2)</f>
        <v>24</v>
      </c>
      <c r="D36" s="69">
        <f>Mois_trait</f>
        <v>6</v>
      </c>
      <c r="E36" s="30">
        <v>4.1666666666666664E-2</v>
      </c>
      <c r="F36" s="30"/>
      <c r="G36" s="30" t="s">
        <v>29</v>
      </c>
      <c r="H36" s="64"/>
      <c r="I36" s="31"/>
      <c r="J36" s="32" t="s">
        <v>325</v>
      </c>
      <c r="K36" s="31" t="s">
        <v>82</v>
      </c>
      <c r="L36" s="66" t="s">
        <v>0</v>
      </c>
      <c r="M36" s="78"/>
    </row>
    <row r="37" spans="1:13" s="1" customFormat="1" ht="25.5" x14ac:dyDescent="0.2">
      <c r="A37" s="163">
        <f>WORKDAY(Ex_AC3,-3,z_fériés)</f>
        <v>43630</v>
      </c>
      <c r="B37" s="92">
        <f>A37</f>
        <v>43630</v>
      </c>
      <c r="C37" s="42">
        <f>WEEKNUM(A37,2)</f>
        <v>24</v>
      </c>
      <c r="D37" s="69">
        <f>Mois_trait</f>
        <v>6</v>
      </c>
      <c r="E37" s="30">
        <v>0.41666666666666669</v>
      </c>
      <c r="F37" s="30"/>
      <c r="G37" s="30" t="s">
        <v>29</v>
      </c>
      <c r="H37" s="41"/>
      <c r="I37" s="31"/>
      <c r="J37" s="31" t="s">
        <v>93</v>
      </c>
      <c r="K37" s="39"/>
      <c r="L37" s="66" t="s">
        <v>79</v>
      </c>
      <c r="M37" s="76"/>
    </row>
    <row r="38" spans="1:13" s="1" customFormat="1" ht="25.5" x14ac:dyDescent="0.2">
      <c r="A38" s="163">
        <f>WORKDAY(Tr_STC1_LP,-1,z_fériés)</f>
        <v>43630</v>
      </c>
      <c r="B38" s="92">
        <f>A38</f>
        <v>43630</v>
      </c>
      <c r="C38" s="42">
        <f>WEEKNUM(A38,2)</f>
        <v>24</v>
      </c>
      <c r="D38" s="69">
        <f>Mois_trait</f>
        <v>6</v>
      </c>
      <c r="E38" s="30">
        <v>0.625</v>
      </c>
      <c r="F38" s="30">
        <v>0.95833333333333337</v>
      </c>
      <c r="G38" s="48" t="s">
        <v>7</v>
      </c>
      <c r="H38" s="31"/>
      <c r="I38" s="49" t="s">
        <v>80</v>
      </c>
      <c r="J38" s="50"/>
      <c r="K38" s="31"/>
      <c r="L38" s="66"/>
      <c r="M38" s="76"/>
    </row>
    <row r="39" spans="1:13" s="1" customFormat="1" ht="12.75" x14ac:dyDescent="0.2">
      <c r="A39" s="242">
        <f>Ex_AC1 + 10</f>
        <v>43631</v>
      </c>
      <c r="B39" s="146">
        <f>A39</f>
        <v>43631</v>
      </c>
      <c r="C39" s="238">
        <f>WEEKNUM(A39,2)</f>
        <v>24</v>
      </c>
      <c r="D39" s="238">
        <f>Mois_trait</f>
        <v>6</v>
      </c>
      <c r="E39" s="113">
        <v>0</v>
      </c>
      <c r="F39" s="104"/>
      <c r="G39" s="104"/>
      <c r="H39" s="106"/>
      <c r="I39" s="106"/>
      <c r="J39" s="106"/>
      <c r="K39" s="84" t="str">
        <f>IF(OR(WEEKDAY(B39,2)&gt;5,COUNTIF(z_fériés,B39)),"Ferié","Ouvré")</f>
        <v>Ferié</v>
      </c>
      <c r="L39" s="153"/>
      <c r="M39" s="76"/>
    </row>
    <row r="40" spans="1:13" s="1" customFormat="1" ht="12.75" x14ac:dyDescent="0.2">
      <c r="A40" s="167">
        <f>Ex_AC1 + 11</f>
        <v>43632</v>
      </c>
      <c r="B40" s="93">
        <f>A40</f>
        <v>43632</v>
      </c>
      <c r="C40" s="114">
        <f>WEEKNUM(A40,2)</f>
        <v>24</v>
      </c>
      <c r="D40" s="114">
        <f>Mois_trait</f>
        <v>6</v>
      </c>
      <c r="E40" s="95">
        <v>0</v>
      </c>
      <c r="F40" s="95"/>
      <c r="G40" s="95"/>
      <c r="H40" s="98"/>
      <c r="I40" s="98"/>
      <c r="J40" s="98"/>
      <c r="K40" s="84" t="str">
        <f>IF(OR(WEEKDAY(B40,2)&gt;5,COUNTIF(z_fériés,B40)),"Ferié","Ouvré")</f>
        <v>Ferié</v>
      </c>
      <c r="L40" s="138"/>
      <c r="M40" s="76"/>
    </row>
    <row r="41" spans="1:13" s="1" customFormat="1" ht="13.5" thickBot="1" x14ac:dyDescent="0.25">
      <c r="A41" s="167">
        <f>Ex_AC1 + 12</f>
        <v>43633</v>
      </c>
      <c r="B41" s="93">
        <f>A41</f>
        <v>43633</v>
      </c>
      <c r="C41" s="114">
        <f>WEEKNUM(A41,2)</f>
        <v>25</v>
      </c>
      <c r="D41" s="114">
        <f>Mois_trait</f>
        <v>6</v>
      </c>
      <c r="E41" s="95">
        <v>0</v>
      </c>
      <c r="F41" s="95"/>
      <c r="G41" s="95"/>
      <c r="H41" s="98"/>
      <c r="I41" s="98"/>
      <c r="J41" s="98"/>
      <c r="K41" s="84" t="str">
        <f>IF(OR(WEEKDAY(B41,2)&gt;5,COUNTIF(z_fériés,B41)),"Ferié","Ouvré")</f>
        <v>Ouvré</v>
      </c>
      <c r="L41" s="138"/>
      <c r="M41" s="80"/>
    </row>
    <row r="42" spans="1:13" s="1" customFormat="1" ht="12.75" x14ac:dyDescent="0.2">
      <c r="A42" s="272">
        <f>WORKDAY(DEB_PLAN,7,z_feriés)</f>
        <v>43633</v>
      </c>
      <c r="B42" s="92">
        <f>A42</f>
        <v>43633</v>
      </c>
      <c r="C42" s="28">
        <f>WEEKNUM(A42,2)</f>
        <v>25</v>
      </c>
      <c r="D42" s="69">
        <f>Mois_trait</f>
        <v>6</v>
      </c>
      <c r="E42" s="30">
        <v>4.1666666666666664E-2</v>
      </c>
      <c r="F42" s="30"/>
      <c r="G42" s="30" t="s">
        <v>29</v>
      </c>
      <c r="H42" s="31"/>
      <c r="I42" s="31"/>
      <c r="J42" s="32"/>
      <c r="K42" s="31"/>
      <c r="L42" s="139"/>
      <c r="M42" s="76" t="s">
        <v>88</v>
      </c>
    </row>
    <row r="43" spans="1:13" s="1" customFormat="1" ht="25.5" x14ac:dyDescent="0.2">
      <c r="A43" s="92">
        <f>Tr_STC1_LP</f>
        <v>43633</v>
      </c>
      <c r="B43" s="92">
        <f>A43</f>
        <v>43633</v>
      </c>
      <c r="C43" s="42">
        <f>WEEKNUM(A43,2)</f>
        <v>25</v>
      </c>
      <c r="D43" s="69">
        <f>Mois_trait</f>
        <v>6</v>
      </c>
      <c r="E43" s="30">
        <v>0.27083333333333331</v>
      </c>
      <c r="F43" s="30">
        <v>0.33333333333333331</v>
      </c>
      <c r="G43" s="48" t="s">
        <v>7</v>
      </c>
      <c r="H43" s="31"/>
      <c r="I43" s="31"/>
      <c r="J43" s="31"/>
      <c r="K43" s="49"/>
      <c r="L43" s="139" t="s">
        <v>6</v>
      </c>
      <c r="M43" s="76"/>
    </row>
    <row r="44" spans="1:13" s="1" customFormat="1" ht="39" thickBot="1" x14ac:dyDescent="0.25">
      <c r="A44" s="129">
        <f>Tr_STC1_LP</f>
        <v>43633</v>
      </c>
      <c r="B44" s="92">
        <f>A44</f>
        <v>43633</v>
      </c>
      <c r="C44" s="42">
        <f>WEEKNUM(A44,2)</f>
        <v>25</v>
      </c>
      <c r="D44" s="69">
        <f>Mois_trait</f>
        <v>6</v>
      </c>
      <c r="E44" s="30">
        <v>0.27083333333333331</v>
      </c>
      <c r="F44" s="30" t="s">
        <v>0</v>
      </c>
      <c r="G44" s="48" t="s">
        <v>8</v>
      </c>
      <c r="H44" s="47"/>
      <c r="I44" s="31"/>
      <c r="J44" s="34"/>
      <c r="K44" s="49"/>
      <c r="L44" s="66"/>
      <c r="M44" s="78"/>
    </row>
    <row r="45" spans="1:13" s="1" customFormat="1" ht="12.75" x14ac:dyDescent="0.2">
      <c r="A45" s="163">
        <f>Ex_Compta_1_HP</f>
        <v>43633</v>
      </c>
      <c r="B45" s="92">
        <f>A45</f>
        <v>43633</v>
      </c>
      <c r="C45" s="42">
        <f>WEEKNUM(A45,2)</f>
        <v>25</v>
      </c>
      <c r="D45" s="69">
        <f>Mois_trait</f>
        <v>6</v>
      </c>
      <c r="E45" s="36">
        <v>0.625</v>
      </c>
      <c r="F45" s="58">
        <v>0.70833333333333337</v>
      </c>
      <c r="G45" s="36" t="s">
        <v>1</v>
      </c>
      <c r="H45" s="38"/>
      <c r="I45" s="45"/>
      <c r="J45" s="45"/>
      <c r="K45" s="62"/>
      <c r="L45" s="61"/>
      <c r="M45" s="76"/>
    </row>
    <row r="46" spans="1:13" s="1" customFormat="1" ht="12.75" x14ac:dyDescent="0.2">
      <c r="A46" s="163">
        <f>Ex_AC2</f>
        <v>43633</v>
      </c>
      <c r="B46" s="92">
        <f>A46</f>
        <v>43633</v>
      </c>
      <c r="C46" s="42">
        <v>3</v>
      </c>
      <c r="D46" s="69">
        <f>Mois_trait</f>
        <v>6</v>
      </c>
      <c r="E46" s="36">
        <v>0.70833333333333337</v>
      </c>
      <c r="F46" s="69">
        <v>0.75</v>
      </c>
      <c r="G46" s="30" t="s">
        <v>4</v>
      </c>
      <c r="H46" s="44"/>
      <c r="I46" s="31"/>
      <c r="J46" s="31"/>
      <c r="K46" s="31"/>
      <c r="L46" s="66" t="s">
        <v>0</v>
      </c>
      <c r="M46" s="76"/>
    </row>
    <row r="47" spans="1:13" s="1" customFormat="1" ht="13.5" thickBot="1" x14ac:dyDescent="0.25">
      <c r="A47" s="236">
        <f>Ex_AC1 + 13</f>
        <v>43634</v>
      </c>
      <c r="B47" s="93">
        <f>A47</f>
        <v>43634</v>
      </c>
      <c r="C47" s="114">
        <f>WEEKNUM(A47,2)</f>
        <v>25</v>
      </c>
      <c r="D47" s="114">
        <f>Mois_trait</f>
        <v>6</v>
      </c>
      <c r="E47" s="95">
        <v>0</v>
      </c>
      <c r="F47" s="94"/>
      <c r="G47" s="94"/>
      <c r="H47" s="97"/>
      <c r="I47" s="97"/>
      <c r="J47" s="97"/>
      <c r="K47" s="84" t="str">
        <f>IF(OR(WEEKDAY(B47,2)&gt;5,COUNTIF(z_fériés,B47)),"Ferié","Ouvré")</f>
        <v>Ouvré</v>
      </c>
      <c r="L47" s="138"/>
      <c r="M47" s="80"/>
    </row>
    <row r="48" spans="1:13" s="1" customFormat="1" ht="13.5" thickBot="1" x14ac:dyDescent="0.25">
      <c r="A48" s="271">
        <f>WORKDAY(DEB_PLAN,8,z_feriés)</f>
        <v>43634</v>
      </c>
      <c r="B48" s="92">
        <f>A48</f>
        <v>43634</v>
      </c>
      <c r="C48" s="28">
        <f>WEEKNUM(A48,2)</f>
        <v>25</v>
      </c>
      <c r="D48" s="69">
        <f>Mois_trait</f>
        <v>6</v>
      </c>
      <c r="E48" s="30">
        <v>4.1666666666666664E-2</v>
      </c>
      <c r="F48" s="30"/>
      <c r="G48" s="30" t="s">
        <v>29</v>
      </c>
      <c r="H48" s="31"/>
      <c r="I48" s="31"/>
      <c r="J48" s="32"/>
      <c r="K48" s="31"/>
      <c r="L48" s="66"/>
      <c r="M48" s="76"/>
    </row>
    <row r="49" spans="1:13" s="1" customFormat="1" ht="12.75" x14ac:dyDescent="0.2">
      <c r="A49" s="162">
        <f>WORKDAY(Ex_AC2,1,z_fériés)</f>
        <v>43634</v>
      </c>
      <c r="B49" s="92">
        <f>A49</f>
        <v>43634</v>
      </c>
      <c r="C49" s="42">
        <f>WEEKNUM(A49,2)</f>
        <v>25</v>
      </c>
      <c r="D49" s="69">
        <f>Mois_trait</f>
        <v>6</v>
      </c>
      <c r="E49" s="30">
        <v>0.29166666666666669</v>
      </c>
      <c r="F49" s="30">
        <v>0.375</v>
      </c>
      <c r="G49" s="30" t="s">
        <v>4</v>
      </c>
      <c r="H49" s="31"/>
      <c r="I49" s="31"/>
      <c r="J49" s="31"/>
      <c r="K49" s="43"/>
      <c r="L49" s="66" t="s">
        <v>76</v>
      </c>
      <c r="M49" s="76"/>
    </row>
    <row r="50" spans="1:13" s="1" customFormat="1" ht="12.75" x14ac:dyDescent="0.2">
      <c r="A50" s="163">
        <f>WORKDAY(Ex_AC2,1,z_fériés)</f>
        <v>43634</v>
      </c>
      <c r="B50" s="92">
        <f>A50</f>
        <v>43634</v>
      </c>
      <c r="C50" s="42">
        <f>WEEKNUM(A50,2)</f>
        <v>25</v>
      </c>
      <c r="D50" s="69">
        <f>Mois_trait</f>
        <v>6</v>
      </c>
      <c r="E50" s="30">
        <v>0.29166666666666669</v>
      </c>
      <c r="F50" s="30">
        <v>0.375</v>
      </c>
      <c r="G50" s="30" t="s">
        <v>4</v>
      </c>
      <c r="H50" s="31"/>
      <c r="I50" s="31"/>
      <c r="J50" s="31"/>
      <c r="K50" s="43"/>
      <c r="L50" s="66" t="s">
        <v>6</v>
      </c>
      <c r="M50" s="80"/>
    </row>
    <row r="51" spans="1:13" s="1" customFormat="1" ht="12.75" x14ac:dyDescent="0.2">
      <c r="A51" s="163">
        <f>WORKDAY(Ex_AC2,1,z_fériés)</f>
        <v>43634</v>
      </c>
      <c r="B51" s="92">
        <f>A51</f>
        <v>43634</v>
      </c>
      <c r="C51" s="42">
        <v>3</v>
      </c>
      <c r="D51" s="69">
        <f>Mois_trait</f>
        <v>6</v>
      </c>
      <c r="E51" s="30">
        <v>0.29166666666666669</v>
      </c>
      <c r="F51" s="30">
        <v>0.41666666666666669</v>
      </c>
      <c r="G51" s="30" t="s">
        <v>4</v>
      </c>
      <c r="H51" s="44"/>
      <c r="I51" s="31"/>
      <c r="J51" s="31"/>
      <c r="K51" s="43"/>
      <c r="L51" s="66"/>
      <c r="M51" s="76" t="s">
        <v>94</v>
      </c>
    </row>
    <row r="52" spans="1:13" s="1" customFormat="1" ht="26.25" thickBot="1" x14ac:dyDescent="0.25">
      <c r="A52" s="159">
        <f>WORKDAY(Ex_AC2,1,z_fériés)</f>
        <v>43634</v>
      </c>
      <c r="B52" s="92">
        <f>A52</f>
        <v>43634</v>
      </c>
      <c r="C52" s="42">
        <f>WEEKNUM(A52,2)</f>
        <v>25</v>
      </c>
      <c r="D52" s="69">
        <f>Mois_trait</f>
        <v>6</v>
      </c>
      <c r="E52" s="30">
        <v>0.29166666666666669</v>
      </c>
      <c r="F52" s="30">
        <v>0.45833333333333331</v>
      </c>
      <c r="G52" s="30" t="s">
        <v>23</v>
      </c>
      <c r="H52" s="41"/>
      <c r="I52" s="31"/>
      <c r="J52" s="34"/>
      <c r="K52" s="137"/>
      <c r="L52" s="139"/>
      <c r="M52" s="76"/>
    </row>
    <row r="53" spans="1:13" s="1" customFormat="1" ht="13.5" thickBot="1" x14ac:dyDescent="0.25">
      <c r="A53" s="161">
        <f>WORKDAY(Ex_Compta_1_HP,1,z_feriés)</f>
        <v>43634</v>
      </c>
      <c r="B53" s="92">
        <f>A53</f>
        <v>43634</v>
      </c>
      <c r="C53" s="42">
        <f>WEEKNUM(A53,2)</f>
        <v>25</v>
      </c>
      <c r="D53" s="69">
        <f>Mois_trait</f>
        <v>6</v>
      </c>
      <c r="E53" s="36">
        <v>0.29166666666666669</v>
      </c>
      <c r="F53" s="36">
        <v>0.58333333333333337</v>
      </c>
      <c r="G53" s="36" t="s">
        <v>1</v>
      </c>
      <c r="H53" s="37"/>
      <c r="I53" s="45"/>
      <c r="J53" s="45"/>
      <c r="K53" s="158"/>
      <c r="L53" s="61"/>
      <c r="M53" s="76"/>
    </row>
    <row r="54" spans="1:13" s="1" customFormat="1" ht="13.5" thickBot="1" x14ac:dyDescent="0.25">
      <c r="A54" s="162">
        <f>WORKDAY(Ex_AC2,1,z_fériés)</f>
        <v>43634</v>
      </c>
      <c r="B54" s="92">
        <f>A54</f>
        <v>43634</v>
      </c>
      <c r="C54" s="42">
        <f>WEEKNUM(A54,2)</f>
        <v>25</v>
      </c>
      <c r="D54" s="69">
        <f>Mois_trait</f>
        <v>6</v>
      </c>
      <c r="E54" s="30">
        <v>0.625</v>
      </c>
      <c r="F54" s="48">
        <v>0.70833333333333337</v>
      </c>
      <c r="G54" s="30" t="s">
        <v>4</v>
      </c>
      <c r="H54" s="149"/>
      <c r="I54" s="41"/>
      <c r="J54" s="41"/>
      <c r="K54" s="31"/>
      <c r="L54" s="66"/>
      <c r="M54" s="76"/>
    </row>
    <row r="55" spans="1:13" s="1" customFormat="1" ht="13.5" thickBot="1" x14ac:dyDescent="0.25">
      <c r="A55" s="269">
        <f>Ex_AC1 + 14</f>
        <v>43635</v>
      </c>
      <c r="B55" s="93">
        <f>A55</f>
        <v>43635</v>
      </c>
      <c r="C55" s="114">
        <f>WEEKNUM(A55,2)</f>
        <v>25</v>
      </c>
      <c r="D55" s="114">
        <f>Mois_trait</f>
        <v>6</v>
      </c>
      <c r="E55" s="95">
        <v>0</v>
      </c>
      <c r="F55" s="94"/>
      <c r="G55" s="94"/>
      <c r="H55" s="97"/>
      <c r="I55" s="97"/>
      <c r="J55" s="97"/>
      <c r="K55" s="84" t="str">
        <f>IF(OR(WEEKDAY(B55,2)&gt;5,COUNTIF(z_fériés,B55)),"Ferié","Ouvré")</f>
        <v>Ouvré</v>
      </c>
      <c r="L55" s="138"/>
      <c r="M55" s="76" t="s">
        <v>96</v>
      </c>
    </row>
    <row r="56" spans="1:13" s="1" customFormat="1" ht="13.5" thickBot="1" x14ac:dyDescent="0.25">
      <c r="A56" s="174">
        <f>WORKDAY(DEB_PLAN,9,z_feriés)</f>
        <v>43635</v>
      </c>
      <c r="B56" s="92">
        <f>A56</f>
        <v>43635</v>
      </c>
      <c r="C56" s="42">
        <f>WEEKNUM(A56,2)</f>
        <v>25</v>
      </c>
      <c r="D56" s="69">
        <f>Mois_trait</f>
        <v>6</v>
      </c>
      <c r="E56" s="30">
        <v>4.1666666666666664E-2</v>
      </c>
      <c r="F56" s="105"/>
      <c r="G56" s="30" t="s">
        <v>29</v>
      </c>
      <c r="H56" s="107"/>
      <c r="I56" s="107"/>
      <c r="J56" s="32" t="s">
        <v>325</v>
      </c>
      <c r="K56" s="31" t="s">
        <v>82</v>
      </c>
      <c r="L56" s="61"/>
      <c r="M56" s="76"/>
    </row>
    <row r="57" spans="1:13" s="1" customFormat="1" ht="26.25" thickBot="1" x14ac:dyDescent="0.25">
      <c r="A57" s="161">
        <f>WORKDAY(Ex_AC2,2,z_fériés)</f>
        <v>43635</v>
      </c>
      <c r="B57" s="92">
        <f>A57</f>
        <v>43635</v>
      </c>
      <c r="C57" s="42">
        <f>WEEKNUM(A57,2)</f>
        <v>25</v>
      </c>
      <c r="D57" s="69">
        <f>Mois_trait</f>
        <v>6</v>
      </c>
      <c r="E57" s="30">
        <v>0.29166666666666669</v>
      </c>
      <c r="F57" s="30" t="s">
        <v>0</v>
      </c>
      <c r="G57" s="30" t="s">
        <v>23</v>
      </c>
      <c r="H57" s="47"/>
      <c r="I57" s="31"/>
      <c r="J57" s="34"/>
      <c r="K57" s="157"/>
      <c r="L57" s="66"/>
      <c r="M57" s="76"/>
    </row>
    <row r="58" spans="1:13" s="1" customFormat="1" ht="13.5" thickBot="1" x14ac:dyDescent="0.25">
      <c r="A58" s="161">
        <f>WORKDAY(Ex_AC2,2,z_fériés)</f>
        <v>43635</v>
      </c>
      <c r="B58" s="92">
        <f>A58</f>
        <v>43635</v>
      </c>
      <c r="C58" s="42">
        <f>WEEKNUM(A58,2)</f>
        <v>25</v>
      </c>
      <c r="D58" s="69">
        <f>Mois_trait</f>
        <v>6</v>
      </c>
      <c r="E58" s="30">
        <v>0.29166666666666669</v>
      </c>
      <c r="F58" s="30"/>
      <c r="G58" s="30" t="s">
        <v>4</v>
      </c>
      <c r="H58" s="31"/>
      <c r="I58" s="31"/>
      <c r="J58" s="31"/>
      <c r="K58" s="46"/>
      <c r="L58" s="66"/>
      <c r="M58" s="76"/>
    </row>
    <row r="59" spans="1:13" s="1" customFormat="1" ht="13.5" thickBot="1" x14ac:dyDescent="0.25">
      <c r="A59" s="161">
        <f>WORKDAY(Ex_AC2,2,z_fériés)</f>
        <v>43635</v>
      </c>
      <c r="B59" s="92">
        <f>A59</f>
        <v>43635</v>
      </c>
      <c r="C59" s="42">
        <f>WEEKNUM(A59,2)</f>
        <v>25</v>
      </c>
      <c r="D59" s="69">
        <f>Mois_trait</f>
        <v>6</v>
      </c>
      <c r="E59" s="30">
        <v>0.375</v>
      </c>
      <c r="F59" s="30">
        <v>0.45833333333333331</v>
      </c>
      <c r="G59" s="30" t="s">
        <v>4</v>
      </c>
      <c r="H59" s="31"/>
      <c r="I59" s="31"/>
      <c r="J59" s="31"/>
      <c r="K59" s="46"/>
      <c r="L59" s="66"/>
      <c r="M59" s="276"/>
    </row>
    <row r="60" spans="1:13" s="1" customFormat="1" ht="12.75" x14ac:dyDescent="0.2">
      <c r="A60" s="162">
        <f>WORKDAY(DATE(Année_trait,Mois_trait,20),-1,z_fériés)</f>
        <v>43635</v>
      </c>
      <c r="B60" s="92">
        <f>A60</f>
        <v>43635</v>
      </c>
      <c r="C60" s="42">
        <f>WEEKNUM(A60,2)</f>
        <v>25</v>
      </c>
      <c r="D60" s="69">
        <f>Mois_trait</f>
        <v>6</v>
      </c>
      <c r="E60" s="36">
        <v>0.625</v>
      </c>
      <c r="F60" s="36">
        <v>0.625</v>
      </c>
      <c r="G60" s="36" t="s">
        <v>3</v>
      </c>
      <c r="H60" s="37"/>
      <c r="I60" s="38"/>
      <c r="J60" s="38"/>
      <c r="K60" s="37"/>
      <c r="L60" s="61"/>
      <c r="M60" s="76"/>
    </row>
    <row r="61" spans="1:13" s="1" customFormat="1" ht="12.75" x14ac:dyDescent="0.2">
      <c r="A61" s="163">
        <f>Ex_AC3</f>
        <v>43635</v>
      </c>
      <c r="B61" s="92">
        <f>A61</f>
        <v>43635</v>
      </c>
      <c r="C61" s="28">
        <f>WEEKNUM(A61,2)</f>
        <v>25</v>
      </c>
      <c r="D61" s="69">
        <f>Mois_trait</f>
        <v>6</v>
      </c>
      <c r="E61" s="33">
        <v>0.66666666666666663</v>
      </c>
      <c r="F61" s="33">
        <v>0.70833333333333337</v>
      </c>
      <c r="G61" s="33" t="s">
        <v>4</v>
      </c>
      <c r="H61" s="120"/>
      <c r="I61" s="32"/>
      <c r="J61" s="31"/>
      <c r="K61" s="31"/>
      <c r="L61" s="66"/>
      <c r="M61" s="76"/>
    </row>
    <row r="62" spans="1:13" s="1" customFormat="1" ht="12.75" x14ac:dyDescent="0.2">
      <c r="A62" s="163">
        <f>Ex_Prep_Hyg</f>
        <v>43635</v>
      </c>
      <c r="B62" s="92">
        <f>A62</f>
        <v>43635</v>
      </c>
      <c r="C62" s="28">
        <f>WEEKNUM(A62,2)</f>
        <v>25</v>
      </c>
      <c r="D62" s="69">
        <f>Mois_trait</f>
        <v>6</v>
      </c>
      <c r="E62" s="30">
        <v>0.70833333333333337</v>
      </c>
      <c r="F62" s="48">
        <v>0.70833333333333337</v>
      </c>
      <c r="G62" s="30" t="s">
        <v>4</v>
      </c>
      <c r="H62" s="118"/>
      <c r="I62" s="31"/>
      <c r="J62" s="31"/>
      <c r="K62" s="31"/>
      <c r="L62" s="66"/>
      <c r="M62" s="76"/>
    </row>
    <row r="63" spans="1:13" s="1" customFormat="1" ht="12.75" x14ac:dyDescent="0.2">
      <c r="A63" s="163">
        <f>Ex_Prep_Hyg</f>
        <v>43635</v>
      </c>
      <c r="B63" s="92">
        <f>A63</f>
        <v>43635</v>
      </c>
      <c r="C63" s="28">
        <f>WEEKNUM(A63,2)</f>
        <v>25</v>
      </c>
      <c r="D63" s="69">
        <f>Mois_trait</f>
        <v>6</v>
      </c>
      <c r="E63" s="30">
        <v>0.71180555555555547</v>
      </c>
      <c r="F63" s="30" t="s">
        <v>15</v>
      </c>
      <c r="G63" s="30" t="s">
        <v>4</v>
      </c>
      <c r="H63" s="118"/>
      <c r="I63" s="31"/>
      <c r="J63" s="31"/>
      <c r="K63" s="53"/>
      <c r="L63" s="66"/>
      <c r="M63" s="76"/>
    </row>
    <row r="64" spans="1:13" s="1" customFormat="1" ht="12.75" x14ac:dyDescent="0.2">
      <c r="A64" s="167">
        <f>Ex_AC1 + 15</f>
        <v>43636</v>
      </c>
      <c r="B64" s="244">
        <f>A64</f>
        <v>43636</v>
      </c>
      <c r="C64" s="114">
        <f>WEEKNUM(A64,2)</f>
        <v>25</v>
      </c>
      <c r="D64" s="114">
        <f>Mois_trait</f>
        <v>6</v>
      </c>
      <c r="E64" s="95">
        <v>0</v>
      </c>
      <c r="F64" s="94"/>
      <c r="G64" s="94"/>
      <c r="H64" s="97"/>
      <c r="I64" s="97"/>
      <c r="J64" s="97"/>
      <c r="K64" s="246" t="str">
        <f>IF(OR(WEEKDAY(B64,2)&gt;5,COUNTIF(z_fériés,B64)),"Ferié","Ouvré")</f>
        <v>Ouvré</v>
      </c>
      <c r="L64" s="138"/>
      <c r="M64" s="80"/>
    </row>
    <row r="65" spans="1:13" s="9" customFormat="1" ht="13.5" thickBot="1" x14ac:dyDescent="0.25">
      <c r="A65" s="174">
        <f>WORKDAY(DEB_PLAN,10,z_feriés)</f>
        <v>43636</v>
      </c>
      <c r="B65" s="92">
        <f>A65</f>
        <v>43636</v>
      </c>
      <c r="C65" s="47">
        <f>WEEKNUM(A65,2)</f>
        <v>25</v>
      </c>
      <c r="D65" s="69">
        <f>Mois_trait</f>
        <v>6</v>
      </c>
      <c r="E65" s="30">
        <v>4.1666666666666664E-2</v>
      </c>
      <c r="F65" s="30"/>
      <c r="G65" s="30" t="s">
        <v>29</v>
      </c>
      <c r="H65" s="31"/>
      <c r="I65" s="31"/>
      <c r="J65" s="32" t="s">
        <v>325</v>
      </c>
      <c r="K65" s="31" t="s">
        <v>82</v>
      </c>
      <c r="L65" s="66"/>
      <c r="M65" s="80"/>
    </row>
    <row r="66" spans="1:13" s="1" customFormat="1" ht="12.75" x14ac:dyDescent="0.2">
      <c r="A66" s="163">
        <f>WORKDAY(Ex_AC3,1,z_fériés)</f>
        <v>43636</v>
      </c>
      <c r="B66" s="92">
        <f>A66</f>
        <v>43636</v>
      </c>
      <c r="C66" s="28">
        <f>WEEKNUM(A66,2)</f>
        <v>25</v>
      </c>
      <c r="D66" s="69">
        <f>Mois_trait</f>
        <v>6</v>
      </c>
      <c r="E66" s="30">
        <v>0.16666666666666666</v>
      </c>
      <c r="F66" s="30">
        <v>0.25</v>
      </c>
      <c r="G66" s="30" t="s">
        <v>4</v>
      </c>
      <c r="H66" s="38"/>
      <c r="I66" s="31"/>
      <c r="J66" s="31"/>
      <c r="K66" s="140"/>
      <c r="L66" s="66"/>
      <c r="M66" s="80"/>
    </row>
    <row r="67" spans="1:13" s="1" customFormat="1" ht="12.75" x14ac:dyDescent="0.2">
      <c r="A67" s="163">
        <f>WORKDAY(Ex_AC3,1,z_fériés)</f>
        <v>43636</v>
      </c>
      <c r="B67" s="92">
        <f>A67</f>
        <v>43636</v>
      </c>
      <c r="C67" s="28">
        <f>WEEKNUM(A67,2)</f>
        <v>25</v>
      </c>
      <c r="D67" s="69">
        <f>Mois_trait</f>
        <v>6</v>
      </c>
      <c r="E67" s="30">
        <v>0.16666666666666666</v>
      </c>
      <c r="F67" s="30">
        <v>0.25</v>
      </c>
      <c r="G67" s="30" t="s">
        <v>4</v>
      </c>
      <c r="H67" s="38"/>
      <c r="I67" s="31"/>
      <c r="J67" s="31"/>
      <c r="K67" s="140"/>
      <c r="L67" s="66"/>
      <c r="M67" s="76" t="s">
        <v>97</v>
      </c>
    </row>
    <row r="68" spans="1:13" s="1" customFormat="1" ht="38.25" x14ac:dyDescent="0.2">
      <c r="A68" s="163">
        <f>DATE(Année_trait,Mois_trait,1)-DAY(DATE(Année_trait,Mois_trait,1))+22-WEEKDAY(DATE(Année_trait,Mois_trait,1)-DAY(DATE(Année_trait,Mois_trait,1))--3)</f>
        <v>43636</v>
      </c>
      <c r="B68" s="92">
        <f>A68</f>
        <v>43636</v>
      </c>
      <c r="C68" s="28">
        <f>WEEKNUM(A68,2)</f>
        <v>25</v>
      </c>
      <c r="D68" s="69">
        <f>Mois_trait</f>
        <v>6</v>
      </c>
      <c r="E68" s="36">
        <v>0.29166666666666669</v>
      </c>
      <c r="F68" s="36"/>
      <c r="G68" s="36" t="s">
        <v>29</v>
      </c>
      <c r="H68" s="37"/>
      <c r="I68" s="37"/>
      <c r="J68" s="45" t="s">
        <v>77</v>
      </c>
      <c r="K68" s="37" t="s">
        <v>78</v>
      </c>
      <c r="L68" s="61" t="s">
        <v>0</v>
      </c>
      <c r="M68" s="108"/>
    </row>
    <row r="69" spans="1:13" s="1" customFormat="1" ht="12.75" x14ac:dyDescent="0.2">
      <c r="A69" s="163">
        <f>WORKDAY(Ex_AC3,1,z_fériés)</f>
        <v>43636</v>
      </c>
      <c r="B69" s="92">
        <f>A69</f>
        <v>43636</v>
      </c>
      <c r="C69" s="51">
        <f>WEEKNUM(A69,2)</f>
        <v>25</v>
      </c>
      <c r="D69" s="69">
        <f>Mois_trait</f>
        <v>6</v>
      </c>
      <c r="E69" s="30">
        <v>0.29166666666666669</v>
      </c>
      <c r="F69" s="30"/>
      <c r="G69" s="30" t="s">
        <v>29</v>
      </c>
      <c r="H69" s="54"/>
      <c r="I69" s="54"/>
      <c r="J69" s="54"/>
      <c r="K69" s="126"/>
      <c r="L69" s="66"/>
      <c r="M69" s="76"/>
    </row>
    <row r="70" spans="1:13" s="1" customFormat="1" ht="25.5" x14ac:dyDescent="0.2">
      <c r="A70" s="163">
        <f>WORKDAY(Ex_AC3,1,z_fériés)</f>
        <v>43636</v>
      </c>
      <c r="B70" s="92">
        <f>A70</f>
        <v>43636</v>
      </c>
      <c r="C70" s="28">
        <f>WEEKNUM(A70,2)</f>
        <v>25</v>
      </c>
      <c r="D70" s="69">
        <f>Mois_trait</f>
        <v>6</v>
      </c>
      <c r="E70" s="30">
        <v>0.29166666666666669</v>
      </c>
      <c r="F70" s="30" t="s">
        <v>0</v>
      </c>
      <c r="G70" s="30" t="s">
        <v>23</v>
      </c>
      <c r="H70" s="47"/>
      <c r="I70" s="31"/>
      <c r="J70" s="34"/>
      <c r="K70" s="128"/>
      <c r="L70" s="66"/>
      <c r="M70" s="76"/>
    </row>
    <row r="71" spans="1:13" s="1" customFormat="1" ht="12.75" x14ac:dyDescent="0.2">
      <c r="A71" s="159">
        <f>WORKDAY(DATE(Année_trait,Mois_trait,19),1,z_fériés)</f>
        <v>43636</v>
      </c>
      <c r="B71" s="92">
        <f>A71</f>
        <v>43636</v>
      </c>
      <c r="C71" s="28">
        <f>WEEKNUM(A71,2)</f>
        <v>25</v>
      </c>
      <c r="D71" s="69">
        <f>Mois_trait</f>
        <v>6</v>
      </c>
      <c r="E71" s="36">
        <v>0.625</v>
      </c>
      <c r="F71" s="36">
        <v>0.64583333333333337</v>
      </c>
      <c r="G71" s="36" t="s">
        <v>3</v>
      </c>
      <c r="H71" s="37"/>
      <c r="I71" s="37"/>
      <c r="J71" s="37"/>
      <c r="K71" s="38"/>
      <c r="L71" s="61"/>
      <c r="M71" s="108" t="s">
        <v>95</v>
      </c>
    </row>
    <row r="72" spans="1:13" s="1" customFormat="1" ht="25.5" x14ac:dyDescent="0.2">
      <c r="A72" s="160">
        <f>WORKDAY(Tr_STC2_LP,-1,z_fériés)</f>
        <v>43636</v>
      </c>
      <c r="B72" s="92">
        <f>A72</f>
        <v>43636</v>
      </c>
      <c r="C72" s="42">
        <f>WEEKNUM(A72,2)</f>
        <v>25</v>
      </c>
      <c r="D72" s="69">
        <f>Mois_trait</f>
        <v>6</v>
      </c>
      <c r="E72" s="30">
        <v>0.83333333333333337</v>
      </c>
      <c r="F72" s="30">
        <v>0.95833333333333337</v>
      </c>
      <c r="G72" s="48" t="s">
        <v>7</v>
      </c>
      <c r="H72" s="31"/>
      <c r="I72" s="49"/>
      <c r="J72" s="50"/>
      <c r="K72" s="31"/>
      <c r="L72" s="66"/>
      <c r="M72" s="235" t="s">
        <v>98</v>
      </c>
    </row>
    <row r="73" spans="1:13" s="1" customFormat="1" ht="25.5" x14ac:dyDescent="0.2">
      <c r="A73" s="273">
        <f>Ex_AC1 + 16</f>
        <v>43637</v>
      </c>
      <c r="B73" s="245">
        <f>A73</f>
        <v>43637</v>
      </c>
      <c r="C73" s="238">
        <f>WEEKNUM(A73,2)</f>
        <v>25</v>
      </c>
      <c r="D73" s="238">
        <f>Mois_trait</f>
        <v>6</v>
      </c>
      <c r="E73" s="113">
        <v>0</v>
      </c>
      <c r="F73" s="113"/>
      <c r="G73" s="113"/>
      <c r="H73" s="115"/>
      <c r="I73" s="115"/>
      <c r="J73" s="106"/>
      <c r="K73" s="246" t="str">
        <f>IF(OR(WEEKDAY(B73,2)&gt;5,COUNTIF(z_fériés,B73)),"Ferié","Ouvré")</f>
        <v>Ouvré</v>
      </c>
      <c r="L73" s="153"/>
      <c r="M73" s="108" t="s">
        <v>99</v>
      </c>
    </row>
    <row r="74" spans="1:13" s="1" customFormat="1" ht="12.75" x14ac:dyDescent="0.2">
      <c r="A74" s="166">
        <f>WORKDAY(DEB_PLAN,11,z_feriés)</f>
        <v>43637</v>
      </c>
      <c r="B74" s="92">
        <f>A74</f>
        <v>43637</v>
      </c>
      <c r="C74" s="51">
        <f>WEEKNUM(A74,2)</f>
        <v>25</v>
      </c>
      <c r="D74" s="69">
        <f>Mois_trait</f>
        <v>6</v>
      </c>
      <c r="E74" s="30">
        <v>4.1666666666666664E-2</v>
      </c>
      <c r="F74" s="30"/>
      <c r="G74" s="30" t="s">
        <v>29</v>
      </c>
      <c r="H74" s="31"/>
      <c r="I74" s="31"/>
      <c r="J74" s="32" t="s">
        <v>325</v>
      </c>
      <c r="K74" s="31" t="s">
        <v>82</v>
      </c>
      <c r="L74" s="66"/>
      <c r="M74" s="76"/>
    </row>
    <row r="75" spans="1:13" s="1" customFormat="1" ht="38.25" x14ac:dyDescent="0.2">
      <c r="A75" s="163">
        <f>Tr_STC2_LP</f>
        <v>43637</v>
      </c>
      <c r="B75" s="92">
        <f>A75</f>
        <v>43637</v>
      </c>
      <c r="C75" s="51">
        <f>WEEKNUM(A75,2)</f>
        <v>25</v>
      </c>
      <c r="D75" s="69">
        <f>Mois_trait</f>
        <v>6</v>
      </c>
      <c r="E75" s="30">
        <v>0.29166666666666669</v>
      </c>
      <c r="F75" s="30" t="s">
        <v>0</v>
      </c>
      <c r="G75" s="48" t="s">
        <v>8</v>
      </c>
      <c r="H75" s="47"/>
      <c r="I75" s="31"/>
      <c r="J75" s="34"/>
      <c r="K75" s="49"/>
      <c r="L75" s="66"/>
      <c r="M75" s="76"/>
    </row>
    <row r="76" spans="1:13" s="1" customFormat="1" ht="25.5" x14ac:dyDescent="0.2">
      <c r="A76" s="163">
        <f>WORKDAY(PAIE_DEF,-4,z_fériés)</f>
        <v>43637</v>
      </c>
      <c r="B76" s="92">
        <f>A76</f>
        <v>43637</v>
      </c>
      <c r="C76" s="51">
        <f>WEEKNUM(A76,2)</f>
        <v>25</v>
      </c>
      <c r="D76" s="69">
        <f>Mois_trait</f>
        <v>6</v>
      </c>
      <c r="E76" s="30">
        <v>0.29166666666666669</v>
      </c>
      <c r="F76" s="30"/>
      <c r="G76" s="33" t="s">
        <v>25</v>
      </c>
      <c r="H76" s="31"/>
      <c r="I76" s="31"/>
      <c r="J76" s="31"/>
      <c r="K76" s="31"/>
      <c r="L76" s="66"/>
      <c r="M76" s="76"/>
    </row>
    <row r="77" spans="1:13" s="1" customFormat="1" ht="25.5" x14ac:dyDescent="0.2">
      <c r="A77" s="163">
        <f>Tr_STC2_LP</f>
        <v>43637</v>
      </c>
      <c r="B77" s="92">
        <f>A77</f>
        <v>43637</v>
      </c>
      <c r="C77" s="51">
        <f>WEEKNUM(A77,2)</f>
        <v>25</v>
      </c>
      <c r="D77" s="69">
        <f>Mois_trait</f>
        <v>6</v>
      </c>
      <c r="E77" s="30">
        <v>0.33333333333333331</v>
      </c>
      <c r="F77" s="30">
        <v>0.33333333333333331</v>
      </c>
      <c r="G77" s="48" t="s">
        <v>7</v>
      </c>
      <c r="H77" s="31"/>
      <c r="I77" s="31"/>
      <c r="J77" s="31"/>
      <c r="K77" s="49"/>
      <c r="L77" s="139"/>
      <c r="M77" s="76"/>
    </row>
    <row r="78" spans="1:13" s="1" customFormat="1" ht="25.5" x14ac:dyDescent="0.2">
      <c r="A78" s="159">
        <f>Tr_ACO_LP</f>
        <v>43637</v>
      </c>
      <c r="B78" s="92">
        <f>A78</f>
        <v>43637</v>
      </c>
      <c r="C78" s="42">
        <f>WEEKNUM(A78,2)</f>
        <v>25</v>
      </c>
      <c r="D78" s="69">
        <f>Mois_trait</f>
        <v>6</v>
      </c>
      <c r="E78" s="36">
        <v>0.375</v>
      </c>
      <c r="F78" s="58"/>
      <c r="G78" s="48" t="s">
        <v>7</v>
      </c>
      <c r="H78" s="38"/>
      <c r="I78" s="144"/>
      <c r="J78" s="45"/>
      <c r="K78" s="62"/>
      <c r="L78" s="61"/>
      <c r="M78" s="76"/>
    </row>
    <row r="79" spans="1:13" s="1" customFormat="1" ht="12.75" x14ac:dyDescent="0.2">
      <c r="A79" s="160">
        <f>WORKDAY(Ex_AC3,2,z_fériés)</f>
        <v>43637</v>
      </c>
      <c r="B79" s="92">
        <f>A79</f>
        <v>43637</v>
      </c>
      <c r="C79" s="42">
        <f>WEEKNUM(A79,2)</f>
        <v>25</v>
      </c>
      <c r="D79" s="69">
        <f>Mois_trait</f>
        <v>6</v>
      </c>
      <c r="E79" s="30">
        <v>0.41666666666666669</v>
      </c>
      <c r="F79" s="30">
        <v>0.45833333333333331</v>
      </c>
      <c r="G79" s="30" t="s">
        <v>4</v>
      </c>
      <c r="H79" s="31"/>
      <c r="I79" s="53"/>
      <c r="J79" s="37"/>
      <c r="K79" s="31"/>
      <c r="L79" s="66"/>
      <c r="M79" s="76"/>
    </row>
    <row r="80" spans="1:13" s="1" customFormat="1" ht="25.5" x14ac:dyDescent="0.2">
      <c r="A80" s="159">
        <f>Tr_ACO_LP</f>
        <v>43637</v>
      </c>
      <c r="B80" s="92">
        <f>A80</f>
        <v>43637</v>
      </c>
      <c r="C80" s="42">
        <f>WEEKNUM(A80,2)</f>
        <v>25</v>
      </c>
      <c r="D80" s="69">
        <f>Mois_trait</f>
        <v>6</v>
      </c>
      <c r="E80" s="30">
        <v>0.45833333333333331</v>
      </c>
      <c r="F80" s="30">
        <v>0.625</v>
      </c>
      <c r="G80" s="48" t="s">
        <v>7</v>
      </c>
      <c r="H80" s="31"/>
      <c r="I80" s="31"/>
      <c r="J80" s="31"/>
      <c r="K80" s="151"/>
      <c r="L80" s="139"/>
      <c r="M80" s="76" t="s">
        <v>101</v>
      </c>
    </row>
    <row r="81" spans="1:13" s="1" customFormat="1" ht="38.25" x14ac:dyDescent="0.2">
      <c r="A81" s="159">
        <f>Tr_ACO_LP</f>
        <v>43637</v>
      </c>
      <c r="B81" s="92">
        <f>A81</f>
        <v>43637</v>
      </c>
      <c r="C81" s="42">
        <f>WEEKNUM(A81,2)</f>
        <v>25</v>
      </c>
      <c r="D81" s="69">
        <f>Mois_trait</f>
        <v>6</v>
      </c>
      <c r="E81" s="30">
        <v>0.45833333333333331</v>
      </c>
      <c r="F81" s="30">
        <v>0.625</v>
      </c>
      <c r="G81" s="48" t="s">
        <v>8</v>
      </c>
      <c r="H81" s="47"/>
      <c r="I81" s="31"/>
      <c r="J81" s="34"/>
      <c r="K81" s="151"/>
      <c r="L81" s="66"/>
      <c r="M81" s="76"/>
    </row>
    <row r="82" spans="1:13" s="1" customFormat="1" ht="12.75" x14ac:dyDescent="0.2">
      <c r="A82" s="159">
        <f>WORKDAY(Ex_AC3,2,z_fériés)</f>
        <v>43637</v>
      </c>
      <c r="B82" s="92">
        <f>A82</f>
        <v>43637</v>
      </c>
      <c r="C82" s="42">
        <f>WEEKNUM(A82,2)</f>
        <v>25</v>
      </c>
      <c r="D82" s="69">
        <f>Mois_trait</f>
        <v>6</v>
      </c>
      <c r="E82" s="30">
        <v>0.625</v>
      </c>
      <c r="F82" s="30"/>
      <c r="G82" s="30" t="s">
        <v>4</v>
      </c>
      <c r="H82" s="53"/>
      <c r="I82" s="31"/>
      <c r="J82" s="31"/>
      <c r="K82" s="54"/>
      <c r="L82" s="66"/>
      <c r="M82" s="76"/>
    </row>
    <row r="83" spans="1:13" s="1" customFormat="1" ht="13.5" thickBot="1" x14ac:dyDescent="0.25">
      <c r="A83" s="237">
        <f>Ex_AC1 + 17</f>
        <v>43638</v>
      </c>
      <c r="B83" s="245">
        <f>A83</f>
        <v>43638</v>
      </c>
      <c r="C83" s="238">
        <f>WEEKNUM(A83,2)</f>
        <v>25</v>
      </c>
      <c r="D83" s="238">
        <f>Mois_trait</f>
        <v>6</v>
      </c>
      <c r="E83" s="113">
        <v>0</v>
      </c>
      <c r="F83" s="113"/>
      <c r="G83" s="113"/>
      <c r="H83" s="115"/>
      <c r="I83" s="115"/>
      <c r="J83" s="106"/>
      <c r="K83" s="246" t="str">
        <f>IF(OR(WEEKDAY(B83,2)&gt;5,COUNTIF(z_fériés,B83)),"Ferié","Ouvré")</f>
        <v>Ferié</v>
      </c>
      <c r="L83" s="153"/>
      <c r="M83" s="76"/>
    </row>
    <row r="84" spans="1:13" s="1" customFormat="1" ht="13.5" customHeight="1" thickBot="1" x14ac:dyDescent="0.25">
      <c r="A84" s="165">
        <f>Ex_AC1 + 18</f>
        <v>43639</v>
      </c>
      <c r="B84" s="244">
        <f>A84</f>
        <v>43639</v>
      </c>
      <c r="C84" s="114">
        <f>WEEKNUM(A84,2)</f>
        <v>25</v>
      </c>
      <c r="D84" s="114">
        <f>Mois_trait</f>
        <v>6</v>
      </c>
      <c r="E84" s="95">
        <v>0</v>
      </c>
      <c r="F84" s="95"/>
      <c r="G84" s="95"/>
      <c r="H84" s="98"/>
      <c r="I84" s="98"/>
      <c r="J84" s="98"/>
      <c r="K84" s="84" t="str">
        <f>IF(OR(WEEKDAY(B84,2)&gt;5,COUNTIF(z_fériés,B84)),"Ferié","Ouvré")</f>
        <v>Ferié</v>
      </c>
      <c r="L84" s="138"/>
      <c r="M84" s="76"/>
    </row>
    <row r="85" spans="1:13" s="1" customFormat="1" ht="13.5" thickBot="1" x14ac:dyDescent="0.25">
      <c r="A85" s="165">
        <f>Ex_AC1 + 19</f>
        <v>43640</v>
      </c>
      <c r="B85" s="93">
        <f>A85</f>
        <v>43640</v>
      </c>
      <c r="C85" s="114">
        <f>WEEKNUM(A85,2)</f>
        <v>26</v>
      </c>
      <c r="D85" s="114">
        <f>Mois_trait</f>
        <v>6</v>
      </c>
      <c r="E85" s="95">
        <v>0</v>
      </c>
      <c r="F85" s="95"/>
      <c r="G85" s="95"/>
      <c r="H85" s="98"/>
      <c r="I85" s="98"/>
      <c r="J85" s="98"/>
      <c r="K85" s="84" t="str">
        <f>IF(OR(WEEKDAY(B85,2)&gt;5,COUNTIF(z_fériés,B85)),"Ferié","Ouvré")</f>
        <v>Ouvré</v>
      </c>
      <c r="L85" s="138"/>
      <c r="M85" s="108"/>
    </row>
    <row r="86" spans="1:13" s="1" customFormat="1" ht="12.75" x14ac:dyDescent="0.2">
      <c r="A86" s="166">
        <f>WORKDAY(DEB_PLAN,12,z_feriés)</f>
        <v>43640</v>
      </c>
      <c r="B86" s="92">
        <f>A86</f>
        <v>43640</v>
      </c>
      <c r="C86" s="28">
        <f>WEEKNUM(A86,2)</f>
        <v>26</v>
      </c>
      <c r="D86" s="69">
        <f>Mois_trait</f>
        <v>6</v>
      </c>
      <c r="E86" s="30">
        <v>4.1666666666666664E-2</v>
      </c>
      <c r="F86" s="105"/>
      <c r="G86" s="30" t="s">
        <v>29</v>
      </c>
      <c r="H86" s="107"/>
      <c r="I86" s="107"/>
      <c r="J86" s="32" t="s">
        <v>325</v>
      </c>
      <c r="K86" s="31" t="s">
        <v>82</v>
      </c>
      <c r="L86" s="61"/>
      <c r="M86" s="76"/>
    </row>
    <row r="87" spans="1:13" s="1" customFormat="1" ht="13.5" customHeight="1" x14ac:dyDescent="0.2">
      <c r="A87" s="163">
        <f>IF(WEEKDAY(WORKDAY(Tr_STC2_LP,3,z_fériés),2)=1,WORKDAY(Ex_AC3,4,z_fériés),WORKDAY(Ex_AC3,3,z_fériés))</f>
        <v>43640</v>
      </c>
      <c r="B87" s="92">
        <f>A87</f>
        <v>43640</v>
      </c>
      <c r="C87" s="42">
        <f>WEEKNUM(A87,2)</f>
        <v>26</v>
      </c>
      <c r="D87" s="69">
        <f>Mois_trait</f>
        <v>6</v>
      </c>
      <c r="E87" s="30">
        <v>0.20833333333333334</v>
      </c>
      <c r="F87" s="30"/>
      <c r="G87" s="30" t="s">
        <v>29</v>
      </c>
      <c r="H87" s="54"/>
      <c r="I87" s="54"/>
      <c r="J87" s="54"/>
      <c r="K87" s="39"/>
      <c r="L87" s="66"/>
      <c r="M87" s="76"/>
    </row>
    <row r="88" spans="1:13" s="1" customFormat="1" ht="13.5" customHeight="1" x14ac:dyDescent="0.2">
      <c r="A88" s="163">
        <f>WORKDAY(DATE(Année_trait,Mois_trait,22),1,z_fériés)</f>
        <v>43640</v>
      </c>
      <c r="B88" s="92">
        <f>A88</f>
        <v>43640</v>
      </c>
      <c r="C88" s="28">
        <f>WEEKNUM(A88,2)</f>
        <v>26</v>
      </c>
      <c r="D88" s="69">
        <f>Mois_trait</f>
        <v>6</v>
      </c>
      <c r="E88" s="30">
        <v>0.29166666666666669</v>
      </c>
      <c r="F88" s="30"/>
      <c r="G88" s="36" t="s">
        <v>1</v>
      </c>
      <c r="H88" s="37"/>
      <c r="I88" s="31"/>
      <c r="J88" s="31"/>
      <c r="K88" s="31"/>
      <c r="L88" s="66"/>
      <c r="M88" s="80"/>
    </row>
    <row r="89" spans="1:13" s="1" customFormat="1" ht="51" x14ac:dyDescent="0.2">
      <c r="A89" s="163">
        <f>WORKDAY(DATE(Année_trait,Mois_trait,21),1,z_fériés)</f>
        <v>43640</v>
      </c>
      <c r="B89" s="92">
        <f>A89</f>
        <v>43640</v>
      </c>
      <c r="C89" s="28">
        <f>WEEKNUM(A89,2)</f>
        <v>26</v>
      </c>
      <c r="D89" s="69">
        <f>Mois_trait</f>
        <v>6</v>
      </c>
      <c r="E89" s="30">
        <v>0.41666666666666669</v>
      </c>
      <c r="F89" s="30"/>
      <c r="G89" s="30" t="s">
        <v>70</v>
      </c>
      <c r="H89" s="31"/>
      <c r="I89" s="85"/>
      <c r="J89" s="31"/>
      <c r="K89" s="31"/>
      <c r="L89" s="66"/>
      <c r="M89" s="276"/>
    </row>
    <row r="90" spans="1:13" s="1" customFormat="1" ht="13.5" thickBot="1" x14ac:dyDescent="0.25">
      <c r="A90" s="163">
        <f>WORKDAY(PAIE_DEF,-3,z_fériés)</f>
        <v>43640</v>
      </c>
      <c r="B90" s="92">
        <f>A90</f>
        <v>43640</v>
      </c>
      <c r="C90" s="51">
        <f>WEEKNUM(A90,2)</f>
        <v>26</v>
      </c>
      <c r="D90" s="69">
        <f>Mois_trait</f>
        <v>6</v>
      </c>
      <c r="E90" s="36">
        <v>0.5</v>
      </c>
      <c r="F90" s="36"/>
      <c r="G90" s="57" t="s">
        <v>146</v>
      </c>
      <c r="H90" s="37"/>
      <c r="I90" s="31"/>
      <c r="J90" s="85"/>
      <c r="K90" s="31"/>
      <c r="L90" s="66"/>
      <c r="M90" s="80"/>
    </row>
    <row r="91" spans="1:13" s="9" customFormat="1" ht="13.5" thickBot="1" x14ac:dyDescent="0.25">
      <c r="A91" s="161">
        <f>WORKDAY(PAIE_DEF,-3,z_fériés)</f>
        <v>43640</v>
      </c>
      <c r="B91" s="92">
        <f>A91</f>
        <v>43640</v>
      </c>
      <c r="C91" s="51">
        <f>WEEKNUM(A91,2)</f>
        <v>26</v>
      </c>
      <c r="D91" s="69">
        <f>Mois_trait</f>
        <v>6</v>
      </c>
      <c r="E91" s="36">
        <v>0.5</v>
      </c>
      <c r="F91" s="36"/>
      <c r="G91" s="57" t="s">
        <v>146</v>
      </c>
      <c r="H91" s="37"/>
      <c r="I91" s="31"/>
      <c r="J91" s="85"/>
      <c r="K91" s="31"/>
      <c r="L91" s="66"/>
      <c r="M91" s="80"/>
    </row>
    <row r="92" spans="1:13" s="9" customFormat="1" ht="12.75" x14ac:dyDescent="0.2">
      <c r="A92" s="162">
        <f>WORKDAY(PAIE_DEF,-3,z_fériés)</f>
        <v>43640</v>
      </c>
      <c r="B92" s="92">
        <f>A92</f>
        <v>43640</v>
      </c>
      <c r="C92" s="51">
        <f>WEEKNUM(A92,2)</f>
        <v>26</v>
      </c>
      <c r="D92" s="69">
        <f>Mois_trait</f>
        <v>6</v>
      </c>
      <c r="E92" s="36">
        <v>0.52083333333333337</v>
      </c>
      <c r="F92" s="36"/>
      <c r="G92" s="57" t="s">
        <v>146</v>
      </c>
      <c r="H92" s="37"/>
      <c r="I92" s="31"/>
      <c r="J92" s="85"/>
      <c r="K92" s="31"/>
      <c r="L92" s="66"/>
      <c r="M92" s="80"/>
    </row>
    <row r="93" spans="1:13" s="1" customFormat="1" ht="51" x14ac:dyDescent="0.2">
      <c r="A93" s="163">
        <f>WORKDAY(Frais_Info,-1,z_fériés)</f>
        <v>43640</v>
      </c>
      <c r="B93" s="92">
        <f>A93</f>
        <v>43640</v>
      </c>
      <c r="C93" s="51">
        <f>WEEKNUM(A93,2)</f>
        <v>26</v>
      </c>
      <c r="D93" s="69">
        <f>Mois_trait</f>
        <v>6</v>
      </c>
      <c r="E93" s="30">
        <v>0.75</v>
      </c>
      <c r="F93" s="31"/>
      <c r="G93" s="30" t="s">
        <v>71</v>
      </c>
      <c r="H93" s="31"/>
      <c r="I93" s="31"/>
      <c r="J93" s="31"/>
      <c r="K93" s="31"/>
      <c r="L93" s="66"/>
      <c r="M93" s="80" t="s">
        <v>102</v>
      </c>
    </row>
    <row r="94" spans="1:13" ht="12.75" x14ac:dyDescent="0.2">
      <c r="A94" s="163">
        <f>WORKDAY(PAIE_DEF,-3,z_fériés)</f>
        <v>43640</v>
      </c>
      <c r="B94" s="92">
        <f>A94</f>
        <v>43640</v>
      </c>
      <c r="C94" s="51">
        <f>WEEKNUM(A94,2)</f>
        <v>26</v>
      </c>
      <c r="D94" s="69">
        <f>Mois_trait</f>
        <v>6</v>
      </c>
      <c r="E94" s="30">
        <v>0.75</v>
      </c>
      <c r="F94" s="48">
        <v>0.75</v>
      </c>
      <c r="G94" s="30" t="s">
        <v>2</v>
      </c>
      <c r="H94" s="37"/>
      <c r="I94" s="31"/>
      <c r="J94" s="31"/>
      <c r="K94" s="31"/>
      <c r="L94" s="66"/>
      <c r="M94" s="76"/>
    </row>
    <row r="95" spans="1:13" s="1" customFormat="1" ht="13.5" thickBot="1" x14ac:dyDescent="0.25">
      <c r="A95" s="165">
        <f>Ex_AC1 + 20</f>
        <v>43641</v>
      </c>
      <c r="B95" s="93">
        <f>A95</f>
        <v>43641</v>
      </c>
      <c r="C95" s="114">
        <f>WEEKNUM(A95,2)</f>
        <v>26</v>
      </c>
      <c r="D95" s="114">
        <f>Mois_trait</f>
        <v>6</v>
      </c>
      <c r="E95" s="95">
        <v>0</v>
      </c>
      <c r="F95" s="94"/>
      <c r="G95" s="94"/>
      <c r="H95" s="97"/>
      <c r="I95" s="97"/>
      <c r="J95" s="97"/>
      <c r="K95" s="84" t="str">
        <f>IF(OR(WEEKDAY(B95,2)&gt;5,COUNTIF(z_fériés,B95)),"Ferié","Ouvré")</f>
        <v>Ouvré</v>
      </c>
      <c r="L95" s="138"/>
      <c r="M95" s="121"/>
    </row>
    <row r="96" spans="1:13" s="1" customFormat="1" ht="12.75" x14ac:dyDescent="0.2">
      <c r="A96" s="166">
        <f>WORKDAY(DEB_PLAN,13,z_feriés)</f>
        <v>43641</v>
      </c>
      <c r="B96" s="92">
        <f>A96</f>
        <v>43641</v>
      </c>
      <c r="C96" s="51">
        <f>WEEKNUM(A96,2)</f>
        <v>26</v>
      </c>
      <c r="D96" s="69">
        <f>Mois_trait</f>
        <v>6</v>
      </c>
      <c r="E96" s="30">
        <v>4.1666666666666664E-2</v>
      </c>
      <c r="F96" s="105"/>
      <c r="G96" s="30" t="s">
        <v>29</v>
      </c>
      <c r="H96" s="107"/>
      <c r="I96" s="107"/>
      <c r="J96" s="32"/>
      <c r="K96" s="31"/>
      <c r="L96" s="61"/>
      <c r="M96" s="121"/>
    </row>
    <row r="97" spans="1:13" s="1" customFormat="1" ht="12.75" x14ac:dyDescent="0.2">
      <c r="A97" s="166">
        <f>WORKDAY(PAIE_DEF,-2,z_fériés)</f>
        <v>43641</v>
      </c>
      <c r="B97" s="92">
        <f>A97</f>
        <v>43641</v>
      </c>
      <c r="C97" s="47">
        <f>WEEKNUM(A97,2)</f>
        <v>26</v>
      </c>
      <c r="D97" s="69">
        <f>Mois_trait</f>
        <v>6</v>
      </c>
      <c r="E97" s="30">
        <v>0.16666666666666666</v>
      </c>
      <c r="F97" s="48">
        <v>0.16666666666666666</v>
      </c>
      <c r="G97" s="30" t="s">
        <v>2</v>
      </c>
      <c r="H97" s="37"/>
      <c r="I97" s="31"/>
      <c r="J97" s="32"/>
      <c r="K97" s="31"/>
      <c r="L97" s="66"/>
      <c r="M97" s="121"/>
    </row>
    <row r="98" spans="1:13" s="10" customFormat="1" ht="51" x14ac:dyDescent="0.2">
      <c r="A98" s="163">
        <f>WORKDAY(DATE(Année_trait,Mois_trait,24),1,z_fériés)</f>
        <v>43641</v>
      </c>
      <c r="B98" s="92">
        <f>A98</f>
        <v>43641</v>
      </c>
      <c r="C98" s="51">
        <f>WEEKNUM(A98,2)</f>
        <v>26</v>
      </c>
      <c r="D98" s="69">
        <f>Mois_trait</f>
        <v>6</v>
      </c>
      <c r="E98" s="30">
        <v>0.375</v>
      </c>
      <c r="F98" s="30">
        <v>0.5</v>
      </c>
      <c r="G98" s="30" t="s">
        <v>71</v>
      </c>
      <c r="H98" s="31"/>
      <c r="I98" s="31"/>
      <c r="J98" s="31"/>
      <c r="K98" s="31"/>
      <c r="L98" s="66"/>
      <c r="M98" s="122" t="s">
        <v>103</v>
      </c>
    </row>
    <row r="99" spans="1:13" s="1" customFormat="1" ht="51" x14ac:dyDescent="0.2">
      <c r="A99" s="166">
        <f>WORKDAY(PAIE_DEF,-2,z_fériés)</f>
        <v>43641</v>
      </c>
      <c r="B99" s="92">
        <f>A99</f>
        <v>43641</v>
      </c>
      <c r="C99" s="47">
        <f>WEEKNUM(A99,2)</f>
        <v>26</v>
      </c>
      <c r="D99" s="69">
        <f>Mois_trait</f>
        <v>6</v>
      </c>
      <c r="E99" s="30">
        <v>0.5</v>
      </c>
      <c r="F99" s="48">
        <v>0.5</v>
      </c>
      <c r="G99" s="30" t="s">
        <v>43</v>
      </c>
      <c r="H99" s="37"/>
      <c r="I99" s="31"/>
      <c r="J99" s="32"/>
      <c r="K99" s="31"/>
      <c r="L99" s="66"/>
      <c r="M99" s="76" t="s">
        <v>106</v>
      </c>
    </row>
    <row r="100" spans="1:13" s="1" customFormat="1" ht="12.75" x14ac:dyDescent="0.2">
      <c r="A100" s="163">
        <f>WORKDAY(PAIE_DEF,-2,z_fériés)</f>
        <v>43641</v>
      </c>
      <c r="B100" s="92">
        <f>A100</f>
        <v>43641</v>
      </c>
      <c r="C100" s="51">
        <f>WEEKNUM(A100,2)</f>
        <v>26</v>
      </c>
      <c r="D100" s="69">
        <f>Mois_trait</f>
        <v>6</v>
      </c>
      <c r="E100" s="30">
        <v>0.625</v>
      </c>
      <c r="F100" s="48">
        <v>0.625</v>
      </c>
      <c r="G100" s="30" t="s">
        <v>2</v>
      </c>
      <c r="H100" s="55"/>
      <c r="I100" s="31"/>
      <c r="J100" s="31"/>
      <c r="K100" s="31"/>
      <c r="L100" s="66"/>
      <c r="M100" s="76"/>
    </row>
    <row r="101" spans="1:13" s="1" customFormat="1" ht="12.75" x14ac:dyDescent="0.2">
      <c r="A101" s="163">
        <f>WORKDAY(PAIE_DEF,-2,z_fériés)</f>
        <v>43641</v>
      </c>
      <c r="B101" s="92">
        <f>A101</f>
        <v>43641</v>
      </c>
      <c r="C101" s="51">
        <f>WEEKNUM(A101,2)</f>
        <v>26</v>
      </c>
      <c r="D101" s="69">
        <f>Mois_trait</f>
        <v>6</v>
      </c>
      <c r="E101" s="30">
        <v>0.75</v>
      </c>
      <c r="F101" s="30">
        <v>0.75</v>
      </c>
      <c r="G101" s="30" t="s">
        <v>2</v>
      </c>
      <c r="H101" s="31"/>
      <c r="I101" s="31"/>
      <c r="J101" s="31"/>
      <c r="K101" s="56"/>
      <c r="L101" s="66"/>
      <c r="M101" s="76"/>
    </row>
    <row r="102" spans="1:13" s="1" customFormat="1" ht="13.5" customHeight="1" thickBot="1" x14ac:dyDescent="0.25">
      <c r="A102" s="129">
        <f>WORKDAY(PAIE_DEF,-2,z_fériés)</f>
        <v>43641</v>
      </c>
      <c r="B102" s="92">
        <f>A102</f>
        <v>43641</v>
      </c>
      <c r="C102" s="51">
        <f>WEEKNUM(A102,2)</f>
        <v>26</v>
      </c>
      <c r="D102" s="69">
        <f>Mois_trait</f>
        <v>6</v>
      </c>
      <c r="E102" s="30">
        <v>0.75</v>
      </c>
      <c r="F102" s="30">
        <v>0.91666666666666663</v>
      </c>
      <c r="G102" s="30" t="s">
        <v>2</v>
      </c>
      <c r="H102" s="31"/>
      <c r="I102" s="31"/>
      <c r="J102" s="31"/>
      <c r="K102" s="56"/>
      <c r="L102" s="66"/>
      <c r="M102" s="141"/>
    </row>
    <row r="103" spans="1:13" s="1" customFormat="1" ht="25.5" x14ac:dyDescent="0.2">
      <c r="A103" s="274">
        <f>Ex_AC1 + 21</f>
        <v>43642</v>
      </c>
      <c r="B103" s="93">
        <f>A103</f>
        <v>43642</v>
      </c>
      <c r="C103" s="114">
        <f>WEEKNUM(A103,2)</f>
        <v>26</v>
      </c>
      <c r="D103" s="114">
        <f>Mois_trait</f>
        <v>6</v>
      </c>
      <c r="E103" s="95">
        <v>0</v>
      </c>
      <c r="F103" s="94"/>
      <c r="G103" s="94"/>
      <c r="H103" s="97"/>
      <c r="I103" s="97"/>
      <c r="J103" s="97"/>
      <c r="K103" s="84" t="str">
        <f>IF(OR(WEEKDAY(B103,2)&gt;5,COUNTIF(z_fériés,B103)),"Ferié","Ouvré")</f>
        <v>Ouvré</v>
      </c>
      <c r="L103" s="138"/>
      <c r="M103" s="121" t="s">
        <v>100</v>
      </c>
    </row>
    <row r="104" spans="1:13" s="1" customFormat="1" ht="13.5" thickBot="1" x14ac:dyDescent="0.25">
      <c r="A104" s="168">
        <f>WORKDAY(DEB_PLAN,14,z_feriés)</f>
        <v>43642</v>
      </c>
      <c r="B104" s="92">
        <f>A104</f>
        <v>43642</v>
      </c>
      <c r="C104" s="47">
        <f>WEEKNUM(A104,2)</f>
        <v>26</v>
      </c>
      <c r="D104" s="69">
        <f>Mois_trait</f>
        <v>6</v>
      </c>
      <c r="E104" s="30">
        <v>4.1666666666666664E-2</v>
      </c>
      <c r="F104" s="30"/>
      <c r="G104" s="30" t="s">
        <v>29</v>
      </c>
      <c r="H104" s="31"/>
      <c r="I104" s="31"/>
      <c r="J104" s="32"/>
      <c r="K104" s="31"/>
      <c r="L104" s="66"/>
      <c r="M104" s="122" t="s">
        <v>83</v>
      </c>
    </row>
    <row r="105" spans="1:13" s="26" customFormat="1" ht="13.5" thickBot="1" x14ac:dyDescent="0.25">
      <c r="A105" s="161">
        <f>WORKDAY(PAIE_DEF,-1,z_fériés)</f>
        <v>43642</v>
      </c>
      <c r="B105" s="92">
        <f>A105</f>
        <v>43642</v>
      </c>
      <c r="C105" s="51">
        <f>WEEKNUM(A105,2)</f>
        <v>26</v>
      </c>
      <c r="D105" s="69">
        <f>Mois_trait</f>
        <v>6</v>
      </c>
      <c r="E105" s="30">
        <v>0.29166666666666669</v>
      </c>
      <c r="F105" s="30">
        <v>0.375</v>
      </c>
      <c r="G105" s="30" t="s">
        <v>2</v>
      </c>
      <c r="H105" s="56"/>
      <c r="I105" s="31"/>
      <c r="J105" s="31"/>
      <c r="K105" s="55"/>
      <c r="L105" s="66"/>
      <c r="M105" s="121"/>
    </row>
    <row r="106" spans="1:13" s="1" customFormat="1" ht="38.25" x14ac:dyDescent="0.2">
      <c r="A106" s="170">
        <f>WORKDAY(Fact_NEEVA,0,z_fériés)</f>
        <v>43642</v>
      </c>
      <c r="B106" s="92">
        <f>A106</f>
        <v>43642</v>
      </c>
      <c r="C106" s="51">
        <f>WEEKNUM(A106,2)</f>
        <v>26</v>
      </c>
      <c r="D106" s="69">
        <f>Mois_trait</f>
        <v>6</v>
      </c>
      <c r="E106" s="36">
        <v>0.41666666666666669</v>
      </c>
      <c r="F106" s="36">
        <v>0.45833333333333331</v>
      </c>
      <c r="G106" s="57" t="s">
        <v>30</v>
      </c>
      <c r="H106" s="37"/>
      <c r="I106" s="31"/>
      <c r="J106" s="85"/>
      <c r="K106" s="31"/>
      <c r="L106" s="66"/>
      <c r="M106" s="121"/>
    </row>
    <row r="107" spans="1:13" s="1" customFormat="1" ht="15" customHeight="1" x14ac:dyDescent="0.2">
      <c r="A107" s="163">
        <f>WORKDAY(Centr_Immo_Cess_HP,0,z_fériés)</f>
        <v>43642</v>
      </c>
      <c r="B107" s="92">
        <f>A107</f>
        <v>43642</v>
      </c>
      <c r="C107" s="28">
        <f>WEEKNUM(A107,2)</f>
        <v>26</v>
      </c>
      <c r="D107" s="69">
        <f>Mois_trait</f>
        <v>6</v>
      </c>
      <c r="E107" s="36">
        <v>0.45833333333333331</v>
      </c>
      <c r="F107" s="36">
        <v>0.5</v>
      </c>
      <c r="G107" s="36" t="s">
        <v>1</v>
      </c>
      <c r="H107" s="37"/>
      <c r="I107" s="37"/>
      <c r="J107" s="37"/>
      <c r="K107" s="37"/>
      <c r="L107" s="61"/>
      <c r="M107" s="76"/>
    </row>
    <row r="108" spans="1:13" s="1" customFormat="1" ht="12.75" x14ac:dyDescent="0.2">
      <c r="A108" s="163">
        <f>WORKDAY(PAIE_DEF,-1,z_fériés)</f>
        <v>43642</v>
      </c>
      <c r="B108" s="92">
        <f>A108</f>
        <v>43642</v>
      </c>
      <c r="C108" s="51">
        <f>WEEKNUM(A108,2)</f>
        <v>26</v>
      </c>
      <c r="D108" s="69">
        <f>Mois_trait</f>
        <v>6</v>
      </c>
      <c r="E108" s="30">
        <v>0.625</v>
      </c>
      <c r="F108" s="48">
        <v>0.625</v>
      </c>
      <c r="G108" s="30" t="s">
        <v>2</v>
      </c>
      <c r="H108" s="56"/>
      <c r="I108" s="31"/>
      <c r="J108" s="31"/>
      <c r="K108" s="31"/>
      <c r="L108" s="66"/>
      <c r="M108" s="122" t="s">
        <v>112</v>
      </c>
    </row>
    <row r="109" spans="1:13" s="1" customFormat="1" ht="12.75" x14ac:dyDescent="0.2">
      <c r="A109" s="163">
        <f>WORKDAY(Centr_Immo_Cess_HP,0,z_fériés)</f>
        <v>43642</v>
      </c>
      <c r="B109" s="92">
        <f>A109</f>
        <v>43642</v>
      </c>
      <c r="C109" s="28">
        <f>WEEKNUM(A109,2)</f>
        <v>26</v>
      </c>
      <c r="D109" s="69">
        <f>Mois_trait</f>
        <v>6</v>
      </c>
      <c r="E109" s="36">
        <v>0.66666666666666663</v>
      </c>
      <c r="F109" s="36">
        <v>0.66666666666666663</v>
      </c>
      <c r="G109" s="36" t="s">
        <v>1</v>
      </c>
      <c r="H109" s="37"/>
      <c r="I109" s="37"/>
      <c r="J109" s="37"/>
      <c r="K109" s="37"/>
      <c r="L109" s="61"/>
      <c r="M109" s="141" t="s">
        <v>0</v>
      </c>
    </row>
    <row r="110" spans="1:13" s="1" customFormat="1" ht="13.5" thickBot="1" x14ac:dyDescent="0.25">
      <c r="A110" s="129">
        <f>WORKDAY(PAIE_DEF,-1,z_fériés)</f>
        <v>43642</v>
      </c>
      <c r="B110" s="92">
        <f>A110</f>
        <v>43642</v>
      </c>
      <c r="C110" s="51">
        <f>WEEKNUM(A110,2)</f>
        <v>26</v>
      </c>
      <c r="D110" s="69">
        <f>Mois_trait</f>
        <v>6</v>
      </c>
      <c r="E110" s="30">
        <v>0.75</v>
      </c>
      <c r="F110" s="30">
        <v>0.75</v>
      </c>
      <c r="G110" s="30" t="s">
        <v>2</v>
      </c>
      <c r="H110" s="31"/>
      <c r="I110" s="31"/>
      <c r="J110" s="31"/>
      <c r="K110" s="56"/>
      <c r="L110" s="66"/>
      <c r="M110" s="122" t="s">
        <v>83</v>
      </c>
    </row>
    <row r="111" spans="1:13" s="1" customFormat="1" ht="14.25" customHeight="1" thickBot="1" x14ac:dyDescent="0.25">
      <c r="A111" s="129">
        <f>WORKDAY(PAIE_DEF,-1,z_fériés)</f>
        <v>43642</v>
      </c>
      <c r="B111" s="92">
        <f>A111</f>
        <v>43642</v>
      </c>
      <c r="C111" s="51">
        <f>WEEKNUM(A111,2)</f>
        <v>26</v>
      </c>
      <c r="D111" s="69">
        <f>Mois_trait</f>
        <v>6</v>
      </c>
      <c r="E111" s="30">
        <v>0.75</v>
      </c>
      <c r="F111" s="30">
        <v>0.91666666666666663</v>
      </c>
      <c r="G111" s="30" t="s">
        <v>2</v>
      </c>
      <c r="H111" s="31"/>
      <c r="I111" s="31"/>
      <c r="J111" s="31"/>
      <c r="K111" s="56"/>
      <c r="L111" s="66"/>
      <c r="M111" s="122" t="s">
        <v>112</v>
      </c>
    </row>
    <row r="112" spans="1:13" s="1" customFormat="1" ht="25.5" x14ac:dyDescent="0.2">
      <c r="A112" s="167">
        <f>Ex_AC1 + 22</f>
        <v>43643</v>
      </c>
      <c r="B112" s="93">
        <f>A112</f>
        <v>43643</v>
      </c>
      <c r="C112" s="114">
        <f>WEEKNUM(A112,2)</f>
        <v>26</v>
      </c>
      <c r="D112" s="114">
        <f>Mois_trait</f>
        <v>6</v>
      </c>
      <c r="E112" s="95">
        <v>0</v>
      </c>
      <c r="F112" s="94"/>
      <c r="G112" s="94"/>
      <c r="H112" s="97"/>
      <c r="I112" s="97"/>
      <c r="J112" s="97"/>
      <c r="K112" s="84" t="str">
        <f>IF(OR(WEEKDAY(B112,2)&gt;5,COUNTIF(z_fériés,B112)),"Ferié","Ouvré")</f>
        <v>Ouvré</v>
      </c>
      <c r="L112" s="138"/>
      <c r="M112" s="78" t="s">
        <v>111</v>
      </c>
    </row>
    <row r="113" spans="1:13" s="1" customFormat="1" ht="12.75" x14ac:dyDescent="0.2">
      <c r="A113" s="166">
        <f>WORKDAY(DEB_PLAN,15,z_feriés)</f>
        <v>43643</v>
      </c>
      <c r="B113" s="92">
        <f>A113</f>
        <v>43643</v>
      </c>
      <c r="C113" s="28">
        <f>WEEKNUM(A113,2)</f>
        <v>26</v>
      </c>
      <c r="D113" s="69">
        <f>Mois_trait</f>
        <v>6</v>
      </c>
      <c r="E113" s="30">
        <v>4.1666666666666664E-2</v>
      </c>
      <c r="F113" s="30"/>
      <c r="G113" s="30" t="s">
        <v>29</v>
      </c>
      <c r="H113" s="31"/>
      <c r="I113" s="31"/>
      <c r="J113" s="32" t="s">
        <v>325</v>
      </c>
      <c r="K113" s="31" t="s">
        <v>82</v>
      </c>
      <c r="L113" s="66"/>
      <c r="M113" s="76"/>
    </row>
    <row r="114" spans="1:13" s="1" customFormat="1" ht="26.25" thickBot="1" x14ac:dyDescent="0.25">
      <c r="A114" s="174">
        <f>PAIE_DEF</f>
        <v>43643</v>
      </c>
      <c r="B114" s="92">
        <f>A114</f>
        <v>43643</v>
      </c>
      <c r="C114" s="47">
        <f>WEEKNUM(A114,2)</f>
        <v>26</v>
      </c>
      <c r="D114" s="69">
        <f>Mois_trait</f>
        <v>6</v>
      </c>
      <c r="E114" s="30">
        <v>0.29166666666666669</v>
      </c>
      <c r="F114" s="30">
        <v>0.375</v>
      </c>
      <c r="G114" s="30" t="s">
        <v>2</v>
      </c>
      <c r="H114" s="56"/>
      <c r="I114" s="31"/>
      <c r="J114" s="31"/>
      <c r="K114" s="55"/>
      <c r="L114" s="66"/>
      <c r="M114" s="108" t="s">
        <v>104</v>
      </c>
    </row>
    <row r="115" spans="1:13" s="1" customFormat="1" ht="51" x14ac:dyDescent="0.2">
      <c r="A115" s="166">
        <f>PAIE_DEF</f>
        <v>43643</v>
      </c>
      <c r="B115" s="92">
        <f>A115</f>
        <v>43643</v>
      </c>
      <c r="C115" s="47">
        <f>WEEKNUM(A115,2)</f>
        <v>26</v>
      </c>
      <c r="D115" s="69">
        <f>Mois_trait</f>
        <v>6</v>
      </c>
      <c r="E115" s="36">
        <v>0.41666666666666669</v>
      </c>
      <c r="F115" s="36">
        <v>0.45833333333333331</v>
      </c>
      <c r="G115" s="58" t="s">
        <v>42</v>
      </c>
      <c r="H115" s="31"/>
      <c r="I115" s="59"/>
      <c r="J115" s="34"/>
      <c r="K115" s="60"/>
      <c r="L115" s="66"/>
      <c r="M115" s="100" t="s">
        <v>0</v>
      </c>
    </row>
    <row r="116" spans="1:13" s="1" customFormat="1" ht="13.5" thickBot="1" x14ac:dyDescent="0.25">
      <c r="A116" s="174">
        <f>WORKDAY(Ex_Compta_2_HP,0,z_fériés)</f>
        <v>43643</v>
      </c>
      <c r="B116" s="92">
        <f>A116</f>
        <v>43643</v>
      </c>
      <c r="C116" s="47">
        <f>WEEKNUM(A116,2)</f>
        <v>26</v>
      </c>
      <c r="D116" s="69">
        <f>Mois_trait</f>
        <v>6</v>
      </c>
      <c r="E116" s="36">
        <v>0.54166666666666663</v>
      </c>
      <c r="F116" s="36">
        <v>0.875</v>
      </c>
      <c r="G116" s="36" t="s">
        <v>1</v>
      </c>
      <c r="H116" s="37"/>
      <c r="I116" s="37"/>
      <c r="J116" s="37"/>
      <c r="K116" s="62"/>
      <c r="L116" s="61"/>
      <c r="M116" s="76"/>
    </row>
    <row r="117" spans="1:13" s="1" customFormat="1" ht="25.5" x14ac:dyDescent="0.2">
      <c r="A117" s="166">
        <f>PAIE_DEF</f>
        <v>43643</v>
      </c>
      <c r="B117" s="92">
        <f>A117</f>
        <v>43643</v>
      </c>
      <c r="C117" s="47">
        <f>WEEKNUM(A117,2)</f>
        <v>26</v>
      </c>
      <c r="D117" s="69">
        <f>Mois_trait</f>
        <v>6</v>
      </c>
      <c r="E117" s="30">
        <v>0.625</v>
      </c>
      <c r="F117" s="48">
        <v>0.625</v>
      </c>
      <c r="G117" s="30" t="s">
        <v>2</v>
      </c>
      <c r="H117" s="65"/>
      <c r="I117" s="31"/>
      <c r="J117" s="31"/>
      <c r="K117" s="31"/>
      <c r="L117" s="66"/>
      <c r="M117" s="109" t="s">
        <v>108</v>
      </c>
    </row>
    <row r="118" spans="1:13" s="1" customFormat="1" ht="16.5" customHeight="1" x14ac:dyDescent="0.2">
      <c r="A118" s="166">
        <f>WORKDAY(Ex_Compta_2_HP,0,z_fériés)</f>
        <v>43643</v>
      </c>
      <c r="B118" s="92">
        <f>A118</f>
        <v>43643</v>
      </c>
      <c r="C118" s="51">
        <f>WEEKNUM(A118,2)</f>
        <v>26</v>
      </c>
      <c r="D118" s="69">
        <f>Mois_trait</f>
        <v>6</v>
      </c>
      <c r="E118" s="36">
        <v>0.70833333333333337</v>
      </c>
      <c r="F118" s="58">
        <v>0.70833333333333337</v>
      </c>
      <c r="G118" s="36" t="s">
        <v>1</v>
      </c>
      <c r="H118" s="38"/>
      <c r="I118" s="45"/>
      <c r="J118" s="45"/>
      <c r="K118" s="62"/>
      <c r="L118" s="61"/>
      <c r="M118" s="121"/>
    </row>
    <row r="119" spans="1:13" ht="12.75" x14ac:dyDescent="0.2">
      <c r="A119" s="166">
        <f>PAIE_DEF</f>
        <v>43643</v>
      </c>
      <c r="B119" s="92">
        <f>A119</f>
        <v>43643</v>
      </c>
      <c r="C119" s="47">
        <f>WEEKNUM(A119,2)</f>
        <v>26</v>
      </c>
      <c r="D119" s="69">
        <f>Mois_trait</f>
        <v>6</v>
      </c>
      <c r="E119" s="30">
        <v>0.75</v>
      </c>
      <c r="F119" s="30">
        <v>0.75</v>
      </c>
      <c r="G119" s="30" t="s">
        <v>2</v>
      </c>
      <c r="H119" s="31"/>
      <c r="I119" s="31"/>
      <c r="J119" s="31"/>
      <c r="K119" s="56"/>
      <c r="L119" s="66"/>
      <c r="M119" s="234"/>
    </row>
    <row r="120" spans="1:13" s="1" customFormat="1" ht="12.75" x14ac:dyDescent="0.2">
      <c r="A120" s="166">
        <f>PAIE_DEF</f>
        <v>43643</v>
      </c>
      <c r="B120" s="92">
        <f>A120</f>
        <v>43643</v>
      </c>
      <c r="C120" s="47">
        <f>WEEKNUM(A120,2)</f>
        <v>26</v>
      </c>
      <c r="D120" s="69">
        <f>Mois_trait</f>
        <v>6</v>
      </c>
      <c r="E120" s="30">
        <v>0.78125</v>
      </c>
      <c r="F120" s="30">
        <v>0.91666666666666663</v>
      </c>
      <c r="G120" s="30" t="s">
        <v>2</v>
      </c>
      <c r="H120" s="31"/>
      <c r="I120" s="31"/>
      <c r="J120" s="31"/>
      <c r="K120" s="56"/>
      <c r="L120" s="66"/>
      <c r="M120" s="141"/>
    </row>
    <row r="121" spans="1:13" ht="15.75" customHeight="1" thickBot="1" x14ac:dyDescent="0.25">
      <c r="A121" s="174">
        <f>PAIE_DEF</f>
        <v>43643</v>
      </c>
      <c r="B121" s="92">
        <f>A121</f>
        <v>43643</v>
      </c>
      <c r="C121" s="47">
        <f>WEEKNUM(A121,2)</f>
        <v>26</v>
      </c>
      <c r="D121" s="69">
        <f>Mois_trait</f>
        <v>6</v>
      </c>
      <c r="E121" s="30">
        <v>0.91666666666666663</v>
      </c>
      <c r="F121" s="30">
        <v>0.95833333333333337</v>
      </c>
      <c r="G121" s="30" t="s">
        <v>2</v>
      </c>
      <c r="H121" s="31"/>
      <c r="I121" s="31"/>
      <c r="J121" s="31"/>
      <c r="K121" s="56"/>
      <c r="L121" s="66"/>
      <c r="M121" s="141" t="s">
        <v>0</v>
      </c>
    </row>
    <row r="122" spans="1:13" s="1" customFormat="1" ht="12.75" x14ac:dyDescent="0.2">
      <c r="A122" s="242">
        <f>Ex_AC1 + 23</f>
        <v>43644</v>
      </c>
      <c r="B122" s="146">
        <f>A122</f>
        <v>43644</v>
      </c>
      <c r="C122" s="238">
        <f>WEEKNUM(A122,2)</f>
        <v>26</v>
      </c>
      <c r="D122" s="238">
        <f>Mois_trait</f>
        <v>6</v>
      </c>
      <c r="E122" s="113">
        <v>0</v>
      </c>
      <c r="F122" s="113"/>
      <c r="G122" s="113"/>
      <c r="H122" s="115"/>
      <c r="I122" s="115"/>
      <c r="J122" s="99"/>
      <c r="K122" s="84" t="str">
        <f>IF(OR(WEEKDAY(B122,2)&gt;5,COUNTIF(z_fériés,B122)),"Ferié","Ouvré")</f>
        <v>Ouvré</v>
      </c>
      <c r="L122" s="153"/>
      <c r="M122" s="234"/>
    </row>
    <row r="123" spans="1:13" s="1" customFormat="1" ht="12.75" x14ac:dyDescent="0.2">
      <c r="A123" s="163">
        <f>WORKDAY(PAIE_DEF,1,z_fériés)</f>
        <v>43644</v>
      </c>
      <c r="B123" s="92">
        <f>A123</f>
        <v>43644</v>
      </c>
      <c r="C123" s="51">
        <f>WEEKNUM(A123,2)</f>
        <v>26</v>
      </c>
      <c r="D123" s="69">
        <f>Mois_trait</f>
        <v>6</v>
      </c>
      <c r="E123" s="30">
        <v>4.1666666666666664E-2</v>
      </c>
      <c r="F123" s="30">
        <v>0.375</v>
      </c>
      <c r="G123" s="30" t="s">
        <v>2</v>
      </c>
      <c r="H123" s="31"/>
      <c r="I123" s="31"/>
      <c r="J123" s="31"/>
      <c r="K123" s="68"/>
      <c r="L123" s="66"/>
      <c r="M123" s="121"/>
    </row>
    <row r="124" spans="1:13" s="1" customFormat="1" ht="12.75" x14ac:dyDescent="0.2">
      <c r="A124" s="166">
        <f>WORKDAY(DEB_PLAN,16,z_feriés)</f>
        <v>43644</v>
      </c>
      <c r="B124" s="92">
        <f>A124</f>
        <v>43644</v>
      </c>
      <c r="C124" s="51">
        <f>WEEKNUM(A124,2)</f>
        <v>26</v>
      </c>
      <c r="D124" s="69">
        <f>Mois_trait</f>
        <v>6</v>
      </c>
      <c r="E124" s="30">
        <v>4.1666666666666664E-2</v>
      </c>
      <c r="F124" s="30"/>
      <c r="G124" s="30" t="s">
        <v>29</v>
      </c>
      <c r="H124" s="31"/>
      <c r="I124" s="31"/>
      <c r="J124" s="32"/>
      <c r="K124" s="31"/>
      <c r="L124" s="66"/>
      <c r="M124" s="122" t="s">
        <v>112</v>
      </c>
    </row>
    <row r="125" spans="1:13" s="1" customFormat="1" ht="12.75" x14ac:dyDescent="0.2">
      <c r="A125" s="163">
        <f>WORKDAY(PAIE_DEF,1,z_fériés)</f>
        <v>43644</v>
      </c>
      <c r="B125" s="92">
        <f>A125</f>
        <v>43644</v>
      </c>
      <c r="C125" s="51">
        <f>WEEKNUM(A125,2)</f>
        <v>26</v>
      </c>
      <c r="D125" s="69">
        <f>Mois_trait</f>
        <v>6</v>
      </c>
      <c r="E125" s="30">
        <v>0.1875</v>
      </c>
      <c r="F125" s="30"/>
      <c r="G125" s="30" t="s">
        <v>2</v>
      </c>
      <c r="H125" s="31"/>
      <c r="I125" s="31"/>
      <c r="J125" s="31"/>
      <c r="K125" s="56"/>
      <c r="L125" s="66"/>
      <c r="M125" s="141" t="s">
        <v>0</v>
      </c>
    </row>
    <row r="126" spans="1:13" s="9" customFormat="1" ht="12.75" x14ac:dyDescent="0.2">
      <c r="A126" s="163">
        <f>WORKDAY(PAIE_DEF,1,z_fériés)</f>
        <v>43644</v>
      </c>
      <c r="B126" s="92">
        <f>A126</f>
        <v>43644</v>
      </c>
      <c r="C126" s="51">
        <f>WEEKNUM(A126,2)</f>
        <v>26</v>
      </c>
      <c r="D126" s="69">
        <f>Mois_trait</f>
        <v>6</v>
      </c>
      <c r="E126" s="30">
        <v>0.1875</v>
      </c>
      <c r="F126" s="30"/>
      <c r="G126" s="30" t="s">
        <v>2</v>
      </c>
      <c r="H126" s="31"/>
      <c r="I126" s="31"/>
      <c r="J126" s="31"/>
      <c r="K126" s="56"/>
      <c r="L126" s="66"/>
      <c r="M126" s="76"/>
    </row>
    <row r="127" spans="1:13" s="1" customFormat="1" ht="12.75" x14ac:dyDescent="0.2">
      <c r="A127" s="163">
        <f>WORKDAY(PAIE_DEF,1,z_fériés)</f>
        <v>43644</v>
      </c>
      <c r="B127" s="92">
        <f>A127</f>
        <v>43644</v>
      </c>
      <c r="C127" s="51">
        <f>WEEKNUM(A127,2)</f>
        <v>26</v>
      </c>
      <c r="D127" s="69">
        <f>Mois_trait</f>
        <v>6</v>
      </c>
      <c r="E127" s="30">
        <v>0.1875</v>
      </c>
      <c r="F127" s="30"/>
      <c r="G127" s="30" t="s">
        <v>2</v>
      </c>
      <c r="H127" s="31"/>
      <c r="I127" s="31"/>
      <c r="J127" s="31"/>
      <c r="K127" s="56"/>
      <c r="L127" s="66"/>
      <c r="M127" s="76"/>
    </row>
    <row r="128" spans="1:13" s="1" customFormat="1" ht="12.75" x14ac:dyDescent="0.2">
      <c r="A128" s="163">
        <f>WORKDAY(PAIE_DEF,1,z_fériés)</f>
        <v>43644</v>
      </c>
      <c r="B128" s="92">
        <f>A128</f>
        <v>43644</v>
      </c>
      <c r="C128" s="51">
        <f>WEEKNUM(A128,2)</f>
        <v>26</v>
      </c>
      <c r="D128" s="69">
        <f>Mois_trait</f>
        <v>6</v>
      </c>
      <c r="E128" s="30">
        <v>0.25</v>
      </c>
      <c r="F128" s="30">
        <v>0.375</v>
      </c>
      <c r="G128" s="30" t="s">
        <v>2</v>
      </c>
      <c r="H128" s="56"/>
      <c r="I128" s="31"/>
      <c r="J128" s="31"/>
      <c r="K128" s="56"/>
      <c r="L128" s="66"/>
      <c r="M128" s="100" t="s">
        <v>114</v>
      </c>
    </row>
    <row r="129" spans="1:13" s="1" customFormat="1" ht="12.75" x14ac:dyDescent="0.2">
      <c r="A129" s="163">
        <f>WORKDAY(PAIE_DEF,1,z_fériés)</f>
        <v>43644</v>
      </c>
      <c r="B129" s="92">
        <f>A129</f>
        <v>43644</v>
      </c>
      <c r="C129" s="51">
        <f>WEEKNUM(A129,2)</f>
        <v>26</v>
      </c>
      <c r="D129" s="69">
        <f>Mois_trait</f>
        <v>6</v>
      </c>
      <c r="E129" s="30">
        <v>0.29166666666666669</v>
      </c>
      <c r="F129" s="30">
        <v>0.47916666666666669</v>
      </c>
      <c r="G129" s="30" t="s">
        <v>2</v>
      </c>
      <c r="H129" s="110"/>
      <c r="I129" s="110"/>
      <c r="J129" s="110"/>
      <c r="K129" s="56"/>
      <c r="L129" s="66"/>
      <c r="M129" s="76"/>
    </row>
    <row r="130" spans="1:13" s="7" customFormat="1" ht="25.5" x14ac:dyDescent="0.2">
      <c r="A130" s="163">
        <f>WORKDAY(PAIE_DEF,1,z_fériés)</f>
        <v>43644</v>
      </c>
      <c r="B130" s="92">
        <f>A130</f>
        <v>43644</v>
      </c>
      <c r="C130" s="51">
        <f>WEEKNUM(A130,2)</f>
        <v>26</v>
      </c>
      <c r="D130" s="69">
        <f>Mois_trait</f>
        <v>6</v>
      </c>
      <c r="E130" s="30">
        <v>0.29166666666666669</v>
      </c>
      <c r="F130" s="30">
        <v>0.5</v>
      </c>
      <c r="G130" s="30" t="s">
        <v>43</v>
      </c>
      <c r="H130" s="31"/>
      <c r="I130" s="31"/>
      <c r="J130" s="31"/>
      <c r="K130" s="183"/>
      <c r="L130" s="66"/>
      <c r="M130" s="100" t="s">
        <v>110</v>
      </c>
    </row>
    <row r="131" spans="1:13" s="1" customFormat="1" ht="26.25" thickBot="1" x14ac:dyDescent="0.25">
      <c r="A131" s="129">
        <f>WORKDAY(PAIE_DEF,1,z_fériés)</f>
        <v>43644</v>
      </c>
      <c r="B131" s="92">
        <f>A131</f>
        <v>43644</v>
      </c>
      <c r="C131" s="51">
        <f>WEEKNUM(A131,2)</f>
        <v>26</v>
      </c>
      <c r="D131" s="69">
        <f>Mois_trait</f>
        <v>6</v>
      </c>
      <c r="E131" s="30">
        <v>0.29166666666666669</v>
      </c>
      <c r="F131" s="30">
        <v>0.5</v>
      </c>
      <c r="G131" s="30" t="s">
        <v>43</v>
      </c>
      <c r="H131" s="31"/>
      <c r="I131" s="31"/>
      <c r="J131" s="31"/>
      <c r="K131" s="56"/>
      <c r="L131" s="66"/>
      <c r="M131" s="78"/>
    </row>
    <row r="132" spans="1:13" s="1" customFormat="1" ht="13.5" thickBot="1" x14ac:dyDescent="0.25">
      <c r="A132" s="171">
        <f>WORKDAY(Ex_Compta_2_HP,1,z_fériés)</f>
        <v>43644</v>
      </c>
      <c r="B132" s="92">
        <f>A132</f>
        <v>43644</v>
      </c>
      <c r="C132" s="51">
        <f>WEEKNUM(A132,2)</f>
        <v>26</v>
      </c>
      <c r="D132" s="69">
        <f>Mois_trait</f>
        <v>6</v>
      </c>
      <c r="E132" s="36">
        <v>0.29166666666666669</v>
      </c>
      <c r="F132" s="36">
        <v>0.29166666666666669</v>
      </c>
      <c r="G132" s="36" t="s">
        <v>1</v>
      </c>
      <c r="H132" s="37"/>
      <c r="I132" s="67"/>
      <c r="J132" s="67"/>
      <c r="K132" s="37"/>
      <c r="L132" s="61"/>
      <c r="M132" s="76"/>
    </row>
    <row r="133" spans="1:13" s="1" customFormat="1" ht="26.25" thickBot="1" x14ac:dyDescent="0.25">
      <c r="A133" s="155">
        <f>WORKDAY(PAIE_DEF,1,z_fériés)</f>
        <v>43644</v>
      </c>
      <c r="B133" s="92">
        <f>A133</f>
        <v>43644</v>
      </c>
      <c r="C133" s="51">
        <f>WEEKNUM(A133,2)</f>
        <v>26</v>
      </c>
      <c r="D133" s="69">
        <f>Mois_trait</f>
        <v>6</v>
      </c>
      <c r="E133" s="36">
        <v>0.375</v>
      </c>
      <c r="F133" s="36">
        <v>0.60416666666666663</v>
      </c>
      <c r="G133" s="48" t="s">
        <v>7</v>
      </c>
      <c r="H133" s="59"/>
      <c r="I133" s="59"/>
      <c r="J133" s="59"/>
      <c r="K133" s="72"/>
      <c r="L133" s="66"/>
      <c r="M133" s="78"/>
    </row>
    <row r="134" spans="1:13" s="1" customFormat="1" ht="38.25" x14ac:dyDescent="0.2">
      <c r="A134" s="170">
        <f>WORKDAY(PAIE_DEF,1,z_fériés)</f>
        <v>43644</v>
      </c>
      <c r="B134" s="92">
        <f>A134</f>
        <v>43644</v>
      </c>
      <c r="C134" s="51">
        <f>WEEKNUM(A134,2)</f>
        <v>26</v>
      </c>
      <c r="D134" s="69">
        <f>Mois_trait</f>
        <v>6</v>
      </c>
      <c r="E134" s="36">
        <v>0.375</v>
      </c>
      <c r="F134" s="36">
        <v>0.60416666666666663</v>
      </c>
      <c r="G134" s="58" t="s">
        <v>33</v>
      </c>
      <c r="H134" s="67"/>
      <c r="I134" s="59"/>
      <c r="J134" s="59"/>
      <c r="K134" s="60"/>
      <c r="L134" s="66"/>
      <c r="M134" s="78"/>
    </row>
    <row r="135" spans="1:13" s="1" customFormat="1" ht="25.5" x14ac:dyDescent="0.2">
      <c r="A135" s="163">
        <f>WORKDAY(PAIE_DEF,1,z_fériés)</f>
        <v>43644</v>
      </c>
      <c r="B135" s="92">
        <f>A135</f>
        <v>43644</v>
      </c>
      <c r="C135" s="51">
        <f>WEEKNUM(A135,2)</f>
        <v>26</v>
      </c>
      <c r="D135" s="69">
        <f>Mois_trait</f>
        <v>6</v>
      </c>
      <c r="E135" s="36">
        <v>0.375</v>
      </c>
      <c r="F135" s="36">
        <v>0.60416666666666663</v>
      </c>
      <c r="G135" s="48" t="s">
        <v>7</v>
      </c>
      <c r="H135" s="59"/>
      <c r="I135" s="59"/>
      <c r="J135" s="59"/>
      <c r="K135" s="73"/>
      <c r="L135" s="66"/>
      <c r="M135" s="78"/>
    </row>
    <row r="136" spans="1:13" s="1" customFormat="1" ht="26.25" thickBot="1" x14ac:dyDescent="0.25">
      <c r="A136" s="129">
        <f>WORKDAY(PAIE_DEF,1,z_fériés)</f>
        <v>43644</v>
      </c>
      <c r="B136" s="92">
        <f>A136</f>
        <v>43644</v>
      </c>
      <c r="C136" s="51">
        <f>WEEKNUM(A141,2)</f>
        <v>26</v>
      </c>
      <c r="D136" s="69">
        <f>Mois_trait</f>
        <v>6</v>
      </c>
      <c r="E136" s="36">
        <v>0.375</v>
      </c>
      <c r="F136" s="36">
        <v>0.60416666666666663</v>
      </c>
      <c r="G136" s="48" t="s">
        <v>7</v>
      </c>
      <c r="H136" s="59"/>
      <c r="I136" s="59"/>
      <c r="J136" s="59"/>
      <c r="K136" s="73"/>
      <c r="L136" s="66"/>
      <c r="M136" s="100"/>
    </row>
    <row r="137" spans="1:13" s="1" customFormat="1" ht="12.75" x14ac:dyDescent="0.2">
      <c r="A137" s="163">
        <f>WORKDAY(PAIE_DEF,1,z_fériés)</f>
        <v>43644</v>
      </c>
      <c r="B137" s="92">
        <f>A137</f>
        <v>43644</v>
      </c>
      <c r="C137" s="51">
        <f>WEEKNUM(A137,2)</f>
        <v>26</v>
      </c>
      <c r="D137" s="69">
        <f>Mois_trait</f>
        <v>6</v>
      </c>
      <c r="E137" s="30">
        <v>0.375</v>
      </c>
      <c r="F137" s="30">
        <v>0.375</v>
      </c>
      <c r="G137" s="30" t="s">
        <v>2</v>
      </c>
      <c r="H137" s="31"/>
      <c r="I137" s="56"/>
      <c r="J137" s="37"/>
      <c r="K137" s="31"/>
      <c r="L137" s="66"/>
      <c r="M137" s="100"/>
    </row>
    <row r="138" spans="1:13" s="1" customFormat="1" ht="12.75" x14ac:dyDescent="0.2">
      <c r="A138" s="163">
        <f>WORKDAY(PAIE_DEF,1,z_fériés)</f>
        <v>43644</v>
      </c>
      <c r="B138" s="92">
        <f>A138</f>
        <v>43644</v>
      </c>
      <c r="C138" s="47">
        <f>WEEKNUM(A138,2)</f>
        <v>26</v>
      </c>
      <c r="D138" s="69">
        <f>Mois_trait</f>
        <v>6</v>
      </c>
      <c r="E138" s="36">
        <v>0.41666666666666669</v>
      </c>
      <c r="F138" s="36">
        <v>0.5</v>
      </c>
      <c r="G138" s="36" t="s">
        <v>1</v>
      </c>
      <c r="H138" s="37"/>
      <c r="I138" s="37"/>
      <c r="J138" s="37"/>
      <c r="K138" s="37"/>
      <c r="L138" s="61"/>
      <c r="M138" s="100" t="s">
        <v>109</v>
      </c>
    </row>
    <row r="139" spans="1:13" s="1" customFormat="1" ht="12.75" x14ac:dyDescent="0.2">
      <c r="A139" s="163">
        <f>WORKDAY(PAIE_DEF,1,z_fériés)</f>
        <v>43644</v>
      </c>
      <c r="B139" s="92">
        <f>A139</f>
        <v>43644</v>
      </c>
      <c r="C139" s="51">
        <f>WEEKNUM(A139,2)</f>
        <v>26</v>
      </c>
      <c r="D139" s="69">
        <f>Mois_trait</f>
        <v>6</v>
      </c>
      <c r="E139" s="30">
        <v>0.47916666666666669</v>
      </c>
      <c r="F139" s="64" t="s">
        <v>0</v>
      </c>
      <c r="G139" s="47" t="s">
        <v>2</v>
      </c>
      <c r="H139" s="69"/>
      <c r="I139" s="64"/>
      <c r="J139" s="64"/>
      <c r="K139" s="56"/>
      <c r="L139" s="66"/>
      <c r="M139" s="121"/>
    </row>
    <row r="140" spans="1:13" s="1" customFormat="1" ht="12.75" x14ac:dyDescent="0.2">
      <c r="A140" s="163">
        <f>WORKDAY(PAIE_DEF,1,z_fériés)</f>
        <v>43644</v>
      </c>
      <c r="B140" s="92">
        <f>A140</f>
        <v>43644</v>
      </c>
      <c r="C140" s="47">
        <v>5</v>
      </c>
      <c r="D140" s="69">
        <f>Mois_trait</f>
        <v>6</v>
      </c>
      <c r="E140" s="36">
        <v>0.5</v>
      </c>
      <c r="F140" s="36">
        <v>0.54166666666666663</v>
      </c>
      <c r="G140" s="36" t="s">
        <v>1</v>
      </c>
      <c r="H140" s="37"/>
      <c r="I140" s="37"/>
      <c r="J140" s="37"/>
      <c r="K140" s="37"/>
      <c r="L140" s="61"/>
      <c r="M140" s="270"/>
    </row>
    <row r="141" spans="1:13" s="9" customFormat="1" ht="12.75" x14ac:dyDescent="0.2">
      <c r="A141" s="163">
        <f>WORKDAY(PAIE_DEF,1,z_fériés)</f>
        <v>43644</v>
      </c>
      <c r="B141" s="92">
        <f>A141</f>
        <v>43644</v>
      </c>
      <c r="C141" s="47">
        <f>WEEKNUM(A141,2)</f>
        <v>26</v>
      </c>
      <c r="D141" s="69">
        <f>Mois_trait</f>
        <v>6</v>
      </c>
      <c r="E141" s="36">
        <v>0.5</v>
      </c>
      <c r="F141" s="36">
        <v>0.625</v>
      </c>
      <c r="G141" s="36" t="s">
        <v>1</v>
      </c>
      <c r="H141" s="37"/>
      <c r="I141" s="37"/>
      <c r="J141" s="37"/>
      <c r="K141" s="37"/>
      <c r="L141" s="61"/>
      <c r="M141" s="76"/>
    </row>
    <row r="142" spans="1:13" s="1" customFormat="1" ht="12.75" x14ac:dyDescent="0.2">
      <c r="A142" s="163">
        <f>WORKDAY(PAIE_DEF,1,z_fériés)</f>
        <v>43644</v>
      </c>
      <c r="B142" s="92">
        <f>A142</f>
        <v>43644</v>
      </c>
      <c r="C142" s="47">
        <f>WEEKNUM(A142,2)</f>
        <v>26</v>
      </c>
      <c r="D142" s="69">
        <f>Mois_trait</f>
        <v>6</v>
      </c>
      <c r="E142" s="36">
        <v>0.5</v>
      </c>
      <c r="F142" s="36">
        <v>0.625</v>
      </c>
      <c r="G142" s="36" t="s">
        <v>1</v>
      </c>
      <c r="H142" s="37"/>
      <c r="I142" s="37"/>
      <c r="J142" s="37"/>
      <c r="K142" s="37"/>
      <c r="L142" s="66"/>
      <c r="M142" s="100" t="s">
        <v>0</v>
      </c>
    </row>
    <row r="143" spans="1:13" s="1" customFormat="1" ht="12.75" x14ac:dyDescent="0.2">
      <c r="A143" s="163">
        <f>WORKDAY(Centr_2°_Compta_HP,0,z_fériés)</f>
        <v>43644</v>
      </c>
      <c r="B143" s="92">
        <f>A143</f>
        <v>43644</v>
      </c>
      <c r="C143" s="47">
        <f>WEEKNUM(A143,2)</f>
        <v>26</v>
      </c>
      <c r="D143" s="69">
        <f>Mois_trait</f>
        <v>6</v>
      </c>
      <c r="E143" s="36">
        <v>0.5</v>
      </c>
      <c r="F143" s="36">
        <v>0.625</v>
      </c>
      <c r="G143" s="36" t="s">
        <v>1</v>
      </c>
      <c r="H143" s="37"/>
      <c r="I143" s="37"/>
      <c r="J143" s="37"/>
      <c r="K143" s="37"/>
      <c r="L143" s="61"/>
      <c r="M143" s="76"/>
    </row>
    <row r="144" spans="1:13" s="1" customFormat="1" ht="12.75" x14ac:dyDescent="0.2">
      <c r="A144" s="163">
        <f>WORKDAY(PAIE_DEF,1,z_fériés)</f>
        <v>43644</v>
      </c>
      <c r="B144" s="92">
        <f>A144</f>
        <v>43644</v>
      </c>
      <c r="C144" s="51">
        <f>WEEKNUM(A144,2)</f>
        <v>26</v>
      </c>
      <c r="D144" s="69">
        <f>Mois_trait</f>
        <v>6</v>
      </c>
      <c r="E144" s="30">
        <v>0.54166666666666663</v>
      </c>
      <c r="F144" s="30">
        <v>0.58333333333333337</v>
      </c>
      <c r="G144" s="30" t="s">
        <v>2</v>
      </c>
      <c r="H144" s="41"/>
      <c r="I144" s="31"/>
      <c r="J144" s="31"/>
      <c r="K144" s="56"/>
      <c r="L144" s="66"/>
      <c r="M144" s="2"/>
    </row>
    <row r="145" spans="1:13" s="1" customFormat="1" ht="12.75" x14ac:dyDescent="0.2">
      <c r="A145" s="163">
        <f>WORKDAY(Ex_Compta_2_HP,1,z_fériés)</f>
        <v>43644</v>
      </c>
      <c r="B145" s="92">
        <f>A145</f>
        <v>43644</v>
      </c>
      <c r="C145" s="47">
        <f>WEEKNUM(A145,2)</f>
        <v>26</v>
      </c>
      <c r="D145" s="69">
        <f>Mois_trait</f>
        <v>6</v>
      </c>
      <c r="E145" s="30">
        <v>0.625</v>
      </c>
      <c r="F145" s="30">
        <v>0.75</v>
      </c>
      <c r="G145" s="30" t="s">
        <v>1</v>
      </c>
      <c r="H145" s="37"/>
      <c r="I145" s="31"/>
      <c r="J145" s="31"/>
      <c r="K145" s="31"/>
      <c r="L145" s="66"/>
      <c r="M145" s="76"/>
    </row>
    <row r="146" spans="1:13" s="9" customFormat="1" ht="12.75" x14ac:dyDescent="0.2">
      <c r="A146" s="163">
        <f>WORKDAY(DATE(Année_trait,Mois_trait,30),-1,z_fériés)</f>
        <v>43644</v>
      </c>
      <c r="B146" s="92">
        <f>A146</f>
        <v>43644</v>
      </c>
      <c r="C146" s="51">
        <f>WEEKNUM(A146,2)</f>
        <v>26</v>
      </c>
      <c r="D146" s="69">
        <f>Mois_trait</f>
        <v>6</v>
      </c>
      <c r="E146" s="36">
        <v>0.625</v>
      </c>
      <c r="F146" s="36">
        <v>0.625</v>
      </c>
      <c r="G146" s="36" t="s">
        <v>3</v>
      </c>
      <c r="H146" s="37"/>
      <c r="I146" s="38"/>
      <c r="J146" s="38"/>
      <c r="K146" s="37"/>
      <c r="L146" s="66"/>
      <c r="M146" s="78"/>
    </row>
    <row r="147" spans="1:13" s="1" customFormat="1" ht="12.75" x14ac:dyDescent="0.2">
      <c r="A147" s="163">
        <f>WORKDAY(PAIE_DEF,1,z_fériés)</f>
        <v>43644</v>
      </c>
      <c r="B147" s="92">
        <f>A147</f>
        <v>43644</v>
      </c>
      <c r="C147" s="51">
        <f>WEEKNUM(A147,2)</f>
        <v>26</v>
      </c>
      <c r="D147" s="69">
        <f>Mois_trait</f>
        <v>6</v>
      </c>
      <c r="E147" s="36">
        <v>0.70833333333333337</v>
      </c>
      <c r="F147" s="36">
        <v>0.70833333333333337</v>
      </c>
      <c r="G147" s="36" t="s">
        <v>2</v>
      </c>
      <c r="H147" s="37"/>
      <c r="I147" s="89"/>
      <c r="J147" s="70"/>
      <c r="K147" s="71"/>
      <c r="L147" s="66"/>
      <c r="M147" s="2"/>
    </row>
    <row r="148" spans="1:13" s="1" customFormat="1" ht="12.75" x14ac:dyDescent="0.2">
      <c r="A148" s="163">
        <f>WORKDAY(PAIE_DEF,1,z_fériés)</f>
        <v>43644</v>
      </c>
      <c r="B148" s="92">
        <f>A148</f>
        <v>43644</v>
      </c>
      <c r="C148" s="51">
        <f>WEEKNUM(A137,2)</f>
        <v>26</v>
      </c>
      <c r="D148" s="69">
        <f>Mois_trait</f>
        <v>6</v>
      </c>
      <c r="E148" s="36">
        <v>0.7090277777777777</v>
      </c>
      <c r="F148" s="36"/>
      <c r="G148" s="36"/>
      <c r="H148" s="37"/>
      <c r="I148" s="89"/>
      <c r="J148" s="70"/>
      <c r="K148" s="71"/>
      <c r="L148" s="66"/>
      <c r="M148" s="78"/>
    </row>
    <row r="149" spans="1:13" s="1" customFormat="1" ht="12.75" x14ac:dyDescent="0.2">
      <c r="A149" s="163">
        <f>WORKDAY(EOMONTH(DATE(Année_trait,Mois_trait,1),0),-1,z_fériés)</f>
        <v>43644</v>
      </c>
      <c r="B149" s="92">
        <f>A149</f>
        <v>43644</v>
      </c>
      <c r="C149" s="51">
        <f>WEEKNUM(A149,2)</f>
        <v>26</v>
      </c>
      <c r="D149" s="69">
        <f>Mois_trait</f>
        <v>6</v>
      </c>
      <c r="E149" s="36">
        <v>0.72916666666666663</v>
      </c>
      <c r="F149" s="36"/>
      <c r="G149" s="36" t="s">
        <v>1</v>
      </c>
      <c r="H149" s="67"/>
      <c r="I149" s="131"/>
      <c r="J149" s="131"/>
      <c r="K149" s="37"/>
      <c r="L149" s="66"/>
      <c r="M149" s="78"/>
    </row>
    <row r="150" spans="1:13" s="1" customFormat="1" ht="39" thickBot="1" x14ac:dyDescent="0.25">
      <c r="A150" s="174">
        <f>WORKDAY(EOMONTH(DATE(Année_trait,Mois_trait,1),0),-1,z_fériés)</f>
        <v>43644</v>
      </c>
      <c r="B150" s="92">
        <f>A150</f>
        <v>43644</v>
      </c>
      <c r="C150" s="47">
        <f>WEEKNUM(A150,2)</f>
        <v>26</v>
      </c>
      <c r="D150" s="69">
        <f>Mois_trait</f>
        <v>6</v>
      </c>
      <c r="E150" s="36">
        <v>0.83333333333333337</v>
      </c>
      <c r="F150" s="58">
        <v>0.83333333333333337</v>
      </c>
      <c r="G150" s="57" t="s">
        <v>18</v>
      </c>
      <c r="H150" s="63"/>
      <c r="I150" s="62"/>
      <c r="J150" s="62"/>
      <c r="K150" s="62"/>
      <c r="L150" s="61"/>
      <c r="M150" s="100"/>
    </row>
    <row r="151" spans="1:13" s="1" customFormat="1" ht="39" thickBot="1" x14ac:dyDescent="0.25">
      <c r="A151" s="129">
        <f>WORKDAY(EOMONTH(DATE(Année_trait,Mois_trait,1),0),-1,z_fériés)</f>
        <v>43644</v>
      </c>
      <c r="B151" s="92">
        <f>A151</f>
        <v>43644</v>
      </c>
      <c r="C151" s="51">
        <f>WEEKNUM(A151,2)</f>
        <v>26</v>
      </c>
      <c r="D151" s="69">
        <f>Mois_trait</f>
        <v>6</v>
      </c>
      <c r="E151" s="30">
        <v>0.83333333333333337</v>
      </c>
      <c r="F151" s="48">
        <v>0.83333333333333337</v>
      </c>
      <c r="G151" s="33" t="s">
        <v>18</v>
      </c>
      <c r="H151" s="74"/>
      <c r="I151" s="54"/>
      <c r="J151" s="54"/>
      <c r="K151" s="54"/>
      <c r="L151" s="66"/>
      <c r="M151" s="100" t="s">
        <v>0</v>
      </c>
    </row>
    <row r="152" spans="1:13" s="1" customFormat="1" ht="12.75" x14ac:dyDescent="0.2">
      <c r="A152" s="163">
        <f>WORKDAY(Ex_Compta_2_HP,1,z_fériés)</f>
        <v>43644</v>
      </c>
      <c r="B152" s="92">
        <f>A152</f>
        <v>43644</v>
      </c>
      <c r="C152" s="47">
        <f>WEEKNUM(A152,2)</f>
        <v>26</v>
      </c>
      <c r="D152" s="69">
        <f>Mois_trait</f>
        <v>6</v>
      </c>
      <c r="E152" s="30">
        <v>0.83333333333333337</v>
      </c>
      <c r="F152" s="30" t="s">
        <v>0</v>
      </c>
      <c r="G152" s="30" t="s">
        <v>1</v>
      </c>
      <c r="H152" s="31"/>
      <c r="I152" s="37"/>
      <c r="J152" s="31"/>
      <c r="K152" s="31"/>
      <c r="L152" s="66"/>
      <c r="M152" s="109"/>
    </row>
    <row r="153" spans="1:13" s="1" customFormat="1" ht="12.75" x14ac:dyDescent="0.2">
      <c r="A153" s="163">
        <f>WORKDAY(Ex_Compta_2_HP,1,z_fériés)</f>
        <v>43644</v>
      </c>
      <c r="B153" s="92">
        <f>A153</f>
        <v>43644</v>
      </c>
      <c r="C153" s="47">
        <f>WEEKNUM(A153,2)</f>
        <v>26</v>
      </c>
      <c r="D153" s="69">
        <f>Mois_trait</f>
        <v>6</v>
      </c>
      <c r="E153" s="30">
        <v>0.875</v>
      </c>
      <c r="F153" s="30" t="s">
        <v>0</v>
      </c>
      <c r="G153" s="30" t="s">
        <v>1</v>
      </c>
      <c r="H153" s="31"/>
      <c r="I153" s="37"/>
      <c r="J153" s="31"/>
      <c r="K153" s="31"/>
      <c r="L153" s="61"/>
      <c r="M153" s="76"/>
    </row>
    <row r="154" spans="1:13" ht="12.75" x14ac:dyDescent="0.2">
      <c r="A154" s="163">
        <f>WORKDAY(Ex_Compta_2_HP,1,z_fériés)</f>
        <v>43644</v>
      </c>
      <c r="B154" s="92">
        <f>A154</f>
        <v>43644</v>
      </c>
      <c r="C154" s="47">
        <f>WEEKNUM(A154,2)</f>
        <v>26</v>
      </c>
      <c r="D154" s="69">
        <f>Mois_trait</f>
        <v>6</v>
      </c>
      <c r="E154" s="30">
        <v>0.91666666666666663</v>
      </c>
      <c r="F154" s="30" t="s">
        <v>0</v>
      </c>
      <c r="G154" s="30" t="s">
        <v>1</v>
      </c>
      <c r="H154" s="31"/>
      <c r="I154" s="31"/>
      <c r="J154" s="31"/>
      <c r="K154" s="31"/>
      <c r="L154" s="61"/>
      <c r="M154" s="76"/>
    </row>
    <row r="155" spans="1:13" s="1" customFormat="1" ht="12.75" x14ac:dyDescent="0.2">
      <c r="A155" s="242">
        <f>Ex_AC1 + 24</f>
        <v>43645</v>
      </c>
      <c r="B155" s="146">
        <f>A155</f>
        <v>43645</v>
      </c>
      <c r="C155" s="238">
        <f>WEEKNUM(A155,2)</f>
        <v>26</v>
      </c>
      <c r="D155" s="238">
        <f>Mois_trait</f>
        <v>6</v>
      </c>
      <c r="E155" s="113">
        <v>0</v>
      </c>
      <c r="F155" s="104"/>
      <c r="G155" s="104"/>
      <c r="H155" s="106"/>
      <c r="I155" s="106"/>
      <c r="J155" s="99"/>
      <c r="K155" s="84" t="str">
        <f>IF(OR(WEEKDAY(B155,2)&gt;5,COUNTIF(z_fériés,B155)),"Ferié","Ouvré")</f>
        <v>Ferié</v>
      </c>
      <c r="L155" s="153"/>
      <c r="M155" s="100" t="s">
        <v>0</v>
      </c>
    </row>
    <row r="156" spans="1:13" s="1" customFormat="1" ht="12.75" x14ac:dyDescent="0.2">
      <c r="A156" s="163">
        <f>WORKDAY(DATE(Année_trait,Mois_trait,29),0,z_fériés)</f>
        <v>43645</v>
      </c>
      <c r="B156" s="92">
        <f>A156</f>
        <v>43645</v>
      </c>
      <c r="C156" s="51">
        <f>WEEKNUM(A156,2)</f>
        <v>26</v>
      </c>
      <c r="D156" s="69">
        <f>Mois_trait</f>
        <v>6</v>
      </c>
      <c r="E156" s="36">
        <v>0.625</v>
      </c>
      <c r="F156" s="36">
        <v>0.64583333333333337</v>
      </c>
      <c r="G156" s="36" t="s">
        <v>3</v>
      </c>
      <c r="H156" s="37"/>
      <c r="I156" s="37"/>
      <c r="J156" s="37"/>
      <c r="K156" s="38"/>
      <c r="L156" s="66"/>
      <c r="M156" s="2"/>
    </row>
    <row r="157" spans="1:13" ht="12.75" x14ac:dyDescent="0.2">
      <c r="A157" s="167">
        <f>Ex_AC1 + 25</f>
        <v>43646</v>
      </c>
      <c r="B157" s="93">
        <f>A157</f>
        <v>43646</v>
      </c>
      <c r="C157" s="114">
        <f>WEEKNUM(A157,2)</f>
        <v>26</v>
      </c>
      <c r="D157" s="114">
        <f>Mois_trait</f>
        <v>6</v>
      </c>
      <c r="E157" s="156">
        <v>0</v>
      </c>
      <c r="F157" s="96"/>
      <c r="G157" s="96"/>
      <c r="H157" s="84"/>
      <c r="I157" s="84"/>
      <c r="J157" s="84"/>
      <c r="K157" s="84" t="str">
        <f>IF(OR(WEEKDAY(B157,2)&gt;5,COUNTIF(z_fériés,B157)),"Ferié","Ouvré")</f>
        <v>Ferié</v>
      </c>
      <c r="L157" s="138"/>
      <c r="M157" s="78"/>
    </row>
    <row r="158" spans="1:13" s="1" customFormat="1" ht="12.75" x14ac:dyDescent="0.2">
      <c r="A158" s="167">
        <f>Ex_AC1 + 26</f>
        <v>43647</v>
      </c>
      <c r="B158" s="93">
        <f>A158</f>
        <v>43647</v>
      </c>
      <c r="C158" s="114">
        <f>WEEKNUM(A158,2)</f>
        <v>27</v>
      </c>
      <c r="D158" s="114">
        <f>Mois_trait</f>
        <v>6</v>
      </c>
      <c r="E158" s="95">
        <v>0</v>
      </c>
      <c r="F158" s="96"/>
      <c r="G158" s="96"/>
      <c r="H158" s="84"/>
      <c r="I158" s="84"/>
      <c r="J158" s="84"/>
      <c r="K158" s="84" t="str">
        <f>IF(OR(WEEKDAY(B158,2)&gt;5,COUNTIF(z_fériés,B158)),"Ferié","Ouvré")</f>
        <v>Ouvré</v>
      </c>
      <c r="L158" s="138"/>
      <c r="M158" s="78"/>
    </row>
    <row r="159" spans="1:13" s="1" customFormat="1" ht="12.75" x14ac:dyDescent="0.2">
      <c r="A159" s="166">
        <f>WORKDAY(DEB_PLAN,17,z_feriés)</f>
        <v>43647</v>
      </c>
      <c r="B159" s="92">
        <f>A159</f>
        <v>43647</v>
      </c>
      <c r="C159" s="47">
        <f>WEEKNUM(A159,2)</f>
        <v>27</v>
      </c>
      <c r="D159" s="69">
        <f>Mois_trait</f>
        <v>6</v>
      </c>
      <c r="E159" s="30">
        <v>4.1666666666666664E-2</v>
      </c>
      <c r="F159" s="30"/>
      <c r="G159" s="30" t="s">
        <v>29</v>
      </c>
      <c r="H159" s="31"/>
      <c r="I159" s="31"/>
      <c r="J159" s="32"/>
      <c r="K159" s="31"/>
      <c r="L159" s="66"/>
      <c r="M159" s="78"/>
    </row>
    <row r="160" spans="1:13" s="1" customFormat="1" ht="51" x14ac:dyDescent="0.2">
      <c r="A160" s="163">
        <f>WORKDAY(PAIE_DEF,2,z_fériés)</f>
        <v>43647</v>
      </c>
      <c r="B160" s="92">
        <f>A160</f>
        <v>43647</v>
      </c>
      <c r="C160" s="51">
        <f>WEEKNUM(A160,2)</f>
        <v>27</v>
      </c>
      <c r="D160" s="69">
        <f>Mois_trait</f>
        <v>6</v>
      </c>
      <c r="E160" s="30">
        <v>4.5138888888888888E-2</v>
      </c>
      <c r="F160" s="48"/>
      <c r="G160" s="33" t="s">
        <v>37</v>
      </c>
      <c r="H160" s="74"/>
      <c r="I160" s="54"/>
      <c r="J160" s="54"/>
      <c r="K160" s="75"/>
      <c r="L160" s="66"/>
      <c r="M160" s="100" t="s">
        <v>118</v>
      </c>
    </row>
    <row r="161" spans="1:13" s="1" customFormat="1" ht="12.75" x14ac:dyDescent="0.2">
      <c r="A161" s="163">
        <f>WORKDAY(PAIE_DEF,2,z_fériés)</f>
        <v>43647</v>
      </c>
      <c r="B161" s="92">
        <f>A161</f>
        <v>43647</v>
      </c>
      <c r="C161" s="47">
        <f>WEEKNUM(A161,2)</f>
        <v>27</v>
      </c>
      <c r="D161" s="69">
        <f>Mois_trait</f>
        <v>6</v>
      </c>
      <c r="E161" s="30">
        <v>0.29166666666666669</v>
      </c>
      <c r="F161" s="30">
        <v>0.33333333333333331</v>
      </c>
      <c r="G161" s="30" t="s">
        <v>2</v>
      </c>
      <c r="H161" s="31"/>
      <c r="I161" s="31"/>
      <c r="J161" s="31"/>
      <c r="K161" s="55"/>
      <c r="L161" s="66"/>
      <c r="M161" s="78"/>
    </row>
    <row r="162" spans="1:13" s="1" customFormat="1" ht="51" x14ac:dyDescent="0.2">
      <c r="A162" s="163">
        <f>WORKDAY(PAIE_DEF,2,z_fériés)</f>
        <v>43647</v>
      </c>
      <c r="B162" s="92">
        <f>A162</f>
        <v>43647</v>
      </c>
      <c r="C162" s="51">
        <f>WEEKNUM(A162,2)</f>
        <v>27</v>
      </c>
      <c r="D162" s="69">
        <f>Mois_trait</f>
        <v>6</v>
      </c>
      <c r="E162" s="36">
        <v>0.29166666666666669</v>
      </c>
      <c r="F162" s="36">
        <v>0.33333333333333331</v>
      </c>
      <c r="G162" s="57" t="s">
        <v>38</v>
      </c>
      <c r="H162" s="67"/>
      <c r="I162" s="59"/>
      <c r="J162" s="59"/>
      <c r="K162" s="81"/>
      <c r="L162" s="66"/>
      <c r="M162" s="100"/>
    </row>
    <row r="163" spans="1:13" s="1" customFormat="1" ht="51" x14ac:dyDescent="0.2">
      <c r="A163" s="163">
        <f>WORKDAY(PAIE_DEF,2,z_fériés)</f>
        <v>43647</v>
      </c>
      <c r="B163" s="92">
        <f>A163</f>
        <v>43647</v>
      </c>
      <c r="C163" s="51">
        <f>WEEKNUM(A163,2)</f>
        <v>27</v>
      </c>
      <c r="D163" s="69">
        <f>Mois_trait</f>
        <v>6</v>
      </c>
      <c r="E163" s="36">
        <v>0.29166666666666669</v>
      </c>
      <c r="F163" s="36">
        <v>0.33333333333333331</v>
      </c>
      <c r="G163" s="57" t="s">
        <v>39</v>
      </c>
      <c r="H163" s="67"/>
      <c r="I163" s="59"/>
      <c r="J163" s="59"/>
      <c r="K163" s="82"/>
      <c r="L163" s="61"/>
      <c r="M163" s="100"/>
    </row>
    <row r="164" spans="1:13" s="9" customFormat="1" ht="51" x14ac:dyDescent="0.2">
      <c r="A164" s="163">
        <f>WORKDAY(PAIE_DEF,2,z_fériés)</f>
        <v>43647</v>
      </c>
      <c r="B164" s="92">
        <f>A164</f>
        <v>43647</v>
      </c>
      <c r="C164" s="51">
        <f>WEEKNUM(A164,2)</f>
        <v>27</v>
      </c>
      <c r="D164" s="69">
        <f>Mois_trait</f>
        <v>6</v>
      </c>
      <c r="E164" s="36">
        <v>0.29166666666666669</v>
      </c>
      <c r="F164" s="36">
        <v>0.33333333333333331</v>
      </c>
      <c r="G164" s="57" t="s">
        <v>40</v>
      </c>
      <c r="H164" s="67"/>
      <c r="I164" s="59"/>
      <c r="J164" s="59"/>
      <c r="K164" s="81"/>
      <c r="L164" s="66"/>
      <c r="M164" s="100"/>
    </row>
    <row r="165" spans="1:13" s="1" customFormat="1" ht="51" x14ac:dyDescent="0.2">
      <c r="A165" s="163">
        <f>WORKDAY(PAIE_DEF,2,z_fériés)</f>
        <v>43647</v>
      </c>
      <c r="B165" s="92">
        <f>A165</f>
        <v>43647</v>
      </c>
      <c r="C165" s="51">
        <f>WEEKNUM(A165,2)</f>
        <v>27</v>
      </c>
      <c r="D165" s="69">
        <f>Mois_trait</f>
        <v>6</v>
      </c>
      <c r="E165" s="36">
        <v>0.29166666666666669</v>
      </c>
      <c r="F165" s="36">
        <v>0.33333333333333331</v>
      </c>
      <c r="G165" s="57" t="s">
        <v>41</v>
      </c>
      <c r="H165" s="67"/>
      <c r="I165" s="59"/>
      <c r="J165" s="59"/>
      <c r="K165" s="82"/>
      <c r="L165" s="66"/>
      <c r="M165" s="78"/>
    </row>
    <row r="166" spans="1:13" s="1" customFormat="1" ht="25.5" x14ac:dyDescent="0.2">
      <c r="A166" s="163">
        <f>WORKDAY(PAIE_DEF,2,z_fériés)</f>
        <v>43647</v>
      </c>
      <c r="B166" s="92">
        <f>A166</f>
        <v>43647</v>
      </c>
      <c r="C166" s="51">
        <f>WEEKNUM(A166,2)</f>
        <v>27</v>
      </c>
      <c r="D166" s="69">
        <f>Mois_trait</f>
        <v>6</v>
      </c>
      <c r="E166" s="30">
        <v>0.29166666666666669</v>
      </c>
      <c r="F166" s="30">
        <v>0.5</v>
      </c>
      <c r="G166" s="30" t="s">
        <v>43</v>
      </c>
      <c r="H166" s="31"/>
      <c r="I166" s="31"/>
      <c r="J166" s="31"/>
      <c r="K166" s="56"/>
      <c r="L166" s="66"/>
      <c r="M166" s="78"/>
    </row>
    <row r="167" spans="1:13" s="1" customFormat="1" ht="12.75" x14ac:dyDescent="0.2">
      <c r="A167" s="163">
        <f>WORKDAY(PAIE_DEF,2,z_fériés)</f>
        <v>43647</v>
      </c>
      <c r="B167" s="92">
        <f>A167</f>
        <v>43647</v>
      </c>
      <c r="C167" s="47">
        <f>WEEKNUM(A167,2)</f>
        <v>27</v>
      </c>
      <c r="D167" s="69">
        <f>Mois_trait</f>
        <v>6</v>
      </c>
      <c r="E167" s="30">
        <v>0.29166666666666669</v>
      </c>
      <c r="F167" s="30">
        <v>0.5</v>
      </c>
      <c r="G167" s="30" t="s">
        <v>2</v>
      </c>
      <c r="H167" s="32"/>
      <c r="I167" s="31"/>
      <c r="J167" s="32"/>
      <c r="K167" s="56"/>
      <c r="L167" s="184"/>
      <c r="M167" s="78"/>
    </row>
    <row r="168" spans="1:13" s="1" customFormat="1" ht="13.5" thickBot="1" x14ac:dyDescent="0.25">
      <c r="A168" s="171">
        <f>WORKDAY(PAIE_DEF,2,z_fériés)</f>
        <v>43647</v>
      </c>
      <c r="B168" s="92">
        <f>A168</f>
        <v>43647</v>
      </c>
      <c r="C168" s="47">
        <f>WEEKNUM(A168,2)</f>
        <v>27</v>
      </c>
      <c r="D168" s="69">
        <f>Mois_trait</f>
        <v>6</v>
      </c>
      <c r="E168" s="30">
        <v>0.29166666666666669</v>
      </c>
      <c r="F168" s="30">
        <v>0.58333333333333337</v>
      </c>
      <c r="G168" s="30" t="s">
        <v>2</v>
      </c>
      <c r="H168" s="31"/>
      <c r="I168" s="31"/>
      <c r="J168" s="31"/>
      <c r="K168" s="56"/>
      <c r="L168" s="61"/>
      <c r="M168" s="78"/>
    </row>
    <row r="169" spans="1:13" s="1" customFormat="1" ht="13.5" thickBot="1" x14ac:dyDescent="0.25">
      <c r="A169" s="155">
        <f>WORKDAY(PAIE_DEF,2,z_fériés)</f>
        <v>43647</v>
      </c>
      <c r="B169" s="92">
        <f>A169</f>
        <v>43647</v>
      </c>
      <c r="C169" s="51">
        <f>WEEKNUM(A169,2)</f>
        <v>27</v>
      </c>
      <c r="D169" s="69">
        <f>Mois_trait</f>
        <v>6</v>
      </c>
      <c r="E169" s="30">
        <v>0.29166666666666669</v>
      </c>
      <c r="F169" s="64" t="s">
        <v>0</v>
      </c>
      <c r="G169" s="47" t="s">
        <v>2</v>
      </c>
      <c r="H169" s="69"/>
      <c r="I169" s="64"/>
      <c r="J169" s="64"/>
      <c r="K169" s="56"/>
      <c r="L169" s="152"/>
      <c r="M169" s="78"/>
    </row>
    <row r="170" spans="1:13" s="10" customFormat="1" ht="12.75" x14ac:dyDescent="0.2">
      <c r="A170" s="170">
        <f>WORKDAY(PAIE_DEF,2,z_fériés)</f>
        <v>43647</v>
      </c>
      <c r="B170" s="92">
        <f>A170</f>
        <v>43647</v>
      </c>
      <c r="C170" s="51">
        <f>WEEKNUM(A170,2)</f>
        <v>27</v>
      </c>
      <c r="D170" s="69">
        <f>Mois_trait</f>
        <v>6</v>
      </c>
      <c r="E170" s="30">
        <v>0.29166666666666669</v>
      </c>
      <c r="F170" s="30"/>
      <c r="G170" s="30" t="s">
        <v>2</v>
      </c>
      <c r="H170" s="31"/>
      <c r="I170" s="31"/>
      <c r="J170" s="31"/>
      <c r="K170" s="56"/>
      <c r="L170" s="66"/>
      <c r="M170" s="78"/>
    </row>
    <row r="171" spans="1:13" s="9" customFormat="1" ht="51" x14ac:dyDescent="0.2">
      <c r="A171" s="163">
        <f>WORKDAY(PAIE_DEF,2,z_fériés)</f>
        <v>43647</v>
      </c>
      <c r="B171" s="92">
        <f>A171</f>
        <v>43647</v>
      </c>
      <c r="C171" s="47">
        <f>WEEKNUM(A171,2)</f>
        <v>27</v>
      </c>
      <c r="D171" s="69">
        <f>Mois_trait</f>
        <v>6</v>
      </c>
      <c r="E171" s="30">
        <v>0.29166666666666669</v>
      </c>
      <c r="F171" s="48"/>
      <c r="G171" s="33" t="s">
        <v>37</v>
      </c>
      <c r="H171" s="74"/>
      <c r="I171" s="54"/>
      <c r="J171" s="54"/>
      <c r="K171" s="62"/>
      <c r="L171" s="61"/>
      <c r="M171" s="78" t="s">
        <v>122</v>
      </c>
    </row>
    <row r="172" spans="1:13" s="1" customFormat="1" ht="12.75" x14ac:dyDescent="0.2">
      <c r="A172" s="166">
        <f>WORKDAY(EOMONTH(DATE(Année_trait,Mois_trait,1),0),1,z_fériés)</f>
        <v>43647</v>
      </c>
      <c r="B172" s="92">
        <f>A172</f>
        <v>43647</v>
      </c>
      <c r="C172" s="47">
        <f>WEEKNUM(A172,2)</f>
        <v>27</v>
      </c>
      <c r="D172" s="69">
        <f>Mois_trait</f>
        <v>6</v>
      </c>
      <c r="E172" s="36">
        <v>0.29166666666666669</v>
      </c>
      <c r="F172" s="30">
        <v>0.29166666666666669</v>
      </c>
      <c r="G172" s="30" t="s">
        <v>1</v>
      </c>
      <c r="H172" s="31"/>
      <c r="I172" s="31"/>
      <c r="J172" s="31"/>
      <c r="K172" s="31"/>
      <c r="L172" s="66"/>
      <c r="M172" s="78"/>
    </row>
    <row r="173" spans="1:13" s="1" customFormat="1" ht="25.5" x14ac:dyDescent="0.2">
      <c r="A173" s="163">
        <f>WORKDAY(PAIE_DEF,2,z_fériés)</f>
        <v>43647</v>
      </c>
      <c r="B173" s="92">
        <f>A173</f>
        <v>43647</v>
      </c>
      <c r="C173" s="51">
        <f>WEEKNUM(A173,2)</f>
        <v>27</v>
      </c>
      <c r="D173" s="69">
        <f>Mois_trait</f>
        <v>6</v>
      </c>
      <c r="E173" s="30">
        <v>0.375</v>
      </c>
      <c r="F173" s="30" t="s">
        <v>0</v>
      </c>
      <c r="G173" s="30" t="s">
        <v>143</v>
      </c>
      <c r="H173" s="59"/>
      <c r="I173" s="59"/>
      <c r="J173" s="59"/>
      <c r="K173" s="31"/>
      <c r="L173" s="66"/>
      <c r="M173" s="78"/>
    </row>
    <row r="174" spans="1:13" s="1" customFormat="1" ht="38.25" x14ac:dyDescent="0.2">
      <c r="A174" s="166">
        <f>WORKDAY(PAIE_DEF,2,z_fériés)</f>
        <v>43647</v>
      </c>
      <c r="B174" s="92">
        <f>A174</f>
        <v>43647</v>
      </c>
      <c r="C174" s="47">
        <f>WEEKNUM(A174,2)</f>
        <v>27</v>
      </c>
      <c r="D174" s="69">
        <f>Mois_trait</f>
        <v>6</v>
      </c>
      <c r="E174" s="36">
        <v>0.375</v>
      </c>
      <c r="F174" s="30" t="s">
        <v>0</v>
      </c>
      <c r="G174" s="30" t="s">
        <v>144</v>
      </c>
      <c r="H174" s="31"/>
      <c r="I174" s="31"/>
      <c r="J174" s="31"/>
      <c r="K174" s="31"/>
      <c r="L174" s="66"/>
      <c r="M174" s="78"/>
    </row>
    <row r="175" spans="1:13" s="10" customFormat="1" ht="12.75" x14ac:dyDescent="0.2">
      <c r="A175" s="163">
        <f>WORKDAY(PAIE_DEF,2,z_fériés)</f>
        <v>43647</v>
      </c>
      <c r="B175" s="92">
        <f>A175</f>
        <v>43647</v>
      </c>
      <c r="C175" s="51">
        <f>WEEKNUM(A175,2)</f>
        <v>27</v>
      </c>
      <c r="D175" s="69">
        <f>Mois_trait</f>
        <v>6</v>
      </c>
      <c r="E175" s="30">
        <v>0.375</v>
      </c>
      <c r="F175" s="30">
        <v>0.45833333333333331</v>
      </c>
      <c r="G175" s="30" t="s">
        <v>2</v>
      </c>
      <c r="H175" s="31"/>
      <c r="I175" s="31"/>
      <c r="J175" s="31"/>
      <c r="K175" s="56"/>
      <c r="L175" s="66"/>
      <c r="M175" s="78" t="s">
        <v>120</v>
      </c>
    </row>
    <row r="176" spans="1:13" s="9" customFormat="1" ht="38.25" x14ac:dyDescent="0.2">
      <c r="A176" s="163">
        <f>WORKDAY(PAIE_DEF,2,z_fériés)</f>
        <v>43647</v>
      </c>
      <c r="B176" s="92">
        <f>A176</f>
        <v>43647</v>
      </c>
      <c r="C176" s="51">
        <f>WEEKNUM(A176,2)</f>
        <v>27</v>
      </c>
      <c r="D176" s="69">
        <f>Mois_trait</f>
        <v>6</v>
      </c>
      <c r="E176" s="30">
        <v>0.375</v>
      </c>
      <c r="F176" s="30">
        <v>0.5</v>
      </c>
      <c r="G176" s="33" t="s">
        <v>16</v>
      </c>
      <c r="H176" s="74"/>
      <c r="I176" s="54"/>
      <c r="J176" s="54"/>
      <c r="K176" s="75"/>
      <c r="L176" s="61"/>
      <c r="M176" s="108" t="s">
        <v>107</v>
      </c>
    </row>
    <row r="177" spans="1:13" s="1" customFormat="1" ht="38.25" x14ac:dyDescent="0.2">
      <c r="A177" s="163">
        <f>WORKDAY(PAIE_DEF,2,z_fériés)</f>
        <v>43647</v>
      </c>
      <c r="B177" s="92">
        <f>A177</f>
        <v>43647</v>
      </c>
      <c r="C177" s="51">
        <f>WEEKNUM(A177,2)</f>
        <v>27</v>
      </c>
      <c r="D177" s="69">
        <f>Mois_trait</f>
        <v>6</v>
      </c>
      <c r="E177" s="30">
        <v>0.375</v>
      </c>
      <c r="F177" s="30">
        <v>0.5</v>
      </c>
      <c r="G177" s="33" t="s">
        <v>20</v>
      </c>
      <c r="H177" s="74"/>
      <c r="I177" s="54"/>
      <c r="J177" s="54"/>
      <c r="K177" s="75"/>
      <c r="L177" s="61"/>
      <c r="M177" s="78"/>
    </row>
    <row r="178" spans="1:13" s="1" customFormat="1" ht="38.25" x14ac:dyDescent="0.2">
      <c r="A178" s="163">
        <f>WORKDAY(PAIE_DEF,2,z_fériés)</f>
        <v>43647</v>
      </c>
      <c r="B178" s="92">
        <f>A178</f>
        <v>43647</v>
      </c>
      <c r="C178" s="51">
        <f>WEEKNUM(A178,2)</f>
        <v>27</v>
      </c>
      <c r="D178" s="69">
        <f>Mois_trait</f>
        <v>6</v>
      </c>
      <c r="E178" s="30">
        <v>0.375</v>
      </c>
      <c r="F178" s="30">
        <v>0.5</v>
      </c>
      <c r="G178" s="33" t="s">
        <v>19</v>
      </c>
      <c r="H178" s="74"/>
      <c r="I178" s="54"/>
      <c r="J178" s="54"/>
      <c r="K178" s="75"/>
      <c r="L178" s="61"/>
      <c r="M178" s="78"/>
    </row>
    <row r="179" spans="1:13" s="9" customFormat="1" ht="38.25" x14ac:dyDescent="0.2">
      <c r="A179" s="163">
        <f>WORKDAY(PAIE_DEF,2,z_fériés)</f>
        <v>43647</v>
      </c>
      <c r="B179" s="92">
        <f>A179</f>
        <v>43647</v>
      </c>
      <c r="C179" s="51">
        <f>WEEKNUM(A179,2)</f>
        <v>27</v>
      </c>
      <c r="D179" s="69">
        <f>Mois_trait</f>
        <v>6</v>
      </c>
      <c r="E179" s="30">
        <v>0.375</v>
      </c>
      <c r="F179" s="30">
        <v>0.5</v>
      </c>
      <c r="G179" s="33" t="s">
        <v>17</v>
      </c>
      <c r="H179" s="74"/>
      <c r="I179" s="54"/>
      <c r="J179" s="54"/>
      <c r="K179" s="75"/>
      <c r="L179" s="61"/>
      <c r="M179" s="78"/>
    </row>
    <row r="180" spans="1:13" s="9" customFormat="1" ht="12.75" x14ac:dyDescent="0.2">
      <c r="A180" s="163">
        <f>WORKDAY(PAIE_DEF,2,z_fériés)</f>
        <v>43647</v>
      </c>
      <c r="B180" s="92">
        <f>A180</f>
        <v>43647</v>
      </c>
      <c r="C180" s="51">
        <f>WEEKNUM(A180,2)</f>
        <v>27</v>
      </c>
      <c r="D180" s="69">
        <f>Mois_trait</f>
        <v>6</v>
      </c>
      <c r="E180" s="30">
        <v>0.375</v>
      </c>
      <c r="F180" s="30">
        <v>0.58333333333333337</v>
      </c>
      <c r="G180" s="30" t="s">
        <v>2</v>
      </c>
      <c r="H180" s="31"/>
      <c r="I180" s="31"/>
      <c r="J180" s="31"/>
      <c r="K180" s="56"/>
      <c r="L180" s="66"/>
      <c r="M180" s="78"/>
    </row>
    <row r="181" spans="1:13" s="1" customFormat="1" ht="12.75" x14ac:dyDescent="0.2">
      <c r="A181" s="163">
        <f>WORKDAY(PAIE_DEF,2,z_fériés)</f>
        <v>43647</v>
      </c>
      <c r="B181" s="92">
        <f>A181</f>
        <v>43647</v>
      </c>
      <c r="C181" s="51">
        <f>WEEKNUM(A181,2)</f>
        <v>27</v>
      </c>
      <c r="D181" s="69">
        <f>Mois_trait</f>
        <v>6</v>
      </c>
      <c r="E181" s="30">
        <v>0.375</v>
      </c>
      <c r="F181" s="30">
        <v>0.60416666666666663</v>
      </c>
      <c r="G181" s="30" t="s">
        <v>2</v>
      </c>
      <c r="H181" s="31"/>
      <c r="I181" s="31"/>
      <c r="J181" s="31"/>
      <c r="K181" s="56"/>
      <c r="L181" s="66"/>
      <c r="M181" s="100" t="s">
        <v>121</v>
      </c>
    </row>
    <row r="182" spans="1:13" s="1" customFormat="1" ht="12.75" x14ac:dyDescent="0.2">
      <c r="A182" s="159">
        <f>WORKDAY(DATE(Année_trait,Mois_trait +1,1)-1,1,z_fériés)</f>
        <v>43647</v>
      </c>
      <c r="B182" s="92">
        <f>A182</f>
        <v>43647</v>
      </c>
      <c r="C182" s="47">
        <f>WEEKNUM(A182,2)</f>
        <v>27</v>
      </c>
      <c r="D182" s="69">
        <f>Mois_trait</f>
        <v>6</v>
      </c>
      <c r="E182" s="36">
        <v>0.375</v>
      </c>
      <c r="F182" s="30">
        <v>0.45833333333333331</v>
      </c>
      <c r="G182" s="30" t="s">
        <v>1</v>
      </c>
      <c r="H182" s="31"/>
      <c r="I182" s="59"/>
      <c r="J182" s="59"/>
      <c r="K182" s="31"/>
      <c r="L182" s="66"/>
      <c r="M182" s="100"/>
    </row>
    <row r="183" spans="1:13" s="1" customFormat="1" ht="12.75" x14ac:dyDescent="0.2">
      <c r="A183" s="160">
        <f>WORKDAY(PAIE_DEF,2,z_fériés)</f>
        <v>43647</v>
      </c>
      <c r="B183" s="92">
        <f>A183</f>
        <v>43647</v>
      </c>
      <c r="C183" s="47">
        <f>WEEKNUM(A183,2)</f>
        <v>27</v>
      </c>
      <c r="D183" s="69">
        <f>Mois_trait</f>
        <v>6</v>
      </c>
      <c r="E183" s="36">
        <v>0.41666666666666669</v>
      </c>
      <c r="F183" s="36">
        <v>0.66666666666666663</v>
      </c>
      <c r="G183" s="36" t="s">
        <v>2</v>
      </c>
      <c r="H183" s="37"/>
      <c r="I183" s="37"/>
      <c r="J183" s="37"/>
      <c r="K183" s="84"/>
      <c r="L183" s="66"/>
      <c r="M183" s="109"/>
    </row>
    <row r="184" spans="1:13" s="1" customFormat="1" ht="12.75" x14ac:dyDescent="0.2">
      <c r="A184" s="160">
        <f>WORKDAY(PAIE_DEF,2,z_fériés)</f>
        <v>43647</v>
      </c>
      <c r="B184" s="92">
        <f>A184</f>
        <v>43647</v>
      </c>
      <c r="C184" s="51">
        <f>WEEKNUM(A184,2)</f>
        <v>27</v>
      </c>
      <c r="D184" s="69">
        <f>Mois_trait</f>
        <v>6</v>
      </c>
      <c r="E184" s="30">
        <v>0.41666666666666669</v>
      </c>
      <c r="F184" s="30" t="s">
        <v>0</v>
      </c>
      <c r="G184" s="30" t="s">
        <v>2</v>
      </c>
      <c r="H184" s="31"/>
      <c r="I184" s="50"/>
      <c r="J184" s="50"/>
      <c r="K184" s="68"/>
      <c r="L184" s="66"/>
      <c r="M184" s="78"/>
    </row>
    <row r="185" spans="1:13" s="9" customFormat="1" ht="12.75" x14ac:dyDescent="0.2">
      <c r="A185" s="162">
        <f>WORKDAY(PAIE_DEF,2,z_fériés)</f>
        <v>43647</v>
      </c>
      <c r="B185" s="92">
        <f>A185</f>
        <v>43647</v>
      </c>
      <c r="C185" s="47">
        <f>WEEKNUM(A185,2)</f>
        <v>27</v>
      </c>
      <c r="D185" s="69">
        <f>Mois_trait</f>
        <v>6</v>
      </c>
      <c r="E185" s="30">
        <v>0.54166666666666663</v>
      </c>
      <c r="F185" s="30">
        <v>0.58333333333333337</v>
      </c>
      <c r="G185" s="30" t="s">
        <v>2</v>
      </c>
      <c r="H185" s="41"/>
      <c r="I185" s="31"/>
      <c r="J185" s="31"/>
      <c r="K185" s="56"/>
      <c r="L185" s="66"/>
      <c r="M185" s="100" t="s">
        <v>117</v>
      </c>
    </row>
    <row r="186" spans="1:13" s="1" customFormat="1" ht="38.25" x14ac:dyDescent="0.2">
      <c r="A186" s="163">
        <f>WORKDAY(PAIE_DEF,2,z_fériés)</f>
        <v>43647</v>
      </c>
      <c r="B186" s="92">
        <f>A186</f>
        <v>43647</v>
      </c>
      <c r="C186" s="51">
        <f>WEEKNUM(A186,2)</f>
        <v>27</v>
      </c>
      <c r="D186" s="69">
        <f>Mois_trait</f>
        <v>6</v>
      </c>
      <c r="E186" s="30">
        <v>0.58333333333333337</v>
      </c>
      <c r="F186" s="30">
        <v>0.75</v>
      </c>
      <c r="G186" s="33" t="s">
        <v>16</v>
      </c>
      <c r="H186" s="74"/>
      <c r="I186" s="83"/>
      <c r="J186" s="135"/>
      <c r="K186" s="83"/>
      <c r="L186" s="66"/>
      <c r="M186" s="78"/>
    </row>
    <row r="187" spans="1:13" s="1" customFormat="1" ht="38.25" x14ac:dyDescent="0.2">
      <c r="A187" s="163">
        <f>WORKDAY(PAIE_DEF,2,z_fériés)</f>
        <v>43647</v>
      </c>
      <c r="B187" s="92">
        <f>A187</f>
        <v>43647</v>
      </c>
      <c r="C187" s="51">
        <f>WEEKNUM(A187,2)</f>
        <v>27</v>
      </c>
      <c r="D187" s="69">
        <f>Mois_trait</f>
        <v>6</v>
      </c>
      <c r="E187" s="30">
        <v>0.58333333333333337</v>
      </c>
      <c r="F187" s="30">
        <v>0.75</v>
      </c>
      <c r="G187" s="33" t="s">
        <v>21</v>
      </c>
      <c r="H187" s="74"/>
      <c r="I187" s="83"/>
      <c r="J187" s="135"/>
      <c r="K187" s="83"/>
      <c r="L187" s="66"/>
      <c r="M187" s="78"/>
    </row>
    <row r="188" spans="1:13" s="1" customFormat="1" ht="38.25" x14ac:dyDescent="0.2">
      <c r="A188" s="163">
        <f>WORKDAY(PAIE_DEF,2,z_fériés)</f>
        <v>43647</v>
      </c>
      <c r="B188" s="92">
        <f>A188</f>
        <v>43647</v>
      </c>
      <c r="C188" s="51">
        <f>WEEKNUM(A188,2)</f>
        <v>27</v>
      </c>
      <c r="D188" s="69">
        <f>Mois_trait</f>
        <v>6</v>
      </c>
      <c r="E188" s="30">
        <v>0.58333333333333337</v>
      </c>
      <c r="F188" s="30">
        <v>0.75</v>
      </c>
      <c r="G188" s="33" t="s">
        <v>22</v>
      </c>
      <c r="H188" s="74"/>
      <c r="I188" s="75"/>
      <c r="J188" s="62"/>
      <c r="K188" s="75"/>
      <c r="L188" s="66"/>
      <c r="M188" s="100"/>
    </row>
    <row r="189" spans="1:13" s="1" customFormat="1" ht="38.25" x14ac:dyDescent="0.2">
      <c r="A189" s="163">
        <f>WORKDAY(PAIE_DEF,2,z_fériés)</f>
        <v>43647</v>
      </c>
      <c r="B189" s="92">
        <f>A189</f>
        <v>43647</v>
      </c>
      <c r="C189" s="51">
        <f>WEEKNUM(A189,2)</f>
        <v>27</v>
      </c>
      <c r="D189" s="69">
        <f>Mois_trait</f>
        <v>6</v>
      </c>
      <c r="E189" s="48">
        <v>0.58333333333333337</v>
      </c>
      <c r="F189" s="48">
        <v>0.75</v>
      </c>
      <c r="G189" s="33" t="s">
        <v>17</v>
      </c>
      <c r="H189" s="74"/>
      <c r="I189" s="83"/>
      <c r="J189" s="31"/>
      <c r="K189" s="75"/>
      <c r="L189" s="66"/>
      <c r="M189" s="78"/>
    </row>
    <row r="190" spans="1:13" s="1" customFormat="1" ht="38.25" x14ac:dyDescent="0.2">
      <c r="A190" s="163">
        <f>WORKDAY(PAIE_DEF,2,z_fériés)</f>
        <v>43647</v>
      </c>
      <c r="B190" s="92">
        <f>A190</f>
        <v>43647</v>
      </c>
      <c r="C190" s="51">
        <f>WEEKNUM(A190,2)</f>
        <v>27</v>
      </c>
      <c r="D190" s="69">
        <f>Mois_trait</f>
        <v>6</v>
      </c>
      <c r="E190" s="48">
        <v>0.58333333333333337</v>
      </c>
      <c r="F190" s="48">
        <v>0.625</v>
      </c>
      <c r="G190" s="33" t="s">
        <v>17</v>
      </c>
      <c r="H190" s="74"/>
      <c r="I190" s="133"/>
      <c r="J190" s="62"/>
      <c r="K190" s="54"/>
      <c r="L190" s="184"/>
      <c r="M190" s="109"/>
    </row>
    <row r="191" spans="1:13" s="9" customFormat="1" ht="38.25" x14ac:dyDescent="0.2">
      <c r="A191" s="163">
        <f>WORKDAY(DATE(Année_trait,Mois_trait +1,1)-1,1,z_fériés)</f>
        <v>43647</v>
      </c>
      <c r="B191" s="92">
        <f>A191</f>
        <v>43647</v>
      </c>
      <c r="C191" s="47">
        <f>WEEKNUM(A191,2)</f>
        <v>27</v>
      </c>
      <c r="D191" s="69">
        <f>Mois_trait</f>
        <v>6</v>
      </c>
      <c r="E191" s="30">
        <v>0.83333333333333337</v>
      </c>
      <c r="F191" s="48">
        <v>0.83333333333333337</v>
      </c>
      <c r="G191" s="33" t="s">
        <v>18</v>
      </c>
      <c r="H191" s="31"/>
      <c r="I191" s="54"/>
      <c r="J191" s="54"/>
      <c r="K191" s="54"/>
      <c r="L191" s="66"/>
      <c r="M191" s="78"/>
    </row>
    <row r="192" spans="1:13" s="1" customFormat="1" ht="12.75" x14ac:dyDescent="0.2">
      <c r="A192" s="163">
        <f>WORKDAY(PAIE_DEF,2,z_fériés)</f>
        <v>43647</v>
      </c>
      <c r="B192" s="92">
        <f>A192</f>
        <v>43647</v>
      </c>
      <c r="C192" s="51">
        <f>WEEKNUM(A192,2)</f>
        <v>27</v>
      </c>
      <c r="D192" s="69">
        <f>Mois_trait</f>
        <v>6</v>
      </c>
      <c r="E192" s="36">
        <v>0.91666666666666663</v>
      </c>
      <c r="F192" s="36">
        <v>0.91666666666666663</v>
      </c>
      <c r="G192" s="36" t="s">
        <v>2</v>
      </c>
      <c r="H192" s="37"/>
      <c r="I192" s="37"/>
      <c r="J192" s="37"/>
      <c r="K192" s="37"/>
      <c r="L192" s="152"/>
      <c r="M192" s="119"/>
    </row>
    <row r="193" spans="1:13" s="1" customFormat="1" ht="12.75" x14ac:dyDescent="0.2">
      <c r="A193" s="166">
        <f>WORKDAY(Top_Conso,-2,z_fériés)</f>
        <v>43647</v>
      </c>
      <c r="B193" s="92">
        <f>A193</f>
        <v>43647</v>
      </c>
      <c r="C193" s="47">
        <f>WEEKNUM(A193,2)</f>
        <v>27</v>
      </c>
      <c r="D193" s="69">
        <f>Mois_trait</f>
        <v>6</v>
      </c>
      <c r="E193" s="36">
        <v>0.91666666666666663</v>
      </c>
      <c r="F193" s="36">
        <v>0.9375</v>
      </c>
      <c r="G193" s="36" t="s">
        <v>1</v>
      </c>
      <c r="H193" s="37"/>
      <c r="I193" s="37"/>
      <c r="J193" s="37"/>
      <c r="K193" s="62"/>
      <c r="L193" s="152"/>
      <c r="M193" s="78"/>
    </row>
    <row r="194" spans="1:13" s="1" customFormat="1" ht="12.75" x14ac:dyDescent="0.2">
      <c r="A194" s="167">
        <f>Ex_AC1 + 27</f>
        <v>43648</v>
      </c>
      <c r="B194" s="93">
        <f>A194</f>
        <v>43648</v>
      </c>
      <c r="C194" s="114">
        <f>WEEKNUM(A194,2)</f>
        <v>27</v>
      </c>
      <c r="D194" s="114">
        <f>Mois_trait</f>
        <v>6</v>
      </c>
      <c r="E194" s="95">
        <v>0</v>
      </c>
      <c r="F194" s="96"/>
      <c r="G194" s="96"/>
      <c r="H194" s="84"/>
      <c r="I194" s="84"/>
      <c r="J194" s="84"/>
      <c r="K194" s="84" t="str">
        <f>IF(OR(WEEKDAY(B194,2)&gt;5,COUNTIF(z_fériés,B194)),"Ferié","Ouvré")</f>
        <v>Ouvré</v>
      </c>
      <c r="L194" s="138"/>
      <c r="M194" s="78"/>
    </row>
    <row r="195" spans="1:13" s="1" customFormat="1" ht="12.75" x14ac:dyDescent="0.2">
      <c r="A195" s="166">
        <f>WORKDAY(DEB_PLAN,18,z_feriés)</f>
        <v>43648</v>
      </c>
      <c r="B195" s="92">
        <f>A195</f>
        <v>43648</v>
      </c>
      <c r="C195" s="47">
        <f>WEEKNUM(A195,2)</f>
        <v>27</v>
      </c>
      <c r="D195" s="69">
        <f>Mois_trait</f>
        <v>6</v>
      </c>
      <c r="E195" s="30">
        <v>4.1666666666666664E-2</v>
      </c>
      <c r="F195" s="30"/>
      <c r="G195" s="30" t="s">
        <v>29</v>
      </c>
      <c r="H195" s="31"/>
      <c r="I195" s="31"/>
      <c r="J195" s="32" t="s">
        <v>325</v>
      </c>
      <c r="K195" s="31" t="s">
        <v>82</v>
      </c>
      <c r="L195" s="66"/>
      <c r="M195" s="76"/>
    </row>
    <row r="196" spans="1:13" s="1" customFormat="1" ht="12.75" x14ac:dyDescent="0.2">
      <c r="A196" s="166">
        <f>WORKDAY(PAIE_DEF,3,z_fériés)</f>
        <v>43648</v>
      </c>
      <c r="B196" s="92">
        <f>A196</f>
        <v>43648</v>
      </c>
      <c r="C196" s="47">
        <f>WEEKNUM(A196,2)</f>
        <v>27</v>
      </c>
      <c r="D196" s="69">
        <f>Mois_trait</f>
        <v>6</v>
      </c>
      <c r="E196" s="36">
        <v>0.29166666666666669</v>
      </c>
      <c r="F196" s="30">
        <v>0.29166666666666669</v>
      </c>
      <c r="G196" s="30" t="s">
        <v>2</v>
      </c>
      <c r="H196" s="31"/>
      <c r="I196" s="31"/>
      <c r="J196" s="31"/>
      <c r="K196" s="142"/>
      <c r="L196" s="66"/>
      <c r="M196" s="78" t="s">
        <v>115</v>
      </c>
    </row>
    <row r="197" spans="1:13" s="1" customFormat="1" ht="25.5" x14ac:dyDescent="0.2">
      <c r="A197" s="163">
        <f>WORKDAY(DATE(Année_trait,Mois_trait +1,1)-1,2,z_fériés)</f>
        <v>43648</v>
      </c>
      <c r="B197" s="92">
        <f>A197</f>
        <v>43648</v>
      </c>
      <c r="C197" s="47">
        <f>WEEKNUM(A197,2)</f>
        <v>27</v>
      </c>
      <c r="D197" s="69">
        <f>Mois_trait</f>
        <v>6</v>
      </c>
      <c r="E197" s="30">
        <v>0.29166666666666669</v>
      </c>
      <c r="F197" s="30"/>
      <c r="G197" s="33" t="s">
        <v>74</v>
      </c>
      <c r="H197" s="130"/>
      <c r="I197" s="31"/>
      <c r="J197" s="31"/>
      <c r="K197" s="136"/>
      <c r="L197" s="66"/>
      <c r="M197" s="78" t="s">
        <v>145</v>
      </c>
    </row>
    <row r="198" spans="1:13" s="1" customFormat="1" ht="12.75" x14ac:dyDescent="0.2">
      <c r="A198" s="166">
        <f>WORKDAY(PAIE_DEF,3,z_fériés)</f>
        <v>43648</v>
      </c>
      <c r="B198" s="92">
        <f>A198</f>
        <v>43648</v>
      </c>
      <c r="C198" s="51">
        <f>WEEKNUM(A198,2)</f>
        <v>27</v>
      </c>
      <c r="D198" s="69">
        <f>Mois_trait</f>
        <v>6</v>
      </c>
      <c r="E198" s="36">
        <v>0.33333333333333331</v>
      </c>
      <c r="F198" s="30">
        <v>0.5</v>
      </c>
      <c r="G198" s="30" t="s">
        <v>2</v>
      </c>
      <c r="H198" s="31"/>
      <c r="I198" s="31"/>
      <c r="J198" s="31"/>
      <c r="K198" s="56"/>
      <c r="L198" s="61"/>
      <c r="M198" s="78" t="s">
        <v>115</v>
      </c>
    </row>
    <row r="199" spans="1:13" s="1" customFormat="1" ht="25.5" x14ac:dyDescent="0.2">
      <c r="A199" s="163">
        <f>WORKDAY(DATE(Année_trait,Mois_trait +1,1)-1,2,z_fériés)</f>
        <v>43648</v>
      </c>
      <c r="B199" s="92">
        <f>A199</f>
        <v>43648</v>
      </c>
      <c r="C199" s="51">
        <f>WEEKNUM(A199,2)</f>
        <v>27</v>
      </c>
      <c r="D199" s="69">
        <f>Mois_trait</f>
        <v>6</v>
      </c>
      <c r="E199" s="36">
        <v>0.33333333333333331</v>
      </c>
      <c r="F199" s="36">
        <v>0.5</v>
      </c>
      <c r="G199" s="36" t="s">
        <v>69</v>
      </c>
      <c r="H199" s="37"/>
      <c r="I199" s="37"/>
      <c r="J199" s="134"/>
      <c r="K199" s="37"/>
      <c r="L199" s="66"/>
      <c r="M199" s="100" t="s">
        <v>125</v>
      </c>
    </row>
    <row r="200" spans="1:13" s="1" customFormat="1" ht="13.5" thickBot="1" x14ac:dyDescent="0.25">
      <c r="A200" s="172">
        <f>WORKDAY(DATE(Année_trait,Mois_trait +1,1)-1,2,z_fériés)</f>
        <v>43648</v>
      </c>
      <c r="B200" s="92">
        <f>A200</f>
        <v>43648</v>
      </c>
      <c r="C200" s="47">
        <f>WEEKNUM(A200,2)</f>
        <v>27</v>
      </c>
      <c r="D200" s="69">
        <f>Mois_trait</f>
        <v>6</v>
      </c>
      <c r="E200" s="36">
        <v>0.41666666666666669</v>
      </c>
      <c r="F200" s="36">
        <v>0.5</v>
      </c>
      <c r="G200" s="36" t="s">
        <v>1</v>
      </c>
      <c r="H200" s="37"/>
      <c r="I200" s="86"/>
      <c r="J200" s="37"/>
      <c r="K200" s="37"/>
      <c r="L200" s="61"/>
      <c r="M200" s="76"/>
    </row>
    <row r="201" spans="1:13" ht="13.5" thickBot="1" x14ac:dyDescent="0.25">
      <c r="A201" s="145">
        <f>WORKDAY(PAIE_DEF,3,z_fériés)</f>
        <v>43648</v>
      </c>
      <c r="B201" s="92">
        <f>A201</f>
        <v>43648</v>
      </c>
      <c r="C201" s="47">
        <f>WEEKNUM(A201,2)</f>
        <v>27</v>
      </c>
      <c r="D201" s="69">
        <f>Mois_trait</f>
        <v>6</v>
      </c>
      <c r="E201" s="36">
        <v>0.54166666666666663</v>
      </c>
      <c r="F201" s="36">
        <v>0.54166666666666663</v>
      </c>
      <c r="G201" s="36" t="s">
        <v>2</v>
      </c>
      <c r="H201" s="37"/>
      <c r="I201" s="37"/>
      <c r="J201" s="37"/>
      <c r="K201" s="84"/>
      <c r="L201" s="61"/>
      <c r="M201" s="78"/>
    </row>
    <row r="202" spans="1:13" s="1" customFormat="1" ht="12.75" x14ac:dyDescent="0.2">
      <c r="A202" s="173">
        <f>WORKDAY(Top_Conso,-1,z_fériés)</f>
        <v>43648</v>
      </c>
      <c r="B202" s="92">
        <f>A202</f>
        <v>43648</v>
      </c>
      <c r="C202" s="47">
        <f>WEEKNUM(A202,2)</f>
        <v>27</v>
      </c>
      <c r="D202" s="69">
        <f>Mois_trait</f>
        <v>6</v>
      </c>
      <c r="E202" s="36">
        <v>0.54166666666666663</v>
      </c>
      <c r="F202" s="36">
        <v>67.625</v>
      </c>
      <c r="G202" s="36" t="s">
        <v>1</v>
      </c>
      <c r="H202" s="37"/>
      <c r="I202" s="37"/>
      <c r="J202" s="37"/>
      <c r="K202" s="62"/>
      <c r="L202" s="61"/>
      <c r="M202" s="78"/>
    </row>
    <row r="203" spans="1:13" s="9" customFormat="1" ht="12.75" x14ac:dyDescent="0.2">
      <c r="A203" s="166">
        <f>WORKDAY(PAIE_DEF,3,z_fériés)</f>
        <v>43648</v>
      </c>
      <c r="B203" s="92">
        <f>A203</f>
        <v>43648</v>
      </c>
      <c r="C203" s="47">
        <f>WEEKNUM(A203,2)</f>
        <v>27</v>
      </c>
      <c r="D203" s="69">
        <f>Mois_trait</f>
        <v>6</v>
      </c>
      <c r="E203" s="36">
        <v>0.58333333333333337</v>
      </c>
      <c r="F203" s="30">
        <v>0.58333333333333337</v>
      </c>
      <c r="G203" s="30" t="s">
        <v>2</v>
      </c>
      <c r="H203" s="31"/>
      <c r="I203" s="31"/>
      <c r="J203" s="31"/>
      <c r="K203" s="56"/>
      <c r="L203" s="66"/>
      <c r="M203" s="78" t="s">
        <v>123</v>
      </c>
    </row>
    <row r="204" spans="1:13" s="1" customFormat="1" ht="25.5" x14ac:dyDescent="0.2">
      <c r="A204" s="166">
        <f>WORKDAY(PAIE_DEF,3,z_fériés)</f>
        <v>43648</v>
      </c>
      <c r="B204" s="92">
        <f>A204</f>
        <v>43648</v>
      </c>
      <c r="C204" s="47">
        <f>WEEKNUM(A204,2)</f>
        <v>27</v>
      </c>
      <c r="D204" s="69">
        <f>Mois_trait</f>
        <v>6</v>
      </c>
      <c r="E204" s="36">
        <v>0.58333333333333337</v>
      </c>
      <c r="F204" s="36">
        <v>0.60416666666666663</v>
      </c>
      <c r="G204" s="48" t="s">
        <v>7</v>
      </c>
      <c r="H204" s="59"/>
      <c r="I204" s="73"/>
      <c r="J204" s="67"/>
      <c r="K204" s="73"/>
      <c r="L204" s="66"/>
      <c r="M204" s="78"/>
    </row>
    <row r="205" spans="1:13" s="1" customFormat="1" ht="25.5" x14ac:dyDescent="0.2">
      <c r="A205" s="166">
        <f>WORKDAY(PAIE_DEF,3,z_fériés)</f>
        <v>43648</v>
      </c>
      <c r="B205" s="92">
        <f>A205</f>
        <v>43648</v>
      </c>
      <c r="C205" s="47">
        <f>WEEKNUM(A205,2)</f>
        <v>27</v>
      </c>
      <c r="D205" s="69">
        <f>Mois_trait</f>
        <v>6</v>
      </c>
      <c r="E205" s="36">
        <v>0.58333333333333337</v>
      </c>
      <c r="F205" s="36">
        <v>0.60416666666666663</v>
      </c>
      <c r="G205" s="48" t="s">
        <v>7</v>
      </c>
      <c r="H205" s="59"/>
      <c r="I205" s="59"/>
      <c r="J205" s="67"/>
      <c r="K205" s="73"/>
      <c r="L205" s="66"/>
      <c r="M205" s="78"/>
    </row>
    <row r="206" spans="1:13" s="1" customFormat="1" ht="25.5" x14ac:dyDescent="0.2">
      <c r="A206" s="166">
        <f>WORKDAY(PAIE_DEF,3,z_fériés)</f>
        <v>43648</v>
      </c>
      <c r="B206" s="92">
        <f>A206</f>
        <v>43648</v>
      </c>
      <c r="C206" s="47">
        <f>WEEKNUM(A206,2)</f>
        <v>27</v>
      </c>
      <c r="D206" s="69">
        <f>Mois_trait</f>
        <v>6</v>
      </c>
      <c r="E206" s="36">
        <v>0.58333333333333337</v>
      </c>
      <c r="F206" s="36">
        <v>0.60416666666666663</v>
      </c>
      <c r="G206" s="48" t="s">
        <v>7</v>
      </c>
      <c r="H206" s="59"/>
      <c r="I206" s="86"/>
      <c r="J206" s="67"/>
      <c r="K206" s="73"/>
      <c r="L206" s="66"/>
      <c r="M206" s="78" t="s">
        <v>116</v>
      </c>
    </row>
    <row r="207" spans="1:13" s="1" customFormat="1" ht="12.75" x14ac:dyDescent="0.2">
      <c r="A207" s="166">
        <f>WORKDAY(PAIE_DEF,3,z_fériés)</f>
        <v>43648</v>
      </c>
      <c r="B207" s="92">
        <f>A207</f>
        <v>43648</v>
      </c>
      <c r="C207" s="47">
        <f>WEEKNUM(A207,2)</f>
        <v>27</v>
      </c>
      <c r="D207" s="69">
        <f>Mois_trait</f>
        <v>6</v>
      </c>
      <c r="E207" s="36">
        <v>0.70833333333333337</v>
      </c>
      <c r="F207" s="30">
        <v>0.75</v>
      </c>
      <c r="G207" s="30" t="s">
        <v>2</v>
      </c>
      <c r="H207" s="31"/>
      <c r="I207" s="85"/>
      <c r="J207" s="31"/>
      <c r="K207" s="31"/>
      <c r="L207" s="66"/>
      <c r="M207" s="78"/>
    </row>
    <row r="208" spans="1:13" s="1" customFormat="1" ht="25.5" x14ac:dyDescent="0.2">
      <c r="A208" s="166">
        <f>WORKDAY(DATE(Année_trait,Mois_trait +1,1)-1,2,z_fériés)</f>
        <v>43648</v>
      </c>
      <c r="B208" s="92">
        <f>A208</f>
        <v>43648</v>
      </c>
      <c r="C208" s="47">
        <f>WEEKNUM(A208,2)</f>
        <v>27</v>
      </c>
      <c r="D208" s="69">
        <f>Mois_trait</f>
        <v>6</v>
      </c>
      <c r="E208" s="30">
        <v>0.70833333333333337</v>
      </c>
      <c r="F208" s="30">
        <v>0.75</v>
      </c>
      <c r="G208" s="30" t="s">
        <v>35</v>
      </c>
      <c r="H208" s="31"/>
      <c r="I208" s="31"/>
      <c r="J208" s="85"/>
      <c r="K208" s="31"/>
      <c r="L208" s="61"/>
      <c r="M208" s="78"/>
    </row>
    <row r="209" spans="1:13" s="1" customFormat="1" ht="26.25" thickBot="1" x14ac:dyDescent="0.25">
      <c r="A209" s="174">
        <f>WORKDAY(DATE(Année_trait,Mois_trait +1,1)-1,2,z_fériés)</f>
        <v>43648</v>
      </c>
      <c r="B209" s="92">
        <f>A209</f>
        <v>43648</v>
      </c>
      <c r="C209" s="47">
        <f>WEEKNUM(A209,2)</f>
        <v>27</v>
      </c>
      <c r="D209" s="69">
        <f>Mois_trait</f>
        <v>6</v>
      </c>
      <c r="E209" s="30">
        <v>0.70833333333333337</v>
      </c>
      <c r="F209" s="30">
        <v>0.75</v>
      </c>
      <c r="G209" s="30" t="s">
        <v>35</v>
      </c>
      <c r="H209" s="31"/>
      <c r="I209" s="31"/>
      <c r="J209" s="124"/>
      <c r="K209" s="31"/>
      <c r="L209" s="61"/>
      <c r="M209" s="78"/>
    </row>
    <row r="210" spans="1:13" s="1" customFormat="1" ht="13.5" thickBot="1" x14ac:dyDescent="0.25">
      <c r="A210" s="172">
        <f>WORKDAY(Top_Conso,-1,z_fériés)</f>
        <v>43648</v>
      </c>
      <c r="B210" s="92">
        <f>A210</f>
        <v>43648</v>
      </c>
      <c r="C210" s="47">
        <f>WEEKNUM(A210,2)</f>
        <v>27</v>
      </c>
      <c r="D210" s="69">
        <f>Mois_trait</f>
        <v>6</v>
      </c>
      <c r="E210" s="36">
        <v>0.875</v>
      </c>
      <c r="F210" s="36">
        <v>0.95833333333333337</v>
      </c>
      <c r="G210" s="36" t="s">
        <v>1</v>
      </c>
      <c r="H210" s="37"/>
      <c r="I210" s="37"/>
      <c r="J210" s="37"/>
      <c r="K210" s="62"/>
      <c r="L210" s="152"/>
      <c r="M210" s="123"/>
    </row>
    <row r="211" spans="1:13" s="1" customFormat="1" ht="13.5" thickBot="1" x14ac:dyDescent="0.25">
      <c r="A211" s="275">
        <f>Ex_AC1 + 28</f>
        <v>43649</v>
      </c>
      <c r="B211" s="93">
        <f>A211</f>
        <v>43649</v>
      </c>
      <c r="C211" s="114">
        <f>WEEKNUM(A211,2)</f>
        <v>27</v>
      </c>
      <c r="D211" s="114">
        <f>Mois_trait</f>
        <v>6</v>
      </c>
      <c r="E211" s="95">
        <v>0</v>
      </c>
      <c r="F211" s="95"/>
      <c r="G211" s="95"/>
      <c r="H211" s="98"/>
      <c r="I211" s="98"/>
      <c r="J211" s="98"/>
      <c r="K211" s="84"/>
      <c r="L211" s="138"/>
      <c r="M211" s="78"/>
    </row>
    <row r="212" spans="1:13" s="1" customFormat="1" ht="12.75" x14ac:dyDescent="0.2">
      <c r="A212" s="173">
        <f>WORKDAY(DEB_PLAN,19,z_feriés)</f>
        <v>43649</v>
      </c>
      <c r="B212" s="92">
        <f>A212</f>
        <v>43649</v>
      </c>
      <c r="C212" s="47">
        <f>WEEKNUM(A212,2)</f>
        <v>27</v>
      </c>
      <c r="D212" s="69">
        <f>Mois_trait</f>
        <v>6</v>
      </c>
      <c r="E212" s="30">
        <v>4.1666666666666664E-2</v>
      </c>
      <c r="F212" s="30"/>
      <c r="G212" s="30" t="s">
        <v>29</v>
      </c>
      <c r="H212" s="31"/>
      <c r="I212" s="31"/>
      <c r="J212" s="32"/>
      <c r="K212" s="31"/>
      <c r="L212" s="66"/>
      <c r="M212" s="100" t="s">
        <v>105</v>
      </c>
    </row>
    <row r="213" spans="1:13" s="1" customFormat="1" ht="12.75" x14ac:dyDescent="0.2">
      <c r="A213" s="163">
        <f>WORKDAY(PAIE_DEF,4,z_fériés)</f>
        <v>43649</v>
      </c>
      <c r="B213" s="92">
        <f>A213</f>
        <v>43649</v>
      </c>
      <c r="C213" s="47">
        <f>WEEKNUM(A213,2)</f>
        <v>27</v>
      </c>
      <c r="D213" s="69">
        <f>Mois_trait</f>
        <v>6</v>
      </c>
      <c r="E213" s="30">
        <v>0.29166666666666669</v>
      </c>
      <c r="F213" s="48"/>
      <c r="G213" s="30" t="s">
        <v>2</v>
      </c>
      <c r="H213" s="37"/>
      <c r="I213" s="31"/>
      <c r="J213" s="31"/>
      <c r="K213" s="31"/>
      <c r="L213" s="66"/>
      <c r="M213" s="78"/>
    </row>
    <row r="214" spans="1:13" s="1" customFormat="1" ht="38.25" x14ac:dyDescent="0.2">
      <c r="A214" s="166">
        <f>WORKDAY(PAIE_DEF,4,z_fériés)</f>
        <v>43649</v>
      </c>
      <c r="B214" s="92">
        <f>A214</f>
        <v>43649</v>
      </c>
      <c r="C214" s="47">
        <f>WEEKNUM(A214,2)</f>
        <v>27</v>
      </c>
      <c r="D214" s="69">
        <f>Mois_trait</f>
        <v>6</v>
      </c>
      <c r="E214" s="30">
        <v>0.45833333333333331</v>
      </c>
      <c r="F214" s="30" t="s">
        <v>0</v>
      </c>
      <c r="G214" s="48" t="s">
        <v>8</v>
      </c>
      <c r="H214" s="47"/>
      <c r="I214" s="31"/>
      <c r="J214" s="34"/>
      <c r="K214" s="49"/>
      <c r="L214" s="66"/>
      <c r="M214" s="78"/>
    </row>
    <row r="215" spans="1:13" s="1" customFormat="1" ht="12.75" x14ac:dyDescent="0.2">
      <c r="A215" s="166">
        <f>WORKDAY(PAIE_DEF,4,z_fériés)</f>
        <v>43649</v>
      </c>
      <c r="B215" s="92">
        <f>A215</f>
        <v>43649</v>
      </c>
      <c r="C215" s="47">
        <f>WEEKNUM(A215,2)</f>
        <v>27</v>
      </c>
      <c r="D215" s="69">
        <f>Mois_trait</f>
        <v>6</v>
      </c>
      <c r="E215" s="30">
        <v>0.45833333333333331</v>
      </c>
      <c r="F215" s="30">
        <v>0.45833333333333331</v>
      </c>
      <c r="G215" s="30" t="s">
        <v>2</v>
      </c>
      <c r="H215" s="31"/>
      <c r="I215" s="56"/>
      <c r="J215" s="37"/>
      <c r="K215" s="54"/>
      <c r="L215" s="66"/>
      <c r="M215" s="78"/>
    </row>
    <row r="216" spans="1:13" s="1" customFormat="1" ht="13.5" thickBot="1" x14ac:dyDescent="0.25">
      <c r="A216" s="166">
        <f>WORKDAY(PAIE_DEF,4,z_fériés)</f>
        <v>43649</v>
      </c>
      <c r="B216" s="92">
        <f>A216</f>
        <v>43649</v>
      </c>
      <c r="C216" s="47">
        <f>WEEKNUM(A216,2)</f>
        <v>27</v>
      </c>
      <c r="D216" s="69">
        <f>Mois_trait</f>
        <v>6</v>
      </c>
      <c r="E216" s="30">
        <v>0.45833333333333331</v>
      </c>
      <c r="F216" s="30"/>
      <c r="G216" s="30" t="s">
        <v>2</v>
      </c>
      <c r="H216" s="56"/>
      <c r="I216" s="31"/>
      <c r="J216" s="31"/>
      <c r="K216" s="31"/>
      <c r="L216" s="66"/>
      <c r="M216" s="79"/>
    </row>
    <row r="217" spans="1:13" s="1" customFormat="1" ht="25.5" x14ac:dyDescent="0.2">
      <c r="A217" s="173">
        <f>WORKDAY(DATE(Année_trait,Mois_trait +1,1)-1,3,z_fériés)</f>
        <v>43649</v>
      </c>
      <c r="B217" s="92">
        <f>A217</f>
        <v>43649</v>
      </c>
      <c r="C217" s="47">
        <f>WEEKNUM(A217,2)</f>
        <v>27</v>
      </c>
      <c r="D217" s="69">
        <f>Mois_trait</f>
        <v>6</v>
      </c>
      <c r="E217" s="30">
        <v>0.70833333333333337</v>
      </c>
      <c r="F217" s="30">
        <v>0.75</v>
      </c>
      <c r="G217" s="30" t="s">
        <v>34</v>
      </c>
      <c r="H217" s="31"/>
      <c r="I217" s="31"/>
      <c r="J217" s="85"/>
      <c r="K217" s="31"/>
      <c r="L217" s="61"/>
      <c r="M217" s="78"/>
    </row>
    <row r="218" spans="1:13" s="1" customFormat="1" ht="25.5" x14ac:dyDescent="0.2">
      <c r="A218" s="163">
        <f>WORKDAY(Top_Conso,0,z_fériés)</f>
        <v>43649</v>
      </c>
      <c r="B218" s="92">
        <f>A218</f>
        <v>43649</v>
      </c>
      <c r="C218" s="51">
        <f>WEEKNUM(A218,2)</f>
        <v>27</v>
      </c>
      <c r="D218" s="69">
        <f>Mois_trait</f>
        <v>6</v>
      </c>
      <c r="E218" s="30">
        <v>0.75</v>
      </c>
      <c r="F218" s="30"/>
      <c r="G218" s="30" t="s">
        <v>36</v>
      </c>
      <c r="H218" s="31"/>
      <c r="I218" s="52"/>
      <c r="J218" s="52"/>
      <c r="K218" s="31"/>
      <c r="L218" s="152"/>
      <c r="M218" s="78" t="s">
        <v>119</v>
      </c>
    </row>
    <row r="219" spans="1:13" s="1" customFormat="1" ht="12.75" x14ac:dyDescent="0.2">
      <c r="A219" s="166">
        <f>TOP_Cpta_HP</f>
        <v>43649</v>
      </c>
      <c r="B219" s="92">
        <f>A219</f>
        <v>43649</v>
      </c>
      <c r="C219" s="47">
        <f>WEEKNUM(A219,2)</f>
        <v>27</v>
      </c>
      <c r="D219" s="69">
        <f>Mois_trait</f>
        <v>6</v>
      </c>
      <c r="E219" s="30">
        <v>0.875</v>
      </c>
      <c r="F219" s="30">
        <v>0.875</v>
      </c>
      <c r="G219" s="30" t="s">
        <v>1</v>
      </c>
      <c r="H219" s="31"/>
      <c r="I219" s="37"/>
      <c r="J219" s="37"/>
      <c r="K219" s="54"/>
      <c r="L219" s="61"/>
      <c r="M219" s="79" t="s">
        <v>115</v>
      </c>
    </row>
    <row r="220" spans="1:13" s="1" customFormat="1" ht="12.75" x14ac:dyDescent="0.2">
      <c r="A220" s="167">
        <f>Ex_AC1 + 29</f>
        <v>43650</v>
      </c>
      <c r="B220" s="93">
        <f>A220</f>
        <v>43650</v>
      </c>
      <c r="C220" s="114">
        <f>WEEKNUM(A220,2)</f>
        <v>27</v>
      </c>
      <c r="D220" s="114">
        <f>Mois_trait</f>
        <v>6</v>
      </c>
      <c r="E220" s="95">
        <v>0</v>
      </c>
      <c r="F220" s="95"/>
      <c r="G220" s="94"/>
      <c r="H220" s="97"/>
      <c r="I220" s="97"/>
      <c r="J220" s="97"/>
      <c r="K220" s="84"/>
      <c r="L220" s="138"/>
      <c r="M220" s="79"/>
    </row>
    <row r="221" spans="1:13" ht="13.5" thickBot="1" x14ac:dyDescent="0.25">
      <c r="A221" s="172">
        <f>WORKDAY(DEB_PLAN,20,z_feriés)</f>
        <v>43650</v>
      </c>
      <c r="B221" s="92">
        <f>A221</f>
        <v>43650</v>
      </c>
      <c r="C221" s="47">
        <f>WEEKNUM(A221,2)</f>
        <v>27</v>
      </c>
      <c r="D221" s="69">
        <f>Mois_trait</f>
        <v>6</v>
      </c>
      <c r="E221" s="30">
        <v>4.1666666666666664E-2</v>
      </c>
      <c r="F221" s="30"/>
      <c r="G221" s="30" t="s">
        <v>29</v>
      </c>
      <c r="H221" s="31"/>
      <c r="I221" s="31"/>
      <c r="J221" s="32"/>
      <c r="K221" s="31"/>
      <c r="L221" s="61"/>
      <c r="M221" s="100" t="s">
        <v>124</v>
      </c>
    </row>
    <row r="222" spans="1:13" s="1" customFormat="1" ht="26.25" thickBot="1" x14ac:dyDescent="0.25">
      <c r="A222" s="174">
        <f>WORKDAY(PAIE_DEF,5,z_fériés)</f>
        <v>43650</v>
      </c>
      <c r="B222" s="92">
        <f>A222</f>
        <v>43650</v>
      </c>
      <c r="C222" s="47">
        <f>WEEKNUM(A222,2)</f>
        <v>27</v>
      </c>
      <c r="D222" s="69">
        <f>Mois_trait</f>
        <v>6</v>
      </c>
      <c r="E222" s="30">
        <v>0.29166666666666669</v>
      </c>
      <c r="F222" s="30" t="s">
        <v>0</v>
      </c>
      <c r="G222" s="30" t="s">
        <v>24</v>
      </c>
      <c r="H222" s="47"/>
      <c r="I222" s="31"/>
      <c r="J222" s="34"/>
      <c r="K222" s="68"/>
      <c r="L222" s="66"/>
      <c r="M222" s="78"/>
    </row>
    <row r="223" spans="1:13" ht="25.5" x14ac:dyDescent="0.2">
      <c r="A223" s="170">
        <f>WORKDAY(sagirco3,1,z_fériés)</f>
        <v>43650</v>
      </c>
      <c r="B223" s="92">
        <f>A223</f>
        <v>43650</v>
      </c>
      <c r="C223" s="28">
        <f>WEEKNUM(A223,2)</f>
        <v>27</v>
      </c>
      <c r="D223" s="69">
        <f>Mois_trait</f>
        <v>6</v>
      </c>
      <c r="E223" s="30">
        <v>0.29166666666666669</v>
      </c>
      <c r="F223" s="30"/>
      <c r="G223" s="33" t="s">
        <v>25</v>
      </c>
      <c r="H223" s="31"/>
      <c r="I223" s="31"/>
      <c r="J223" s="31"/>
      <c r="K223" s="31"/>
      <c r="L223" s="66"/>
      <c r="M223" s="108" t="s">
        <v>90</v>
      </c>
    </row>
    <row r="224" spans="1:13" ht="12.75" x14ac:dyDescent="0.2">
      <c r="A224" s="242">
        <f>Ex_AC1 + 30</f>
        <v>43651</v>
      </c>
      <c r="B224" s="146">
        <f>A224</f>
        <v>43651</v>
      </c>
      <c r="C224" s="238"/>
      <c r="D224" s="69">
        <f>Mois_trait</f>
        <v>6</v>
      </c>
      <c r="E224" s="113">
        <v>0</v>
      </c>
      <c r="F224" s="113"/>
      <c r="G224" s="113"/>
      <c r="H224" s="115"/>
      <c r="I224" s="115"/>
      <c r="J224" s="115"/>
      <c r="K224" s="84"/>
      <c r="L224" s="153"/>
      <c r="M224" s="78"/>
    </row>
    <row r="225" spans="1:13" s="1" customFormat="1" ht="12.75" x14ac:dyDescent="0.2">
      <c r="A225" s="166">
        <f>WORKDAY(DEB_PLAN,21,z_feriés)</f>
        <v>43651</v>
      </c>
      <c r="B225" s="92">
        <f>A225</f>
        <v>43651</v>
      </c>
      <c r="C225" s="42">
        <f>WEEKNUM(A225,2)</f>
        <v>27</v>
      </c>
      <c r="D225" s="69">
        <f>Mois_trait</f>
        <v>6</v>
      </c>
      <c r="E225" s="30">
        <v>4.1666666666666664E-2</v>
      </c>
      <c r="F225" s="30"/>
      <c r="G225" s="30" t="s">
        <v>29</v>
      </c>
      <c r="H225" s="31"/>
      <c r="I225" s="31"/>
      <c r="J225" s="32"/>
      <c r="K225" s="31"/>
      <c r="L225" s="66"/>
      <c r="M225" s="76"/>
    </row>
    <row r="226" spans="1:13" s="1" customFormat="1" ht="13.5" thickBot="1" x14ac:dyDescent="0.25">
      <c r="A226" s="174">
        <f>Extract_AC1_M1</f>
        <v>43651</v>
      </c>
      <c r="B226" s="92">
        <f>A226</f>
        <v>43651</v>
      </c>
      <c r="C226" s="28">
        <f>WEEKNUM(A226,2)</f>
        <v>27</v>
      </c>
      <c r="D226" s="69">
        <f>Mois_trait</f>
        <v>6</v>
      </c>
      <c r="E226" s="30">
        <v>0.625</v>
      </c>
      <c r="F226" s="30">
        <v>0.70833333333333337</v>
      </c>
      <c r="G226" s="30" t="s">
        <v>4</v>
      </c>
      <c r="H226" s="143"/>
      <c r="I226" s="31"/>
      <c r="J226" s="31"/>
      <c r="K226" s="31"/>
      <c r="L226" s="66"/>
      <c r="M226" s="78"/>
    </row>
    <row r="227" spans="1:13" s="1" customFormat="1" ht="12.75" x14ac:dyDescent="0.2">
      <c r="A227" s="243">
        <f>Ex_AC1 + 31</f>
        <v>43652</v>
      </c>
      <c r="B227" s="146">
        <f>A227</f>
        <v>43652</v>
      </c>
      <c r="C227" s="238">
        <f>WEEKNUM(A227,2)</f>
        <v>27</v>
      </c>
      <c r="D227" s="69">
        <f>Mois_trait</f>
        <v>6</v>
      </c>
      <c r="E227" s="113">
        <v>0</v>
      </c>
      <c r="F227" s="104"/>
      <c r="G227" s="104"/>
      <c r="H227" s="106"/>
      <c r="I227" s="106"/>
      <c r="J227" s="106"/>
      <c r="K227" s="84" t="str">
        <f>IF(OR(WEEKDAY(B227,2)&gt;5,COUNTIF(z_fériés,B227)),"Ferié","Ouvré")</f>
        <v>Ferié</v>
      </c>
      <c r="L227" s="153"/>
      <c r="M227" s="78"/>
    </row>
    <row r="228" spans="1:13" s="1" customFormat="1" ht="12.75" x14ac:dyDescent="0.2">
      <c r="A228" s="274">
        <f>Ex_AC1 + 32</f>
        <v>43653</v>
      </c>
      <c r="B228" s="93">
        <f>A228</f>
        <v>43653</v>
      </c>
      <c r="C228" s="114">
        <f>WEEKNUM(A228,2)</f>
        <v>27</v>
      </c>
      <c r="D228" s="114">
        <f>Mois_trait</f>
        <v>6</v>
      </c>
      <c r="E228" s="95">
        <v>0</v>
      </c>
      <c r="F228" s="96"/>
      <c r="G228" s="96"/>
      <c r="H228" s="84"/>
      <c r="I228" s="84"/>
      <c r="J228" s="84"/>
      <c r="K228" s="84" t="str">
        <f>IF(OR(WEEKDAY(B228,2)&gt;5,COUNTIF(z_fériés,B228)),"Ferié","Ouvré")</f>
        <v>Ferié</v>
      </c>
      <c r="L228" s="138"/>
      <c r="M228" s="76"/>
    </row>
    <row r="229" spans="1:13" s="1" customFormat="1" ht="12.75" x14ac:dyDescent="0.2">
      <c r="A229" s="167">
        <f>Ex_AC1 + 33</f>
        <v>43654</v>
      </c>
      <c r="B229" s="93">
        <f>A229</f>
        <v>43654</v>
      </c>
      <c r="C229" s="114">
        <f>WEEKNUM(A229,2)</f>
        <v>28</v>
      </c>
      <c r="D229" s="114">
        <f>Mois_trait</f>
        <v>6</v>
      </c>
      <c r="E229" s="95">
        <v>0</v>
      </c>
      <c r="F229" s="96"/>
      <c r="G229" s="96"/>
      <c r="H229" s="84"/>
      <c r="I229" s="84"/>
      <c r="J229" s="84"/>
      <c r="K229" s="84" t="str">
        <f>IF(OR(WEEKDAY(B229,2)&gt;5,COUNTIF(z_fériés,B229)),"Ferié","Ouvré")</f>
        <v>Ouvré</v>
      </c>
      <c r="L229" s="138"/>
      <c r="M229" s="78"/>
    </row>
    <row r="230" spans="1:13" s="1" customFormat="1" ht="12.75" x14ac:dyDescent="0.2">
      <c r="A230" s="168">
        <f>WORKDAY(DEB_PLAN,22,z_feriés)</f>
        <v>43654</v>
      </c>
      <c r="B230" s="92">
        <f>A230</f>
        <v>43654</v>
      </c>
      <c r="C230" s="42">
        <f>WEEKNUM(A230,2)</f>
        <v>28</v>
      </c>
      <c r="D230" s="69">
        <f>Mois_trait</f>
        <v>6</v>
      </c>
      <c r="E230" s="30">
        <v>4.1666666666666664E-2</v>
      </c>
      <c r="F230" s="30"/>
      <c r="G230" s="30" t="s">
        <v>29</v>
      </c>
      <c r="H230" s="31"/>
      <c r="I230" s="31"/>
      <c r="J230" s="32" t="s">
        <v>325</v>
      </c>
      <c r="K230" s="31" t="s">
        <v>82</v>
      </c>
      <c r="L230" s="66"/>
      <c r="M230" s="78"/>
    </row>
    <row r="231" spans="1:13" s="1" customFormat="1" ht="12.75" x14ac:dyDescent="0.2">
      <c r="A231" s="168">
        <f>WORKDAY(DATE(Année_trait,Mois_trait + 1,7),1,z_fériés)</f>
        <v>43654</v>
      </c>
      <c r="B231" s="92">
        <f>A231</f>
        <v>43654</v>
      </c>
      <c r="C231" s="28">
        <f>WEEKNUM(A231,2)</f>
        <v>28</v>
      </c>
      <c r="D231" s="69">
        <f>Mois_trait</f>
        <v>6</v>
      </c>
      <c r="E231" s="30">
        <v>0.25347222222222221</v>
      </c>
      <c r="F231" s="30"/>
      <c r="G231" s="30" t="s">
        <v>29</v>
      </c>
      <c r="H231" s="31"/>
      <c r="I231" s="31"/>
      <c r="J231" s="85"/>
      <c r="K231" s="31"/>
      <c r="L231" s="139"/>
      <c r="M231" s="78"/>
    </row>
    <row r="232" spans="1:13" s="1" customFormat="1" ht="12.75" x14ac:dyDescent="0.2">
      <c r="A232" s="160">
        <f>WORKDAY(Extract_AC1_M1,1,z_fériés)</f>
        <v>43654</v>
      </c>
      <c r="B232" s="92">
        <f>A232</f>
        <v>43654</v>
      </c>
      <c r="C232" s="51">
        <f>WEEKNUM(A232,2)</f>
        <v>28</v>
      </c>
      <c r="D232" s="69">
        <f>Mois_trait</f>
        <v>6</v>
      </c>
      <c r="E232" s="36">
        <v>0.375</v>
      </c>
      <c r="F232" s="30">
        <v>0.45833333333333331</v>
      </c>
      <c r="G232" s="30" t="s">
        <v>4</v>
      </c>
      <c r="H232" s="31"/>
      <c r="I232" s="31"/>
      <c r="J232" s="31"/>
      <c r="K232" s="132"/>
      <c r="L232" s="66"/>
      <c r="M232" s="78"/>
    </row>
    <row r="233" spans="1:13" s="1" customFormat="1" ht="12.75" x14ac:dyDescent="0.2">
      <c r="A233" s="160">
        <f>WORKDAY(Extract_AC1_M1,1,z_fériés)</f>
        <v>43654</v>
      </c>
      <c r="B233" s="92">
        <f>A233</f>
        <v>43654</v>
      </c>
      <c r="C233" s="51">
        <f>WEEKNUM(A233,2)</f>
        <v>28</v>
      </c>
      <c r="D233" s="69">
        <f>Mois_trait</f>
        <v>6</v>
      </c>
      <c r="E233" s="36">
        <v>0.375</v>
      </c>
      <c r="F233" s="30">
        <v>0.45833333333333331</v>
      </c>
      <c r="G233" s="30" t="s">
        <v>4</v>
      </c>
      <c r="H233" s="132"/>
      <c r="I233" s="31"/>
      <c r="J233" s="31"/>
      <c r="K233" s="132"/>
      <c r="L233" s="139"/>
      <c r="M233" s="78"/>
    </row>
    <row r="234" spans="1:13" s="1" customFormat="1" ht="25.5" x14ac:dyDescent="0.2">
      <c r="A234" s="160">
        <f>WORKDAY(Extract_AC1_M1,1,z_fériés)</f>
        <v>43654</v>
      </c>
      <c r="B234" s="92">
        <f>A234</f>
        <v>43654</v>
      </c>
      <c r="C234" s="51">
        <f>WEEKNUM(A234,2)</f>
        <v>28</v>
      </c>
      <c r="D234" s="69">
        <f>Mois_trait</f>
        <v>6</v>
      </c>
      <c r="E234" s="36">
        <v>0.375</v>
      </c>
      <c r="F234" s="30">
        <v>0.45833333333333331</v>
      </c>
      <c r="G234" s="30" t="s">
        <v>23</v>
      </c>
      <c r="H234" s="41"/>
      <c r="I234" s="31"/>
      <c r="J234" s="34"/>
      <c r="K234" s="35"/>
      <c r="L234" s="139"/>
      <c r="M234" s="78"/>
    </row>
    <row r="235" spans="1:13" s="1" customFormat="1" ht="25.5" x14ac:dyDescent="0.2">
      <c r="A235" s="155">
        <f>WORKDAY(Extract_AC1_M1,1,z_fériés)</f>
        <v>43654</v>
      </c>
      <c r="B235" s="92">
        <f>A235</f>
        <v>43654</v>
      </c>
      <c r="C235" s="51">
        <f>WEEKNUM(A235,2)</f>
        <v>28</v>
      </c>
      <c r="D235" s="69">
        <f>Mois_trait</f>
        <v>6</v>
      </c>
      <c r="E235" s="36">
        <v>0.375</v>
      </c>
      <c r="F235" s="30">
        <v>0.45833333333333331</v>
      </c>
      <c r="G235" s="30" t="s">
        <v>23</v>
      </c>
      <c r="H235" s="41"/>
      <c r="I235" s="31"/>
      <c r="J235" s="31"/>
      <c r="K235" s="125"/>
      <c r="L235" s="66"/>
      <c r="M235" s="78"/>
    </row>
    <row r="236" spans="1:13" s="1" customFormat="1" ht="12.75" x14ac:dyDescent="0.2">
      <c r="A236" s="185">
        <f>WORKDAY(Extract_AC1_M1,1,z_fériés)</f>
        <v>43654</v>
      </c>
      <c r="B236" s="92">
        <f>A236</f>
        <v>43654</v>
      </c>
      <c r="C236" s="51">
        <f>WEEKNUM(A236,2)</f>
        <v>28</v>
      </c>
      <c r="D236" s="69">
        <f>Mois_trait</f>
        <v>6</v>
      </c>
      <c r="E236" s="36">
        <v>0.375</v>
      </c>
      <c r="F236" s="30">
        <v>0.75</v>
      </c>
      <c r="G236" s="30" t="s">
        <v>4</v>
      </c>
      <c r="H236" s="31"/>
      <c r="I236" s="31"/>
      <c r="J236" s="31"/>
      <c r="K236" s="150"/>
      <c r="L236" s="66"/>
      <c r="M236" s="78"/>
    </row>
    <row r="237" spans="1:13" s="1" customFormat="1" ht="13.5" thickBot="1" x14ac:dyDescent="0.25">
      <c r="A237" s="129">
        <f>WORKDAY(DATE(Année_trait,Mois_trait+1,5),1,z_fériés)</f>
        <v>43654</v>
      </c>
      <c r="B237" s="92">
        <f>A237</f>
        <v>43654</v>
      </c>
      <c r="C237" s="51">
        <v>6</v>
      </c>
      <c r="D237" s="69">
        <f>Mois_trait</f>
        <v>6</v>
      </c>
      <c r="E237" s="30">
        <v>0.625</v>
      </c>
      <c r="F237" s="30"/>
      <c r="G237" s="30" t="s">
        <v>29</v>
      </c>
      <c r="H237" s="64"/>
      <c r="I237" s="31"/>
      <c r="J237" s="31"/>
      <c r="K237" s="77"/>
      <c r="L237" s="66"/>
      <c r="M237" s="78"/>
    </row>
    <row r="238" spans="1:13" s="1" customFormat="1" ht="12.75" x14ac:dyDescent="0.2">
      <c r="A238" s="169">
        <f>WORKDAY(DATE(Année_trait,Mois_trait+1,6),1,z_fériés)</f>
        <v>43654</v>
      </c>
      <c r="B238" s="92">
        <f>A238</f>
        <v>43654</v>
      </c>
      <c r="C238" s="51">
        <v>6</v>
      </c>
      <c r="D238" s="69">
        <f>Mois_trait</f>
        <v>6</v>
      </c>
      <c r="E238" s="30">
        <v>0.625</v>
      </c>
      <c r="F238" s="30">
        <v>0.64583333333333337</v>
      </c>
      <c r="G238" s="30" t="s">
        <v>29</v>
      </c>
      <c r="H238" s="64"/>
      <c r="I238" s="31"/>
      <c r="J238" s="31"/>
      <c r="K238" s="77"/>
      <c r="L238" s="66"/>
      <c r="M238" s="78"/>
    </row>
    <row r="239" spans="1:13" s="1" customFormat="1" ht="13.5" thickBot="1" x14ac:dyDescent="0.25">
      <c r="A239" s="129">
        <f>WORKDAY(Extract_AC1_M1,1,z_fériés)</f>
        <v>43654</v>
      </c>
      <c r="B239" s="92">
        <f>A239</f>
        <v>43654</v>
      </c>
      <c r="C239" s="51">
        <f>WEEKNUM(A239,2)</f>
        <v>28</v>
      </c>
      <c r="D239" s="69">
        <f>Mois_trait</f>
        <v>6</v>
      </c>
      <c r="E239" s="36">
        <v>0.625</v>
      </c>
      <c r="F239" s="87">
        <v>0.70833333333333337</v>
      </c>
      <c r="G239" s="30" t="s">
        <v>4</v>
      </c>
      <c r="H239" s="40"/>
      <c r="I239" s="31"/>
      <c r="J239" s="31"/>
      <c r="K239" s="31"/>
      <c r="L239" s="152"/>
      <c r="M239" s="76"/>
    </row>
    <row r="240" spans="1:13" s="1" customFormat="1" ht="12.75" x14ac:dyDescent="0.2">
      <c r="A240" s="166">
        <f>WORKDAY(DEB_PLAN,23,z_feriés)</f>
        <v>43655</v>
      </c>
      <c r="B240" s="92">
        <f>A240</f>
        <v>43655</v>
      </c>
      <c r="C240" s="42">
        <f>WEEKNUM(A240,2)</f>
        <v>28</v>
      </c>
      <c r="D240" s="69">
        <f>Mois_trait</f>
        <v>6</v>
      </c>
      <c r="E240" s="30">
        <v>4.1666666666666664E-2</v>
      </c>
      <c r="F240" s="30"/>
      <c r="G240" s="30" t="s">
        <v>29</v>
      </c>
      <c r="H240" s="31"/>
      <c r="I240" s="31"/>
      <c r="J240" s="32"/>
      <c r="K240" s="31"/>
      <c r="L240" s="66"/>
      <c r="M240" s="78"/>
    </row>
    <row r="241" spans="1:13" s="1" customFormat="1" ht="25.5" x14ac:dyDescent="0.2">
      <c r="A241" s="169">
        <f>WORKDAY(Extract_AC1_M1,2,z_fériés)</f>
        <v>43655</v>
      </c>
      <c r="B241" s="92">
        <f>A241</f>
        <v>43655</v>
      </c>
      <c r="C241" s="47">
        <f>WEEKNUM(A241,2)</f>
        <v>28</v>
      </c>
      <c r="D241" s="69">
        <f>Mois_trait</f>
        <v>6</v>
      </c>
      <c r="E241" s="30">
        <v>0.25</v>
      </c>
      <c r="F241" s="30">
        <v>0.45833333333333331</v>
      </c>
      <c r="G241" s="30" t="s">
        <v>23</v>
      </c>
      <c r="H241" s="41"/>
      <c r="I241" s="31"/>
      <c r="J241" s="34"/>
      <c r="K241" s="111"/>
      <c r="L241" s="66"/>
      <c r="M241" s="78"/>
    </row>
    <row r="242" spans="1:13" s="1" customFormat="1" ht="25.5" x14ac:dyDescent="0.2">
      <c r="A242" s="169">
        <f>WORKDAY(Extract_AC1_M1,2,z_fériés)</f>
        <v>43655</v>
      </c>
      <c r="B242" s="92">
        <f>A242</f>
        <v>43655</v>
      </c>
      <c r="C242" s="47">
        <f>WEEKNUM(A242,2)</f>
        <v>28</v>
      </c>
      <c r="D242" s="69">
        <f>Mois_trait</f>
        <v>6</v>
      </c>
      <c r="E242" s="30">
        <v>0.25</v>
      </c>
      <c r="F242" s="30">
        <v>0.45833333333333331</v>
      </c>
      <c r="G242" s="30" t="s">
        <v>23</v>
      </c>
      <c r="H242" s="41"/>
      <c r="I242" s="31"/>
      <c r="J242" s="31"/>
      <c r="K242" s="111"/>
      <c r="L242" s="139"/>
      <c r="M242" s="78"/>
    </row>
    <row r="243" spans="1:13" s="1" customFormat="1" ht="12.75" x14ac:dyDescent="0.2">
      <c r="A243" s="169">
        <f>WORKDAY(Extract_AC1_M1,2,z_fériés)</f>
        <v>43655</v>
      </c>
      <c r="B243" s="92">
        <f>A243</f>
        <v>43655</v>
      </c>
      <c r="C243" s="47">
        <f>WEEKNUM(A243,2)</f>
        <v>28</v>
      </c>
      <c r="D243" s="69">
        <f>Mois_trait</f>
        <v>6</v>
      </c>
      <c r="E243" s="30">
        <v>0.29166666666666669</v>
      </c>
      <c r="F243" s="30"/>
      <c r="G243" s="30" t="s">
        <v>4</v>
      </c>
      <c r="H243" s="31"/>
      <c r="I243" s="31"/>
      <c r="J243" s="31"/>
      <c r="K243" s="40"/>
      <c r="L243" s="66"/>
      <c r="M243" s="78"/>
    </row>
    <row r="244" spans="1:13" s="1" customFormat="1" ht="12.75" x14ac:dyDescent="0.2">
      <c r="A244" s="166">
        <f>WORKDAY(Extract_AC1_M1,2,z_fériés)</f>
        <v>43655</v>
      </c>
      <c r="B244" s="92">
        <f>A244</f>
        <v>43655</v>
      </c>
      <c r="C244" s="47">
        <f>WEEKNUM(A244,2)</f>
        <v>28</v>
      </c>
      <c r="D244" s="69">
        <f>Mois_trait</f>
        <v>6</v>
      </c>
      <c r="E244" s="30">
        <v>0.375</v>
      </c>
      <c r="F244" s="30">
        <v>0.45833333333333331</v>
      </c>
      <c r="G244" s="30" t="s">
        <v>4</v>
      </c>
      <c r="H244" s="31"/>
      <c r="I244" s="31"/>
      <c r="J244" s="31"/>
      <c r="K244" s="40"/>
      <c r="L244" s="66"/>
      <c r="M244" s="78"/>
    </row>
    <row r="245" spans="1:13" s="1" customFormat="1" ht="12.75" x14ac:dyDescent="0.2">
      <c r="A245" s="185"/>
      <c r="B245" s="92"/>
      <c r="C245" s="51"/>
      <c r="D245" s="29"/>
      <c r="E245" s="36"/>
      <c r="F245" s="30"/>
      <c r="G245" s="30"/>
      <c r="H245" s="31"/>
      <c r="I245" s="31"/>
      <c r="J245" s="31"/>
      <c r="K245" s="31"/>
      <c r="L245" s="66"/>
      <c r="M245" s="78"/>
    </row>
    <row r="246" spans="1:13" s="1" customFormat="1" ht="12.75" x14ac:dyDescent="0.2">
      <c r="A246" s="185"/>
      <c r="B246" s="92"/>
      <c r="C246" s="51"/>
      <c r="D246" s="29"/>
      <c r="E246" s="36"/>
      <c r="F246" s="30"/>
      <c r="G246" s="30"/>
      <c r="H246" s="31"/>
      <c r="I246" s="31"/>
      <c r="J246" s="31"/>
      <c r="K246" s="31"/>
      <c r="L246" s="66"/>
      <c r="M246" s="78"/>
    </row>
    <row r="247" spans="1:13" ht="12.75" x14ac:dyDescent="0.2">
      <c r="A247" s="185"/>
      <c r="B247" s="92"/>
      <c r="C247" s="51"/>
      <c r="D247" s="29"/>
      <c r="E247" s="36"/>
      <c r="F247" s="30"/>
      <c r="G247" s="30"/>
      <c r="H247" s="31"/>
      <c r="I247" s="31"/>
      <c r="J247" s="31"/>
      <c r="K247" s="31"/>
      <c r="L247" s="66"/>
      <c r="M247" s="78"/>
    </row>
    <row r="248" spans="1:13" ht="12.75" x14ac:dyDescent="0.2">
      <c r="A248" s="163"/>
      <c r="B248" s="92"/>
      <c r="C248" s="51"/>
      <c r="D248" s="29"/>
      <c r="E248" s="36"/>
      <c r="F248" s="30"/>
      <c r="G248" s="30"/>
      <c r="H248" s="31"/>
      <c r="I248" s="31"/>
      <c r="J248" s="31"/>
      <c r="K248" s="31"/>
      <c r="L248" s="66"/>
    </row>
    <row r="249" spans="1:13" ht="12.75" x14ac:dyDescent="0.2">
      <c r="A249" s="163"/>
      <c r="B249" s="92"/>
      <c r="C249" s="51"/>
      <c r="D249" s="29"/>
      <c r="E249" s="36"/>
      <c r="F249" s="30"/>
      <c r="G249" s="30"/>
      <c r="H249" s="31"/>
      <c r="I249" s="31"/>
      <c r="J249" s="31"/>
      <c r="K249" s="31"/>
      <c r="L249" s="66"/>
    </row>
  </sheetData>
  <autoFilter ref="A1:M247">
    <sortState ref="A2:M247">
      <sortCondition ref="B1:B247"/>
    </sortState>
  </autoFilter>
  <sortState ref="A2:M249">
    <sortCondition ref="B2:B249"/>
    <sortCondition ref="E2:E249"/>
  </sortState>
  <phoneticPr fontId="0" type="noConversion"/>
  <conditionalFormatting sqref="B5">
    <cfRule type="expression" dxfId="2" priority="8">
      <formula>"si(serie.jour.ouvré($B$2,0,z_fériés);$A2;$A2)"</formula>
    </cfRule>
  </conditionalFormatting>
  <conditionalFormatting sqref="A2:L250">
    <cfRule type="expression" dxfId="1" priority="1">
      <formula>$K2="Ferié"</formula>
    </cfRule>
    <cfRule type="expression" dxfId="0" priority="2">
      <formula>$K2="Ouvré"</formula>
    </cfRule>
  </conditionalFormatting>
  <printOptions horizontalCentered="1"/>
  <pageMargins left="0.25" right="0.25" top="0.75" bottom="0.75" header="0.3" footer="0.3"/>
  <pageSetup paperSize="9" scale="84" fitToHeight="0" orientation="portrait" r:id="rId1"/>
  <headerFooter>
    <oddHeader>&amp;L&amp;"Arial,Gras"&amp;10DSI - ISS&amp;C&amp;"Arial,Gras"&amp;10Planning des opérations informatiques&amp;R&amp;"Arial,Gras"&amp;10&amp;A</oddHeader>
    <oddFooter>&amp;L&amp;"Arial,Gras"&amp;F&amp;C&amp;"Arial,Gras"Exploitation&amp;R&amp;"Arial,Gras"&amp;D Page &amp;P</oddFooter>
  </headerFooter>
  <rowBreaks count="8" manualBreakCount="8">
    <brk id="32" max="11" man="1"/>
    <brk id="59" max="16383" man="1"/>
    <brk id="86" max="11" man="1"/>
    <brk id="114" max="11" man="1"/>
    <brk id="143" max="16383" man="1"/>
    <brk id="164" max="11" man="1"/>
    <brk id="185" max="11" man="1"/>
    <brk id="215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T102"/>
  <sheetViews>
    <sheetView zoomScaleNormal="100" workbookViewId="0">
      <pane xSplit="4" ySplit="3" topLeftCell="E4" activePane="bottomRight" state="frozen"/>
      <selection pane="topRight" activeCell="D1" sqref="D1"/>
      <selection pane="bottomLeft" activeCell="A4" sqref="A4"/>
      <selection pane="bottomRight" activeCell="B1" sqref="B1:B1048576"/>
    </sheetView>
  </sheetViews>
  <sheetFormatPr baseColWidth="10" defaultRowHeight="15.75" x14ac:dyDescent="0.3"/>
  <cols>
    <col min="1" max="1" width="22" style="186" customWidth="1"/>
    <col min="2" max="2" width="64.5" style="186" customWidth="1"/>
    <col min="3" max="3" width="10.83203125" style="186" bestFit="1" customWidth="1"/>
    <col min="4" max="4" width="49.1640625" style="186" hidden="1" customWidth="1"/>
    <col min="5" max="5" width="21.6640625" style="186" bestFit="1" customWidth="1"/>
    <col min="6" max="6" width="20" style="186" bestFit="1" customWidth="1"/>
    <col min="7" max="7" width="19.6640625" style="186" bestFit="1" customWidth="1"/>
    <col min="8" max="9" width="20" style="186" bestFit="1" customWidth="1"/>
    <col min="10" max="10" width="19.6640625" style="186" bestFit="1" customWidth="1"/>
    <col min="11" max="11" width="18.33203125" style="186" customWidth="1"/>
    <col min="12" max="12" width="19" style="186" bestFit="1" customWidth="1"/>
    <col min="13" max="14" width="20" style="186" bestFit="1" customWidth="1"/>
    <col min="15" max="15" width="19" style="186" bestFit="1" customWidth="1"/>
    <col min="16" max="16" width="20" style="186" bestFit="1" customWidth="1"/>
    <col min="17" max="16384" width="12" style="186"/>
  </cols>
  <sheetData>
    <row r="1" spans="1:16" ht="16.5" thickBot="1" x14ac:dyDescent="0.35"/>
    <row r="2" spans="1:16" ht="31.5" customHeight="1" thickBot="1" x14ac:dyDescent="0.55000000000000004">
      <c r="A2" s="265" t="s">
        <v>318</v>
      </c>
      <c r="B2" s="230" t="s">
        <v>328</v>
      </c>
      <c r="C2" s="248">
        <v>2019</v>
      </c>
      <c r="D2" s="249"/>
      <c r="E2" s="250">
        <v>1</v>
      </c>
      <c r="F2" s="250">
        <v>2</v>
      </c>
      <c r="G2" s="250">
        <v>3</v>
      </c>
      <c r="H2" s="250">
        <v>4</v>
      </c>
      <c r="I2" s="250">
        <v>5</v>
      </c>
      <c r="J2" s="250">
        <v>6</v>
      </c>
      <c r="K2" s="250">
        <v>7</v>
      </c>
      <c r="L2" s="250">
        <v>8</v>
      </c>
      <c r="M2" s="250">
        <v>9</v>
      </c>
      <c r="N2" s="250">
        <v>10</v>
      </c>
      <c r="O2" s="250">
        <v>11</v>
      </c>
      <c r="P2" s="250">
        <v>12</v>
      </c>
    </row>
    <row r="3" spans="1:16" ht="20.25" thickBot="1" x14ac:dyDescent="0.4">
      <c r="A3" s="266"/>
      <c r="B3" s="251" t="s">
        <v>317</v>
      </c>
      <c r="C3" s="228" t="s">
        <v>316</v>
      </c>
      <c r="D3" s="228" t="s">
        <v>87</v>
      </c>
      <c r="E3" s="229" t="s">
        <v>315</v>
      </c>
      <c r="F3" s="228" t="s">
        <v>314</v>
      </c>
      <c r="G3" s="228" t="s">
        <v>313</v>
      </c>
      <c r="H3" s="228" t="s">
        <v>312</v>
      </c>
      <c r="I3" s="228" t="s">
        <v>311</v>
      </c>
      <c r="J3" s="228" t="s">
        <v>310</v>
      </c>
      <c r="K3" s="228" t="s">
        <v>309</v>
      </c>
      <c r="L3" s="228" t="s">
        <v>308</v>
      </c>
      <c r="M3" s="228" t="s">
        <v>307</v>
      </c>
      <c r="N3" s="228" t="s">
        <v>306</v>
      </c>
      <c r="O3" s="228" t="s">
        <v>305</v>
      </c>
      <c r="P3" s="228" t="s">
        <v>304</v>
      </c>
    </row>
    <row r="4" spans="1:16" ht="16.5" thickBot="1" x14ac:dyDescent="0.35">
      <c r="A4" s="266" t="s">
        <v>303</v>
      </c>
      <c r="B4" s="252" t="s">
        <v>302</v>
      </c>
      <c r="C4" s="225" t="s">
        <v>146</v>
      </c>
      <c r="D4" s="224" t="s">
        <v>301</v>
      </c>
      <c r="E4" s="192">
        <v>43474</v>
      </c>
      <c r="F4" s="192">
        <f t="shared" ref="F4:P4" si="0">WORKDAY(F6,-6,z_feriés)</f>
        <v>43503</v>
      </c>
      <c r="G4" s="192">
        <f t="shared" si="0"/>
        <v>43531</v>
      </c>
      <c r="H4" s="192">
        <f t="shared" si="0"/>
        <v>43560</v>
      </c>
      <c r="I4" s="192">
        <f t="shared" si="0"/>
        <v>43591</v>
      </c>
      <c r="J4" s="192">
        <f t="shared" si="0"/>
        <v>43621</v>
      </c>
      <c r="K4" s="192">
        <f t="shared" si="0"/>
        <v>43651</v>
      </c>
      <c r="L4" s="192">
        <f t="shared" si="0"/>
        <v>43683</v>
      </c>
      <c r="M4" s="192">
        <f t="shared" si="0"/>
        <v>43713</v>
      </c>
      <c r="N4" s="192">
        <f t="shared" si="0"/>
        <v>43745</v>
      </c>
      <c r="O4" s="192">
        <f t="shared" si="0"/>
        <v>43775</v>
      </c>
      <c r="P4" s="192">
        <f t="shared" si="0"/>
        <v>43804</v>
      </c>
    </row>
    <row r="5" spans="1:16" ht="16.5" thickBot="1" x14ac:dyDescent="0.35">
      <c r="A5" s="266"/>
      <c r="B5" s="252" t="s">
        <v>300</v>
      </c>
      <c r="C5" s="225" t="s">
        <v>146</v>
      </c>
      <c r="D5" s="224" t="s">
        <v>299</v>
      </c>
      <c r="E5" s="192">
        <f>AC_UN -1</f>
        <v>43479</v>
      </c>
      <c r="F5" s="192">
        <f t="shared" ref="F5:P5" si="1">WORKDAY(F6,-1,z_feriés)</f>
        <v>43510</v>
      </c>
      <c r="G5" s="192">
        <f t="shared" si="1"/>
        <v>43538</v>
      </c>
      <c r="H5" s="192">
        <f t="shared" si="1"/>
        <v>43567</v>
      </c>
      <c r="I5" s="192">
        <f t="shared" si="1"/>
        <v>43599</v>
      </c>
      <c r="J5" s="192">
        <f t="shared" si="1"/>
        <v>43629</v>
      </c>
      <c r="K5" s="192">
        <f t="shared" si="1"/>
        <v>43658</v>
      </c>
      <c r="L5" s="192">
        <f t="shared" si="1"/>
        <v>43690</v>
      </c>
      <c r="M5" s="192">
        <f t="shared" si="1"/>
        <v>43720</v>
      </c>
      <c r="N5" s="192">
        <f t="shared" si="1"/>
        <v>43752</v>
      </c>
      <c r="O5" s="192">
        <f t="shared" si="1"/>
        <v>43783</v>
      </c>
      <c r="P5" s="192">
        <f t="shared" si="1"/>
        <v>43811</v>
      </c>
    </row>
    <row r="6" spans="1:16" ht="16.5" thickBot="1" x14ac:dyDescent="0.35">
      <c r="A6" s="266"/>
      <c r="B6" s="252" t="s">
        <v>285</v>
      </c>
      <c r="C6" s="225" t="s">
        <v>146</v>
      </c>
      <c r="D6" s="225" t="s">
        <v>298</v>
      </c>
      <c r="E6" s="220">
        <f t="shared" ref="E6:P6" si="2">WORKDAY(DATE($C$2,E2,16),-1,z_feriés)</f>
        <v>43480</v>
      </c>
      <c r="F6" s="220">
        <f t="shared" si="2"/>
        <v>43511</v>
      </c>
      <c r="G6" s="220">
        <f t="shared" si="2"/>
        <v>43539</v>
      </c>
      <c r="H6" s="220">
        <f t="shared" si="2"/>
        <v>43570</v>
      </c>
      <c r="I6" s="220">
        <f t="shared" si="2"/>
        <v>43600</v>
      </c>
      <c r="J6" s="220">
        <f t="shared" si="2"/>
        <v>43630</v>
      </c>
      <c r="K6" s="220">
        <f t="shared" si="2"/>
        <v>43661</v>
      </c>
      <c r="L6" s="220">
        <f t="shared" si="2"/>
        <v>43691</v>
      </c>
      <c r="M6" s="220">
        <f t="shared" si="2"/>
        <v>43721</v>
      </c>
      <c r="N6" s="220">
        <f t="shared" si="2"/>
        <v>43753</v>
      </c>
      <c r="O6" s="220">
        <f t="shared" si="2"/>
        <v>43784</v>
      </c>
      <c r="P6" s="220">
        <f t="shared" si="2"/>
        <v>43812</v>
      </c>
    </row>
    <row r="7" spans="1:16" ht="16.5" thickBot="1" x14ac:dyDescent="0.35">
      <c r="A7" s="266"/>
      <c r="B7" s="191"/>
      <c r="C7" s="191"/>
      <c r="D7" s="191"/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0"/>
    </row>
    <row r="8" spans="1:16" ht="16.5" thickBot="1" x14ac:dyDescent="0.35">
      <c r="A8" s="266" t="s">
        <v>297</v>
      </c>
      <c r="B8" s="252" t="s">
        <v>296</v>
      </c>
      <c r="C8" s="225" t="s">
        <v>146</v>
      </c>
      <c r="D8" s="224" t="s">
        <v>295</v>
      </c>
      <c r="E8" s="192">
        <v>43116</v>
      </c>
      <c r="F8" s="192">
        <f t="shared" ref="F8:P8" si="3">WORKDAY(F10,-4,z_feriés)</f>
        <v>43511</v>
      </c>
      <c r="G8" s="192">
        <f t="shared" si="3"/>
        <v>43539</v>
      </c>
      <c r="H8" s="192">
        <f t="shared" si="3"/>
        <v>43570</v>
      </c>
      <c r="I8" s="192">
        <f t="shared" si="3"/>
        <v>43600</v>
      </c>
      <c r="J8" s="192">
        <f t="shared" si="3"/>
        <v>43633</v>
      </c>
      <c r="K8" s="192">
        <f t="shared" si="3"/>
        <v>43661</v>
      </c>
      <c r="L8" s="192">
        <f t="shared" si="3"/>
        <v>43691</v>
      </c>
      <c r="M8" s="192">
        <f t="shared" si="3"/>
        <v>43724</v>
      </c>
      <c r="N8" s="192">
        <f t="shared" si="3"/>
        <v>43753</v>
      </c>
      <c r="O8" s="192">
        <f t="shared" si="3"/>
        <v>43784</v>
      </c>
      <c r="P8" s="192">
        <f t="shared" si="3"/>
        <v>43808</v>
      </c>
    </row>
    <row r="9" spans="1:16" ht="16.5" thickBot="1" x14ac:dyDescent="0.35">
      <c r="A9" s="266"/>
      <c r="B9" s="253" t="s">
        <v>275</v>
      </c>
      <c r="C9" s="225" t="s">
        <v>146</v>
      </c>
      <c r="D9" s="224" t="s">
        <v>294</v>
      </c>
      <c r="E9" s="192">
        <f t="shared" ref="E9:O9" si="4">WORKDAY(E10,-1,z_feriés)</f>
        <v>43483</v>
      </c>
      <c r="F9" s="192">
        <f t="shared" si="4"/>
        <v>43516</v>
      </c>
      <c r="G9" s="192">
        <f t="shared" si="4"/>
        <v>43544</v>
      </c>
      <c r="H9" s="192">
        <f t="shared" si="4"/>
        <v>43573</v>
      </c>
      <c r="I9" s="192">
        <f t="shared" si="4"/>
        <v>43605</v>
      </c>
      <c r="J9" s="192">
        <f t="shared" si="4"/>
        <v>43636</v>
      </c>
      <c r="K9" s="192">
        <f t="shared" si="4"/>
        <v>43664</v>
      </c>
      <c r="L9" s="192">
        <f t="shared" si="4"/>
        <v>43697</v>
      </c>
      <c r="M9" s="192">
        <f t="shared" si="4"/>
        <v>43727</v>
      </c>
      <c r="N9" s="192">
        <f t="shared" si="4"/>
        <v>43756</v>
      </c>
      <c r="O9" s="192">
        <f t="shared" si="4"/>
        <v>43789</v>
      </c>
      <c r="P9" s="192">
        <v>43811</v>
      </c>
    </row>
    <row r="10" spans="1:16" ht="16.5" thickBot="1" x14ac:dyDescent="0.35">
      <c r="A10" s="266"/>
      <c r="B10" s="252" t="s">
        <v>285</v>
      </c>
      <c r="C10" s="225" t="s">
        <v>146</v>
      </c>
      <c r="D10" s="225" t="s">
        <v>293</v>
      </c>
      <c r="E10" s="220">
        <f t="shared" ref="E10:O10" si="5">WORKDAY(DATE($C$2,E2,22),-1,z_feriés)</f>
        <v>43486</v>
      </c>
      <c r="F10" s="220">
        <f t="shared" si="5"/>
        <v>43517</v>
      </c>
      <c r="G10" s="220">
        <f t="shared" si="5"/>
        <v>43545</v>
      </c>
      <c r="H10" s="220">
        <f t="shared" si="5"/>
        <v>43574</v>
      </c>
      <c r="I10" s="220">
        <f t="shared" si="5"/>
        <v>43606</v>
      </c>
      <c r="J10" s="220">
        <f t="shared" si="5"/>
        <v>43637</v>
      </c>
      <c r="K10" s="220">
        <f t="shared" si="5"/>
        <v>43665</v>
      </c>
      <c r="L10" s="220">
        <f t="shared" si="5"/>
        <v>43698</v>
      </c>
      <c r="M10" s="220">
        <f t="shared" si="5"/>
        <v>43728</v>
      </c>
      <c r="N10" s="220">
        <f t="shared" si="5"/>
        <v>43759</v>
      </c>
      <c r="O10" s="220">
        <f t="shared" si="5"/>
        <v>43790</v>
      </c>
      <c r="P10" s="220">
        <v>43812</v>
      </c>
    </row>
    <row r="11" spans="1:16" ht="16.5" thickBot="1" x14ac:dyDescent="0.35">
      <c r="A11" s="266"/>
      <c r="B11" s="191"/>
      <c r="C11" s="191"/>
      <c r="D11" s="191"/>
      <c r="E11" s="191"/>
      <c r="F11" s="191"/>
      <c r="G11" s="191"/>
      <c r="H11" s="191"/>
      <c r="I11" s="191"/>
      <c r="J11" s="191"/>
      <c r="K11" s="191"/>
      <c r="L11" s="191"/>
      <c r="M11" s="191"/>
      <c r="N11" s="191"/>
      <c r="O11" s="191"/>
      <c r="P11" s="190"/>
    </row>
    <row r="12" spans="1:16" ht="16.5" thickBot="1" x14ac:dyDescent="0.35">
      <c r="A12" s="266" t="s">
        <v>292</v>
      </c>
      <c r="B12" s="253" t="s">
        <v>291</v>
      </c>
      <c r="C12" s="225" t="s">
        <v>146</v>
      </c>
      <c r="D12" s="224" t="s">
        <v>290</v>
      </c>
      <c r="E12" s="192">
        <v>43486</v>
      </c>
      <c r="F12" s="192">
        <f>WORKDAY(F8,2,z_feriés)</f>
        <v>43515</v>
      </c>
      <c r="G12" s="192">
        <f>WORKDAY(G8,2,z_feriés)</f>
        <v>43543</v>
      </c>
      <c r="H12" s="192">
        <f>WORKDAY(H8,2,z_feriés)</f>
        <v>43572</v>
      </c>
      <c r="I12" s="192">
        <f>WORKDAY(I8,2,z_feriés)</f>
        <v>43602</v>
      </c>
      <c r="J12" s="192">
        <f>WORKDAY(J8,2,z_feriés)</f>
        <v>43635</v>
      </c>
      <c r="K12" s="192">
        <v>43664</v>
      </c>
      <c r="L12" s="192">
        <v>43693</v>
      </c>
      <c r="M12" s="192">
        <f>WORKDAY(M8,2,z_feriés)</f>
        <v>43726</v>
      </c>
      <c r="N12" s="192">
        <v>43756</v>
      </c>
      <c r="O12" s="192">
        <v>43788</v>
      </c>
      <c r="P12" s="192">
        <f>WORKDAY(P8,2,z_feriés)</f>
        <v>43810</v>
      </c>
    </row>
    <row r="13" spans="1:16" ht="16.5" thickBot="1" x14ac:dyDescent="0.35">
      <c r="A13" s="266" t="s">
        <v>289</v>
      </c>
      <c r="B13" s="253" t="s">
        <v>288</v>
      </c>
      <c r="C13" s="225" t="s">
        <v>146</v>
      </c>
      <c r="D13" s="224" t="s">
        <v>287</v>
      </c>
      <c r="E13" s="192">
        <v>43487</v>
      </c>
      <c r="F13" s="192">
        <f>WORKDAY(F15,-3,z_feriés)</f>
        <v>43516</v>
      </c>
      <c r="G13" s="192">
        <f>WORKDAY(G15,-3,z_feriés)</f>
        <v>43544</v>
      </c>
      <c r="H13" s="192">
        <f t="shared" ref="H13:P13" si="6">WORKDAY(H15,-4,z_feriés)</f>
        <v>43573</v>
      </c>
      <c r="I13" s="192">
        <f t="shared" si="6"/>
        <v>43605</v>
      </c>
      <c r="J13" s="192">
        <f t="shared" si="6"/>
        <v>43635</v>
      </c>
      <c r="K13" s="192">
        <f t="shared" si="6"/>
        <v>43665</v>
      </c>
      <c r="L13" s="192">
        <f t="shared" si="6"/>
        <v>43696</v>
      </c>
      <c r="M13" s="192">
        <f t="shared" si="6"/>
        <v>43727</v>
      </c>
      <c r="N13" s="192">
        <f t="shared" si="6"/>
        <v>43759</v>
      </c>
      <c r="O13" s="192">
        <f t="shared" si="6"/>
        <v>43788</v>
      </c>
      <c r="P13" s="192">
        <f t="shared" si="6"/>
        <v>43817</v>
      </c>
    </row>
    <row r="14" spans="1:16" ht="16.5" thickBot="1" x14ac:dyDescent="0.35">
      <c r="A14" s="266"/>
      <c r="B14" s="253" t="s">
        <v>275</v>
      </c>
      <c r="C14" s="225" t="s">
        <v>146</v>
      </c>
      <c r="D14" s="224" t="s">
        <v>286</v>
      </c>
      <c r="E14" s="219">
        <f t="shared" ref="E14:P14" si="7">WORKDAY(E15,-1,z_feriés)</f>
        <v>43489</v>
      </c>
      <c r="F14" s="219">
        <f t="shared" si="7"/>
        <v>43518</v>
      </c>
      <c r="G14" s="219">
        <f t="shared" si="7"/>
        <v>43546</v>
      </c>
      <c r="H14" s="219">
        <f t="shared" si="7"/>
        <v>43579</v>
      </c>
      <c r="I14" s="219">
        <f t="shared" si="7"/>
        <v>43608</v>
      </c>
      <c r="J14" s="219">
        <f t="shared" si="7"/>
        <v>43640</v>
      </c>
      <c r="K14" s="219">
        <f t="shared" si="7"/>
        <v>43670</v>
      </c>
      <c r="L14" s="219">
        <f t="shared" si="7"/>
        <v>43699</v>
      </c>
      <c r="M14" s="219">
        <f t="shared" si="7"/>
        <v>43732</v>
      </c>
      <c r="N14" s="219">
        <f t="shared" si="7"/>
        <v>43762</v>
      </c>
      <c r="O14" s="219">
        <f t="shared" si="7"/>
        <v>43791</v>
      </c>
      <c r="P14" s="219">
        <f t="shared" si="7"/>
        <v>43822</v>
      </c>
    </row>
    <row r="15" spans="1:16" ht="16.5" thickBot="1" x14ac:dyDescent="0.35">
      <c r="A15" s="266"/>
      <c r="B15" s="252" t="s">
        <v>285</v>
      </c>
      <c r="C15" s="225" t="s">
        <v>146</v>
      </c>
      <c r="D15" s="225" t="s">
        <v>284</v>
      </c>
      <c r="E15" s="220">
        <f t="shared" ref="E15:P15" si="8">WORKDAY(DATE($C$2,E2,26),-1,z_feriés)</f>
        <v>43490</v>
      </c>
      <c r="F15" s="220">
        <f t="shared" si="8"/>
        <v>43521</v>
      </c>
      <c r="G15" s="220">
        <f t="shared" si="8"/>
        <v>43549</v>
      </c>
      <c r="H15" s="220">
        <f t="shared" si="8"/>
        <v>43580</v>
      </c>
      <c r="I15" s="220">
        <f t="shared" si="8"/>
        <v>43609</v>
      </c>
      <c r="J15" s="220">
        <f t="shared" si="8"/>
        <v>43641</v>
      </c>
      <c r="K15" s="220">
        <f t="shared" si="8"/>
        <v>43671</v>
      </c>
      <c r="L15" s="220">
        <f t="shared" si="8"/>
        <v>43700</v>
      </c>
      <c r="M15" s="220">
        <f t="shared" si="8"/>
        <v>43733</v>
      </c>
      <c r="N15" s="220">
        <f t="shared" si="8"/>
        <v>43763</v>
      </c>
      <c r="O15" s="220">
        <f t="shared" si="8"/>
        <v>43794</v>
      </c>
      <c r="P15" s="220">
        <f t="shared" si="8"/>
        <v>43823</v>
      </c>
    </row>
    <row r="16" spans="1:16" ht="16.5" thickBot="1" x14ac:dyDescent="0.35">
      <c r="A16" s="266"/>
      <c r="B16" s="191"/>
      <c r="C16" s="191"/>
      <c r="D16" s="191"/>
      <c r="E16" s="191"/>
      <c r="F16" s="191"/>
      <c r="G16" s="191"/>
      <c r="H16" s="191"/>
      <c r="I16" s="191"/>
      <c r="J16" s="191"/>
      <c r="K16" s="191"/>
      <c r="L16" s="191"/>
      <c r="M16" s="191"/>
      <c r="N16" s="191"/>
      <c r="O16" s="191"/>
      <c r="P16" s="190"/>
    </row>
    <row r="17" spans="1:16" ht="16.5" thickBot="1" x14ac:dyDescent="0.35">
      <c r="A17" s="266"/>
      <c r="B17" s="253" t="s">
        <v>283</v>
      </c>
      <c r="C17" s="225" t="s">
        <v>146</v>
      </c>
      <c r="D17" s="224" t="s">
        <v>282</v>
      </c>
      <c r="E17" s="192">
        <f t="shared" ref="E17:P17" si="9">WORKDAY(E20,-3,z_feriés)</f>
        <v>43493</v>
      </c>
      <c r="F17" s="192">
        <f t="shared" si="9"/>
        <v>43518</v>
      </c>
      <c r="G17" s="192">
        <f t="shared" si="9"/>
        <v>43549</v>
      </c>
      <c r="H17" s="192">
        <f t="shared" si="9"/>
        <v>43578</v>
      </c>
      <c r="I17" s="192">
        <f t="shared" si="9"/>
        <v>43608</v>
      </c>
      <c r="J17" s="192">
        <f t="shared" si="9"/>
        <v>43640</v>
      </c>
      <c r="K17" s="192">
        <f t="shared" si="9"/>
        <v>43671</v>
      </c>
      <c r="L17" s="192">
        <f t="shared" si="9"/>
        <v>43703</v>
      </c>
      <c r="M17" s="192">
        <f t="shared" si="9"/>
        <v>43732</v>
      </c>
      <c r="N17" s="192">
        <f t="shared" si="9"/>
        <v>43762</v>
      </c>
      <c r="O17" s="192">
        <f t="shared" si="9"/>
        <v>43794</v>
      </c>
      <c r="P17" s="192">
        <f t="shared" si="9"/>
        <v>43822</v>
      </c>
    </row>
    <row r="18" spans="1:16" ht="16.5" thickBot="1" x14ac:dyDescent="0.35">
      <c r="A18" s="266"/>
      <c r="B18" s="253" t="s">
        <v>281</v>
      </c>
      <c r="C18" s="225" t="s">
        <v>146</v>
      </c>
      <c r="D18" s="224" t="s">
        <v>280</v>
      </c>
      <c r="E18" s="192">
        <f t="shared" ref="E18:P18" si="10">WORKDAY(E20,-2,z_feriés)</f>
        <v>43494</v>
      </c>
      <c r="F18" s="192">
        <f t="shared" si="10"/>
        <v>43521</v>
      </c>
      <c r="G18" s="192">
        <f t="shared" si="10"/>
        <v>43550</v>
      </c>
      <c r="H18" s="192">
        <f t="shared" si="10"/>
        <v>43579</v>
      </c>
      <c r="I18" s="192">
        <f t="shared" si="10"/>
        <v>43609</v>
      </c>
      <c r="J18" s="192">
        <f t="shared" si="10"/>
        <v>43641</v>
      </c>
      <c r="K18" s="192">
        <f t="shared" si="10"/>
        <v>43672</v>
      </c>
      <c r="L18" s="192">
        <f t="shared" si="10"/>
        <v>43704</v>
      </c>
      <c r="M18" s="192">
        <f t="shared" si="10"/>
        <v>43733</v>
      </c>
      <c r="N18" s="192">
        <f t="shared" si="10"/>
        <v>43763</v>
      </c>
      <c r="O18" s="192">
        <f t="shared" si="10"/>
        <v>43795</v>
      </c>
      <c r="P18" s="192">
        <f t="shared" si="10"/>
        <v>43823</v>
      </c>
    </row>
    <row r="19" spans="1:16" ht="16.5" thickBot="1" x14ac:dyDescent="0.35">
      <c r="A19" s="266"/>
      <c r="B19" s="253" t="s">
        <v>279</v>
      </c>
      <c r="C19" s="225" t="s">
        <v>146</v>
      </c>
      <c r="D19" s="224" t="s">
        <v>278</v>
      </c>
      <c r="E19" s="192">
        <f t="shared" ref="E19:P19" si="11">WORKDAY(E20,-1,z_feriés)</f>
        <v>43495</v>
      </c>
      <c r="F19" s="192">
        <f t="shared" si="11"/>
        <v>43522</v>
      </c>
      <c r="G19" s="192">
        <f t="shared" si="11"/>
        <v>43551</v>
      </c>
      <c r="H19" s="192">
        <f t="shared" si="11"/>
        <v>43580</v>
      </c>
      <c r="I19" s="192">
        <f t="shared" si="11"/>
        <v>43612</v>
      </c>
      <c r="J19" s="192">
        <f t="shared" si="11"/>
        <v>43642</v>
      </c>
      <c r="K19" s="192">
        <f t="shared" si="11"/>
        <v>43675</v>
      </c>
      <c r="L19" s="192">
        <f t="shared" si="11"/>
        <v>43705</v>
      </c>
      <c r="M19" s="192">
        <f t="shared" si="11"/>
        <v>43734</v>
      </c>
      <c r="N19" s="192">
        <f t="shared" si="11"/>
        <v>43766</v>
      </c>
      <c r="O19" s="192">
        <f t="shared" si="11"/>
        <v>43796</v>
      </c>
      <c r="P19" s="192">
        <f t="shared" si="11"/>
        <v>43825</v>
      </c>
    </row>
    <row r="20" spans="1:16" ht="16.5" thickBot="1" x14ac:dyDescent="0.35">
      <c r="A20" s="266" t="s">
        <v>277</v>
      </c>
      <c r="B20" s="227" t="s">
        <v>243</v>
      </c>
      <c r="C20" s="225" t="s">
        <v>146</v>
      </c>
      <c r="D20" s="225" t="s">
        <v>276</v>
      </c>
      <c r="E20" s="220">
        <v>43496</v>
      </c>
      <c r="F20" s="220">
        <v>43523</v>
      </c>
      <c r="G20" s="220">
        <v>43552</v>
      </c>
      <c r="H20" s="220">
        <v>43581</v>
      </c>
      <c r="I20" s="220">
        <v>43613</v>
      </c>
      <c r="J20" s="220">
        <v>43643</v>
      </c>
      <c r="K20" s="220">
        <v>43676</v>
      </c>
      <c r="L20" s="220">
        <v>43706</v>
      </c>
      <c r="M20" s="220">
        <v>43735</v>
      </c>
      <c r="N20" s="220">
        <v>43767</v>
      </c>
      <c r="O20" s="220">
        <v>43797</v>
      </c>
      <c r="P20" s="220">
        <v>43826</v>
      </c>
    </row>
    <row r="21" spans="1:16" ht="16.5" thickBot="1" x14ac:dyDescent="0.35">
      <c r="A21" s="266"/>
      <c r="B21" s="252" t="s">
        <v>275</v>
      </c>
      <c r="C21" s="225" t="s">
        <v>146</v>
      </c>
      <c r="D21" s="224" t="s">
        <v>274</v>
      </c>
      <c r="E21" s="192">
        <f t="shared" ref="E21:P21" si="12">WORKDAY(E22,-1,z_feriés)</f>
        <v>43500</v>
      </c>
      <c r="F21" s="192">
        <f t="shared" si="12"/>
        <v>43528</v>
      </c>
      <c r="G21" s="192">
        <f t="shared" si="12"/>
        <v>43559</v>
      </c>
      <c r="H21" s="192">
        <f t="shared" si="12"/>
        <v>43587</v>
      </c>
      <c r="I21" s="192">
        <f t="shared" si="12"/>
        <v>43620</v>
      </c>
      <c r="J21" s="192">
        <f t="shared" si="12"/>
        <v>43650</v>
      </c>
      <c r="K21" s="192">
        <f t="shared" si="12"/>
        <v>43679</v>
      </c>
      <c r="L21" s="192">
        <f t="shared" si="12"/>
        <v>43712</v>
      </c>
      <c r="M21" s="192">
        <f t="shared" si="12"/>
        <v>43741</v>
      </c>
      <c r="N21" s="192">
        <f t="shared" si="12"/>
        <v>43773</v>
      </c>
      <c r="O21" s="192">
        <f t="shared" si="12"/>
        <v>43803</v>
      </c>
      <c r="P21" s="192">
        <f t="shared" si="12"/>
        <v>43832</v>
      </c>
    </row>
    <row r="22" spans="1:16" ht="16.5" thickBot="1" x14ac:dyDescent="0.35">
      <c r="A22" s="266"/>
      <c r="B22" s="253" t="s">
        <v>273</v>
      </c>
      <c r="C22" s="225" t="s">
        <v>146</v>
      </c>
      <c r="D22" s="224" t="s">
        <v>272</v>
      </c>
      <c r="E22" s="226">
        <f t="shared" ref="E22:P22" si="13">WORKDAY(DATE($C$2,E2+1,6),-1,z_feriés)</f>
        <v>43501</v>
      </c>
      <c r="F22" s="226">
        <f t="shared" si="13"/>
        <v>43529</v>
      </c>
      <c r="G22" s="226">
        <f t="shared" si="13"/>
        <v>43560</v>
      </c>
      <c r="H22" s="226">
        <f t="shared" si="13"/>
        <v>43588</v>
      </c>
      <c r="I22" s="226">
        <f t="shared" si="13"/>
        <v>43621</v>
      </c>
      <c r="J22" s="226">
        <f t="shared" si="13"/>
        <v>43651</v>
      </c>
      <c r="K22" s="226">
        <f t="shared" si="13"/>
        <v>43682</v>
      </c>
      <c r="L22" s="226">
        <f t="shared" si="13"/>
        <v>43713</v>
      </c>
      <c r="M22" s="226">
        <f t="shared" si="13"/>
        <v>43742</v>
      </c>
      <c r="N22" s="226">
        <f t="shared" si="13"/>
        <v>43774</v>
      </c>
      <c r="O22" s="226">
        <f t="shared" si="13"/>
        <v>43804</v>
      </c>
      <c r="P22" s="226">
        <f t="shared" si="13"/>
        <v>43833</v>
      </c>
    </row>
    <row r="23" spans="1:16" ht="16.5" thickBot="1" x14ac:dyDescent="0.35">
      <c r="A23" s="266"/>
      <c r="B23" s="190"/>
      <c r="C23" s="191"/>
      <c r="D23" s="191"/>
      <c r="E23" s="191"/>
      <c r="F23" s="191"/>
      <c r="G23" s="191"/>
      <c r="H23" s="191"/>
      <c r="I23" s="191"/>
      <c r="J23" s="191"/>
      <c r="K23" s="191"/>
      <c r="L23" s="191"/>
      <c r="M23" s="191"/>
      <c r="N23" s="191"/>
      <c r="O23" s="191"/>
      <c r="P23" s="190"/>
    </row>
    <row r="24" spans="1:16" ht="16.5" thickBot="1" x14ac:dyDescent="0.35">
      <c r="A24" s="266"/>
      <c r="B24" s="254" t="s">
        <v>271</v>
      </c>
      <c r="C24" s="225" t="s">
        <v>146</v>
      </c>
      <c r="D24" s="224" t="s">
        <v>266</v>
      </c>
      <c r="E24" s="226">
        <f t="shared" ref="E24:P24" si="14">WORKDAY(E20,2,z_feriés)</f>
        <v>43500</v>
      </c>
      <c r="F24" s="226">
        <f t="shared" si="14"/>
        <v>43525</v>
      </c>
      <c r="G24" s="226">
        <f t="shared" si="14"/>
        <v>43556</v>
      </c>
      <c r="H24" s="226">
        <f t="shared" si="14"/>
        <v>43585</v>
      </c>
      <c r="I24" s="226">
        <f t="shared" si="14"/>
        <v>43616</v>
      </c>
      <c r="J24" s="226">
        <f t="shared" si="14"/>
        <v>43647</v>
      </c>
      <c r="K24" s="226">
        <f t="shared" si="14"/>
        <v>43678</v>
      </c>
      <c r="L24" s="226">
        <f t="shared" si="14"/>
        <v>43710</v>
      </c>
      <c r="M24" s="226">
        <f t="shared" si="14"/>
        <v>43739</v>
      </c>
      <c r="N24" s="226">
        <f t="shared" si="14"/>
        <v>43769</v>
      </c>
      <c r="O24" s="226">
        <f t="shared" si="14"/>
        <v>43801</v>
      </c>
      <c r="P24" s="226">
        <f t="shared" si="14"/>
        <v>43830</v>
      </c>
    </row>
    <row r="25" spans="1:16" ht="16.5" thickBot="1" x14ac:dyDescent="0.35">
      <c r="A25" s="266"/>
      <c r="B25" s="253" t="s">
        <v>270</v>
      </c>
      <c r="C25" s="225" t="s">
        <v>146</v>
      </c>
      <c r="D25" s="224" t="s">
        <v>266</v>
      </c>
      <c r="E25" s="192">
        <f t="shared" ref="E25:P25" si="15">WORKDAY(E20,2,z_feriés)</f>
        <v>43500</v>
      </c>
      <c r="F25" s="192">
        <f t="shared" si="15"/>
        <v>43525</v>
      </c>
      <c r="G25" s="192">
        <f t="shared" si="15"/>
        <v>43556</v>
      </c>
      <c r="H25" s="192">
        <f t="shared" si="15"/>
        <v>43585</v>
      </c>
      <c r="I25" s="192">
        <f t="shared" si="15"/>
        <v>43616</v>
      </c>
      <c r="J25" s="192">
        <f t="shared" si="15"/>
        <v>43647</v>
      </c>
      <c r="K25" s="192">
        <f t="shared" si="15"/>
        <v>43678</v>
      </c>
      <c r="L25" s="192">
        <f t="shared" si="15"/>
        <v>43710</v>
      </c>
      <c r="M25" s="192">
        <f t="shared" si="15"/>
        <v>43739</v>
      </c>
      <c r="N25" s="192">
        <f t="shared" si="15"/>
        <v>43769</v>
      </c>
      <c r="O25" s="192">
        <f t="shared" si="15"/>
        <v>43801</v>
      </c>
      <c r="P25" s="192">
        <f t="shared" si="15"/>
        <v>43830</v>
      </c>
    </row>
    <row r="26" spans="1:16" ht="16.5" thickBot="1" x14ac:dyDescent="0.35">
      <c r="A26" s="266"/>
      <c r="B26" s="253" t="s">
        <v>269</v>
      </c>
      <c r="C26" s="225" t="s">
        <v>146</v>
      </c>
      <c r="D26" s="224" t="s">
        <v>266</v>
      </c>
      <c r="E26" s="192">
        <f t="shared" ref="E26:P26" si="16">WORKDAY(E20,2,z_feriés)</f>
        <v>43500</v>
      </c>
      <c r="F26" s="192">
        <f t="shared" si="16"/>
        <v>43525</v>
      </c>
      <c r="G26" s="192">
        <f t="shared" si="16"/>
        <v>43556</v>
      </c>
      <c r="H26" s="192">
        <f t="shared" si="16"/>
        <v>43585</v>
      </c>
      <c r="I26" s="192">
        <f t="shared" si="16"/>
        <v>43616</v>
      </c>
      <c r="J26" s="192">
        <f t="shared" si="16"/>
        <v>43647</v>
      </c>
      <c r="K26" s="192">
        <f t="shared" si="16"/>
        <v>43678</v>
      </c>
      <c r="L26" s="192">
        <f t="shared" si="16"/>
        <v>43710</v>
      </c>
      <c r="M26" s="192">
        <f t="shared" si="16"/>
        <v>43739</v>
      </c>
      <c r="N26" s="192">
        <f t="shared" si="16"/>
        <v>43769</v>
      </c>
      <c r="O26" s="192">
        <f t="shared" si="16"/>
        <v>43801</v>
      </c>
      <c r="P26" s="192">
        <f t="shared" si="16"/>
        <v>43830</v>
      </c>
    </row>
    <row r="27" spans="1:16" ht="16.5" thickBot="1" x14ac:dyDescent="0.35">
      <c r="A27" s="266"/>
      <c r="B27" s="253" t="s">
        <v>268</v>
      </c>
      <c r="C27" s="225" t="s">
        <v>146</v>
      </c>
      <c r="D27" s="224" t="s">
        <v>266</v>
      </c>
      <c r="E27" s="192">
        <f t="shared" ref="E27:P27" si="17">WORKDAY(E20,2,z_feriés)</f>
        <v>43500</v>
      </c>
      <c r="F27" s="192">
        <f t="shared" si="17"/>
        <v>43525</v>
      </c>
      <c r="G27" s="192">
        <f t="shared" si="17"/>
        <v>43556</v>
      </c>
      <c r="H27" s="192">
        <f t="shared" si="17"/>
        <v>43585</v>
      </c>
      <c r="I27" s="192">
        <f t="shared" si="17"/>
        <v>43616</v>
      </c>
      <c r="J27" s="192">
        <f t="shared" si="17"/>
        <v>43647</v>
      </c>
      <c r="K27" s="192">
        <f t="shared" si="17"/>
        <v>43678</v>
      </c>
      <c r="L27" s="192">
        <f t="shared" si="17"/>
        <v>43710</v>
      </c>
      <c r="M27" s="192">
        <f t="shared" si="17"/>
        <v>43739</v>
      </c>
      <c r="N27" s="192">
        <f t="shared" si="17"/>
        <v>43769</v>
      </c>
      <c r="O27" s="192">
        <f t="shared" si="17"/>
        <v>43801</v>
      </c>
      <c r="P27" s="192">
        <f t="shared" si="17"/>
        <v>43830</v>
      </c>
    </row>
    <row r="28" spans="1:16" ht="16.5" thickBot="1" x14ac:dyDescent="0.35">
      <c r="A28" s="266"/>
      <c r="B28" s="252" t="s">
        <v>267</v>
      </c>
      <c r="C28" s="225" t="s">
        <v>146</v>
      </c>
      <c r="D28" s="224" t="s">
        <v>266</v>
      </c>
      <c r="E28" s="192">
        <f t="shared" ref="E28:P28" si="18">WORKDAY(E20,2,z_feriés)</f>
        <v>43500</v>
      </c>
      <c r="F28" s="192">
        <f t="shared" si="18"/>
        <v>43525</v>
      </c>
      <c r="G28" s="192">
        <f t="shared" si="18"/>
        <v>43556</v>
      </c>
      <c r="H28" s="192">
        <f t="shared" si="18"/>
        <v>43585</v>
      </c>
      <c r="I28" s="192">
        <f t="shared" si="18"/>
        <v>43616</v>
      </c>
      <c r="J28" s="192">
        <f t="shared" si="18"/>
        <v>43647</v>
      </c>
      <c r="K28" s="192">
        <f t="shared" si="18"/>
        <v>43678</v>
      </c>
      <c r="L28" s="192">
        <f t="shared" si="18"/>
        <v>43710</v>
      </c>
      <c r="M28" s="192">
        <f t="shared" si="18"/>
        <v>43739</v>
      </c>
      <c r="N28" s="192">
        <f t="shared" si="18"/>
        <v>43769</v>
      </c>
      <c r="O28" s="192">
        <f t="shared" si="18"/>
        <v>43801</v>
      </c>
      <c r="P28" s="192">
        <f t="shared" si="18"/>
        <v>43830</v>
      </c>
    </row>
    <row r="29" spans="1:16" ht="16.5" thickBot="1" x14ac:dyDescent="0.35">
      <c r="A29" s="266"/>
      <c r="B29" s="252" t="s">
        <v>265</v>
      </c>
      <c r="C29" s="223" t="s">
        <v>146</v>
      </c>
      <c r="D29" s="222" t="s">
        <v>264</v>
      </c>
      <c r="E29" s="200">
        <f t="shared" ref="E29:P29" si="19">WORKDAY(E20,3,z_feriés)</f>
        <v>43501</v>
      </c>
      <c r="F29" s="200">
        <f t="shared" si="19"/>
        <v>43528</v>
      </c>
      <c r="G29" s="200">
        <f t="shared" si="19"/>
        <v>43557</v>
      </c>
      <c r="H29" s="200">
        <f t="shared" si="19"/>
        <v>43587</v>
      </c>
      <c r="I29" s="200">
        <f t="shared" si="19"/>
        <v>43619</v>
      </c>
      <c r="J29" s="200">
        <f t="shared" si="19"/>
        <v>43648</v>
      </c>
      <c r="K29" s="200">
        <f t="shared" si="19"/>
        <v>43679</v>
      </c>
      <c r="L29" s="200">
        <f t="shared" si="19"/>
        <v>43711</v>
      </c>
      <c r="M29" s="200">
        <f t="shared" si="19"/>
        <v>43740</v>
      </c>
      <c r="N29" s="200">
        <f t="shared" si="19"/>
        <v>43773</v>
      </c>
      <c r="O29" s="200">
        <f t="shared" si="19"/>
        <v>43802</v>
      </c>
      <c r="P29" s="200">
        <f t="shared" si="19"/>
        <v>43832</v>
      </c>
    </row>
    <row r="30" spans="1:16" ht="32.25" thickBot="1" x14ac:dyDescent="0.35">
      <c r="A30" s="266"/>
      <c r="B30" s="255" t="s">
        <v>263</v>
      </c>
      <c r="C30" s="223" t="s">
        <v>146</v>
      </c>
      <c r="D30" s="222" t="s">
        <v>262</v>
      </c>
      <c r="E30" s="192">
        <f t="shared" ref="E30:P30" si="20">WORKDAY(DATE($C$2,E2 +1,1)-1,1,z_feriés)</f>
        <v>43497</v>
      </c>
      <c r="F30" s="192">
        <f t="shared" si="20"/>
        <v>43525</v>
      </c>
      <c r="G30" s="192">
        <f t="shared" si="20"/>
        <v>43556</v>
      </c>
      <c r="H30" s="192">
        <f t="shared" si="20"/>
        <v>43587</v>
      </c>
      <c r="I30" s="192">
        <f t="shared" si="20"/>
        <v>43619</v>
      </c>
      <c r="J30" s="192">
        <f t="shared" si="20"/>
        <v>43647</v>
      </c>
      <c r="K30" s="192">
        <f t="shared" si="20"/>
        <v>43678</v>
      </c>
      <c r="L30" s="192">
        <f t="shared" si="20"/>
        <v>43710</v>
      </c>
      <c r="M30" s="192">
        <f t="shared" si="20"/>
        <v>43739</v>
      </c>
      <c r="N30" s="192">
        <f t="shared" si="20"/>
        <v>43773</v>
      </c>
      <c r="O30" s="192">
        <f t="shared" si="20"/>
        <v>43801</v>
      </c>
      <c r="P30" s="192">
        <f t="shared" si="20"/>
        <v>43832</v>
      </c>
    </row>
    <row r="31" spans="1:16" ht="16.5" thickBot="1" x14ac:dyDescent="0.35">
      <c r="A31" s="266"/>
      <c r="B31" s="191"/>
      <c r="C31" s="191"/>
      <c r="D31" s="215"/>
      <c r="E31" s="191"/>
      <c r="F31" s="191"/>
      <c r="G31" s="191"/>
      <c r="H31" s="191"/>
      <c r="I31" s="191"/>
      <c r="J31" s="191"/>
      <c r="K31" s="191"/>
      <c r="L31" s="191"/>
      <c r="M31" s="191"/>
      <c r="N31" s="191"/>
      <c r="O31" s="191"/>
      <c r="P31" s="190"/>
    </row>
    <row r="32" spans="1:16" ht="16.5" thickBot="1" x14ac:dyDescent="0.35">
      <c r="A32" s="266" t="s">
        <v>261</v>
      </c>
      <c r="B32" s="256" t="s">
        <v>260</v>
      </c>
      <c r="C32" s="217" t="s">
        <v>240</v>
      </c>
      <c r="D32" s="221" t="s">
        <v>259</v>
      </c>
      <c r="E32" s="220">
        <v>43483</v>
      </c>
      <c r="F32" s="220">
        <f>WORKDAY(F34,-3,z_feriés)</f>
        <v>43511</v>
      </c>
      <c r="G32" s="220">
        <f>WORKDAY(G34,-3,z_feriés)</f>
        <v>43539</v>
      </c>
      <c r="H32" s="220">
        <v>43570</v>
      </c>
      <c r="I32" s="220">
        <v>43602</v>
      </c>
      <c r="J32" s="220">
        <f>WORKDAY(J34,-3,z_feriés)</f>
        <v>43633</v>
      </c>
      <c r="K32" s="220">
        <f>WORKDAY(K34,-3,z_feriés)</f>
        <v>43662</v>
      </c>
      <c r="L32" s="220">
        <v>43696</v>
      </c>
      <c r="M32" s="220">
        <v>43726</v>
      </c>
      <c r="N32" s="220">
        <v>43755</v>
      </c>
      <c r="O32" s="220">
        <v>43787</v>
      </c>
      <c r="P32" s="220">
        <v>43810</v>
      </c>
    </row>
    <row r="33" spans="1:16" ht="16.5" thickBot="1" x14ac:dyDescent="0.35">
      <c r="A33" s="266"/>
      <c r="B33" s="256" t="s">
        <v>258</v>
      </c>
      <c r="C33" s="217" t="s">
        <v>240</v>
      </c>
      <c r="D33" s="216" t="s">
        <v>257</v>
      </c>
      <c r="E33" s="192">
        <f t="shared" ref="E33:P33" si="21">WORKDAY(E34,-1,z_feriés)</f>
        <v>43488</v>
      </c>
      <c r="F33" s="192">
        <f t="shared" si="21"/>
        <v>43515</v>
      </c>
      <c r="G33" s="192">
        <f t="shared" si="21"/>
        <v>43543</v>
      </c>
      <c r="H33" s="192">
        <f t="shared" si="21"/>
        <v>43573</v>
      </c>
      <c r="I33" s="192">
        <f t="shared" si="21"/>
        <v>43605</v>
      </c>
      <c r="J33" s="192">
        <f t="shared" si="21"/>
        <v>43635</v>
      </c>
      <c r="K33" s="192">
        <f t="shared" si="21"/>
        <v>43664</v>
      </c>
      <c r="L33" s="192">
        <f t="shared" si="21"/>
        <v>43697</v>
      </c>
      <c r="M33" s="192">
        <f t="shared" si="21"/>
        <v>43727</v>
      </c>
      <c r="N33" s="192">
        <f t="shared" si="21"/>
        <v>43756</v>
      </c>
      <c r="O33" s="192">
        <f t="shared" si="21"/>
        <v>43788</v>
      </c>
      <c r="P33" s="192">
        <f t="shared" si="21"/>
        <v>43811</v>
      </c>
    </row>
    <row r="34" spans="1:16" ht="16.5" thickBot="1" x14ac:dyDescent="0.35">
      <c r="A34" s="266"/>
      <c r="B34" s="256" t="s">
        <v>256</v>
      </c>
      <c r="C34" s="217" t="s">
        <v>240</v>
      </c>
      <c r="D34" s="221" t="s">
        <v>255</v>
      </c>
      <c r="E34" s="220">
        <v>43489</v>
      </c>
      <c r="F34" s="220">
        <v>43516</v>
      </c>
      <c r="G34" s="220">
        <v>43544</v>
      </c>
      <c r="H34" s="220">
        <v>43574</v>
      </c>
      <c r="I34" s="220">
        <v>43606</v>
      </c>
      <c r="J34" s="220">
        <v>43636</v>
      </c>
      <c r="K34" s="220">
        <v>43665</v>
      </c>
      <c r="L34" s="220">
        <v>43698</v>
      </c>
      <c r="M34" s="220">
        <v>43728</v>
      </c>
      <c r="N34" s="220">
        <v>43759</v>
      </c>
      <c r="O34" s="220">
        <v>43789</v>
      </c>
      <c r="P34" s="220">
        <v>43812</v>
      </c>
    </row>
    <row r="35" spans="1:16" ht="16.5" thickBot="1" x14ac:dyDescent="0.35">
      <c r="A35" s="266" t="s">
        <v>254</v>
      </c>
      <c r="B35" s="257" t="s">
        <v>253</v>
      </c>
      <c r="C35" s="217" t="s">
        <v>240</v>
      </c>
      <c r="D35" s="216" t="s">
        <v>252</v>
      </c>
      <c r="E35" s="192">
        <v>43483</v>
      </c>
      <c r="F35" s="192">
        <f>WORKDAY(F37,-2,z_feriés)</f>
        <v>43517</v>
      </c>
      <c r="G35" s="192">
        <f>WORKDAY(G37,-2,z_feriés)</f>
        <v>43545</v>
      </c>
      <c r="H35" s="192">
        <f>WORKDAY(H37,-2,z_feriés)</f>
        <v>43578</v>
      </c>
      <c r="I35" s="192">
        <f>WORKDAY(I37,-2,z_feriés)</f>
        <v>43606</v>
      </c>
      <c r="J35" s="192">
        <f>WORKDAY(J37,-2,z_feriés)</f>
        <v>43637</v>
      </c>
      <c r="K35" s="192">
        <v>43668</v>
      </c>
      <c r="L35" s="192">
        <f>WORKDAY(L37,-2,z_feriés)</f>
        <v>43698</v>
      </c>
      <c r="M35" s="192">
        <f>WORKDAY(M37,-2,z_feriés)</f>
        <v>43731</v>
      </c>
      <c r="N35" s="192">
        <f>WORKDAY(N37,-2,z_feriés)</f>
        <v>43761</v>
      </c>
      <c r="O35" s="192">
        <f>WORKDAY(O37,-2,z_feriés)</f>
        <v>43790</v>
      </c>
      <c r="P35" s="192">
        <f>WORKDAY(P37,-2,z_feriés)</f>
        <v>43810</v>
      </c>
    </row>
    <row r="36" spans="1:16" ht="16.5" thickBot="1" x14ac:dyDescent="0.35">
      <c r="A36" s="266"/>
      <c r="B36" s="257" t="s">
        <v>251</v>
      </c>
      <c r="C36" s="217" t="s">
        <v>240</v>
      </c>
      <c r="D36" s="216" t="s">
        <v>250</v>
      </c>
      <c r="E36" s="192">
        <f t="shared" ref="E36:N36" si="22">WORKDAY(E37,-1,z_feriés)</f>
        <v>43489</v>
      </c>
      <c r="F36" s="192">
        <f t="shared" si="22"/>
        <v>43518</v>
      </c>
      <c r="G36" s="192">
        <f t="shared" si="22"/>
        <v>43546</v>
      </c>
      <c r="H36" s="192">
        <f t="shared" si="22"/>
        <v>43579</v>
      </c>
      <c r="I36" s="192">
        <f t="shared" si="22"/>
        <v>43607</v>
      </c>
      <c r="J36" s="192">
        <f t="shared" si="22"/>
        <v>43640</v>
      </c>
      <c r="K36" s="192">
        <f t="shared" si="22"/>
        <v>43670</v>
      </c>
      <c r="L36" s="192">
        <f t="shared" si="22"/>
        <v>43699</v>
      </c>
      <c r="M36" s="192">
        <f t="shared" si="22"/>
        <v>43732</v>
      </c>
      <c r="N36" s="192">
        <f t="shared" si="22"/>
        <v>43762</v>
      </c>
      <c r="O36" s="192">
        <v>43791</v>
      </c>
      <c r="P36" s="192">
        <f>WORKDAY(P37,-1,z_feriés)</f>
        <v>43811</v>
      </c>
    </row>
    <row r="37" spans="1:16" ht="16.5" thickBot="1" x14ac:dyDescent="0.35">
      <c r="A37" s="266"/>
      <c r="B37" s="257" t="s">
        <v>249</v>
      </c>
      <c r="C37" s="217" t="s">
        <v>240</v>
      </c>
      <c r="D37" s="216" t="s">
        <v>134</v>
      </c>
      <c r="E37" s="219">
        <f>WORKDAY(DATE($C$2,E2,26),-1,z_feriés)</f>
        <v>43490</v>
      </c>
      <c r="F37" s="219">
        <f>WORKDAY(DATE($C$2,F2,26),-1,z_feriés)</f>
        <v>43521</v>
      </c>
      <c r="G37" s="219">
        <f>WORKDAY(DATE($C$2,G2,26),-1,z_feriés)</f>
        <v>43549</v>
      </c>
      <c r="H37" s="219">
        <f>WORKDAY(DATE($C$2,H2,26),-1,z_feriés)</f>
        <v>43580</v>
      </c>
      <c r="I37" s="219">
        <v>43608</v>
      </c>
      <c r="J37" s="219">
        <f>WORKDAY(DATE($C$2,J2,26),-1,z_feriés)</f>
        <v>43641</v>
      </c>
      <c r="K37" s="219">
        <f>WORKDAY(DATE($C$2,K2,26),-1,z_feriés)</f>
        <v>43671</v>
      </c>
      <c r="L37" s="219">
        <f>WORKDAY(DATE($C$2,L2,26),-1,z_feriés)</f>
        <v>43700</v>
      </c>
      <c r="M37" s="219">
        <f>WORKDAY(DATE($C$2,M2,26),-1,z_feriés)</f>
        <v>43733</v>
      </c>
      <c r="N37" s="219">
        <f>WORKDAY(DATE($C$2,N2,26),-1,z_feriés)</f>
        <v>43763</v>
      </c>
      <c r="O37" s="219">
        <v>43794</v>
      </c>
      <c r="P37" s="219">
        <v>43812</v>
      </c>
    </row>
    <row r="38" spans="1:16" ht="16.5" thickBot="1" x14ac:dyDescent="0.35">
      <c r="A38" s="266" t="s">
        <v>248</v>
      </c>
      <c r="B38" s="258" t="s">
        <v>247</v>
      </c>
      <c r="C38" s="217" t="s">
        <v>240</v>
      </c>
      <c r="D38" s="216" t="s">
        <v>244</v>
      </c>
      <c r="E38" s="192">
        <v>43489</v>
      </c>
      <c r="F38" s="192">
        <f t="shared" ref="F38:P38" si="23">WORKDAY(F40,-2,z_feriés)</f>
        <v>43517</v>
      </c>
      <c r="G38" s="192">
        <f t="shared" si="23"/>
        <v>43545</v>
      </c>
      <c r="H38" s="192">
        <f t="shared" si="23"/>
        <v>43578</v>
      </c>
      <c r="I38" s="192">
        <f t="shared" si="23"/>
        <v>43606</v>
      </c>
      <c r="J38" s="192">
        <f t="shared" si="23"/>
        <v>43637</v>
      </c>
      <c r="K38" s="192">
        <f t="shared" si="23"/>
        <v>43669</v>
      </c>
      <c r="L38" s="192">
        <f t="shared" si="23"/>
        <v>43698</v>
      </c>
      <c r="M38" s="192">
        <f t="shared" si="23"/>
        <v>43731</v>
      </c>
      <c r="N38" s="192">
        <f t="shared" si="23"/>
        <v>43761</v>
      </c>
      <c r="O38" s="192">
        <f t="shared" si="23"/>
        <v>43790</v>
      </c>
      <c r="P38" s="192">
        <f t="shared" si="23"/>
        <v>43819</v>
      </c>
    </row>
    <row r="39" spans="1:16" ht="16.5" thickBot="1" x14ac:dyDescent="0.35">
      <c r="A39" s="266"/>
      <c r="B39" s="259" t="s">
        <v>246</v>
      </c>
      <c r="C39" s="217" t="s">
        <v>240</v>
      </c>
      <c r="D39" s="216" t="s">
        <v>244</v>
      </c>
      <c r="E39" s="192">
        <v>43490</v>
      </c>
      <c r="F39" s="192">
        <f t="shared" ref="F39:P39" si="24">WORKDAY(F40,-1,z_feriés)</f>
        <v>43518</v>
      </c>
      <c r="G39" s="192">
        <f t="shared" si="24"/>
        <v>43546</v>
      </c>
      <c r="H39" s="192">
        <f t="shared" si="24"/>
        <v>43579</v>
      </c>
      <c r="I39" s="192">
        <f t="shared" si="24"/>
        <v>43607</v>
      </c>
      <c r="J39" s="192">
        <f t="shared" si="24"/>
        <v>43640</v>
      </c>
      <c r="K39" s="192">
        <f t="shared" si="24"/>
        <v>43670</v>
      </c>
      <c r="L39" s="192">
        <f t="shared" si="24"/>
        <v>43699</v>
      </c>
      <c r="M39" s="192">
        <f t="shared" si="24"/>
        <v>43732</v>
      </c>
      <c r="N39" s="192">
        <f t="shared" si="24"/>
        <v>43762</v>
      </c>
      <c r="O39" s="192">
        <f t="shared" si="24"/>
        <v>43791</v>
      </c>
      <c r="P39" s="192">
        <f t="shared" si="24"/>
        <v>43822</v>
      </c>
    </row>
    <row r="40" spans="1:16" ht="16.5" thickBot="1" x14ac:dyDescent="0.35">
      <c r="A40" s="266"/>
      <c r="B40" s="260" t="s">
        <v>245</v>
      </c>
      <c r="C40" s="217" t="s">
        <v>240</v>
      </c>
      <c r="D40" s="216" t="s">
        <v>244</v>
      </c>
      <c r="E40" s="192">
        <v>43493</v>
      </c>
      <c r="F40" s="192">
        <f>WORKDAY(DATE($C$2,F2,26),-1,z_feriés)</f>
        <v>43521</v>
      </c>
      <c r="G40" s="192">
        <f>WORKDAY(DATE($C$2,G2,26),-1,z_feriés)</f>
        <v>43549</v>
      </c>
      <c r="H40" s="192">
        <f>WORKDAY(DATE($C$2,H2,26),-1,z_feriés)</f>
        <v>43580</v>
      </c>
      <c r="I40" s="192">
        <v>43608</v>
      </c>
      <c r="J40" s="192">
        <f t="shared" ref="J40:P40" si="25">WORKDAY(DATE($C$2,J2,26),-1,z_feriés)</f>
        <v>43641</v>
      </c>
      <c r="K40" s="192">
        <f t="shared" si="25"/>
        <v>43671</v>
      </c>
      <c r="L40" s="192">
        <f t="shared" si="25"/>
        <v>43700</v>
      </c>
      <c r="M40" s="192">
        <f t="shared" si="25"/>
        <v>43733</v>
      </c>
      <c r="N40" s="192">
        <f t="shared" si="25"/>
        <v>43763</v>
      </c>
      <c r="O40" s="192">
        <f t="shared" si="25"/>
        <v>43794</v>
      </c>
      <c r="P40" s="192">
        <f t="shared" si="25"/>
        <v>43823</v>
      </c>
    </row>
    <row r="41" spans="1:16" ht="16.5" thickBot="1" x14ac:dyDescent="0.35">
      <c r="A41" s="266"/>
      <c r="B41" s="261" t="s">
        <v>243</v>
      </c>
      <c r="C41" s="217" t="s">
        <v>240</v>
      </c>
      <c r="D41" s="218" t="s">
        <v>242</v>
      </c>
      <c r="E41" s="192">
        <f t="shared" ref="E41:P41" si="26">E20</f>
        <v>43496</v>
      </c>
      <c r="F41" s="192">
        <f t="shared" si="26"/>
        <v>43523</v>
      </c>
      <c r="G41" s="192">
        <f t="shared" si="26"/>
        <v>43552</v>
      </c>
      <c r="H41" s="192">
        <f t="shared" si="26"/>
        <v>43581</v>
      </c>
      <c r="I41" s="192">
        <f t="shared" si="26"/>
        <v>43613</v>
      </c>
      <c r="J41" s="192">
        <f t="shared" si="26"/>
        <v>43643</v>
      </c>
      <c r="K41" s="192">
        <f t="shared" si="26"/>
        <v>43676</v>
      </c>
      <c r="L41" s="192">
        <f t="shared" si="26"/>
        <v>43706</v>
      </c>
      <c r="M41" s="192">
        <f t="shared" si="26"/>
        <v>43735</v>
      </c>
      <c r="N41" s="192">
        <f t="shared" si="26"/>
        <v>43767</v>
      </c>
      <c r="O41" s="192">
        <f t="shared" si="26"/>
        <v>43797</v>
      </c>
      <c r="P41" s="192">
        <f t="shared" si="26"/>
        <v>43826</v>
      </c>
    </row>
    <row r="42" spans="1:16" ht="16.5" thickBot="1" x14ac:dyDescent="0.35">
      <c r="A42" s="266"/>
      <c r="B42" s="253" t="s">
        <v>241</v>
      </c>
      <c r="C42" s="217" t="s">
        <v>240</v>
      </c>
      <c r="D42" s="216" t="s">
        <v>239</v>
      </c>
      <c r="E42" s="192">
        <f t="shared" ref="E42:P42" si="27">WORKDAY(E20,1,z_feriés)</f>
        <v>43497</v>
      </c>
      <c r="F42" s="192">
        <f t="shared" si="27"/>
        <v>43524</v>
      </c>
      <c r="G42" s="192">
        <f t="shared" si="27"/>
        <v>43553</v>
      </c>
      <c r="H42" s="192">
        <f t="shared" si="27"/>
        <v>43584</v>
      </c>
      <c r="I42" s="192">
        <f t="shared" si="27"/>
        <v>43614</v>
      </c>
      <c r="J42" s="192">
        <f t="shared" si="27"/>
        <v>43644</v>
      </c>
      <c r="K42" s="192">
        <f t="shared" si="27"/>
        <v>43677</v>
      </c>
      <c r="L42" s="192">
        <f t="shared" si="27"/>
        <v>43707</v>
      </c>
      <c r="M42" s="192">
        <f t="shared" si="27"/>
        <v>43738</v>
      </c>
      <c r="N42" s="192">
        <f t="shared" si="27"/>
        <v>43768</v>
      </c>
      <c r="O42" s="192">
        <f t="shared" si="27"/>
        <v>43798</v>
      </c>
      <c r="P42" s="192">
        <f t="shared" si="27"/>
        <v>43829</v>
      </c>
    </row>
    <row r="43" spans="1:16" ht="16.5" thickBot="1" x14ac:dyDescent="0.35">
      <c r="A43" s="266"/>
      <c r="B43" s="191"/>
      <c r="C43" s="191"/>
      <c r="D43" s="215"/>
      <c r="E43" s="191"/>
      <c r="F43" s="191"/>
      <c r="G43" s="191"/>
      <c r="H43" s="191"/>
      <c r="I43" s="191"/>
      <c r="J43" s="191"/>
      <c r="K43" s="191"/>
      <c r="L43" s="191"/>
      <c r="M43" s="191"/>
      <c r="N43" s="191"/>
      <c r="O43" s="191"/>
      <c r="P43" s="190"/>
    </row>
    <row r="44" spans="1:16" ht="16.5" thickBot="1" x14ac:dyDescent="0.35">
      <c r="A44" s="266"/>
      <c r="B44" s="252" t="s">
        <v>238</v>
      </c>
      <c r="C44" s="212" t="s">
        <v>113</v>
      </c>
      <c r="D44" s="214" t="s">
        <v>237</v>
      </c>
      <c r="E44" s="192">
        <f t="shared" ref="E44:P44" si="28">WORKDAY(EOMONTH(DATE($C$2,E2,1),-1),1,z_feriés)</f>
        <v>43467</v>
      </c>
      <c r="F44" s="192">
        <f t="shared" si="28"/>
        <v>43497</v>
      </c>
      <c r="G44" s="192">
        <f t="shared" si="28"/>
        <v>43525</v>
      </c>
      <c r="H44" s="192">
        <f t="shared" si="28"/>
        <v>43556</v>
      </c>
      <c r="I44" s="192">
        <f t="shared" si="28"/>
        <v>43587</v>
      </c>
      <c r="J44" s="192">
        <f t="shared" si="28"/>
        <v>43619</v>
      </c>
      <c r="K44" s="192">
        <f t="shared" si="28"/>
        <v>43647</v>
      </c>
      <c r="L44" s="192">
        <f t="shared" si="28"/>
        <v>43678</v>
      </c>
      <c r="M44" s="192">
        <f t="shared" si="28"/>
        <v>43710</v>
      </c>
      <c r="N44" s="192">
        <f t="shared" si="28"/>
        <v>43739</v>
      </c>
      <c r="O44" s="192">
        <f t="shared" si="28"/>
        <v>43773</v>
      </c>
      <c r="P44" s="192">
        <f t="shared" si="28"/>
        <v>43801</v>
      </c>
    </row>
    <row r="45" spans="1:16" ht="16.5" thickBot="1" x14ac:dyDescent="0.35">
      <c r="A45" s="266"/>
      <c r="B45" s="252" t="s">
        <v>236</v>
      </c>
      <c r="C45" s="212" t="s">
        <v>113</v>
      </c>
      <c r="D45" s="214" t="s">
        <v>235</v>
      </c>
      <c r="E45" s="192">
        <f>D37:P37</f>
        <v>43490</v>
      </c>
      <c r="F45" s="192">
        <f t="shared" ref="F45:P45" si="29">WORKDAY(DATE($C$2,F2,11),-1,z_feriés)</f>
        <v>43504</v>
      </c>
      <c r="G45" s="192">
        <f t="shared" si="29"/>
        <v>43532</v>
      </c>
      <c r="H45" s="192">
        <f t="shared" si="29"/>
        <v>43565</v>
      </c>
      <c r="I45" s="192">
        <f t="shared" si="29"/>
        <v>43595</v>
      </c>
      <c r="J45" s="192">
        <f t="shared" si="29"/>
        <v>43623</v>
      </c>
      <c r="K45" s="192">
        <f t="shared" si="29"/>
        <v>43656</v>
      </c>
      <c r="L45" s="192">
        <f t="shared" si="29"/>
        <v>43686</v>
      </c>
      <c r="M45" s="192">
        <f t="shared" si="29"/>
        <v>43718</v>
      </c>
      <c r="N45" s="192">
        <f t="shared" si="29"/>
        <v>43748</v>
      </c>
      <c r="O45" s="192">
        <f t="shared" si="29"/>
        <v>43777</v>
      </c>
      <c r="P45" s="192">
        <f t="shared" si="29"/>
        <v>43809</v>
      </c>
    </row>
    <row r="46" spans="1:16" ht="16.5" thickBot="1" x14ac:dyDescent="0.35">
      <c r="A46" s="266" t="s">
        <v>136</v>
      </c>
      <c r="B46" s="252" t="s">
        <v>234</v>
      </c>
      <c r="C46" s="212" t="s">
        <v>113</v>
      </c>
      <c r="D46" s="214" t="s">
        <v>233</v>
      </c>
      <c r="E46" s="192">
        <f t="shared" ref="E46:P46" si="30">WORKDAY(DATE($C$2,E2,14),1,z_feriés)</f>
        <v>43480</v>
      </c>
      <c r="F46" s="192">
        <f t="shared" si="30"/>
        <v>43511</v>
      </c>
      <c r="G46" s="192">
        <f t="shared" si="30"/>
        <v>43539</v>
      </c>
      <c r="H46" s="192">
        <f t="shared" si="30"/>
        <v>43570</v>
      </c>
      <c r="I46" s="192">
        <f t="shared" si="30"/>
        <v>43600</v>
      </c>
      <c r="J46" s="192">
        <f t="shared" si="30"/>
        <v>43633</v>
      </c>
      <c r="K46" s="192">
        <f t="shared" si="30"/>
        <v>43661</v>
      </c>
      <c r="L46" s="192">
        <f t="shared" si="30"/>
        <v>43693</v>
      </c>
      <c r="M46" s="192">
        <f t="shared" si="30"/>
        <v>43724</v>
      </c>
      <c r="N46" s="192">
        <f t="shared" si="30"/>
        <v>43753</v>
      </c>
      <c r="O46" s="192">
        <f t="shared" si="30"/>
        <v>43784</v>
      </c>
      <c r="P46" s="192">
        <f t="shared" si="30"/>
        <v>43815</v>
      </c>
    </row>
    <row r="47" spans="1:16" ht="16.5" thickBot="1" x14ac:dyDescent="0.35">
      <c r="A47" s="266"/>
      <c r="B47" s="252" t="s">
        <v>232</v>
      </c>
      <c r="C47" s="212" t="s">
        <v>113</v>
      </c>
      <c r="D47" s="214" t="s">
        <v>228</v>
      </c>
      <c r="E47" s="192">
        <f t="shared" ref="E47:P47" si="31">WORKDAY(E46,1,z_feriés)</f>
        <v>43481</v>
      </c>
      <c r="F47" s="192">
        <f t="shared" si="31"/>
        <v>43514</v>
      </c>
      <c r="G47" s="192">
        <f t="shared" si="31"/>
        <v>43542</v>
      </c>
      <c r="H47" s="192">
        <f t="shared" si="31"/>
        <v>43571</v>
      </c>
      <c r="I47" s="192">
        <f t="shared" si="31"/>
        <v>43601</v>
      </c>
      <c r="J47" s="192">
        <f t="shared" si="31"/>
        <v>43634</v>
      </c>
      <c r="K47" s="192">
        <f t="shared" si="31"/>
        <v>43662</v>
      </c>
      <c r="L47" s="192">
        <f t="shared" si="31"/>
        <v>43696</v>
      </c>
      <c r="M47" s="192">
        <f t="shared" si="31"/>
        <v>43725</v>
      </c>
      <c r="N47" s="192">
        <f t="shared" si="31"/>
        <v>43754</v>
      </c>
      <c r="O47" s="192">
        <f t="shared" si="31"/>
        <v>43787</v>
      </c>
      <c r="P47" s="192">
        <f t="shared" si="31"/>
        <v>43816</v>
      </c>
    </row>
    <row r="48" spans="1:16" ht="16.5" thickBot="1" x14ac:dyDescent="0.35">
      <c r="A48" s="266" t="s">
        <v>137</v>
      </c>
      <c r="B48" s="252" t="s">
        <v>231</v>
      </c>
      <c r="C48" s="212" t="s">
        <v>113</v>
      </c>
      <c r="D48" s="214" t="s">
        <v>230</v>
      </c>
      <c r="E48" s="192">
        <f t="shared" ref="E48:P48" si="32">WORKDAY(EOMONTH(DATE($C$2,E2,1),0)+1,-2,z_feriés)</f>
        <v>43495</v>
      </c>
      <c r="F48" s="192">
        <f t="shared" si="32"/>
        <v>43523</v>
      </c>
      <c r="G48" s="192">
        <f t="shared" si="32"/>
        <v>43552</v>
      </c>
      <c r="H48" s="192">
        <f t="shared" si="32"/>
        <v>43584</v>
      </c>
      <c r="I48" s="192">
        <f t="shared" si="32"/>
        <v>43614</v>
      </c>
      <c r="J48" s="192">
        <f t="shared" si="32"/>
        <v>43643</v>
      </c>
      <c r="K48" s="192">
        <f t="shared" si="32"/>
        <v>43676</v>
      </c>
      <c r="L48" s="192">
        <f t="shared" si="32"/>
        <v>43706</v>
      </c>
      <c r="M48" s="192">
        <f t="shared" si="32"/>
        <v>43735</v>
      </c>
      <c r="N48" s="192">
        <f t="shared" si="32"/>
        <v>43768</v>
      </c>
      <c r="O48" s="192">
        <f t="shared" si="32"/>
        <v>43797</v>
      </c>
      <c r="P48" s="192">
        <f t="shared" si="32"/>
        <v>43829</v>
      </c>
    </row>
    <row r="49" spans="1:16" ht="16.5" thickBot="1" x14ac:dyDescent="0.35">
      <c r="A49" s="266" t="s">
        <v>150</v>
      </c>
      <c r="B49" s="252" t="s">
        <v>229</v>
      </c>
      <c r="C49" s="212" t="s">
        <v>113</v>
      </c>
      <c r="D49" s="214" t="s">
        <v>228</v>
      </c>
      <c r="E49" s="192">
        <f t="shared" ref="E49:P49" si="33">WORKDAY(E48,1,z_feriés)</f>
        <v>43496</v>
      </c>
      <c r="F49" s="192">
        <f t="shared" si="33"/>
        <v>43524</v>
      </c>
      <c r="G49" s="192">
        <f t="shared" si="33"/>
        <v>43553</v>
      </c>
      <c r="H49" s="192">
        <f t="shared" si="33"/>
        <v>43585</v>
      </c>
      <c r="I49" s="192">
        <f t="shared" si="33"/>
        <v>43616</v>
      </c>
      <c r="J49" s="192">
        <f t="shared" si="33"/>
        <v>43644</v>
      </c>
      <c r="K49" s="192">
        <f t="shared" si="33"/>
        <v>43677</v>
      </c>
      <c r="L49" s="192">
        <f t="shared" si="33"/>
        <v>43707</v>
      </c>
      <c r="M49" s="192">
        <f t="shared" si="33"/>
        <v>43738</v>
      </c>
      <c r="N49" s="192">
        <f t="shared" si="33"/>
        <v>43769</v>
      </c>
      <c r="O49" s="192">
        <f t="shared" si="33"/>
        <v>43798</v>
      </c>
      <c r="P49" s="192">
        <f t="shared" si="33"/>
        <v>43830</v>
      </c>
    </row>
    <row r="50" spans="1:16" ht="16.5" thickBot="1" x14ac:dyDescent="0.35">
      <c r="A50" s="266"/>
      <c r="B50" s="255" t="s">
        <v>227</v>
      </c>
      <c r="C50" s="212" t="s">
        <v>113</v>
      </c>
      <c r="D50" s="214" t="s">
        <v>226</v>
      </c>
      <c r="E50" s="192">
        <f t="shared" ref="E50:P50" si="34">WORKDAY(DATE($C$2,E2 +1,1)-1,1,z_feriés)</f>
        <v>43497</v>
      </c>
      <c r="F50" s="192">
        <f t="shared" si="34"/>
        <v>43525</v>
      </c>
      <c r="G50" s="192">
        <f t="shared" si="34"/>
        <v>43556</v>
      </c>
      <c r="H50" s="192">
        <f t="shared" si="34"/>
        <v>43587</v>
      </c>
      <c r="I50" s="192">
        <f t="shared" si="34"/>
        <v>43619</v>
      </c>
      <c r="J50" s="192">
        <f t="shared" si="34"/>
        <v>43647</v>
      </c>
      <c r="K50" s="192">
        <f t="shared" si="34"/>
        <v>43678</v>
      </c>
      <c r="L50" s="192">
        <f t="shared" si="34"/>
        <v>43710</v>
      </c>
      <c r="M50" s="192">
        <f t="shared" si="34"/>
        <v>43739</v>
      </c>
      <c r="N50" s="192">
        <f t="shared" si="34"/>
        <v>43773</v>
      </c>
      <c r="O50" s="192">
        <f t="shared" si="34"/>
        <v>43801</v>
      </c>
      <c r="P50" s="192">
        <f t="shared" si="34"/>
        <v>43832</v>
      </c>
    </row>
    <row r="51" spans="1:16" ht="16.5" thickBot="1" x14ac:dyDescent="0.35">
      <c r="A51" s="266" t="s">
        <v>225</v>
      </c>
      <c r="B51" s="253" t="s">
        <v>224</v>
      </c>
      <c r="C51" s="212" t="s">
        <v>113</v>
      </c>
      <c r="D51" s="214" t="s">
        <v>223</v>
      </c>
      <c r="E51" s="192">
        <f t="shared" ref="E51:P51" si="35">WORKDAY(E24,0,z_feriés)</f>
        <v>43500</v>
      </c>
      <c r="F51" s="192">
        <f t="shared" si="35"/>
        <v>43525</v>
      </c>
      <c r="G51" s="192">
        <f t="shared" si="35"/>
        <v>43556</v>
      </c>
      <c r="H51" s="192">
        <f t="shared" si="35"/>
        <v>43585</v>
      </c>
      <c r="I51" s="192">
        <f t="shared" si="35"/>
        <v>43616</v>
      </c>
      <c r="J51" s="192">
        <f t="shared" si="35"/>
        <v>43647</v>
      </c>
      <c r="K51" s="192">
        <f t="shared" si="35"/>
        <v>43678</v>
      </c>
      <c r="L51" s="192">
        <f t="shared" si="35"/>
        <v>43710</v>
      </c>
      <c r="M51" s="192">
        <f t="shared" si="35"/>
        <v>43739</v>
      </c>
      <c r="N51" s="192">
        <f t="shared" si="35"/>
        <v>43769</v>
      </c>
      <c r="O51" s="192">
        <f t="shared" si="35"/>
        <v>43801</v>
      </c>
      <c r="P51" s="192">
        <f t="shared" si="35"/>
        <v>43830</v>
      </c>
    </row>
    <row r="52" spans="1:16" ht="16.5" thickBot="1" x14ac:dyDescent="0.35">
      <c r="A52" s="266" t="s">
        <v>222</v>
      </c>
      <c r="B52" s="252" t="s">
        <v>221</v>
      </c>
      <c r="C52" s="212" t="s">
        <v>113</v>
      </c>
      <c r="D52" s="214" t="s">
        <v>220</v>
      </c>
      <c r="E52" s="192">
        <f t="shared" ref="E52:P52" si="36">WORKDAY(E24,1,z_feriés)</f>
        <v>43501</v>
      </c>
      <c r="F52" s="192">
        <f t="shared" si="36"/>
        <v>43528</v>
      </c>
      <c r="G52" s="192">
        <f t="shared" si="36"/>
        <v>43557</v>
      </c>
      <c r="H52" s="192">
        <f t="shared" si="36"/>
        <v>43587</v>
      </c>
      <c r="I52" s="192">
        <f t="shared" si="36"/>
        <v>43619</v>
      </c>
      <c r="J52" s="192">
        <f t="shared" si="36"/>
        <v>43648</v>
      </c>
      <c r="K52" s="192">
        <f t="shared" si="36"/>
        <v>43679</v>
      </c>
      <c r="L52" s="192">
        <f t="shared" si="36"/>
        <v>43711</v>
      </c>
      <c r="M52" s="192">
        <f t="shared" si="36"/>
        <v>43740</v>
      </c>
      <c r="N52" s="192">
        <f t="shared" si="36"/>
        <v>43773</v>
      </c>
      <c r="O52" s="192">
        <f t="shared" si="36"/>
        <v>43802</v>
      </c>
      <c r="P52" s="192">
        <f t="shared" si="36"/>
        <v>43832</v>
      </c>
    </row>
    <row r="53" spans="1:16" ht="16.5" thickBot="1" x14ac:dyDescent="0.35">
      <c r="A53" s="266" t="s">
        <v>219</v>
      </c>
      <c r="B53" s="253" t="s">
        <v>218</v>
      </c>
      <c r="C53" s="212" t="s">
        <v>113</v>
      </c>
      <c r="D53" s="214" t="s">
        <v>217</v>
      </c>
      <c r="E53" s="200">
        <f t="shared" ref="E53:P53" si="37">WORKDAY(E24,2,z_feriés)</f>
        <v>43502</v>
      </c>
      <c r="F53" s="200">
        <f t="shared" si="37"/>
        <v>43529</v>
      </c>
      <c r="G53" s="200">
        <f t="shared" si="37"/>
        <v>43558</v>
      </c>
      <c r="H53" s="200">
        <f t="shared" si="37"/>
        <v>43588</v>
      </c>
      <c r="I53" s="200">
        <f t="shared" si="37"/>
        <v>43620</v>
      </c>
      <c r="J53" s="200">
        <f t="shared" si="37"/>
        <v>43649</v>
      </c>
      <c r="K53" s="200">
        <f t="shared" si="37"/>
        <v>43682</v>
      </c>
      <c r="L53" s="200">
        <f t="shared" si="37"/>
        <v>43712</v>
      </c>
      <c r="M53" s="200">
        <f t="shared" si="37"/>
        <v>43741</v>
      </c>
      <c r="N53" s="200">
        <f t="shared" si="37"/>
        <v>43774</v>
      </c>
      <c r="O53" s="200">
        <f t="shared" si="37"/>
        <v>43803</v>
      </c>
      <c r="P53" s="200">
        <f t="shared" si="37"/>
        <v>43833</v>
      </c>
    </row>
    <row r="54" spans="1:16" ht="16.5" thickBot="1" x14ac:dyDescent="0.35">
      <c r="A54" s="266" t="s">
        <v>216</v>
      </c>
      <c r="B54" s="253" t="s">
        <v>215</v>
      </c>
      <c r="C54" s="212" t="s">
        <v>113</v>
      </c>
      <c r="D54" s="213" t="s">
        <v>214</v>
      </c>
      <c r="E54" s="197">
        <f t="shared" ref="E54:P54" si="38">WORKDAY(EOMONTH(DATE($C$2,E2,1),0),3,Feries_DK)</f>
        <v>43501</v>
      </c>
      <c r="F54" s="197">
        <f t="shared" si="38"/>
        <v>43529</v>
      </c>
      <c r="G54" s="197">
        <f t="shared" si="38"/>
        <v>43558</v>
      </c>
      <c r="H54" s="197">
        <f t="shared" si="38"/>
        <v>43588</v>
      </c>
      <c r="I54" s="197">
        <f t="shared" si="38"/>
        <v>43622</v>
      </c>
      <c r="J54" s="197">
        <f t="shared" si="38"/>
        <v>43649</v>
      </c>
      <c r="K54" s="197">
        <f t="shared" si="38"/>
        <v>43682</v>
      </c>
      <c r="L54" s="197">
        <f t="shared" si="38"/>
        <v>43712</v>
      </c>
      <c r="M54" s="197">
        <f t="shared" si="38"/>
        <v>43741</v>
      </c>
      <c r="N54" s="197">
        <f t="shared" si="38"/>
        <v>43774</v>
      </c>
      <c r="O54" s="197">
        <f t="shared" si="38"/>
        <v>43803</v>
      </c>
      <c r="P54" s="197">
        <f t="shared" si="38"/>
        <v>43836</v>
      </c>
    </row>
    <row r="55" spans="1:16" ht="16.5" thickBot="1" x14ac:dyDescent="0.35">
      <c r="A55" s="266"/>
      <c r="B55" s="262" t="s">
        <v>213</v>
      </c>
      <c r="C55" s="212" t="s">
        <v>113</v>
      </c>
      <c r="D55" s="213" t="s">
        <v>212</v>
      </c>
      <c r="E55" s="197">
        <f t="shared" ref="E55:P55" si="39">E48</f>
        <v>43495</v>
      </c>
      <c r="F55" s="197">
        <f t="shared" si="39"/>
        <v>43523</v>
      </c>
      <c r="G55" s="197">
        <f t="shared" si="39"/>
        <v>43552</v>
      </c>
      <c r="H55" s="197">
        <f t="shared" si="39"/>
        <v>43584</v>
      </c>
      <c r="I55" s="197">
        <f t="shared" si="39"/>
        <v>43614</v>
      </c>
      <c r="J55" s="197">
        <f t="shared" si="39"/>
        <v>43643</v>
      </c>
      <c r="K55" s="197">
        <f t="shared" si="39"/>
        <v>43676</v>
      </c>
      <c r="L55" s="197">
        <f t="shared" si="39"/>
        <v>43706</v>
      </c>
      <c r="M55" s="197">
        <f t="shared" si="39"/>
        <v>43735</v>
      </c>
      <c r="N55" s="197">
        <f t="shared" si="39"/>
        <v>43768</v>
      </c>
      <c r="O55" s="197">
        <f t="shared" si="39"/>
        <v>43797</v>
      </c>
      <c r="P55" s="197">
        <f t="shared" si="39"/>
        <v>43829</v>
      </c>
    </row>
    <row r="56" spans="1:16" ht="16.5" thickBot="1" x14ac:dyDescent="0.35">
      <c r="A56" s="266"/>
      <c r="B56" s="262" t="s">
        <v>211</v>
      </c>
      <c r="C56" s="212" t="s">
        <v>113</v>
      </c>
      <c r="D56" s="213" t="s">
        <v>210</v>
      </c>
      <c r="E56" s="197">
        <f t="shared" ref="E56:P56" si="40">WORKDAY(E48,1,z_feriés)</f>
        <v>43496</v>
      </c>
      <c r="F56" s="197">
        <f t="shared" si="40"/>
        <v>43524</v>
      </c>
      <c r="G56" s="197">
        <f t="shared" si="40"/>
        <v>43553</v>
      </c>
      <c r="H56" s="197">
        <f t="shared" si="40"/>
        <v>43585</v>
      </c>
      <c r="I56" s="197">
        <f t="shared" si="40"/>
        <v>43616</v>
      </c>
      <c r="J56" s="197">
        <f t="shared" si="40"/>
        <v>43644</v>
      </c>
      <c r="K56" s="197">
        <f t="shared" si="40"/>
        <v>43677</v>
      </c>
      <c r="L56" s="197">
        <f t="shared" si="40"/>
        <v>43707</v>
      </c>
      <c r="M56" s="197">
        <f t="shared" si="40"/>
        <v>43738</v>
      </c>
      <c r="N56" s="197">
        <f t="shared" si="40"/>
        <v>43769</v>
      </c>
      <c r="O56" s="197">
        <f t="shared" si="40"/>
        <v>43798</v>
      </c>
      <c r="P56" s="197">
        <f t="shared" si="40"/>
        <v>43830</v>
      </c>
    </row>
    <row r="57" spans="1:16" ht="16.5" thickBot="1" x14ac:dyDescent="0.35">
      <c r="A57" s="266" t="s">
        <v>149</v>
      </c>
      <c r="B57" s="262" t="s">
        <v>209</v>
      </c>
      <c r="C57" s="212" t="s">
        <v>113</v>
      </c>
      <c r="D57" s="213" t="s">
        <v>208</v>
      </c>
      <c r="E57" s="197">
        <f t="shared" ref="E57:P57" si="41">WORKDAY(DATE($C$2,E2 +1,1),-3,z_feriés)</f>
        <v>43494</v>
      </c>
      <c r="F57" s="197">
        <f t="shared" si="41"/>
        <v>43522</v>
      </c>
      <c r="G57" s="197">
        <f t="shared" si="41"/>
        <v>43551</v>
      </c>
      <c r="H57" s="197">
        <f t="shared" si="41"/>
        <v>43581</v>
      </c>
      <c r="I57" s="197">
        <f t="shared" si="41"/>
        <v>43613</v>
      </c>
      <c r="J57" s="197">
        <f t="shared" si="41"/>
        <v>43642</v>
      </c>
      <c r="K57" s="197">
        <f t="shared" si="41"/>
        <v>43675</v>
      </c>
      <c r="L57" s="197">
        <f t="shared" si="41"/>
        <v>43705</v>
      </c>
      <c r="M57" s="197">
        <f t="shared" si="41"/>
        <v>43734</v>
      </c>
      <c r="N57" s="197">
        <f t="shared" si="41"/>
        <v>43767</v>
      </c>
      <c r="O57" s="197">
        <f t="shared" si="41"/>
        <v>43796</v>
      </c>
      <c r="P57" s="197">
        <f t="shared" si="41"/>
        <v>43826</v>
      </c>
    </row>
    <row r="58" spans="1:16" ht="16.5" hidden="1" thickBot="1" x14ac:dyDescent="0.35">
      <c r="A58" s="266"/>
      <c r="B58" s="262" t="s">
        <v>207</v>
      </c>
      <c r="C58" s="212" t="s">
        <v>113</v>
      </c>
      <c r="D58" s="211" t="s">
        <v>112</v>
      </c>
      <c r="E58" s="203"/>
      <c r="F58" s="203"/>
      <c r="G58" s="203"/>
      <c r="H58" s="203"/>
      <c r="I58" s="203"/>
      <c r="J58" s="203"/>
      <c r="K58" s="203"/>
      <c r="L58" s="203"/>
      <c r="M58" s="203"/>
      <c r="N58" s="203"/>
      <c r="O58" s="203"/>
      <c r="P58" s="203"/>
    </row>
    <row r="59" spans="1:16" ht="16.5" hidden="1" thickBot="1" x14ac:dyDescent="0.35">
      <c r="A59" s="266"/>
      <c r="B59" s="262" t="s">
        <v>206</v>
      </c>
      <c r="C59" s="212" t="s">
        <v>113</v>
      </c>
      <c r="D59" s="211" t="s">
        <v>112</v>
      </c>
      <c r="E59" s="203"/>
      <c r="F59" s="203"/>
      <c r="G59" s="203"/>
      <c r="H59" s="203"/>
      <c r="I59" s="203"/>
      <c r="J59" s="203"/>
      <c r="K59" s="203"/>
      <c r="L59" s="203"/>
      <c r="M59" s="203"/>
      <c r="N59" s="203"/>
      <c r="O59" s="203"/>
      <c r="P59" s="203"/>
    </row>
    <row r="60" spans="1:16" ht="16.5" hidden="1" thickBot="1" x14ac:dyDescent="0.35">
      <c r="A60" s="266"/>
      <c r="B60" s="262" t="s">
        <v>205</v>
      </c>
      <c r="C60" s="212" t="s">
        <v>113</v>
      </c>
      <c r="D60" s="211" t="s">
        <v>112</v>
      </c>
      <c r="E60" s="203"/>
      <c r="F60" s="203"/>
      <c r="G60" s="203"/>
      <c r="H60" s="203"/>
      <c r="I60" s="203"/>
      <c r="J60" s="203"/>
      <c r="K60" s="203"/>
      <c r="L60" s="203"/>
      <c r="M60" s="203"/>
      <c r="N60" s="203"/>
      <c r="O60" s="203"/>
      <c r="P60" s="203"/>
    </row>
    <row r="61" spans="1:16" ht="16.5" thickBot="1" x14ac:dyDescent="0.35">
      <c r="A61" s="266"/>
      <c r="B61" s="191"/>
      <c r="C61" s="191"/>
      <c r="D61" s="191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5"/>
    </row>
    <row r="62" spans="1:16" ht="16.5" thickBot="1" x14ac:dyDescent="0.35">
      <c r="A62" s="266"/>
      <c r="B62" s="253" t="s">
        <v>204</v>
      </c>
      <c r="C62" s="207" t="s">
        <v>187</v>
      </c>
      <c r="D62" s="210" t="s">
        <v>203</v>
      </c>
      <c r="E62" s="192">
        <f t="shared" ref="E62:P62" si="42">WORKDAY(EOMONTH(DATE($C$2,E2,1),0),4,Feries_DK)</f>
        <v>43502</v>
      </c>
      <c r="F62" s="192">
        <f t="shared" si="42"/>
        <v>43530</v>
      </c>
      <c r="G62" s="192">
        <f t="shared" si="42"/>
        <v>43559</v>
      </c>
      <c r="H62" s="192">
        <f t="shared" si="42"/>
        <v>43591</v>
      </c>
      <c r="I62" s="192">
        <f t="shared" si="42"/>
        <v>43623</v>
      </c>
      <c r="J62" s="192">
        <f t="shared" si="42"/>
        <v>43650</v>
      </c>
      <c r="K62" s="192">
        <f t="shared" si="42"/>
        <v>43683</v>
      </c>
      <c r="L62" s="192">
        <f t="shared" si="42"/>
        <v>43713</v>
      </c>
      <c r="M62" s="192">
        <f t="shared" si="42"/>
        <v>43742</v>
      </c>
      <c r="N62" s="192">
        <f t="shared" si="42"/>
        <v>43775</v>
      </c>
      <c r="O62" s="192">
        <f t="shared" si="42"/>
        <v>43804</v>
      </c>
      <c r="P62" s="192">
        <f t="shared" si="42"/>
        <v>43837</v>
      </c>
    </row>
    <row r="63" spans="1:16" ht="16.5" thickBot="1" x14ac:dyDescent="0.35">
      <c r="A63" s="266"/>
      <c r="B63" s="252" t="s">
        <v>202</v>
      </c>
      <c r="C63" s="207" t="s">
        <v>187</v>
      </c>
      <c r="D63" s="208" t="s">
        <v>201</v>
      </c>
      <c r="E63" s="209"/>
      <c r="F63" s="209"/>
      <c r="G63" s="209"/>
      <c r="H63" s="209"/>
      <c r="I63" s="209"/>
      <c r="J63" s="209"/>
      <c r="K63" s="209"/>
      <c r="L63" s="209"/>
      <c r="M63" s="209"/>
      <c r="N63" s="209"/>
      <c r="O63" s="209"/>
      <c r="P63" s="209"/>
    </row>
    <row r="64" spans="1:16" ht="16.5" hidden="1" thickBot="1" x14ac:dyDescent="0.35">
      <c r="A64" s="266"/>
      <c r="B64" s="252" t="s">
        <v>200</v>
      </c>
      <c r="C64" s="207" t="s">
        <v>187</v>
      </c>
      <c r="D64" s="208"/>
      <c r="E64" s="192"/>
      <c r="F64" s="204"/>
      <c r="G64" s="192"/>
      <c r="H64" s="192"/>
      <c r="I64" s="192"/>
      <c r="J64" s="192"/>
      <c r="K64" s="192"/>
      <c r="L64" s="192"/>
      <c r="M64" s="192"/>
      <c r="N64" s="192"/>
      <c r="O64" s="192"/>
      <c r="P64" s="192"/>
    </row>
    <row r="65" spans="1:20" ht="16.5" hidden="1" thickBot="1" x14ac:dyDescent="0.35">
      <c r="A65" s="266"/>
      <c r="B65" s="252" t="s">
        <v>199</v>
      </c>
      <c r="C65" s="207" t="s">
        <v>187</v>
      </c>
      <c r="D65" s="208"/>
      <c r="E65" s="192"/>
      <c r="F65" s="204"/>
      <c r="G65" s="192"/>
      <c r="H65" s="192"/>
      <c r="I65" s="192"/>
      <c r="J65" s="192"/>
      <c r="K65" s="192"/>
      <c r="L65" s="192"/>
      <c r="M65" s="192"/>
      <c r="N65" s="192"/>
      <c r="O65" s="192"/>
      <c r="P65" s="192"/>
    </row>
    <row r="66" spans="1:20" ht="16.5" thickBot="1" x14ac:dyDescent="0.35">
      <c r="A66" s="266"/>
      <c r="B66" s="252" t="s">
        <v>198</v>
      </c>
      <c r="C66" s="207" t="s">
        <v>187</v>
      </c>
      <c r="D66" s="208" t="s">
        <v>197</v>
      </c>
      <c r="E66" s="192">
        <f t="shared" ref="E66:P66" si="43">WORKDAY(EOMONTH(DATE($C$2,E2,1),0)+1,-1,z_feriés)</f>
        <v>43496</v>
      </c>
      <c r="F66" s="192">
        <f t="shared" si="43"/>
        <v>43524</v>
      </c>
      <c r="G66" s="192">
        <f t="shared" si="43"/>
        <v>43553</v>
      </c>
      <c r="H66" s="192">
        <f t="shared" si="43"/>
        <v>43585</v>
      </c>
      <c r="I66" s="192">
        <f t="shared" si="43"/>
        <v>43616</v>
      </c>
      <c r="J66" s="192">
        <f t="shared" si="43"/>
        <v>43644</v>
      </c>
      <c r="K66" s="192">
        <f t="shared" si="43"/>
        <v>43677</v>
      </c>
      <c r="L66" s="192">
        <f t="shared" si="43"/>
        <v>43707</v>
      </c>
      <c r="M66" s="192">
        <f t="shared" si="43"/>
        <v>43738</v>
      </c>
      <c r="N66" s="192">
        <f t="shared" si="43"/>
        <v>43769</v>
      </c>
      <c r="O66" s="192">
        <f t="shared" si="43"/>
        <v>43798</v>
      </c>
      <c r="P66" s="192">
        <f t="shared" si="43"/>
        <v>43830</v>
      </c>
    </row>
    <row r="67" spans="1:20" ht="16.5" thickBot="1" x14ac:dyDescent="0.35">
      <c r="A67" s="266"/>
      <c r="B67" s="255" t="s">
        <v>196</v>
      </c>
      <c r="C67" s="207" t="s">
        <v>187</v>
      </c>
      <c r="D67" s="208" t="s">
        <v>195</v>
      </c>
      <c r="E67" s="192">
        <f t="shared" ref="E67:P67" si="44">WORKDAY(EOMONTH(DATE($C$2,E2,1),0)+1,-1,z_feriés)</f>
        <v>43496</v>
      </c>
      <c r="F67" s="192">
        <f t="shared" si="44"/>
        <v>43524</v>
      </c>
      <c r="G67" s="192">
        <f t="shared" si="44"/>
        <v>43553</v>
      </c>
      <c r="H67" s="192">
        <f t="shared" si="44"/>
        <v>43585</v>
      </c>
      <c r="I67" s="192">
        <f t="shared" si="44"/>
        <v>43616</v>
      </c>
      <c r="J67" s="192">
        <f t="shared" si="44"/>
        <v>43644</v>
      </c>
      <c r="K67" s="192">
        <f t="shared" si="44"/>
        <v>43677</v>
      </c>
      <c r="L67" s="192">
        <f t="shared" si="44"/>
        <v>43707</v>
      </c>
      <c r="M67" s="192">
        <f t="shared" si="44"/>
        <v>43738</v>
      </c>
      <c r="N67" s="192">
        <f t="shared" si="44"/>
        <v>43769</v>
      </c>
      <c r="O67" s="192">
        <f t="shared" si="44"/>
        <v>43798</v>
      </c>
      <c r="P67" s="192">
        <f t="shared" si="44"/>
        <v>43830</v>
      </c>
    </row>
    <row r="68" spans="1:20" ht="16.5" thickBot="1" x14ac:dyDescent="0.35">
      <c r="A68" s="266"/>
      <c r="B68" s="255" t="s">
        <v>194</v>
      </c>
      <c r="C68" s="207" t="s">
        <v>187</v>
      </c>
      <c r="D68" s="208" t="s">
        <v>190</v>
      </c>
      <c r="E68" s="192">
        <f t="shared" ref="E68:P68" si="45">WORKDAY(DATE($C$2,E2 +1,1)-1,2,z_feriés)</f>
        <v>43500</v>
      </c>
      <c r="F68" s="192">
        <f t="shared" si="45"/>
        <v>43528</v>
      </c>
      <c r="G68" s="192">
        <f t="shared" si="45"/>
        <v>43557</v>
      </c>
      <c r="H68" s="192">
        <f t="shared" si="45"/>
        <v>43588</v>
      </c>
      <c r="I68" s="192">
        <f t="shared" si="45"/>
        <v>43620</v>
      </c>
      <c r="J68" s="192">
        <f t="shared" si="45"/>
        <v>43648</v>
      </c>
      <c r="K68" s="192">
        <f t="shared" si="45"/>
        <v>43679</v>
      </c>
      <c r="L68" s="192">
        <f t="shared" si="45"/>
        <v>43711</v>
      </c>
      <c r="M68" s="192">
        <f t="shared" si="45"/>
        <v>43740</v>
      </c>
      <c r="N68" s="192">
        <f t="shared" si="45"/>
        <v>43774</v>
      </c>
      <c r="O68" s="192">
        <f t="shared" si="45"/>
        <v>43802</v>
      </c>
      <c r="P68" s="192">
        <f t="shared" si="45"/>
        <v>43833</v>
      </c>
    </row>
    <row r="69" spans="1:20" ht="16.5" thickBot="1" x14ac:dyDescent="0.35">
      <c r="A69" s="266"/>
      <c r="B69" s="255" t="s">
        <v>193</v>
      </c>
      <c r="C69" s="207" t="s">
        <v>187</v>
      </c>
      <c r="D69" s="208" t="s">
        <v>190</v>
      </c>
      <c r="E69" s="192">
        <f t="shared" ref="E69:P69" si="46">WORKDAY(DATE($C$2,E2 +1,1)-1,2,z_feriés)</f>
        <v>43500</v>
      </c>
      <c r="F69" s="192">
        <f t="shared" si="46"/>
        <v>43528</v>
      </c>
      <c r="G69" s="192">
        <f t="shared" si="46"/>
        <v>43557</v>
      </c>
      <c r="H69" s="192">
        <f t="shared" si="46"/>
        <v>43588</v>
      </c>
      <c r="I69" s="192">
        <f t="shared" si="46"/>
        <v>43620</v>
      </c>
      <c r="J69" s="192">
        <f t="shared" si="46"/>
        <v>43648</v>
      </c>
      <c r="K69" s="192">
        <f t="shared" si="46"/>
        <v>43679</v>
      </c>
      <c r="L69" s="192">
        <f t="shared" si="46"/>
        <v>43711</v>
      </c>
      <c r="M69" s="192">
        <f t="shared" si="46"/>
        <v>43740</v>
      </c>
      <c r="N69" s="192">
        <f t="shared" si="46"/>
        <v>43774</v>
      </c>
      <c r="O69" s="192">
        <f t="shared" si="46"/>
        <v>43802</v>
      </c>
      <c r="P69" s="192">
        <f t="shared" si="46"/>
        <v>43833</v>
      </c>
    </row>
    <row r="70" spans="1:20" ht="16.5" thickBot="1" x14ac:dyDescent="0.35">
      <c r="A70" s="266"/>
      <c r="B70" s="253" t="s">
        <v>192</v>
      </c>
      <c r="C70" s="207" t="s">
        <v>187</v>
      </c>
      <c r="D70" s="208" t="s">
        <v>190</v>
      </c>
      <c r="E70" s="192">
        <f t="shared" ref="E70:P70" si="47">WORKDAY(DATE($C$2,E2 +1,1)-1,2,z_feriés)</f>
        <v>43500</v>
      </c>
      <c r="F70" s="192">
        <f t="shared" si="47"/>
        <v>43528</v>
      </c>
      <c r="G70" s="192">
        <f t="shared" si="47"/>
        <v>43557</v>
      </c>
      <c r="H70" s="192">
        <f t="shared" si="47"/>
        <v>43588</v>
      </c>
      <c r="I70" s="192">
        <f t="shared" si="47"/>
        <v>43620</v>
      </c>
      <c r="J70" s="192">
        <f t="shared" si="47"/>
        <v>43648</v>
      </c>
      <c r="K70" s="192">
        <f t="shared" si="47"/>
        <v>43679</v>
      </c>
      <c r="L70" s="192">
        <f t="shared" si="47"/>
        <v>43711</v>
      </c>
      <c r="M70" s="192">
        <f t="shared" si="47"/>
        <v>43740</v>
      </c>
      <c r="N70" s="192">
        <f t="shared" si="47"/>
        <v>43774</v>
      </c>
      <c r="O70" s="192">
        <f t="shared" si="47"/>
        <v>43802</v>
      </c>
      <c r="P70" s="192">
        <f t="shared" si="47"/>
        <v>43833</v>
      </c>
    </row>
    <row r="71" spans="1:20" ht="16.5" thickBot="1" x14ac:dyDescent="0.35">
      <c r="A71" s="266"/>
      <c r="B71" s="252" t="s">
        <v>191</v>
      </c>
      <c r="C71" s="207" t="s">
        <v>187</v>
      </c>
      <c r="D71" s="208" t="s">
        <v>190</v>
      </c>
      <c r="E71" s="192">
        <f t="shared" ref="E71:P71" si="48">WORKDAY(DATE($C$2,E2 +1,1)-1,2,z_feriés)</f>
        <v>43500</v>
      </c>
      <c r="F71" s="192">
        <f t="shared" si="48"/>
        <v>43528</v>
      </c>
      <c r="G71" s="192">
        <f t="shared" si="48"/>
        <v>43557</v>
      </c>
      <c r="H71" s="192">
        <f t="shared" si="48"/>
        <v>43588</v>
      </c>
      <c r="I71" s="192">
        <f t="shared" si="48"/>
        <v>43620</v>
      </c>
      <c r="J71" s="192">
        <f t="shared" si="48"/>
        <v>43648</v>
      </c>
      <c r="K71" s="192">
        <f t="shared" si="48"/>
        <v>43679</v>
      </c>
      <c r="L71" s="192">
        <f t="shared" si="48"/>
        <v>43711</v>
      </c>
      <c r="M71" s="192">
        <f t="shared" si="48"/>
        <v>43740</v>
      </c>
      <c r="N71" s="192">
        <f t="shared" si="48"/>
        <v>43774</v>
      </c>
      <c r="O71" s="192">
        <f t="shared" si="48"/>
        <v>43802</v>
      </c>
      <c r="P71" s="192">
        <f t="shared" si="48"/>
        <v>43833</v>
      </c>
      <c r="Q71" s="192"/>
      <c r="R71" s="192"/>
      <c r="S71" s="192"/>
      <c r="T71" s="192"/>
    </row>
    <row r="72" spans="1:20" ht="16.5" hidden="1" thickBot="1" x14ac:dyDescent="0.35">
      <c r="A72" s="266"/>
      <c r="B72" s="263" t="s">
        <v>189</v>
      </c>
      <c r="C72" s="207" t="s">
        <v>187</v>
      </c>
      <c r="D72" s="205"/>
      <c r="E72" s="206"/>
      <c r="F72" s="205"/>
      <c r="G72" s="205"/>
      <c r="H72" s="205"/>
      <c r="I72" s="205"/>
      <c r="J72" s="205"/>
      <c r="K72" s="205"/>
      <c r="L72" s="205"/>
      <c r="M72" s="205"/>
      <c r="N72" s="205"/>
      <c r="O72" s="205"/>
      <c r="P72" s="204"/>
      <c r="Q72" s="203"/>
      <c r="R72" s="203"/>
      <c r="S72" s="203"/>
      <c r="T72" s="203"/>
    </row>
    <row r="73" spans="1:20" ht="16.5" hidden="1" thickBot="1" x14ac:dyDescent="0.35">
      <c r="A73" s="266"/>
      <c r="B73" s="263" t="s">
        <v>188</v>
      </c>
      <c r="C73" s="207" t="s">
        <v>187</v>
      </c>
      <c r="D73" s="205"/>
      <c r="E73" s="206"/>
      <c r="F73" s="205"/>
      <c r="G73" s="205"/>
      <c r="H73" s="205"/>
      <c r="I73" s="205"/>
      <c r="J73" s="205"/>
      <c r="K73" s="205"/>
      <c r="L73" s="205"/>
      <c r="M73" s="205"/>
      <c r="N73" s="205"/>
      <c r="O73" s="205"/>
      <c r="P73" s="204"/>
      <c r="Q73" s="203"/>
      <c r="R73" s="203"/>
      <c r="S73" s="203"/>
      <c r="T73" s="203"/>
    </row>
    <row r="74" spans="1:20" ht="16.5" thickBot="1" x14ac:dyDescent="0.35">
      <c r="A74" s="266"/>
      <c r="B74" s="191"/>
      <c r="C74" s="191"/>
      <c r="D74" s="191"/>
      <c r="E74" s="196"/>
      <c r="F74" s="191"/>
      <c r="G74" s="191"/>
      <c r="H74" s="191"/>
      <c r="I74" s="191"/>
      <c r="J74" s="191"/>
      <c r="K74" s="191"/>
      <c r="L74" s="191"/>
      <c r="M74" s="191"/>
      <c r="N74" s="191"/>
      <c r="O74" s="191"/>
      <c r="P74" s="190"/>
    </row>
    <row r="75" spans="1:20" ht="16.5" thickBot="1" x14ac:dyDescent="0.35">
      <c r="A75" s="266"/>
      <c r="B75" s="264" t="s">
        <v>186</v>
      </c>
      <c r="C75" s="202" t="s">
        <v>179</v>
      </c>
      <c r="D75" s="201" t="s">
        <v>185</v>
      </c>
      <c r="E75" s="201">
        <f>WORKDAY(E78,-1,Feries_DK)</f>
        <v>43500</v>
      </c>
      <c r="F75" s="201">
        <f>WORKDAY(F78,-1,Feries_DK)</f>
        <v>43528</v>
      </c>
      <c r="G75" s="201">
        <f>WORKDAY(G78,-1,Feries_DK)</f>
        <v>43557</v>
      </c>
      <c r="H75" s="201">
        <f>WORKDAY(H78,-1,Feries_DK)</f>
        <v>43587</v>
      </c>
      <c r="I75" s="201">
        <f>WORKDAY(I78,-1,Feries_DK)</f>
        <v>43620</v>
      </c>
      <c r="J75" s="201">
        <f t="shared" ref="J75:P75" si="49">WORKDAY(J78,-1,z_feriés)</f>
        <v>43648</v>
      </c>
      <c r="K75" s="201">
        <f t="shared" si="49"/>
        <v>43679</v>
      </c>
      <c r="L75" s="201">
        <f t="shared" si="49"/>
        <v>43711</v>
      </c>
      <c r="M75" s="201">
        <f t="shared" si="49"/>
        <v>43740</v>
      </c>
      <c r="N75" s="201">
        <f t="shared" si="49"/>
        <v>43773</v>
      </c>
      <c r="O75" s="201">
        <f t="shared" si="49"/>
        <v>43802</v>
      </c>
      <c r="P75" s="201">
        <f t="shared" si="49"/>
        <v>43833</v>
      </c>
    </row>
    <row r="76" spans="1:20" ht="16.5" thickBot="1" x14ac:dyDescent="0.35">
      <c r="A76" s="266" t="s">
        <v>151</v>
      </c>
      <c r="B76" s="253" t="s">
        <v>184</v>
      </c>
      <c r="C76" s="199" t="s">
        <v>179</v>
      </c>
      <c r="D76" s="201" t="s">
        <v>183</v>
      </c>
      <c r="E76" s="200">
        <f t="shared" ref="E76:P77" si="50">E77</f>
        <v>43501</v>
      </c>
      <c r="F76" s="200">
        <f t="shared" si="50"/>
        <v>43529</v>
      </c>
      <c r="G76" s="200">
        <f t="shared" si="50"/>
        <v>43558</v>
      </c>
      <c r="H76" s="200">
        <f t="shared" si="50"/>
        <v>43588</v>
      </c>
      <c r="I76" s="200">
        <f t="shared" si="50"/>
        <v>43622</v>
      </c>
      <c r="J76" s="200">
        <f t="shared" si="50"/>
        <v>43649</v>
      </c>
      <c r="K76" s="200">
        <f t="shared" si="50"/>
        <v>43682</v>
      </c>
      <c r="L76" s="200">
        <f t="shared" si="50"/>
        <v>43712</v>
      </c>
      <c r="M76" s="200">
        <f t="shared" si="50"/>
        <v>43741</v>
      </c>
      <c r="N76" s="200">
        <f t="shared" si="50"/>
        <v>43774</v>
      </c>
      <c r="O76" s="200">
        <f t="shared" si="50"/>
        <v>43803</v>
      </c>
      <c r="P76" s="200">
        <f t="shared" si="50"/>
        <v>43836</v>
      </c>
    </row>
    <row r="77" spans="1:20" ht="16.5" thickBot="1" x14ac:dyDescent="0.35">
      <c r="A77" s="266"/>
      <c r="B77" s="253" t="s">
        <v>182</v>
      </c>
      <c r="C77" s="199" t="s">
        <v>179</v>
      </c>
      <c r="D77" s="201" t="s">
        <v>181</v>
      </c>
      <c r="E77" s="200">
        <f t="shared" si="50"/>
        <v>43501</v>
      </c>
      <c r="F77" s="200">
        <f t="shared" si="50"/>
        <v>43529</v>
      </c>
      <c r="G77" s="200">
        <f t="shared" si="50"/>
        <v>43558</v>
      </c>
      <c r="H77" s="200">
        <f t="shared" si="50"/>
        <v>43588</v>
      </c>
      <c r="I77" s="200">
        <f t="shared" si="50"/>
        <v>43622</v>
      </c>
      <c r="J77" s="200">
        <f t="shared" si="50"/>
        <v>43649</v>
      </c>
      <c r="K77" s="200">
        <f t="shared" si="50"/>
        <v>43682</v>
      </c>
      <c r="L77" s="200">
        <f t="shared" si="50"/>
        <v>43712</v>
      </c>
      <c r="M77" s="200">
        <f t="shared" si="50"/>
        <v>43741</v>
      </c>
      <c r="N77" s="200">
        <f t="shared" si="50"/>
        <v>43774</v>
      </c>
      <c r="O77" s="200">
        <f t="shared" si="50"/>
        <v>43803</v>
      </c>
      <c r="P77" s="200">
        <f t="shared" si="50"/>
        <v>43836</v>
      </c>
    </row>
    <row r="78" spans="1:20" ht="16.5" thickBot="1" x14ac:dyDescent="0.35">
      <c r="A78" s="266" t="s">
        <v>141</v>
      </c>
      <c r="B78" s="253" t="s">
        <v>180</v>
      </c>
      <c r="C78" s="199" t="s">
        <v>179</v>
      </c>
      <c r="D78" s="198" t="s">
        <v>178</v>
      </c>
      <c r="E78" s="197">
        <f t="shared" ref="E78:P78" si="51">WORKDAY(EOMONTH(DATE($C$2,E2,1),0),3,Feries_DK)</f>
        <v>43501</v>
      </c>
      <c r="F78" s="197">
        <f t="shared" si="51"/>
        <v>43529</v>
      </c>
      <c r="G78" s="197">
        <f t="shared" si="51"/>
        <v>43558</v>
      </c>
      <c r="H78" s="197">
        <f t="shared" si="51"/>
        <v>43588</v>
      </c>
      <c r="I78" s="197">
        <f t="shared" si="51"/>
        <v>43622</v>
      </c>
      <c r="J78" s="197">
        <f t="shared" si="51"/>
        <v>43649</v>
      </c>
      <c r="K78" s="197">
        <f t="shared" si="51"/>
        <v>43682</v>
      </c>
      <c r="L78" s="197">
        <f t="shared" si="51"/>
        <v>43712</v>
      </c>
      <c r="M78" s="197">
        <f t="shared" si="51"/>
        <v>43741</v>
      </c>
      <c r="N78" s="197">
        <f t="shared" si="51"/>
        <v>43774</v>
      </c>
      <c r="O78" s="197">
        <f t="shared" si="51"/>
        <v>43803</v>
      </c>
      <c r="P78" s="197">
        <f t="shared" si="51"/>
        <v>43836</v>
      </c>
    </row>
    <row r="79" spans="1:20" ht="16.5" thickBot="1" x14ac:dyDescent="0.35">
      <c r="A79" s="266"/>
      <c r="B79" s="191"/>
      <c r="C79" s="191"/>
      <c r="D79" s="191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5"/>
    </row>
    <row r="80" spans="1:20" ht="16.5" thickBot="1" x14ac:dyDescent="0.35">
      <c r="A80" s="266"/>
      <c r="B80" s="253" t="s">
        <v>177</v>
      </c>
      <c r="C80" s="193"/>
      <c r="D80" s="192" t="s">
        <v>176</v>
      </c>
      <c r="E80" s="192">
        <f t="shared" ref="E80:P80" si="52">WORKDAY(DATE($C$2,E2,23),-1,z_feriés)</f>
        <v>43487</v>
      </c>
      <c r="F80" s="192">
        <f t="shared" si="52"/>
        <v>43518</v>
      </c>
      <c r="G80" s="192">
        <f t="shared" si="52"/>
        <v>43546</v>
      </c>
      <c r="H80" s="192">
        <f t="shared" si="52"/>
        <v>43574</v>
      </c>
      <c r="I80" s="192">
        <f t="shared" si="52"/>
        <v>43607</v>
      </c>
      <c r="J80" s="192">
        <f t="shared" si="52"/>
        <v>43637</v>
      </c>
      <c r="K80" s="192">
        <f t="shared" si="52"/>
        <v>43668</v>
      </c>
      <c r="L80" s="192">
        <f t="shared" si="52"/>
        <v>43699</v>
      </c>
      <c r="M80" s="192">
        <f t="shared" si="52"/>
        <v>43728</v>
      </c>
      <c r="N80" s="192">
        <f t="shared" si="52"/>
        <v>43760</v>
      </c>
      <c r="O80" s="192">
        <f t="shared" si="52"/>
        <v>43791</v>
      </c>
      <c r="P80" s="192">
        <f t="shared" si="52"/>
        <v>43819</v>
      </c>
    </row>
    <row r="81" spans="1:16" ht="16.5" thickBot="1" x14ac:dyDescent="0.35">
      <c r="A81" s="266" t="s">
        <v>175</v>
      </c>
      <c r="B81" s="253" t="s">
        <v>174</v>
      </c>
      <c r="C81" s="193"/>
      <c r="D81" s="192" t="s">
        <v>173</v>
      </c>
      <c r="E81" s="192">
        <f>WORKDAY(EOMONTH(DATE($C$2,E2,1),0),-3,z_feriés)</f>
        <v>43493</v>
      </c>
      <c r="F81" s="192">
        <f t="shared" ref="F81:P81" si="53">WORKDAY(DATE($C$2,F2 +1,1),-3,z_feriés)</f>
        <v>43522</v>
      </c>
      <c r="G81" s="192">
        <f t="shared" si="53"/>
        <v>43551</v>
      </c>
      <c r="H81" s="192">
        <f t="shared" si="53"/>
        <v>43581</v>
      </c>
      <c r="I81" s="192">
        <f t="shared" si="53"/>
        <v>43613</v>
      </c>
      <c r="J81" s="192">
        <f t="shared" si="53"/>
        <v>43642</v>
      </c>
      <c r="K81" s="192">
        <f t="shared" si="53"/>
        <v>43675</v>
      </c>
      <c r="L81" s="192">
        <f t="shared" si="53"/>
        <v>43705</v>
      </c>
      <c r="M81" s="192">
        <f t="shared" si="53"/>
        <v>43734</v>
      </c>
      <c r="N81" s="192">
        <f t="shared" si="53"/>
        <v>43767</v>
      </c>
      <c r="O81" s="192">
        <f t="shared" si="53"/>
        <v>43796</v>
      </c>
      <c r="P81" s="192">
        <f t="shared" si="53"/>
        <v>43826</v>
      </c>
    </row>
    <row r="82" spans="1:16" ht="16.5" thickBot="1" x14ac:dyDescent="0.35">
      <c r="A82" s="266" t="s">
        <v>172</v>
      </c>
      <c r="B82" s="253" t="s">
        <v>171</v>
      </c>
      <c r="C82" s="193"/>
      <c r="D82" s="192" t="s">
        <v>170</v>
      </c>
      <c r="E82" s="192">
        <f t="shared" ref="E82:P82" si="54">WORKDAY(DATE($C$2,E2,7),1,z_feriés)</f>
        <v>43473</v>
      </c>
      <c r="F82" s="192">
        <f t="shared" si="54"/>
        <v>43504</v>
      </c>
      <c r="G82" s="192">
        <f t="shared" si="54"/>
        <v>43532</v>
      </c>
      <c r="H82" s="192">
        <f t="shared" si="54"/>
        <v>43563</v>
      </c>
      <c r="I82" s="192">
        <f t="shared" si="54"/>
        <v>43594</v>
      </c>
      <c r="J82" s="192">
        <f t="shared" si="54"/>
        <v>43627</v>
      </c>
      <c r="K82" s="192">
        <f t="shared" si="54"/>
        <v>43654</v>
      </c>
      <c r="L82" s="192">
        <f t="shared" si="54"/>
        <v>43685</v>
      </c>
      <c r="M82" s="192">
        <f t="shared" si="54"/>
        <v>43717</v>
      </c>
      <c r="N82" s="192">
        <f t="shared" si="54"/>
        <v>43746</v>
      </c>
      <c r="O82" s="192">
        <f t="shared" si="54"/>
        <v>43777</v>
      </c>
      <c r="P82" s="192">
        <f t="shared" si="54"/>
        <v>43808</v>
      </c>
    </row>
    <row r="83" spans="1:16" ht="16.5" thickBot="1" x14ac:dyDescent="0.35">
      <c r="A83" s="266"/>
      <c r="B83" s="253" t="s">
        <v>169</v>
      </c>
      <c r="C83" s="193"/>
      <c r="D83" s="192" t="s">
        <v>168</v>
      </c>
      <c r="E83" s="192">
        <f t="shared" ref="E83:P83" si="55">WORKDAY(EOMONTH(DATE($C$2,E2,1),0),1,z_feriés)</f>
        <v>43497</v>
      </c>
      <c r="F83" s="192">
        <f t="shared" si="55"/>
        <v>43525</v>
      </c>
      <c r="G83" s="192">
        <f t="shared" si="55"/>
        <v>43556</v>
      </c>
      <c r="H83" s="192">
        <f t="shared" si="55"/>
        <v>43587</v>
      </c>
      <c r="I83" s="192">
        <f t="shared" si="55"/>
        <v>43619</v>
      </c>
      <c r="J83" s="192">
        <f t="shared" si="55"/>
        <v>43647</v>
      </c>
      <c r="K83" s="192">
        <f t="shared" si="55"/>
        <v>43678</v>
      </c>
      <c r="L83" s="192">
        <f t="shared" si="55"/>
        <v>43710</v>
      </c>
      <c r="M83" s="192">
        <f t="shared" si="55"/>
        <v>43739</v>
      </c>
      <c r="N83" s="192">
        <f t="shared" si="55"/>
        <v>43773</v>
      </c>
      <c r="O83" s="192">
        <f t="shared" si="55"/>
        <v>43801</v>
      </c>
      <c r="P83" s="192">
        <f t="shared" si="55"/>
        <v>43832</v>
      </c>
    </row>
    <row r="84" spans="1:16" ht="16.5" thickBot="1" x14ac:dyDescent="0.35">
      <c r="A84" s="266"/>
      <c r="B84" s="253" t="s">
        <v>167</v>
      </c>
      <c r="C84" s="193"/>
      <c r="D84" s="192" t="s">
        <v>166</v>
      </c>
      <c r="E84" s="192">
        <f t="shared" ref="E84:P84" si="56">WORKDAY(EOMONTH(DATE($C$2,E2,1),0),1,z_feriés)</f>
        <v>43497</v>
      </c>
      <c r="F84" s="192">
        <f t="shared" si="56"/>
        <v>43525</v>
      </c>
      <c r="G84" s="192">
        <f t="shared" si="56"/>
        <v>43556</v>
      </c>
      <c r="H84" s="192">
        <f t="shared" si="56"/>
        <v>43587</v>
      </c>
      <c r="I84" s="192">
        <f t="shared" si="56"/>
        <v>43619</v>
      </c>
      <c r="J84" s="192">
        <f t="shared" si="56"/>
        <v>43647</v>
      </c>
      <c r="K84" s="192">
        <f t="shared" si="56"/>
        <v>43678</v>
      </c>
      <c r="L84" s="192">
        <f t="shared" si="56"/>
        <v>43710</v>
      </c>
      <c r="M84" s="192">
        <f t="shared" si="56"/>
        <v>43739</v>
      </c>
      <c r="N84" s="192">
        <f t="shared" si="56"/>
        <v>43773</v>
      </c>
      <c r="O84" s="192">
        <f t="shared" si="56"/>
        <v>43801</v>
      </c>
      <c r="P84" s="192">
        <f t="shared" si="56"/>
        <v>43832</v>
      </c>
    </row>
    <row r="85" spans="1:16" ht="16.5" thickBot="1" x14ac:dyDescent="0.35">
      <c r="A85" s="266"/>
      <c r="B85" s="253" t="s">
        <v>165</v>
      </c>
      <c r="C85" s="193"/>
      <c r="D85" s="192" t="s">
        <v>164</v>
      </c>
      <c r="E85" s="194"/>
      <c r="F85" s="194"/>
      <c r="G85" s="194"/>
      <c r="H85" s="194"/>
      <c r="I85" s="194"/>
      <c r="J85" s="194"/>
      <c r="K85" s="194"/>
      <c r="L85" s="194"/>
      <c r="M85" s="194"/>
      <c r="N85" s="194"/>
      <c r="O85" s="194"/>
      <c r="P85" s="194"/>
    </row>
    <row r="86" spans="1:16" ht="16.5" thickBot="1" x14ac:dyDescent="0.35">
      <c r="A86" s="266"/>
      <c r="B86" s="253" t="s">
        <v>163</v>
      </c>
      <c r="C86" s="193"/>
      <c r="D86" s="192" t="s">
        <v>159</v>
      </c>
      <c r="E86" s="192">
        <f t="shared" ref="E86:P86" si="57">WORKDAY(DATE($C$2,E2 +1,1)-1,2,z_feriés)</f>
        <v>43500</v>
      </c>
      <c r="F86" s="192">
        <f t="shared" si="57"/>
        <v>43528</v>
      </c>
      <c r="G86" s="192">
        <f t="shared" si="57"/>
        <v>43557</v>
      </c>
      <c r="H86" s="192">
        <f t="shared" si="57"/>
        <v>43588</v>
      </c>
      <c r="I86" s="192">
        <f t="shared" si="57"/>
        <v>43620</v>
      </c>
      <c r="J86" s="192">
        <f t="shared" si="57"/>
        <v>43648</v>
      </c>
      <c r="K86" s="192">
        <f t="shared" si="57"/>
        <v>43679</v>
      </c>
      <c r="L86" s="192">
        <f t="shared" si="57"/>
        <v>43711</v>
      </c>
      <c r="M86" s="192">
        <f t="shared" si="57"/>
        <v>43740</v>
      </c>
      <c r="N86" s="192">
        <f t="shared" si="57"/>
        <v>43774</v>
      </c>
      <c r="O86" s="192">
        <f t="shared" si="57"/>
        <v>43802</v>
      </c>
      <c r="P86" s="192">
        <f t="shared" si="57"/>
        <v>43833</v>
      </c>
    </row>
    <row r="87" spans="1:16" ht="16.5" thickBot="1" x14ac:dyDescent="0.35">
      <c r="A87" s="266"/>
      <c r="B87" s="253" t="s">
        <v>162</v>
      </c>
      <c r="C87" s="193"/>
      <c r="D87" s="192" t="s">
        <v>161</v>
      </c>
      <c r="E87" s="192">
        <f t="shared" ref="E87:P87" si="58">WORKDAY(DATE($C$2,E2 +1,1)-1,3,z_feriés)</f>
        <v>43501</v>
      </c>
      <c r="F87" s="192">
        <f t="shared" si="58"/>
        <v>43529</v>
      </c>
      <c r="G87" s="192">
        <f t="shared" si="58"/>
        <v>43558</v>
      </c>
      <c r="H87" s="192">
        <f t="shared" si="58"/>
        <v>43591</v>
      </c>
      <c r="I87" s="192">
        <f t="shared" si="58"/>
        <v>43621</v>
      </c>
      <c r="J87" s="192">
        <f t="shared" si="58"/>
        <v>43649</v>
      </c>
      <c r="K87" s="192">
        <f t="shared" si="58"/>
        <v>43682</v>
      </c>
      <c r="L87" s="192">
        <f t="shared" si="58"/>
        <v>43712</v>
      </c>
      <c r="M87" s="192">
        <f t="shared" si="58"/>
        <v>43741</v>
      </c>
      <c r="N87" s="192">
        <f t="shared" si="58"/>
        <v>43775</v>
      </c>
      <c r="O87" s="192">
        <f t="shared" si="58"/>
        <v>43803</v>
      </c>
      <c r="P87" s="192">
        <f t="shared" si="58"/>
        <v>43836</v>
      </c>
    </row>
    <row r="88" spans="1:16" ht="16.5" thickBot="1" x14ac:dyDescent="0.35">
      <c r="A88" s="266"/>
      <c r="B88" s="253" t="s">
        <v>160</v>
      </c>
      <c r="C88" s="193"/>
      <c r="D88" s="200" t="s">
        <v>159</v>
      </c>
      <c r="E88" s="200">
        <f t="shared" ref="E88:P88" si="59">WORKDAY(DATE($C$2,E2 +1,1)-1,2,z_feriés)</f>
        <v>43500</v>
      </c>
      <c r="F88" s="200">
        <f t="shared" si="59"/>
        <v>43528</v>
      </c>
      <c r="G88" s="200">
        <f t="shared" si="59"/>
        <v>43557</v>
      </c>
      <c r="H88" s="200">
        <f t="shared" si="59"/>
        <v>43588</v>
      </c>
      <c r="I88" s="200">
        <f t="shared" si="59"/>
        <v>43620</v>
      </c>
      <c r="J88" s="200">
        <f t="shared" si="59"/>
        <v>43648</v>
      </c>
      <c r="K88" s="200">
        <f t="shared" si="59"/>
        <v>43679</v>
      </c>
      <c r="L88" s="200">
        <f t="shared" si="59"/>
        <v>43711</v>
      </c>
      <c r="M88" s="200">
        <f t="shared" si="59"/>
        <v>43740</v>
      </c>
      <c r="N88" s="200">
        <f t="shared" si="59"/>
        <v>43774</v>
      </c>
      <c r="O88" s="200">
        <f t="shared" si="59"/>
        <v>43802</v>
      </c>
      <c r="P88" s="200">
        <f t="shared" si="59"/>
        <v>43833</v>
      </c>
    </row>
    <row r="89" spans="1:16" ht="16.5" thickBot="1" x14ac:dyDescent="0.35">
      <c r="A89" s="267" t="s">
        <v>320</v>
      </c>
      <c r="B89" s="262" t="s">
        <v>321</v>
      </c>
      <c r="C89" s="239"/>
      <c r="D89" s="241" t="s">
        <v>322</v>
      </c>
      <c r="E89" s="240">
        <f t="shared" ref="E89:P89" si="60">WORKDAY(DATE($C$2,E2,24),1,z_feriés)</f>
        <v>43490</v>
      </c>
      <c r="F89" s="240">
        <f t="shared" si="60"/>
        <v>43521</v>
      </c>
      <c r="G89" s="240">
        <f>WORKDAY(DATE($C$2,G2,24),1,z_feriés)</f>
        <v>43549</v>
      </c>
      <c r="H89" s="240">
        <f t="shared" si="60"/>
        <v>43580</v>
      </c>
      <c r="I89" s="240">
        <f t="shared" si="60"/>
        <v>43612</v>
      </c>
      <c r="J89" s="240">
        <f t="shared" si="60"/>
        <v>43641</v>
      </c>
      <c r="K89" s="240">
        <f t="shared" si="60"/>
        <v>43671</v>
      </c>
      <c r="L89" s="240">
        <f t="shared" si="60"/>
        <v>43703</v>
      </c>
      <c r="M89" s="240">
        <f t="shared" si="60"/>
        <v>43733</v>
      </c>
      <c r="N89" s="240">
        <f t="shared" si="60"/>
        <v>43763</v>
      </c>
      <c r="O89" s="240">
        <f t="shared" si="60"/>
        <v>43794</v>
      </c>
      <c r="P89" s="240">
        <f t="shared" si="60"/>
        <v>43825</v>
      </c>
    </row>
    <row r="90" spans="1:16" ht="16.5" thickBot="1" x14ac:dyDescent="0.35">
      <c r="A90" s="266"/>
      <c r="B90" s="191"/>
      <c r="C90" s="191"/>
      <c r="D90" s="196"/>
      <c r="E90" s="196"/>
      <c r="F90" s="196"/>
      <c r="G90" s="196"/>
      <c r="H90" s="196"/>
      <c r="I90" s="196"/>
      <c r="J90" s="196"/>
      <c r="K90" s="196"/>
      <c r="L90" s="196"/>
      <c r="M90" s="196"/>
      <c r="N90" s="196"/>
      <c r="O90" s="196"/>
      <c r="P90" s="195"/>
    </row>
    <row r="94" spans="1:16" x14ac:dyDescent="0.3">
      <c r="H94" s="189"/>
    </row>
    <row r="96" spans="1:16" x14ac:dyDescent="0.3">
      <c r="E96" s="188"/>
      <c r="F96" s="188"/>
      <c r="G96" s="188"/>
      <c r="H96" s="188"/>
      <c r="I96" s="188"/>
      <c r="J96" s="188"/>
    </row>
    <row r="101" spans="11:11" x14ac:dyDescent="0.3">
      <c r="K101" s="187"/>
    </row>
    <row r="102" spans="11:11" x14ac:dyDescent="0.3">
      <c r="K102" s="187"/>
    </row>
  </sheetData>
  <pageMargins left="0.7" right="0.7" top="0.75" bottom="0.75" header="0.3" footer="0.3"/>
  <pageSetup paperSize="8" scale="6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3"/>
  <sheetViews>
    <sheetView workbookViewId="0">
      <selection sqref="A1:C25"/>
    </sheetView>
  </sheetViews>
  <sheetFormatPr baseColWidth="10" defaultRowHeight="15.75" x14ac:dyDescent="0.3"/>
  <cols>
    <col min="1" max="16384" width="12" style="186"/>
  </cols>
  <sheetData>
    <row r="1" spans="1:3" x14ac:dyDescent="0.3">
      <c r="A1" s="186" t="s">
        <v>127</v>
      </c>
      <c r="C1" s="186" t="s">
        <v>128</v>
      </c>
    </row>
    <row r="2" spans="1:3" x14ac:dyDescent="0.3">
      <c r="A2" s="231">
        <v>43466</v>
      </c>
      <c r="C2" s="231">
        <v>43466</v>
      </c>
    </row>
    <row r="3" spans="1:3" x14ac:dyDescent="0.3">
      <c r="A3" s="231">
        <v>43577</v>
      </c>
      <c r="C3" s="231">
        <v>43573</v>
      </c>
    </row>
    <row r="4" spans="1:3" x14ac:dyDescent="0.3">
      <c r="A4" s="231">
        <v>43586</v>
      </c>
      <c r="C4" s="231">
        <v>43574</v>
      </c>
    </row>
    <row r="5" spans="1:3" x14ac:dyDescent="0.3">
      <c r="A5" s="231">
        <v>43593</v>
      </c>
      <c r="C5" s="231">
        <v>43577</v>
      </c>
    </row>
    <row r="6" spans="1:3" x14ac:dyDescent="0.3">
      <c r="A6" s="231">
        <v>43615</v>
      </c>
      <c r="C6" s="231">
        <v>43615</v>
      </c>
    </row>
    <row r="7" spans="1:3" x14ac:dyDescent="0.3">
      <c r="A7" s="231">
        <v>43626</v>
      </c>
      <c r="C7" s="231">
        <v>43621</v>
      </c>
    </row>
    <row r="8" spans="1:3" x14ac:dyDescent="0.3">
      <c r="A8" s="231">
        <v>43660</v>
      </c>
      <c r="C8" s="231">
        <v>43626</v>
      </c>
    </row>
    <row r="9" spans="1:3" x14ac:dyDescent="0.3">
      <c r="A9" s="231">
        <v>43692</v>
      </c>
      <c r="C9" s="231">
        <v>43824</v>
      </c>
    </row>
    <row r="10" spans="1:3" x14ac:dyDescent="0.3">
      <c r="A10" s="231">
        <v>43770</v>
      </c>
      <c r="C10" s="231">
        <v>43825</v>
      </c>
    </row>
    <row r="11" spans="1:3" x14ac:dyDescent="0.3">
      <c r="A11" s="231">
        <v>43780</v>
      </c>
      <c r="C11" s="231">
        <v>43831</v>
      </c>
    </row>
    <row r="12" spans="1:3" x14ac:dyDescent="0.3">
      <c r="A12" s="231">
        <v>43824</v>
      </c>
      <c r="C12" s="231">
        <v>43930</v>
      </c>
    </row>
    <row r="13" spans="1:3" x14ac:dyDescent="0.3">
      <c r="A13" s="231">
        <v>43831</v>
      </c>
      <c r="C13" s="231">
        <v>43931</v>
      </c>
    </row>
    <row r="14" spans="1:3" x14ac:dyDescent="0.3">
      <c r="A14" s="231">
        <v>43934</v>
      </c>
      <c r="C14" s="231">
        <v>43933</v>
      </c>
    </row>
    <row r="15" spans="1:3" x14ac:dyDescent="0.3">
      <c r="A15" s="231">
        <v>43952</v>
      </c>
      <c r="C15" s="231">
        <v>43934</v>
      </c>
    </row>
    <row r="16" spans="1:3" x14ac:dyDescent="0.3">
      <c r="A16" s="231">
        <v>43959</v>
      </c>
      <c r="C16" s="231">
        <v>43959</v>
      </c>
    </row>
    <row r="17" spans="1:3" x14ac:dyDescent="0.3">
      <c r="A17" s="231">
        <v>43972</v>
      </c>
      <c r="C17" s="231">
        <v>43972</v>
      </c>
    </row>
    <row r="18" spans="1:3" x14ac:dyDescent="0.3">
      <c r="A18" s="231">
        <v>43983</v>
      </c>
      <c r="C18" s="232">
        <v>43983</v>
      </c>
    </row>
    <row r="19" spans="1:3" x14ac:dyDescent="0.3">
      <c r="A19" s="231">
        <v>44026</v>
      </c>
      <c r="C19" s="232">
        <v>43987</v>
      </c>
    </row>
    <row r="20" spans="1:3" x14ac:dyDescent="0.3">
      <c r="A20" s="231">
        <v>44058</v>
      </c>
      <c r="C20" s="232">
        <v>44190</v>
      </c>
    </row>
    <row r="21" spans="1:3" x14ac:dyDescent="0.3">
      <c r="A21" s="231">
        <v>44136</v>
      </c>
      <c r="C21" s="232">
        <v>44191</v>
      </c>
    </row>
    <row r="22" spans="1:3" x14ac:dyDescent="0.3">
      <c r="A22" s="231">
        <v>44146</v>
      </c>
    </row>
    <row r="23" spans="1:3" x14ac:dyDescent="0.3">
      <c r="A23" s="231">
        <v>44190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05"/>
  <sheetViews>
    <sheetView workbookViewId="0">
      <selection activeCell="C5" sqref="C5"/>
    </sheetView>
  </sheetViews>
  <sheetFormatPr baseColWidth="10" defaultRowHeight="11.25" x14ac:dyDescent="0.2"/>
  <cols>
    <col min="1" max="1" width="28.33203125" style="11" customWidth="1"/>
    <col min="2" max="2" width="58.6640625" style="23" customWidth="1"/>
  </cols>
  <sheetData>
    <row r="1" spans="1:3" x14ac:dyDescent="0.2">
      <c r="A1" s="12" t="s">
        <v>44</v>
      </c>
      <c r="B1" s="21" t="s">
        <v>45</v>
      </c>
    </row>
    <row r="2" spans="1:3" x14ac:dyDescent="0.2">
      <c r="A2" s="13" t="s">
        <v>4</v>
      </c>
      <c r="B2" s="22" t="s">
        <v>64</v>
      </c>
    </row>
    <row r="3" spans="1:3" ht="22.5" x14ac:dyDescent="0.2">
      <c r="A3" s="13" t="s">
        <v>23</v>
      </c>
      <c r="B3" s="22" t="s">
        <v>63</v>
      </c>
    </row>
    <row r="4" spans="1:3" x14ac:dyDescent="0.2">
      <c r="A4" s="14" t="s">
        <v>1</v>
      </c>
      <c r="B4" s="22" t="s">
        <v>47</v>
      </c>
    </row>
    <row r="5" spans="1:3" x14ac:dyDescent="0.2">
      <c r="A5" s="15" t="s">
        <v>66</v>
      </c>
      <c r="B5" s="22" t="s">
        <v>65</v>
      </c>
      <c r="C5" s="101"/>
    </row>
    <row r="6" spans="1:3" x14ac:dyDescent="0.2">
      <c r="A6" s="15" t="s">
        <v>67</v>
      </c>
      <c r="B6" s="22" t="s">
        <v>48</v>
      </c>
    </row>
    <row r="7" spans="1:3" x14ac:dyDescent="0.2">
      <c r="A7" s="13" t="s">
        <v>29</v>
      </c>
      <c r="B7" s="22" t="s">
        <v>46</v>
      </c>
    </row>
    <row r="8" spans="1:3" x14ac:dyDescent="0.2">
      <c r="A8" s="13" t="s">
        <v>32</v>
      </c>
      <c r="B8" s="22" t="s">
        <v>46</v>
      </c>
    </row>
    <row r="9" spans="1:3" x14ac:dyDescent="0.2">
      <c r="A9" s="20" t="s">
        <v>38</v>
      </c>
      <c r="B9" s="22" t="s">
        <v>46</v>
      </c>
    </row>
    <row r="10" spans="1:3" x14ac:dyDescent="0.2">
      <c r="A10" s="20" t="s">
        <v>40</v>
      </c>
      <c r="B10" s="22" t="s">
        <v>46</v>
      </c>
    </row>
    <row r="11" spans="1:3" x14ac:dyDescent="0.2">
      <c r="A11" s="20" t="s">
        <v>41</v>
      </c>
      <c r="B11" s="22" t="s">
        <v>46</v>
      </c>
    </row>
    <row r="12" spans="1:3" ht="22.5" x14ac:dyDescent="0.2">
      <c r="A12" s="19" t="s">
        <v>33</v>
      </c>
      <c r="B12" s="22" t="s">
        <v>46</v>
      </c>
    </row>
    <row r="13" spans="1:3" ht="22.5" x14ac:dyDescent="0.2">
      <c r="A13" s="19" t="s">
        <v>42</v>
      </c>
      <c r="B13" s="22" t="s">
        <v>46</v>
      </c>
    </row>
    <row r="14" spans="1:3" ht="19.5" customHeight="1" x14ac:dyDescent="0.2">
      <c r="A14" s="17" t="s">
        <v>31</v>
      </c>
      <c r="B14" s="22" t="s">
        <v>46</v>
      </c>
    </row>
    <row r="15" spans="1:3" ht="17.25" customHeight="1" x14ac:dyDescent="0.2">
      <c r="A15" s="13" t="s">
        <v>43</v>
      </c>
      <c r="B15" s="22" t="s">
        <v>46</v>
      </c>
    </row>
    <row r="16" spans="1:3" x14ac:dyDescent="0.2">
      <c r="A16" s="18" t="s">
        <v>37</v>
      </c>
      <c r="B16" s="22" t="s">
        <v>46</v>
      </c>
    </row>
    <row r="17" spans="1:2" x14ac:dyDescent="0.2">
      <c r="A17" s="20" t="s">
        <v>39</v>
      </c>
      <c r="B17" s="22" t="s">
        <v>46</v>
      </c>
    </row>
    <row r="18" spans="1:2" x14ac:dyDescent="0.2">
      <c r="A18" s="18" t="s">
        <v>16</v>
      </c>
      <c r="B18" s="22" t="s">
        <v>49</v>
      </c>
    </row>
    <row r="19" spans="1:2" x14ac:dyDescent="0.2">
      <c r="A19" s="18" t="s">
        <v>21</v>
      </c>
      <c r="B19" s="22" t="s">
        <v>50</v>
      </c>
    </row>
    <row r="20" spans="1:2" x14ac:dyDescent="0.2">
      <c r="A20" s="18" t="s">
        <v>22</v>
      </c>
      <c r="B20" s="22" t="s">
        <v>51</v>
      </c>
    </row>
    <row r="21" spans="1:2" ht="15.75" customHeight="1" x14ac:dyDescent="0.2">
      <c r="A21" s="13" t="s">
        <v>72</v>
      </c>
      <c r="B21" s="22" t="s">
        <v>73</v>
      </c>
    </row>
    <row r="22" spans="1:2" ht="22.5" x14ac:dyDescent="0.2">
      <c r="A22" s="17" t="s">
        <v>7</v>
      </c>
      <c r="B22" s="22" t="s">
        <v>52</v>
      </c>
    </row>
    <row r="23" spans="1:2" ht="33.75" x14ac:dyDescent="0.2">
      <c r="A23" s="17" t="s">
        <v>8</v>
      </c>
      <c r="B23" s="22" t="s">
        <v>53</v>
      </c>
    </row>
    <row r="24" spans="1:2" x14ac:dyDescent="0.2">
      <c r="A24" s="8" t="s">
        <v>71</v>
      </c>
      <c r="B24" s="22" t="s">
        <v>54</v>
      </c>
    </row>
    <row r="25" spans="1:2" x14ac:dyDescent="0.2">
      <c r="A25" s="18" t="s">
        <v>25</v>
      </c>
      <c r="B25" s="22" t="s">
        <v>55</v>
      </c>
    </row>
    <row r="26" spans="1:2" x14ac:dyDescent="0.2">
      <c r="A26" s="13" t="s">
        <v>27</v>
      </c>
      <c r="B26" s="22" t="s">
        <v>56</v>
      </c>
    </row>
    <row r="27" spans="1:2" ht="22.5" x14ac:dyDescent="0.2">
      <c r="A27" s="20" t="s">
        <v>30</v>
      </c>
      <c r="B27" s="22" t="s">
        <v>57</v>
      </c>
    </row>
    <row r="28" spans="1:2" x14ac:dyDescent="0.2">
      <c r="A28" s="14" t="s">
        <v>3</v>
      </c>
      <c r="B28" s="22" t="s">
        <v>68</v>
      </c>
    </row>
    <row r="29" spans="1:2" x14ac:dyDescent="0.2">
      <c r="A29" s="13" t="s">
        <v>2</v>
      </c>
      <c r="B29" s="22" t="s">
        <v>58</v>
      </c>
    </row>
    <row r="30" spans="1:2" x14ac:dyDescent="0.2">
      <c r="A30" s="13" t="s">
        <v>24</v>
      </c>
      <c r="B30" s="22" t="s">
        <v>59</v>
      </c>
    </row>
    <row r="31" spans="1:2" x14ac:dyDescent="0.2">
      <c r="A31" s="20" t="s">
        <v>18</v>
      </c>
      <c r="B31" s="22" t="s">
        <v>62</v>
      </c>
    </row>
    <row r="32" spans="1:2" x14ac:dyDescent="0.2">
      <c r="A32" s="18" t="s">
        <v>17</v>
      </c>
      <c r="B32" s="22" t="s">
        <v>61</v>
      </c>
    </row>
    <row r="33" spans="1:2" x14ac:dyDescent="0.2">
      <c r="A33" s="15" t="s">
        <v>36</v>
      </c>
    </row>
    <row r="34" spans="1:2" x14ac:dyDescent="0.2">
      <c r="A34" s="16" t="s">
        <v>28</v>
      </c>
      <c r="B34" s="22" t="s">
        <v>60</v>
      </c>
    </row>
    <row r="35" spans="1:2" x14ac:dyDescent="0.2">
      <c r="A35" s="8"/>
    </row>
    <row r="36" spans="1:2" x14ac:dyDescent="0.2">
      <c r="A36"/>
    </row>
    <row r="37" spans="1:2" x14ac:dyDescent="0.2">
      <c r="A37"/>
    </row>
    <row r="38" spans="1:2" x14ac:dyDescent="0.2">
      <c r="A38"/>
    </row>
    <row r="39" spans="1:2" x14ac:dyDescent="0.2">
      <c r="A39"/>
    </row>
    <row r="40" spans="1:2" x14ac:dyDescent="0.2">
      <c r="A40"/>
    </row>
    <row r="41" spans="1:2" x14ac:dyDescent="0.2">
      <c r="A41"/>
    </row>
    <row r="42" spans="1:2" x14ac:dyDescent="0.2">
      <c r="A42"/>
    </row>
    <row r="43" spans="1:2" x14ac:dyDescent="0.2">
      <c r="A43"/>
    </row>
    <row r="44" spans="1:2" x14ac:dyDescent="0.2">
      <c r="A44"/>
    </row>
    <row r="45" spans="1:2" x14ac:dyDescent="0.2">
      <c r="A45"/>
    </row>
    <row r="46" spans="1:2" x14ac:dyDescent="0.2">
      <c r="A46"/>
    </row>
    <row r="47" spans="1:2" x14ac:dyDescent="0.2">
      <c r="A47"/>
    </row>
    <row r="48" spans="1:2" x14ac:dyDescent="0.2">
      <c r="A48"/>
    </row>
    <row r="49" spans="1:1" x14ac:dyDescent="0.2">
      <c r="A49"/>
    </row>
    <row r="50" spans="1:1" x14ac:dyDescent="0.2">
      <c r="A50"/>
    </row>
    <row r="51" spans="1:1" x14ac:dyDescent="0.2">
      <c r="A51"/>
    </row>
    <row r="52" spans="1:1" x14ac:dyDescent="0.2">
      <c r="A52"/>
    </row>
    <row r="53" spans="1:1" x14ac:dyDescent="0.2">
      <c r="A53"/>
    </row>
    <row r="54" spans="1:1" x14ac:dyDescent="0.2">
      <c r="A54"/>
    </row>
    <row r="55" spans="1:1" x14ac:dyDescent="0.2">
      <c r="A55"/>
    </row>
    <row r="56" spans="1:1" x14ac:dyDescent="0.2">
      <c r="A56"/>
    </row>
    <row r="57" spans="1:1" x14ac:dyDescent="0.2">
      <c r="A57"/>
    </row>
    <row r="58" spans="1:1" x14ac:dyDescent="0.2">
      <c r="A58"/>
    </row>
    <row r="59" spans="1:1" x14ac:dyDescent="0.2">
      <c r="A59"/>
    </row>
    <row r="60" spans="1:1" x14ac:dyDescent="0.2">
      <c r="A60"/>
    </row>
    <row r="61" spans="1:1" x14ac:dyDescent="0.2">
      <c r="A61"/>
    </row>
    <row r="62" spans="1:1" x14ac:dyDescent="0.2">
      <c r="A62"/>
    </row>
    <row r="63" spans="1:1" x14ac:dyDescent="0.2">
      <c r="A63"/>
    </row>
    <row r="64" spans="1:1" x14ac:dyDescent="0.2">
      <c r="A64"/>
    </row>
    <row r="65" spans="1:1" x14ac:dyDescent="0.2">
      <c r="A65"/>
    </row>
    <row r="66" spans="1:1" x14ac:dyDescent="0.2">
      <c r="A66"/>
    </row>
    <row r="67" spans="1:1" x14ac:dyDescent="0.2">
      <c r="A67"/>
    </row>
    <row r="68" spans="1:1" x14ac:dyDescent="0.2">
      <c r="A68"/>
    </row>
    <row r="69" spans="1:1" x14ac:dyDescent="0.2">
      <c r="A69"/>
    </row>
    <row r="70" spans="1:1" x14ac:dyDescent="0.2">
      <c r="A70"/>
    </row>
    <row r="71" spans="1:1" x14ac:dyDescent="0.2">
      <c r="A71"/>
    </row>
    <row r="72" spans="1:1" x14ac:dyDescent="0.2">
      <c r="A72"/>
    </row>
    <row r="73" spans="1:1" x14ac:dyDescent="0.2">
      <c r="A73"/>
    </row>
    <row r="74" spans="1:1" x14ac:dyDescent="0.2">
      <c r="A74"/>
    </row>
    <row r="75" spans="1:1" x14ac:dyDescent="0.2">
      <c r="A75"/>
    </row>
    <row r="76" spans="1:1" x14ac:dyDescent="0.2">
      <c r="A76"/>
    </row>
    <row r="77" spans="1:1" x14ac:dyDescent="0.2">
      <c r="A77"/>
    </row>
    <row r="78" spans="1:1" x14ac:dyDescent="0.2">
      <c r="A78"/>
    </row>
    <row r="79" spans="1:1" x14ac:dyDescent="0.2">
      <c r="A79"/>
    </row>
    <row r="80" spans="1:1" x14ac:dyDescent="0.2">
      <c r="A80"/>
    </row>
    <row r="81" spans="1:1" x14ac:dyDescent="0.2">
      <c r="A81"/>
    </row>
    <row r="82" spans="1:1" x14ac:dyDescent="0.2">
      <c r="A82"/>
    </row>
    <row r="83" spans="1:1" x14ac:dyDescent="0.2">
      <c r="A83"/>
    </row>
    <row r="84" spans="1:1" x14ac:dyDescent="0.2">
      <c r="A84"/>
    </row>
    <row r="85" spans="1:1" x14ac:dyDescent="0.2">
      <c r="A85"/>
    </row>
    <row r="86" spans="1:1" x14ac:dyDescent="0.2">
      <c r="A86"/>
    </row>
    <row r="87" spans="1:1" x14ac:dyDescent="0.2">
      <c r="A87"/>
    </row>
    <row r="88" spans="1:1" x14ac:dyDescent="0.2">
      <c r="A88"/>
    </row>
    <row r="89" spans="1:1" x14ac:dyDescent="0.2">
      <c r="A89"/>
    </row>
    <row r="90" spans="1:1" x14ac:dyDescent="0.2">
      <c r="A90"/>
    </row>
    <row r="91" spans="1:1" x14ac:dyDescent="0.2">
      <c r="A91"/>
    </row>
    <row r="92" spans="1:1" x14ac:dyDescent="0.2">
      <c r="A92"/>
    </row>
    <row r="93" spans="1:1" x14ac:dyDescent="0.2">
      <c r="A93"/>
    </row>
    <row r="94" spans="1:1" x14ac:dyDescent="0.2">
      <c r="A94"/>
    </row>
    <row r="95" spans="1:1" x14ac:dyDescent="0.2">
      <c r="A95"/>
    </row>
    <row r="96" spans="1:1" x14ac:dyDescent="0.2">
      <c r="A96"/>
    </row>
    <row r="97" spans="1:1" x14ac:dyDescent="0.2">
      <c r="A97"/>
    </row>
    <row r="98" spans="1:1" x14ac:dyDescent="0.2">
      <c r="A98"/>
    </row>
    <row r="99" spans="1:1" x14ac:dyDescent="0.2">
      <c r="A99"/>
    </row>
    <row r="100" spans="1:1" x14ac:dyDescent="0.2">
      <c r="A100"/>
    </row>
    <row r="101" spans="1:1" x14ac:dyDescent="0.2">
      <c r="A101"/>
    </row>
    <row r="102" spans="1:1" x14ac:dyDescent="0.2">
      <c r="A102"/>
    </row>
    <row r="103" spans="1:1" x14ac:dyDescent="0.2">
      <c r="A103"/>
    </row>
    <row r="104" spans="1:1" x14ac:dyDescent="0.2">
      <c r="A104"/>
    </row>
    <row r="105" spans="1:1" x14ac:dyDescent="0.2">
      <c r="A105"/>
    </row>
    <row r="106" spans="1:1" x14ac:dyDescent="0.2">
      <c r="A106"/>
    </row>
    <row r="107" spans="1:1" x14ac:dyDescent="0.2">
      <c r="A107"/>
    </row>
    <row r="108" spans="1:1" x14ac:dyDescent="0.2">
      <c r="A108"/>
    </row>
    <row r="109" spans="1:1" x14ac:dyDescent="0.2">
      <c r="A109"/>
    </row>
    <row r="110" spans="1:1" x14ac:dyDescent="0.2">
      <c r="A110"/>
    </row>
    <row r="111" spans="1:1" x14ac:dyDescent="0.2">
      <c r="A111"/>
    </row>
    <row r="112" spans="1:1" x14ac:dyDescent="0.2">
      <c r="A112"/>
    </row>
    <row r="113" spans="1:1" x14ac:dyDescent="0.2">
      <c r="A113"/>
    </row>
    <row r="114" spans="1:1" x14ac:dyDescent="0.2">
      <c r="A114"/>
    </row>
    <row r="115" spans="1:1" x14ac:dyDescent="0.2">
      <c r="A115"/>
    </row>
    <row r="116" spans="1:1" x14ac:dyDescent="0.2">
      <c r="A116"/>
    </row>
    <row r="117" spans="1:1" x14ac:dyDescent="0.2">
      <c r="A117"/>
    </row>
    <row r="118" spans="1:1" x14ac:dyDescent="0.2">
      <c r="A118"/>
    </row>
    <row r="119" spans="1:1" x14ac:dyDescent="0.2">
      <c r="A119"/>
    </row>
    <row r="120" spans="1:1" x14ac:dyDescent="0.2">
      <c r="A120"/>
    </row>
    <row r="121" spans="1:1" x14ac:dyDescent="0.2">
      <c r="A121"/>
    </row>
    <row r="122" spans="1:1" x14ac:dyDescent="0.2">
      <c r="A122"/>
    </row>
    <row r="123" spans="1:1" x14ac:dyDescent="0.2">
      <c r="A123"/>
    </row>
    <row r="124" spans="1:1" x14ac:dyDescent="0.2">
      <c r="A124"/>
    </row>
    <row r="125" spans="1:1" x14ac:dyDescent="0.2">
      <c r="A125"/>
    </row>
    <row r="126" spans="1:1" x14ac:dyDescent="0.2">
      <c r="A126"/>
    </row>
    <row r="127" spans="1:1" x14ac:dyDescent="0.2">
      <c r="A127"/>
    </row>
    <row r="128" spans="1:1" x14ac:dyDescent="0.2">
      <c r="A128"/>
    </row>
    <row r="129" spans="1:1" x14ac:dyDescent="0.2">
      <c r="A129"/>
    </row>
    <row r="130" spans="1:1" x14ac:dyDescent="0.2">
      <c r="A130"/>
    </row>
    <row r="131" spans="1:1" x14ac:dyDescent="0.2">
      <c r="A131"/>
    </row>
    <row r="132" spans="1:1" x14ac:dyDescent="0.2">
      <c r="A132"/>
    </row>
    <row r="133" spans="1:1" x14ac:dyDescent="0.2">
      <c r="A133"/>
    </row>
    <row r="134" spans="1:1" x14ac:dyDescent="0.2">
      <c r="A134"/>
    </row>
    <row r="135" spans="1:1" x14ac:dyDescent="0.2">
      <c r="A135"/>
    </row>
    <row r="136" spans="1:1" x14ac:dyDescent="0.2">
      <c r="A136"/>
    </row>
    <row r="137" spans="1:1" x14ac:dyDescent="0.2">
      <c r="A137"/>
    </row>
    <row r="138" spans="1:1" x14ac:dyDescent="0.2">
      <c r="A138"/>
    </row>
    <row r="139" spans="1:1" x14ac:dyDescent="0.2">
      <c r="A139"/>
    </row>
    <row r="140" spans="1:1" x14ac:dyDescent="0.2">
      <c r="A140"/>
    </row>
    <row r="141" spans="1:1" x14ac:dyDescent="0.2">
      <c r="A141"/>
    </row>
    <row r="142" spans="1:1" x14ac:dyDescent="0.2">
      <c r="A142"/>
    </row>
    <row r="143" spans="1:1" x14ac:dyDescent="0.2">
      <c r="A143"/>
    </row>
    <row r="144" spans="1:1" x14ac:dyDescent="0.2">
      <c r="A144"/>
    </row>
    <row r="145" spans="1:1" x14ac:dyDescent="0.2">
      <c r="A145"/>
    </row>
    <row r="146" spans="1:1" x14ac:dyDescent="0.2">
      <c r="A146"/>
    </row>
    <row r="147" spans="1:1" x14ac:dyDescent="0.2">
      <c r="A147"/>
    </row>
    <row r="148" spans="1:1" x14ac:dyDescent="0.2">
      <c r="A148"/>
    </row>
    <row r="149" spans="1:1" x14ac:dyDescent="0.2">
      <c r="A149"/>
    </row>
    <row r="150" spans="1:1" x14ac:dyDescent="0.2">
      <c r="A150"/>
    </row>
    <row r="151" spans="1:1" x14ac:dyDescent="0.2">
      <c r="A151"/>
    </row>
    <row r="152" spans="1:1" x14ac:dyDescent="0.2">
      <c r="A152"/>
    </row>
    <row r="153" spans="1:1" x14ac:dyDescent="0.2">
      <c r="A153"/>
    </row>
    <row r="154" spans="1:1" x14ac:dyDescent="0.2">
      <c r="A154"/>
    </row>
    <row r="155" spans="1:1" x14ac:dyDescent="0.2">
      <c r="A155"/>
    </row>
    <row r="156" spans="1:1" x14ac:dyDescent="0.2">
      <c r="A156"/>
    </row>
    <row r="157" spans="1:1" x14ac:dyDescent="0.2">
      <c r="A157"/>
    </row>
    <row r="158" spans="1:1" x14ac:dyDescent="0.2">
      <c r="A158"/>
    </row>
    <row r="159" spans="1:1" x14ac:dyDescent="0.2">
      <c r="A159"/>
    </row>
    <row r="160" spans="1:1" x14ac:dyDescent="0.2">
      <c r="A160"/>
    </row>
    <row r="161" spans="1:1" x14ac:dyDescent="0.2">
      <c r="A161"/>
    </row>
    <row r="162" spans="1:1" x14ac:dyDescent="0.2">
      <c r="A162"/>
    </row>
    <row r="163" spans="1:1" x14ac:dyDescent="0.2">
      <c r="A163"/>
    </row>
    <row r="164" spans="1:1" x14ac:dyDescent="0.2">
      <c r="A164"/>
    </row>
    <row r="165" spans="1:1" x14ac:dyDescent="0.2">
      <c r="A165"/>
    </row>
    <row r="166" spans="1:1" x14ac:dyDescent="0.2">
      <c r="A166"/>
    </row>
    <row r="167" spans="1:1" x14ac:dyDescent="0.2">
      <c r="A167"/>
    </row>
    <row r="168" spans="1:1" x14ac:dyDescent="0.2">
      <c r="A168"/>
    </row>
    <row r="169" spans="1:1" x14ac:dyDescent="0.2">
      <c r="A169"/>
    </row>
    <row r="170" spans="1:1" x14ac:dyDescent="0.2">
      <c r="A170"/>
    </row>
    <row r="171" spans="1:1" x14ac:dyDescent="0.2">
      <c r="A171"/>
    </row>
    <row r="172" spans="1:1" x14ac:dyDescent="0.2">
      <c r="A172"/>
    </row>
    <row r="173" spans="1:1" x14ac:dyDescent="0.2">
      <c r="A173"/>
    </row>
    <row r="174" spans="1:1" x14ac:dyDescent="0.2">
      <c r="A174"/>
    </row>
    <row r="175" spans="1:1" x14ac:dyDescent="0.2">
      <c r="A175"/>
    </row>
    <row r="176" spans="1:1" x14ac:dyDescent="0.2">
      <c r="A176"/>
    </row>
    <row r="177" spans="1:1" x14ac:dyDescent="0.2">
      <c r="A177"/>
    </row>
    <row r="178" spans="1:1" x14ac:dyDescent="0.2">
      <c r="A178"/>
    </row>
    <row r="179" spans="1:1" x14ac:dyDescent="0.2">
      <c r="A179"/>
    </row>
    <row r="180" spans="1:1" x14ac:dyDescent="0.2">
      <c r="A180"/>
    </row>
    <row r="181" spans="1:1" x14ac:dyDescent="0.2">
      <c r="A181"/>
    </row>
    <row r="182" spans="1:1" x14ac:dyDescent="0.2">
      <c r="A182"/>
    </row>
    <row r="183" spans="1:1" x14ac:dyDescent="0.2">
      <c r="A183"/>
    </row>
    <row r="184" spans="1:1" x14ac:dyDescent="0.2">
      <c r="A184"/>
    </row>
    <row r="185" spans="1:1" x14ac:dyDescent="0.2">
      <c r="A185"/>
    </row>
    <row r="186" spans="1:1" x14ac:dyDescent="0.2">
      <c r="A186"/>
    </row>
    <row r="187" spans="1:1" x14ac:dyDescent="0.2">
      <c r="A187"/>
    </row>
    <row r="188" spans="1:1" x14ac:dyDescent="0.2">
      <c r="A188"/>
    </row>
    <row r="189" spans="1:1" x14ac:dyDescent="0.2">
      <c r="A189"/>
    </row>
    <row r="190" spans="1:1" x14ac:dyDescent="0.2">
      <c r="A190"/>
    </row>
    <row r="191" spans="1:1" x14ac:dyDescent="0.2">
      <c r="A191"/>
    </row>
    <row r="192" spans="1:1" x14ac:dyDescent="0.2">
      <c r="A192"/>
    </row>
    <row r="193" spans="1:1" x14ac:dyDescent="0.2">
      <c r="A193"/>
    </row>
    <row r="194" spans="1:1" x14ac:dyDescent="0.2">
      <c r="A194"/>
    </row>
    <row r="195" spans="1:1" x14ac:dyDescent="0.2">
      <c r="A195"/>
    </row>
    <row r="196" spans="1:1" x14ac:dyDescent="0.2">
      <c r="A196"/>
    </row>
    <row r="197" spans="1:1" x14ac:dyDescent="0.2">
      <c r="A197"/>
    </row>
    <row r="198" spans="1:1" x14ac:dyDescent="0.2">
      <c r="A198"/>
    </row>
    <row r="199" spans="1:1" x14ac:dyDescent="0.2">
      <c r="A199"/>
    </row>
    <row r="200" spans="1:1" x14ac:dyDescent="0.2">
      <c r="A200"/>
    </row>
    <row r="201" spans="1:1" x14ac:dyDescent="0.2">
      <c r="A201"/>
    </row>
    <row r="202" spans="1:1" x14ac:dyDescent="0.2">
      <c r="A202"/>
    </row>
    <row r="203" spans="1:1" x14ac:dyDescent="0.2">
      <c r="A203"/>
    </row>
    <row r="204" spans="1:1" x14ac:dyDescent="0.2">
      <c r="A204"/>
    </row>
    <row r="205" spans="1:1" x14ac:dyDescent="0.2">
      <c r="A205"/>
    </row>
    <row r="206" spans="1:1" x14ac:dyDescent="0.2">
      <c r="A206"/>
    </row>
    <row r="207" spans="1:1" x14ac:dyDescent="0.2">
      <c r="A207"/>
    </row>
    <row r="208" spans="1:1" x14ac:dyDescent="0.2">
      <c r="A208"/>
    </row>
    <row r="209" spans="1:1" x14ac:dyDescent="0.2">
      <c r="A209"/>
    </row>
    <row r="210" spans="1:1" x14ac:dyDescent="0.2">
      <c r="A210"/>
    </row>
    <row r="211" spans="1:1" x14ac:dyDescent="0.2">
      <c r="A211"/>
    </row>
    <row r="212" spans="1:1" x14ac:dyDescent="0.2">
      <c r="A212"/>
    </row>
    <row r="213" spans="1:1" x14ac:dyDescent="0.2">
      <c r="A213"/>
    </row>
    <row r="214" spans="1:1" x14ac:dyDescent="0.2">
      <c r="A214"/>
    </row>
    <row r="215" spans="1:1" x14ac:dyDescent="0.2">
      <c r="A215"/>
    </row>
    <row r="216" spans="1:1" x14ac:dyDescent="0.2">
      <c r="A216"/>
    </row>
    <row r="217" spans="1:1" x14ac:dyDescent="0.2">
      <c r="A217"/>
    </row>
    <row r="218" spans="1:1" x14ac:dyDescent="0.2">
      <c r="A218"/>
    </row>
    <row r="219" spans="1:1" x14ac:dyDescent="0.2">
      <c r="A219"/>
    </row>
    <row r="220" spans="1:1" x14ac:dyDescent="0.2">
      <c r="A220"/>
    </row>
    <row r="221" spans="1:1" x14ac:dyDescent="0.2">
      <c r="A221"/>
    </row>
    <row r="222" spans="1:1" x14ac:dyDescent="0.2">
      <c r="A222"/>
    </row>
    <row r="223" spans="1:1" x14ac:dyDescent="0.2">
      <c r="A223"/>
    </row>
    <row r="224" spans="1:1" x14ac:dyDescent="0.2">
      <c r="A224"/>
    </row>
    <row r="225" spans="1:1" x14ac:dyDescent="0.2">
      <c r="A225"/>
    </row>
    <row r="226" spans="1:1" x14ac:dyDescent="0.2">
      <c r="A226"/>
    </row>
    <row r="227" spans="1:1" x14ac:dyDescent="0.2">
      <c r="A227"/>
    </row>
    <row r="228" spans="1:1" x14ac:dyDescent="0.2">
      <c r="A228"/>
    </row>
    <row r="229" spans="1:1" x14ac:dyDescent="0.2">
      <c r="A229"/>
    </row>
    <row r="230" spans="1:1" x14ac:dyDescent="0.2">
      <c r="A230"/>
    </row>
    <row r="231" spans="1:1" x14ac:dyDescent="0.2">
      <c r="A231"/>
    </row>
    <row r="232" spans="1:1" x14ac:dyDescent="0.2">
      <c r="A232"/>
    </row>
    <row r="233" spans="1:1" x14ac:dyDescent="0.2">
      <c r="A233"/>
    </row>
    <row r="234" spans="1:1" x14ac:dyDescent="0.2">
      <c r="A234"/>
    </row>
    <row r="235" spans="1:1" x14ac:dyDescent="0.2">
      <c r="A235"/>
    </row>
    <row r="236" spans="1:1" x14ac:dyDescent="0.2">
      <c r="A236"/>
    </row>
    <row r="237" spans="1:1" x14ac:dyDescent="0.2">
      <c r="A237"/>
    </row>
    <row r="238" spans="1:1" x14ac:dyDescent="0.2">
      <c r="A238"/>
    </row>
    <row r="239" spans="1:1" x14ac:dyDescent="0.2">
      <c r="A239"/>
    </row>
    <row r="240" spans="1:1" x14ac:dyDescent="0.2">
      <c r="A240"/>
    </row>
    <row r="241" spans="1:1" x14ac:dyDescent="0.2">
      <c r="A241"/>
    </row>
    <row r="242" spans="1:1" x14ac:dyDescent="0.2">
      <c r="A242"/>
    </row>
    <row r="243" spans="1:1" x14ac:dyDescent="0.2">
      <c r="A243"/>
    </row>
    <row r="244" spans="1:1" x14ac:dyDescent="0.2">
      <c r="A244"/>
    </row>
    <row r="245" spans="1:1" x14ac:dyDescent="0.2">
      <c r="A245"/>
    </row>
    <row r="246" spans="1:1" x14ac:dyDescent="0.2">
      <c r="A246"/>
    </row>
    <row r="247" spans="1:1" x14ac:dyDescent="0.2">
      <c r="A247"/>
    </row>
    <row r="248" spans="1:1" x14ac:dyDescent="0.2">
      <c r="A248"/>
    </row>
    <row r="249" spans="1:1" x14ac:dyDescent="0.2">
      <c r="A249"/>
    </row>
    <row r="250" spans="1:1" x14ac:dyDescent="0.2">
      <c r="A250"/>
    </row>
    <row r="251" spans="1:1" x14ac:dyDescent="0.2">
      <c r="A251"/>
    </row>
    <row r="252" spans="1:1" x14ac:dyDescent="0.2">
      <c r="A252"/>
    </row>
    <row r="253" spans="1:1" x14ac:dyDescent="0.2">
      <c r="A253"/>
    </row>
    <row r="254" spans="1:1" x14ac:dyDescent="0.2">
      <c r="A254"/>
    </row>
    <row r="255" spans="1:1" x14ac:dyDescent="0.2">
      <c r="A255"/>
    </row>
    <row r="256" spans="1:1" x14ac:dyDescent="0.2">
      <c r="A256"/>
    </row>
    <row r="257" spans="1:1" x14ac:dyDescent="0.2">
      <c r="A257"/>
    </row>
    <row r="258" spans="1:1" x14ac:dyDescent="0.2">
      <c r="A258"/>
    </row>
    <row r="259" spans="1:1" x14ac:dyDescent="0.2">
      <c r="A259"/>
    </row>
    <row r="260" spans="1:1" x14ac:dyDescent="0.2">
      <c r="A260"/>
    </row>
    <row r="261" spans="1:1" x14ac:dyDescent="0.2">
      <c r="A261"/>
    </row>
    <row r="262" spans="1:1" x14ac:dyDescent="0.2">
      <c r="A262"/>
    </row>
    <row r="263" spans="1:1" x14ac:dyDescent="0.2">
      <c r="A263"/>
    </row>
    <row r="264" spans="1:1" x14ac:dyDescent="0.2">
      <c r="A264"/>
    </row>
    <row r="265" spans="1:1" x14ac:dyDescent="0.2">
      <c r="A265"/>
    </row>
    <row r="266" spans="1:1" x14ac:dyDescent="0.2">
      <c r="A266"/>
    </row>
    <row r="267" spans="1:1" x14ac:dyDescent="0.2">
      <c r="A267"/>
    </row>
    <row r="268" spans="1:1" x14ac:dyDescent="0.2">
      <c r="A268"/>
    </row>
    <row r="269" spans="1:1" x14ac:dyDescent="0.2">
      <c r="A269"/>
    </row>
    <row r="270" spans="1:1" x14ac:dyDescent="0.2">
      <c r="A270"/>
    </row>
    <row r="271" spans="1:1" x14ac:dyDescent="0.2">
      <c r="A271"/>
    </row>
    <row r="272" spans="1:1" x14ac:dyDescent="0.2">
      <c r="A272"/>
    </row>
    <row r="273" spans="1:1" x14ac:dyDescent="0.2">
      <c r="A273"/>
    </row>
    <row r="274" spans="1:1" x14ac:dyDescent="0.2">
      <c r="A274"/>
    </row>
    <row r="275" spans="1:1" x14ac:dyDescent="0.2">
      <c r="A275"/>
    </row>
    <row r="276" spans="1:1" x14ac:dyDescent="0.2">
      <c r="A276"/>
    </row>
    <row r="277" spans="1:1" x14ac:dyDescent="0.2">
      <c r="A277"/>
    </row>
    <row r="278" spans="1:1" x14ac:dyDescent="0.2">
      <c r="A278"/>
    </row>
    <row r="279" spans="1:1" x14ac:dyDescent="0.2">
      <c r="A279"/>
    </row>
    <row r="280" spans="1:1" x14ac:dyDescent="0.2">
      <c r="A280"/>
    </row>
    <row r="281" spans="1:1" x14ac:dyDescent="0.2">
      <c r="A281"/>
    </row>
    <row r="282" spans="1:1" x14ac:dyDescent="0.2">
      <c r="A282"/>
    </row>
    <row r="283" spans="1:1" x14ac:dyDescent="0.2">
      <c r="A283"/>
    </row>
    <row r="284" spans="1:1" x14ac:dyDescent="0.2">
      <c r="A284"/>
    </row>
    <row r="285" spans="1:1" x14ac:dyDescent="0.2">
      <c r="A285"/>
    </row>
    <row r="286" spans="1:1" x14ac:dyDescent="0.2">
      <c r="A286"/>
    </row>
    <row r="287" spans="1:1" x14ac:dyDescent="0.2">
      <c r="A287"/>
    </row>
    <row r="288" spans="1:1" x14ac:dyDescent="0.2">
      <c r="A288"/>
    </row>
    <row r="289" spans="1:1" x14ac:dyDescent="0.2">
      <c r="A289"/>
    </row>
    <row r="290" spans="1:1" x14ac:dyDescent="0.2">
      <c r="A290"/>
    </row>
    <row r="291" spans="1:1" x14ac:dyDescent="0.2">
      <c r="A291"/>
    </row>
    <row r="292" spans="1:1" x14ac:dyDescent="0.2">
      <c r="A292"/>
    </row>
    <row r="293" spans="1:1" x14ac:dyDescent="0.2">
      <c r="A293"/>
    </row>
    <row r="294" spans="1:1" x14ac:dyDescent="0.2">
      <c r="A294"/>
    </row>
    <row r="295" spans="1:1" x14ac:dyDescent="0.2">
      <c r="A295"/>
    </row>
    <row r="296" spans="1:1" x14ac:dyDescent="0.2">
      <c r="A296"/>
    </row>
    <row r="297" spans="1:1" x14ac:dyDescent="0.2">
      <c r="A297"/>
    </row>
    <row r="298" spans="1:1" x14ac:dyDescent="0.2">
      <c r="A298"/>
    </row>
    <row r="299" spans="1:1" x14ac:dyDescent="0.2">
      <c r="A299"/>
    </row>
    <row r="300" spans="1:1" x14ac:dyDescent="0.2">
      <c r="A300"/>
    </row>
    <row r="301" spans="1:1" x14ac:dyDescent="0.2">
      <c r="A301"/>
    </row>
    <row r="302" spans="1:1" x14ac:dyDescent="0.2">
      <c r="A302"/>
    </row>
    <row r="303" spans="1:1" x14ac:dyDescent="0.2">
      <c r="A303"/>
    </row>
    <row r="304" spans="1:1" x14ac:dyDescent="0.2">
      <c r="A304"/>
    </row>
    <row r="305" spans="1:1" x14ac:dyDescent="0.2">
      <c r="A305"/>
    </row>
  </sheetData>
  <autoFilter ref="A1:A263"/>
  <sortState ref="A2:B310">
    <sortCondition ref="A2:A310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0"/>
  <sheetViews>
    <sheetView tabSelected="1" workbookViewId="0">
      <selection activeCell="M15" sqref="M15"/>
    </sheetView>
  </sheetViews>
  <sheetFormatPr baseColWidth="10" defaultRowHeight="11.25" x14ac:dyDescent="0.2"/>
  <cols>
    <col min="1" max="1" width="17.1640625" bestFit="1" customWidth="1"/>
    <col min="7" max="7" width="13" bestFit="1" customWidth="1"/>
    <col min="8" max="8" width="13.6640625" bestFit="1" customWidth="1"/>
  </cols>
  <sheetData>
    <row r="1" spans="1:9" x14ac:dyDescent="0.2">
      <c r="A1" t="s">
        <v>126</v>
      </c>
      <c r="C1" t="s">
        <v>127</v>
      </c>
      <c r="E1" t="s">
        <v>128</v>
      </c>
      <c r="G1" t="s">
        <v>147</v>
      </c>
      <c r="H1" t="s">
        <v>158</v>
      </c>
      <c r="I1" s="268" t="s">
        <v>329</v>
      </c>
    </row>
    <row r="2" spans="1:9" ht="12.75" x14ac:dyDescent="0.2">
      <c r="A2" s="102">
        <f>VLOOKUP("PAIE_DEF",Planning!A4:P88,Indice,FALSE)</f>
        <v>43643</v>
      </c>
      <c r="C2" s="90">
        <v>43466</v>
      </c>
      <c r="E2" s="90">
        <v>43466</v>
      </c>
      <c r="G2">
        <v>6</v>
      </c>
      <c r="H2" s="233">
        <f>Mois_trait + 4</f>
        <v>10</v>
      </c>
    </row>
    <row r="3" spans="1:9" ht="12.75" x14ac:dyDescent="0.2">
      <c r="C3" s="90">
        <v>43577</v>
      </c>
      <c r="E3" s="90">
        <v>43573</v>
      </c>
      <c r="G3" t="s">
        <v>148</v>
      </c>
    </row>
    <row r="4" spans="1:9" ht="12.75" x14ac:dyDescent="0.2">
      <c r="A4" s="101" t="s">
        <v>129</v>
      </c>
      <c r="C4" s="90">
        <v>43586</v>
      </c>
      <c r="E4" s="90">
        <v>43574</v>
      </c>
      <c r="G4">
        <v>2019</v>
      </c>
    </row>
    <row r="5" spans="1:9" ht="12.75" x14ac:dyDescent="0.2">
      <c r="A5" s="103">
        <f>VLOOKUP("EX_AC1",Planning!A4:P88,Indice,FALSE)</f>
        <v>43621</v>
      </c>
      <c r="C5" s="90">
        <v>43593</v>
      </c>
      <c r="E5" s="90">
        <v>43577</v>
      </c>
    </row>
    <row r="6" spans="1:9" ht="12.75" x14ac:dyDescent="0.2">
      <c r="A6" s="101" t="s">
        <v>130</v>
      </c>
      <c r="C6" s="90">
        <v>43615</v>
      </c>
      <c r="E6" s="90">
        <v>43615</v>
      </c>
      <c r="G6" s="101" t="s">
        <v>319</v>
      </c>
      <c r="H6" s="101" t="s">
        <v>324</v>
      </c>
    </row>
    <row r="7" spans="1:9" ht="12.75" x14ac:dyDescent="0.2">
      <c r="A7" s="102">
        <f>VLOOKUP("EX_AC2",Planning!A4:P88,Indice,FALSE)</f>
        <v>43633</v>
      </c>
      <c r="C7" s="90">
        <v>43626</v>
      </c>
      <c r="E7" s="90">
        <v>43621</v>
      </c>
      <c r="G7" s="102">
        <f>Ex_AC1</f>
        <v>43621</v>
      </c>
      <c r="H7" s="102">
        <f>Fin_Plan</f>
        <v>43654</v>
      </c>
    </row>
    <row r="8" spans="1:9" ht="12.75" x14ac:dyDescent="0.2">
      <c r="A8" s="101" t="s">
        <v>131</v>
      </c>
      <c r="C8" s="90">
        <v>43660</v>
      </c>
      <c r="E8" s="90">
        <v>43626</v>
      </c>
    </row>
    <row r="9" spans="1:9" ht="12.75" x14ac:dyDescent="0.2">
      <c r="A9" s="102">
        <f>VLOOKUP("EX_AC3",Planning!A4:P88,Indice,FALSE)</f>
        <v>43635</v>
      </c>
      <c r="C9" s="90">
        <v>43692</v>
      </c>
      <c r="E9" s="90">
        <v>43824</v>
      </c>
      <c r="G9" s="277" t="s">
        <v>326</v>
      </c>
    </row>
    <row r="10" spans="1:9" ht="12.75" x14ac:dyDescent="0.2">
      <c r="A10" s="101" t="s">
        <v>132</v>
      </c>
      <c r="C10" s="90">
        <v>43770</v>
      </c>
      <c r="E10" s="90">
        <v>43825</v>
      </c>
      <c r="G10" s="278">
        <f>WORKDAY(PAIE_DEF,-2,z_fériés)</f>
        <v>43641</v>
      </c>
    </row>
    <row r="11" spans="1:9" ht="12.75" x14ac:dyDescent="0.2">
      <c r="A11" s="102">
        <f>VLOOKUP("Ex_Prep_Hyg",Planning!A4:P88,Indice,FALSE)</f>
        <v>43635</v>
      </c>
      <c r="C11" s="90">
        <v>43780</v>
      </c>
      <c r="E11" s="90">
        <v>43831</v>
      </c>
    </row>
    <row r="12" spans="1:9" ht="12.75" x14ac:dyDescent="0.2">
      <c r="A12" s="101"/>
      <c r="C12" s="90">
        <v>43824</v>
      </c>
      <c r="E12" s="90">
        <v>43930</v>
      </c>
      <c r="G12" s="101" t="s">
        <v>327</v>
      </c>
    </row>
    <row r="13" spans="1:9" ht="12.75" x14ac:dyDescent="0.2">
      <c r="A13" s="103" t="s">
        <v>133</v>
      </c>
      <c r="C13" s="90">
        <v>43831</v>
      </c>
      <c r="E13" s="90">
        <v>43931</v>
      </c>
      <c r="G13" s="247">
        <f>WORKDAY(sagirco3,1,z_fériés)</f>
        <v>43650</v>
      </c>
    </row>
    <row r="14" spans="1:9" ht="12.75" x14ac:dyDescent="0.2">
      <c r="A14" s="103">
        <f>VLOOKUP("Tr_STC1_LP",Planning!A4:P88,Indice,FALSE)</f>
        <v>43633</v>
      </c>
      <c r="C14" s="90">
        <v>43934</v>
      </c>
      <c r="E14" s="90">
        <v>43933</v>
      </c>
    </row>
    <row r="15" spans="1:9" ht="12.75" x14ac:dyDescent="0.2">
      <c r="C15" s="90">
        <v>43952</v>
      </c>
      <c r="E15" s="90">
        <v>43934</v>
      </c>
      <c r="G15" s="277" t="s">
        <v>331</v>
      </c>
    </row>
    <row r="16" spans="1:9" ht="12.75" x14ac:dyDescent="0.2">
      <c r="A16" s="101" t="s">
        <v>134</v>
      </c>
      <c r="C16" s="90">
        <v>43959</v>
      </c>
      <c r="E16" s="90">
        <v>43959</v>
      </c>
      <c r="G16" s="278">
        <f>WORKDAY(VLOOKUP("sagirco3",Planning!A4:P88,Indice-1,FALSE),1,z_fériés)</f>
        <v>43621</v>
      </c>
    </row>
    <row r="17" spans="1:5" ht="12.75" x14ac:dyDescent="0.2">
      <c r="A17" s="102">
        <f>VLOOKUP("Tr_ACO_LP",Planning!A4:P88,Indice,FALSE)</f>
        <v>43637</v>
      </c>
      <c r="C17" s="90">
        <v>43972</v>
      </c>
      <c r="E17" s="90">
        <v>43972</v>
      </c>
    </row>
    <row r="18" spans="1:5" ht="12.75" x14ac:dyDescent="0.2">
      <c r="C18" s="90">
        <v>43983</v>
      </c>
      <c r="E18" s="91">
        <v>43983</v>
      </c>
    </row>
    <row r="19" spans="1:5" ht="12.75" x14ac:dyDescent="0.2">
      <c r="A19" s="101" t="s">
        <v>135</v>
      </c>
      <c r="C19" s="90">
        <v>44026</v>
      </c>
      <c r="E19" s="91">
        <v>43987</v>
      </c>
    </row>
    <row r="20" spans="1:5" ht="12.75" x14ac:dyDescent="0.2">
      <c r="A20" s="102">
        <f>VLOOKUP("Tr_STC2_LP",Planning!A4:P88,Indice,FALSE)</f>
        <v>43637</v>
      </c>
      <c r="C20" s="90">
        <v>44058</v>
      </c>
      <c r="E20" s="91">
        <v>44190</v>
      </c>
    </row>
    <row r="21" spans="1:5" ht="12.75" x14ac:dyDescent="0.2">
      <c r="C21" s="90">
        <v>44136</v>
      </c>
      <c r="E21" s="91">
        <v>44191</v>
      </c>
    </row>
    <row r="22" spans="1:5" ht="12.75" x14ac:dyDescent="0.2">
      <c r="A22" s="101" t="s">
        <v>136</v>
      </c>
      <c r="C22" s="90">
        <v>44146</v>
      </c>
    </row>
    <row r="23" spans="1:5" ht="12.75" x14ac:dyDescent="0.2">
      <c r="A23" s="102">
        <f>VLOOKUP("Ex_Compta_1_HP",Planning!A4:P88,Indice,FALSE)</f>
        <v>43633</v>
      </c>
      <c r="C23" s="90">
        <v>44190</v>
      </c>
    </row>
    <row r="25" spans="1:5" x14ac:dyDescent="0.2">
      <c r="A25" s="101" t="s">
        <v>137</v>
      </c>
    </row>
    <row r="26" spans="1:5" x14ac:dyDescent="0.2">
      <c r="A26" s="102">
        <f>VLOOKUP("Ex_Compta_2_HP",Planning!A4:P88,Indice,FALSE)</f>
        <v>43643</v>
      </c>
    </row>
    <row r="28" spans="1:5" x14ac:dyDescent="0.2">
      <c r="A28" s="101" t="s">
        <v>138</v>
      </c>
    </row>
    <row r="29" spans="1:5" x14ac:dyDescent="0.2">
      <c r="A29" s="102">
        <f>VLOOKUP("sagirco1",Planning!A4:P88,Indice,FALSE)</f>
        <v>43647</v>
      </c>
    </row>
    <row r="30" spans="1:5" x14ac:dyDescent="0.2">
      <c r="A30" s="101" t="s">
        <v>139</v>
      </c>
    </row>
    <row r="31" spans="1:5" x14ac:dyDescent="0.2">
      <c r="A31" s="102">
        <f>VLOOKUP("sagirco2",Planning!A4:P88,Indice,FALSE)</f>
        <v>43648</v>
      </c>
    </row>
    <row r="32" spans="1:5" x14ac:dyDescent="0.2">
      <c r="A32" s="101" t="s">
        <v>140</v>
      </c>
    </row>
    <row r="33" spans="1:1" x14ac:dyDescent="0.2">
      <c r="A33" s="102">
        <f>VLOOKUP("sagirco3",Planning!A4:P88,Indice,FALSE)</f>
        <v>43649</v>
      </c>
    </row>
    <row r="35" spans="1:1" x14ac:dyDescent="0.2">
      <c r="A35" s="101" t="s">
        <v>141</v>
      </c>
    </row>
    <row r="36" spans="1:1" x14ac:dyDescent="0.2">
      <c r="A36" s="102">
        <f>VLOOKUP("Quick_DK",Planning!A4:P88,Indice,FALSE)</f>
        <v>43649</v>
      </c>
    </row>
    <row r="38" spans="1:1" x14ac:dyDescent="0.2">
      <c r="A38" s="101" t="s">
        <v>142</v>
      </c>
    </row>
    <row r="39" spans="1:1" x14ac:dyDescent="0.2">
      <c r="A39" s="102">
        <f>VLOOKUP("TOP_Cpta_HP",Planning!A4:P88,Indice,FALSE)</f>
        <v>43649</v>
      </c>
    </row>
    <row r="41" spans="1:1" x14ac:dyDescent="0.2">
      <c r="A41" s="101" t="s">
        <v>155</v>
      </c>
    </row>
    <row r="42" spans="1:1" x14ac:dyDescent="0.2">
      <c r="A42" s="102">
        <f>VLOOKUP("Fact_NEEVA",Planning!A4:P88,Indice,FALSE)</f>
        <v>43642</v>
      </c>
    </row>
    <row r="44" spans="1:1" x14ac:dyDescent="0.2">
      <c r="A44" t="s">
        <v>149</v>
      </c>
    </row>
    <row r="45" spans="1:1" x14ac:dyDescent="0.2">
      <c r="A45" s="102">
        <f>VLOOKUP("Centr_Immo_Cess_HP",Planning!A4:P88,Indice,FALSE)</f>
        <v>43642</v>
      </c>
    </row>
    <row r="47" spans="1:1" x14ac:dyDescent="0.2">
      <c r="A47" t="s">
        <v>150</v>
      </c>
    </row>
    <row r="48" spans="1:1" x14ac:dyDescent="0.2">
      <c r="A48" s="102">
        <f>VLOOKUP("Centr_2°_Compta_HP",Planning!A4:P88,Indice,FALSE)</f>
        <v>43644</v>
      </c>
    </row>
    <row r="50" spans="1:1" x14ac:dyDescent="0.2">
      <c r="A50" t="s">
        <v>151</v>
      </c>
    </row>
    <row r="51" spans="1:1" x14ac:dyDescent="0.2">
      <c r="A51" s="102">
        <f>VLOOKUP("Top_Conso",Planning!A4:P88,Indice,FALSE)</f>
        <v>43649</v>
      </c>
    </row>
    <row r="53" spans="1:1" x14ac:dyDescent="0.2">
      <c r="A53" t="s">
        <v>152</v>
      </c>
    </row>
    <row r="54" spans="1:1" x14ac:dyDescent="0.2">
      <c r="A54" s="102">
        <f>VLOOKUP("EX_AC3",Planning!A4:P88,Indice,FALSE)</f>
        <v>43635</v>
      </c>
    </row>
    <row r="55" spans="1:1" x14ac:dyDescent="0.2">
      <c r="A55" t="s">
        <v>153</v>
      </c>
    </row>
    <row r="56" spans="1:1" x14ac:dyDescent="0.2">
      <c r="A56" s="102">
        <f>VLOOKUP("EX_AC3",Planning!A4:P89,Indice,FALSE)</f>
        <v>43635</v>
      </c>
    </row>
    <row r="57" spans="1:1" x14ac:dyDescent="0.2">
      <c r="A57" t="s">
        <v>154</v>
      </c>
    </row>
    <row r="58" spans="1:1" x14ac:dyDescent="0.2">
      <c r="A58" s="102">
        <f>VLOOKUP("EX_AC3",Planning!A4:P88,Indice,FALSE)</f>
        <v>43635</v>
      </c>
    </row>
    <row r="60" spans="1:1" x14ac:dyDescent="0.2">
      <c r="A60" s="101" t="s">
        <v>156</v>
      </c>
    </row>
    <row r="61" spans="1:1" x14ac:dyDescent="0.2">
      <c r="A61" s="102">
        <f>VLOOKUP("IMP_PERS_NEEVA",Planning!A4:P88,Indice,FALSE)</f>
        <v>43627</v>
      </c>
    </row>
    <row r="63" spans="1:1" x14ac:dyDescent="0.2">
      <c r="A63" t="s">
        <v>157</v>
      </c>
    </row>
    <row r="64" spans="1:1" x14ac:dyDescent="0.2">
      <c r="A64" s="102">
        <f>VLOOKUP("Ex_AC1",Planning!A4:P88,Indice+1,FALSE)</f>
        <v>43651</v>
      </c>
    </row>
    <row r="66" spans="1:1" x14ac:dyDescent="0.2">
      <c r="A66" s="101" t="s">
        <v>323</v>
      </c>
    </row>
    <row r="67" spans="1:1" x14ac:dyDescent="0.2">
      <c r="A67" s="102">
        <f>VLOOKUP("Frais_Info",Planning!A4:P89,Indice,FALSE)</f>
        <v>43641</v>
      </c>
    </row>
    <row r="69" spans="1:1" x14ac:dyDescent="0.2">
      <c r="A69" s="101" t="s">
        <v>330</v>
      </c>
    </row>
    <row r="70" spans="1:1" x14ac:dyDescent="0.2">
      <c r="A70" s="102">
        <f>WORKDAY(VLOOKUP("Ex_AC1",Planning!A4:P88,Indice+1,FALSE),1,z_fériés)</f>
        <v>43654</v>
      </c>
    </row>
  </sheetData>
  <protectedRanges>
    <protectedRange sqref="G7:H7" name="Plage3"/>
    <protectedRange sqref="G4" name="Plage2"/>
    <protectedRange sqref="G2" name="Plage1"/>
  </protectedRange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80</vt:i4>
      </vt:variant>
    </vt:vector>
  </HeadingPairs>
  <TitlesOfParts>
    <vt:vector size="85" baseType="lpstr">
      <vt:lpstr>Juin 2019</vt:lpstr>
      <vt:lpstr>Planning</vt:lpstr>
      <vt:lpstr>Fériés</vt:lpstr>
      <vt:lpstr>lexique</vt:lpstr>
      <vt:lpstr>Date planifiée</vt:lpstr>
      <vt:lpstr>AC_UN</vt:lpstr>
      <vt:lpstr>Fériés!Année_trait</vt:lpstr>
      <vt:lpstr>Planning!Année_trait</vt:lpstr>
      <vt:lpstr>Année_trait</vt:lpstr>
      <vt:lpstr>Fériés!Centr_2°_Compta_HP</vt:lpstr>
      <vt:lpstr>Planning!Centr_2°_Compta_HP</vt:lpstr>
      <vt:lpstr>Centr_2°_Compta_HP</vt:lpstr>
      <vt:lpstr>Centr_Immo_Cess_HP</vt:lpstr>
      <vt:lpstr>Deb_Cloture</vt:lpstr>
      <vt:lpstr>DEB_PLAN</vt:lpstr>
      <vt:lpstr>DK_Feries</vt:lpstr>
      <vt:lpstr>Fériés!Ex_AC1</vt:lpstr>
      <vt:lpstr>Planning!Ex_AC1</vt:lpstr>
      <vt:lpstr>Ex_AC1</vt:lpstr>
      <vt:lpstr>Fériés!Ex_AC2</vt:lpstr>
      <vt:lpstr>Planning!Ex_AC2</vt:lpstr>
      <vt:lpstr>Ex_AC2</vt:lpstr>
      <vt:lpstr>Fériés!Ex_AC3</vt:lpstr>
      <vt:lpstr>Planning!Ex_AC3</vt:lpstr>
      <vt:lpstr>Ex_AC3</vt:lpstr>
      <vt:lpstr>Fériés!Ex_Compta_1_HP</vt:lpstr>
      <vt:lpstr>Planning!Ex_Compta_1_HP</vt:lpstr>
      <vt:lpstr>Ex_Compta_1_HP</vt:lpstr>
      <vt:lpstr>Fériés!Ex_Compta_2_HP</vt:lpstr>
      <vt:lpstr>Planning!Ex_Compta_2_HP</vt:lpstr>
      <vt:lpstr>Ex_Compta_2_HP</vt:lpstr>
      <vt:lpstr>Fériés!Ex_Prep_Hyg</vt:lpstr>
      <vt:lpstr>Planning!Ex_Prep_Hyg</vt:lpstr>
      <vt:lpstr>Ex_Prep_Hyg</vt:lpstr>
      <vt:lpstr>Extract_AC1_M1</vt:lpstr>
      <vt:lpstr>Fériés!Fact_NEEVA</vt:lpstr>
      <vt:lpstr>Planning!Fact_NEEVA</vt:lpstr>
      <vt:lpstr>Fact_NEEVA</vt:lpstr>
      <vt:lpstr>Fériés!Feries_DK</vt:lpstr>
      <vt:lpstr>Planning!Feries_DK</vt:lpstr>
      <vt:lpstr>FIMP_PERS_NEEVA</vt:lpstr>
      <vt:lpstr>Fin_Clot_MPrec</vt:lpstr>
      <vt:lpstr>Fin_Cloture</vt:lpstr>
      <vt:lpstr>Fin_Plan</vt:lpstr>
      <vt:lpstr>Frais_Info</vt:lpstr>
      <vt:lpstr>Fériés!IMP_PERS_NEEVA</vt:lpstr>
      <vt:lpstr>Planning!IMP_PERS_NEEVA</vt:lpstr>
      <vt:lpstr>IMP_PERS_NEEVA</vt:lpstr>
      <vt:lpstr>'Juin 2019'!Impression_des_titres</vt:lpstr>
      <vt:lpstr>Indice</vt:lpstr>
      <vt:lpstr>Mois_trait</vt:lpstr>
      <vt:lpstr>Fériés!PAIE_DEF</vt:lpstr>
      <vt:lpstr>Planning!PAIE_DEF</vt:lpstr>
      <vt:lpstr>PAIE_DEF</vt:lpstr>
      <vt:lpstr>Fériés!Quick_DK</vt:lpstr>
      <vt:lpstr>Planning!Quick_DK</vt:lpstr>
      <vt:lpstr>Quick_DK</vt:lpstr>
      <vt:lpstr>Fériés!sagirco1</vt:lpstr>
      <vt:lpstr>Planning!sagirco1</vt:lpstr>
      <vt:lpstr>sagirco1</vt:lpstr>
      <vt:lpstr>Fériés!sagirco2</vt:lpstr>
      <vt:lpstr>Planning!sagirco2</vt:lpstr>
      <vt:lpstr>sagirco2</vt:lpstr>
      <vt:lpstr>Fériés!sagirco3</vt:lpstr>
      <vt:lpstr>Planning!sagirco3</vt:lpstr>
      <vt:lpstr>sagirco3</vt:lpstr>
      <vt:lpstr>Fériés!Top_Conso</vt:lpstr>
      <vt:lpstr>Planning!Top_Conso</vt:lpstr>
      <vt:lpstr>Top_Conso</vt:lpstr>
      <vt:lpstr>Fériés!TOP_Cpta_HP</vt:lpstr>
      <vt:lpstr>Planning!TOP_Cpta_HP</vt:lpstr>
      <vt:lpstr>TOP_Cpta_HP</vt:lpstr>
      <vt:lpstr>Fériés!Tr_ACO_LP</vt:lpstr>
      <vt:lpstr>Planning!Tr_ACO_LP</vt:lpstr>
      <vt:lpstr>Tr_ACO_LP</vt:lpstr>
      <vt:lpstr>Fériés!Tr_STC1_LP</vt:lpstr>
      <vt:lpstr>Planning!Tr_STC1_LP</vt:lpstr>
      <vt:lpstr>Tr_STC1_LP</vt:lpstr>
      <vt:lpstr>Fériés!Tr_STC2_LP</vt:lpstr>
      <vt:lpstr>Planning!Tr_STC2_LP</vt:lpstr>
      <vt:lpstr>Tr_STC2_LP</vt:lpstr>
      <vt:lpstr>z_feriés</vt:lpstr>
      <vt:lpstr>z_fériés</vt:lpstr>
      <vt:lpstr>'Juin 2019'!Zone_d_impression</vt:lpstr>
      <vt:lpstr>Planning!Zone_d_impression</vt:lpstr>
    </vt:vector>
  </TitlesOfParts>
  <Company>ISS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</dc:creator>
  <cp:lastModifiedBy>Rannou, Alain</cp:lastModifiedBy>
  <cp:lastPrinted>2019-02-12T10:37:07Z</cp:lastPrinted>
  <dcterms:created xsi:type="dcterms:W3CDTF">2004-04-21T11:43:47Z</dcterms:created>
  <dcterms:modified xsi:type="dcterms:W3CDTF">2019-02-20T13:44:51Z</dcterms:modified>
</cp:coreProperties>
</file>