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4240" windowHeight="12585" activeTab="3"/>
  </bookViews>
  <sheets>
    <sheet name="S42" sheetId="47" r:id="rId1"/>
    <sheet name="S43" sheetId="48" r:id="rId2"/>
    <sheet name="S44" sheetId="49" r:id="rId3"/>
    <sheet name="Ref Dossier" sheetId="25" r:id="rId4"/>
  </sheets>
  <definedNames>
    <definedName name="_xlnm._FilterDatabase" localSheetId="3" hidden="1">'Ref Dossier'!$A$150:$AA$150</definedName>
  </definedNames>
  <calcPr calcId="145621"/>
</workbook>
</file>

<file path=xl/calcChain.xml><?xml version="1.0" encoding="utf-8"?>
<calcChain xmlns="http://schemas.openxmlformats.org/spreadsheetml/2006/main">
  <c r="E602" i="25" l="1"/>
  <c r="E683" i="25"/>
  <c r="E846" i="25"/>
  <c r="E954" i="25"/>
  <c r="E963" i="25"/>
  <c r="E945" i="25"/>
  <c r="E594" i="25"/>
  <c r="E702" i="25"/>
  <c r="E936" i="25"/>
  <c r="E990" i="25"/>
  <c r="E873" i="25"/>
  <c r="E682" i="25" l="1"/>
  <c r="E1024" i="25"/>
  <c r="E1023" i="25"/>
  <c r="E1072" i="25" l="1"/>
  <c r="B1072" i="25"/>
  <c r="H1065" i="25" s="1"/>
  <c r="F1071" i="25"/>
  <c r="F1070" i="25"/>
  <c r="N1069" i="25"/>
  <c r="M1069" i="25"/>
  <c r="F1069" i="25"/>
  <c r="F1068" i="25"/>
  <c r="J1065" i="25" l="1"/>
  <c r="F1072" i="25"/>
  <c r="K1065" i="25"/>
  <c r="F1061" i="25" l="1"/>
  <c r="E1063" i="25"/>
  <c r="B1063" i="25"/>
  <c r="F1062" i="25"/>
  <c r="N1060" i="25"/>
  <c r="M1060" i="25"/>
  <c r="F1060" i="25"/>
  <c r="F1059" i="25"/>
  <c r="J1056" i="25" l="1"/>
  <c r="F1063" i="25"/>
  <c r="H1056" i="25"/>
  <c r="K1056" i="25"/>
  <c r="E601" i="25"/>
  <c r="E648" i="25" l="1"/>
  <c r="E603" i="25"/>
  <c r="E165" i="25"/>
  <c r="E681" i="25" l="1"/>
  <c r="G4" i="25" l="1"/>
  <c r="F4" i="25"/>
  <c r="C4" i="25"/>
  <c r="E4" i="25"/>
  <c r="E1054" i="25" l="1"/>
  <c r="B1054" i="25"/>
  <c r="J1047" i="25" s="1"/>
  <c r="F1053" i="25"/>
  <c r="N1051" i="25"/>
  <c r="M1051" i="25"/>
  <c r="F1051" i="25"/>
  <c r="F1050" i="25"/>
  <c r="F1054" i="25" l="1"/>
  <c r="H1047" i="25"/>
  <c r="K1047" i="25"/>
  <c r="E1045" i="25" l="1"/>
  <c r="B1045" i="25"/>
  <c r="F1044" i="25"/>
  <c r="N1042" i="25"/>
  <c r="M1042" i="25"/>
  <c r="F1042" i="25"/>
  <c r="F1041" i="25"/>
  <c r="J1038" i="25" l="1"/>
  <c r="H1038" i="25"/>
  <c r="F1045" i="25"/>
  <c r="K1038" i="25"/>
  <c r="L24" i="48" l="1"/>
  <c r="E567" i="25"/>
  <c r="E961" i="25" l="1"/>
  <c r="L20" i="48"/>
  <c r="J70" i="48" l="1"/>
  <c r="E882" i="25" l="1"/>
  <c r="E593" i="25"/>
  <c r="J28" i="48"/>
  <c r="J24" i="48" l="1"/>
  <c r="E953" i="25"/>
  <c r="E943" i="25"/>
  <c r="E934" i="25"/>
  <c r="E163" i="25"/>
  <c r="E879" i="25"/>
  <c r="E933" i="25"/>
  <c r="J14" i="48"/>
  <c r="J20" i="48" l="1"/>
  <c r="J10" i="49"/>
  <c r="E1036" i="25" l="1"/>
  <c r="B1036" i="25"/>
  <c r="F1035" i="25"/>
  <c r="N1033" i="25"/>
  <c r="M1033" i="25"/>
  <c r="F1033" i="25"/>
  <c r="F1032" i="25"/>
  <c r="J1029" i="25" l="1"/>
  <c r="H1029" i="25"/>
  <c r="F1036" i="25"/>
  <c r="K1029" i="25"/>
  <c r="E1027" i="25" l="1"/>
  <c r="B1027" i="25"/>
  <c r="F1026" i="25"/>
  <c r="N1024" i="25"/>
  <c r="M1024" i="25"/>
  <c r="F1024" i="25"/>
  <c r="F1023" i="25"/>
  <c r="J1020" i="25" l="1"/>
  <c r="K1020" i="25"/>
  <c r="H1020" i="25"/>
  <c r="F1027" i="25"/>
  <c r="L22" i="49"/>
  <c r="J22" i="49"/>
  <c r="H22" i="49"/>
  <c r="F22" i="49"/>
  <c r="L13" i="49"/>
  <c r="D13" i="49"/>
  <c r="L16" i="49"/>
  <c r="D16" i="49"/>
  <c r="L19" i="49"/>
  <c r="D19" i="49"/>
  <c r="L62" i="49"/>
  <c r="J62" i="49"/>
  <c r="H62" i="49"/>
  <c r="F62" i="49"/>
  <c r="D62" i="49"/>
  <c r="H10" i="49"/>
  <c r="L59" i="49"/>
  <c r="D59" i="49"/>
  <c r="L56" i="49"/>
  <c r="J56" i="49"/>
  <c r="H56" i="49"/>
  <c r="F56" i="49"/>
  <c r="D56" i="49"/>
  <c r="L53" i="49"/>
  <c r="J53" i="49"/>
  <c r="H53" i="49"/>
  <c r="F53" i="49"/>
  <c r="D53" i="49"/>
  <c r="L46" i="49"/>
  <c r="J46" i="49"/>
  <c r="H46" i="49"/>
  <c r="F46" i="49"/>
  <c r="D46" i="49"/>
  <c r="L43" i="49"/>
  <c r="J43" i="49"/>
  <c r="H43" i="49"/>
  <c r="F43" i="49"/>
  <c r="D43" i="49"/>
  <c r="L40" i="49"/>
  <c r="J40" i="49"/>
  <c r="H40" i="49"/>
  <c r="F40" i="49"/>
  <c r="D40" i="49"/>
  <c r="L37" i="49"/>
  <c r="J37" i="49"/>
  <c r="H37" i="49"/>
  <c r="F37" i="49"/>
  <c r="D37" i="49"/>
  <c r="L34" i="49"/>
  <c r="J34" i="49"/>
  <c r="H34" i="49"/>
  <c r="F34" i="49"/>
  <c r="D34" i="49"/>
  <c r="L49" i="49"/>
  <c r="J49" i="49"/>
  <c r="H49" i="49"/>
  <c r="F49" i="49"/>
  <c r="D49" i="49"/>
  <c r="L31" i="49"/>
  <c r="J31" i="49"/>
  <c r="H31" i="49"/>
  <c r="F31" i="49"/>
  <c r="D31" i="49"/>
  <c r="L28" i="49"/>
  <c r="J28" i="49"/>
  <c r="H28" i="49"/>
  <c r="F28" i="49"/>
  <c r="D28" i="49"/>
  <c r="J25" i="49"/>
  <c r="H25" i="49"/>
  <c r="F25" i="49"/>
  <c r="D25" i="49"/>
  <c r="D22" i="49"/>
  <c r="L10" i="49"/>
  <c r="F10" i="49"/>
  <c r="D10" i="49"/>
  <c r="H24" i="48"/>
  <c r="H28" i="48"/>
  <c r="E291" i="25"/>
  <c r="E162" i="25"/>
  <c r="E483" i="25"/>
  <c r="E297" i="25"/>
  <c r="E357" i="25"/>
  <c r="H14" i="48"/>
  <c r="M16" i="49" l="1"/>
  <c r="M13" i="49"/>
  <c r="M62" i="49"/>
  <c r="M10" i="49"/>
  <c r="M43" i="49"/>
  <c r="M49" i="49"/>
  <c r="M56" i="49"/>
  <c r="M22" i="49"/>
  <c r="M59" i="49"/>
  <c r="M53" i="49"/>
  <c r="M46" i="49"/>
  <c r="M28" i="49"/>
  <c r="M40" i="49"/>
  <c r="M37" i="49"/>
  <c r="M34" i="49"/>
  <c r="M31" i="49"/>
  <c r="M25" i="49"/>
  <c r="M19" i="49"/>
  <c r="L73" i="48"/>
  <c r="J73" i="48"/>
  <c r="H73" i="48"/>
  <c r="F73" i="48"/>
  <c r="D73" i="48"/>
  <c r="M76" i="48"/>
  <c r="M73" i="48" l="1"/>
  <c r="F32" i="48"/>
  <c r="E289" i="25" l="1"/>
  <c r="E999" i="25" l="1"/>
  <c r="E918" i="25"/>
  <c r="F38" i="48"/>
  <c r="E288" i="25" l="1"/>
  <c r="F20" i="48"/>
  <c r="E1018" i="25" l="1"/>
  <c r="B1018" i="25"/>
  <c r="F1017" i="25"/>
  <c r="N1015" i="25"/>
  <c r="M1015" i="25"/>
  <c r="F1015" i="25"/>
  <c r="F1014" i="25"/>
  <c r="J1011" i="25" l="1"/>
  <c r="H1011" i="25"/>
  <c r="F1018" i="25"/>
  <c r="K1011" i="25"/>
  <c r="D32" i="48"/>
  <c r="E951" i="25"/>
  <c r="E504" i="25"/>
  <c r="D66" i="48"/>
  <c r="E927" i="25"/>
  <c r="E591" i="25" l="1"/>
  <c r="D20" i="48"/>
  <c r="E273" i="25" l="1"/>
  <c r="L11" i="47" l="1"/>
  <c r="M32" i="48" l="1"/>
  <c r="L14" i="48"/>
  <c r="F14" i="48"/>
  <c r="D14" i="48"/>
  <c r="L38" i="48" l="1"/>
  <c r="J38" i="48"/>
  <c r="H38" i="48"/>
  <c r="D38" i="48"/>
  <c r="L47" i="48" l="1"/>
  <c r="L35" i="48"/>
  <c r="J35" i="48"/>
  <c r="H35" i="48"/>
  <c r="F35" i="48"/>
  <c r="L41" i="48"/>
  <c r="J41" i="48"/>
  <c r="H41" i="48"/>
  <c r="F41" i="48"/>
  <c r="D41" i="48"/>
  <c r="L50" i="48"/>
  <c r="J50" i="48"/>
  <c r="H50" i="48"/>
  <c r="F50" i="48"/>
  <c r="L41" i="47"/>
  <c r="J41" i="47"/>
  <c r="H41" i="47"/>
  <c r="J47" i="48"/>
  <c r="H47" i="48"/>
  <c r="E891" i="25"/>
  <c r="E828" i="25"/>
  <c r="E843" i="25" l="1"/>
  <c r="E964" i="25" l="1"/>
  <c r="B964" i="25"/>
  <c r="F963" i="25"/>
  <c r="N961" i="25"/>
  <c r="M961" i="25"/>
  <c r="F961" i="25"/>
  <c r="F960" i="25"/>
  <c r="J957" i="25" l="1"/>
  <c r="K957" i="25"/>
  <c r="H957" i="25"/>
  <c r="F964" i="25"/>
  <c r="E129" i="25"/>
  <c r="E414" i="25" l="1"/>
  <c r="E701" i="25"/>
  <c r="L70" i="48"/>
  <c r="H70" i="48"/>
  <c r="F70" i="48"/>
  <c r="D70" i="48"/>
  <c r="L66" i="48"/>
  <c r="J66" i="48"/>
  <c r="H66" i="48"/>
  <c r="F66" i="48"/>
  <c r="L62" i="48"/>
  <c r="J62" i="48"/>
  <c r="H62" i="48"/>
  <c r="F62" i="48"/>
  <c r="D62" i="48"/>
  <c r="L59" i="48"/>
  <c r="J59" i="48"/>
  <c r="H59" i="48"/>
  <c r="F59" i="48"/>
  <c r="D59" i="48"/>
  <c r="L56" i="48"/>
  <c r="J56" i="48"/>
  <c r="H56" i="48"/>
  <c r="F56" i="48"/>
  <c r="D56" i="48"/>
  <c r="L53" i="48"/>
  <c r="J53" i="48"/>
  <c r="H53" i="48"/>
  <c r="F53" i="48"/>
  <c r="D53" i="48"/>
  <c r="D50" i="48"/>
  <c r="M50" i="48" s="1"/>
  <c r="F47" i="48"/>
  <c r="D47" i="48"/>
  <c r="L44" i="48"/>
  <c r="J44" i="48"/>
  <c r="H44" i="48"/>
  <c r="F44" i="48"/>
  <c r="D44" i="48"/>
  <c r="D35" i="48"/>
  <c r="M35" i="48" s="1"/>
  <c r="M28" i="48"/>
  <c r="E700" i="25"/>
  <c r="H16" i="47"/>
  <c r="M44" i="48" l="1"/>
  <c r="M66" i="48"/>
  <c r="M53" i="48"/>
  <c r="M47" i="48"/>
  <c r="M41" i="48"/>
  <c r="M24" i="48"/>
  <c r="M62" i="48"/>
  <c r="M14" i="48"/>
  <c r="M70" i="48"/>
  <c r="M20" i="48"/>
  <c r="M38" i="48"/>
  <c r="M59" i="48"/>
  <c r="M56" i="48"/>
  <c r="E955" i="25"/>
  <c r="B955" i="25"/>
  <c r="F954" i="25"/>
  <c r="N952" i="25"/>
  <c r="M952" i="25"/>
  <c r="F952" i="25"/>
  <c r="F951" i="25"/>
  <c r="J948" i="25" l="1"/>
  <c r="H948" i="25"/>
  <c r="F955" i="25"/>
  <c r="K948" i="25"/>
  <c r="E946" i="25"/>
  <c r="B946" i="25"/>
  <c r="F945" i="25"/>
  <c r="N943" i="25"/>
  <c r="M943" i="25"/>
  <c r="F943" i="25"/>
  <c r="F942" i="25"/>
  <c r="J939" i="25" l="1"/>
  <c r="F946" i="25"/>
  <c r="H939" i="25"/>
  <c r="K939" i="25"/>
  <c r="E1009" i="25"/>
  <c r="B1009" i="25"/>
  <c r="F1008" i="25"/>
  <c r="N1006" i="25"/>
  <c r="M1006" i="25"/>
  <c r="F1006" i="25"/>
  <c r="F1005" i="25"/>
  <c r="J1002" i="25" l="1"/>
  <c r="F1009" i="25"/>
  <c r="H1002" i="25"/>
  <c r="K1002" i="25"/>
  <c r="E837" i="25"/>
  <c r="F41" i="47"/>
  <c r="F35" i="47"/>
  <c r="E1000" i="25" l="1"/>
  <c r="B1000" i="25"/>
  <c r="F999" i="25"/>
  <c r="N997" i="25"/>
  <c r="M997" i="25"/>
  <c r="F997" i="25"/>
  <c r="F996" i="25"/>
  <c r="K993" i="25" l="1"/>
  <c r="H993" i="25"/>
  <c r="J993" i="25"/>
  <c r="F1000" i="25"/>
  <c r="D24" i="47"/>
  <c r="D21" i="47"/>
  <c r="L21" i="47"/>
  <c r="J21" i="47"/>
  <c r="H21" i="47"/>
  <c r="F21" i="47"/>
  <c r="L31" i="47"/>
  <c r="J31" i="47"/>
  <c r="H31" i="47"/>
  <c r="F31" i="47"/>
  <c r="D31" i="47"/>
  <c r="E900" i="25"/>
  <c r="D44" i="47"/>
  <c r="D41" i="47"/>
  <c r="E412" i="25" l="1"/>
  <c r="D16" i="47"/>
  <c r="E501" i="25"/>
  <c r="J11" i="47"/>
  <c r="H11" i="47"/>
  <c r="F11" i="47"/>
  <c r="D11" i="47"/>
  <c r="F987" i="25"/>
  <c r="B991" i="25"/>
  <c r="H984" i="25" s="1"/>
  <c r="F990" i="25"/>
  <c r="N988" i="25"/>
  <c r="M988" i="25"/>
  <c r="F988" i="25"/>
  <c r="E991" i="25" l="1"/>
  <c r="F991" i="25" s="1"/>
  <c r="E982" i="25"/>
  <c r="B982" i="25"/>
  <c r="F981" i="25"/>
  <c r="N979" i="25"/>
  <c r="M979" i="25"/>
  <c r="F979" i="25"/>
  <c r="F978" i="25"/>
  <c r="E973" i="25"/>
  <c r="B973" i="25"/>
  <c r="H966" i="25" s="1"/>
  <c r="N970" i="25"/>
  <c r="M970" i="25"/>
  <c r="F970" i="25"/>
  <c r="F969" i="25"/>
  <c r="J984" i="25" l="1"/>
  <c r="K984" i="25"/>
  <c r="J975" i="25"/>
  <c r="F982" i="25"/>
  <c r="H975" i="25"/>
  <c r="K975" i="25"/>
  <c r="K966" i="25"/>
  <c r="F973" i="25"/>
  <c r="J966" i="25"/>
  <c r="E865" i="25" l="1"/>
  <c r="B865" i="25"/>
  <c r="F864" i="25"/>
  <c r="N862" i="25"/>
  <c r="M862" i="25"/>
  <c r="F862" i="25"/>
  <c r="F861" i="25"/>
  <c r="J858" i="25" l="1"/>
  <c r="F865" i="25"/>
  <c r="H858" i="25"/>
  <c r="K858" i="25"/>
  <c r="L53" i="47"/>
  <c r="J53" i="47"/>
  <c r="H53" i="47"/>
  <c r="D53" i="47"/>
  <c r="F53" i="47"/>
  <c r="L56" i="47"/>
  <c r="J56" i="47"/>
  <c r="H56" i="47"/>
  <c r="F56" i="47"/>
  <c r="D56" i="47"/>
  <c r="L35" i="47"/>
  <c r="J35" i="47"/>
  <c r="H35" i="47"/>
  <c r="L38" i="47"/>
  <c r="J38" i="47"/>
  <c r="H38" i="47"/>
  <c r="F38" i="47"/>
  <c r="D38" i="47"/>
  <c r="E844" i="25"/>
  <c r="E847" i="25" s="1"/>
  <c r="E889" i="25"/>
  <c r="L50" i="47" l="1"/>
  <c r="J50" i="47"/>
  <c r="H50" i="47"/>
  <c r="F50" i="47"/>
  <c r="D50" i="47"/>
  <c r="L47" i="47"/>
  <c r="J47" i="47"/>
  <c r="D47" i="47"/>
  <c r="F47" i="47"/>
  <c r="H47" i="47"/>
  <c r="E937" i="25" l="1"/>
  <c r="B937" i="25"/>
  <c r="F936" i="25"/>
  <c r="N934" i="25"/>
  <c r="M934" i="25"/>
  <c r="F934" i="25"/>
  <c r="F933" i="25"/>
  <c r="J930" i="25" l="1"/>
  <c r="F937" i="25"/>
  <c r="H930" i="25"/>
  <c r="K930" i="25"/>
  <c r="D27" i="47"/>
  <c r="E928" i="25"/>
  <c r="B928" i="25"/>
  <c r="F927" i="25"/>
  <c r="N925" i="25"/>
  <c r="M925" i="25"/>
  <c r="F925" i="25"/>
  <c r="F924" i="25"/>
  <c r="F928" i="25" l="1"/>
  <c r="J921" i="25"/>
  <c r="H921" i="25"/>
  <c r="K921" i="25"/>
  <c r="E441" i="25" l="1"/>
  <c r="E870" i="25"/>
  <c r="L16" i="47" l="1"/>
  <c r="J16" i="47"/>
  <c r="F16" i="47"/>
  <c r="M65" i="47"/>
  <c r="L62" i="47"/>
  <c r="J62" i="47"/>
  <c r="H62" i="47"/>
  <c r="F62" i="47"/>
  <c r="D62" i="47"/>
  <c r="L59" i="47"/>
  <c r="J59" i="47"/>
  <c r="H59" i="47"/>
  <c r="F59" i="47"/>
  <c r="D59" i="47"/>
  <c r="M56" i="47"/>
  <c r="M53" i="47"/>
  <c r="M47" i="47"/>
  <c r="M44" i="47"/>
  <c r="M41" i="47"/>
  <c r="M38" i="47"/>
  <c r="M35" i="47"/>
  <c r="M24" i="47" l="1"/>
  <c r="M50" i="47"/>
  <c r="M62" i="47"/>
  <c r="M16" i="47"/>
  <c r="M21" i="47"/>
  <c r="M27" i="47"/>
  <c r="M59" i="47"/>
  <c r="M31" i="47"/>
  <c r="M11" i="47"/>
  <c r="E379" i="25"/>
  <c r="B379" i="25"/>
  <c r="H372" i="25" s="1"/>
  <c r="F378" i="25"/>
  <c r="F376" i="25"/>
  <c r="F375" i="25"/>
  <c r="B370" i="25"/>
  <c r="H363" i="25" s="1"/>
  <c r="F369" i="25"/>
  <c r="F367" i="25"/>
  <c r="F366" i="25"/>
  <c r="K372" i="25" l="1"/>
  <c r="J372" i="25"/>
  <c r="F379" i="25"/>
  <c r="E370" i="25"/>
  <c r="E919" i="25"/>
  <c r="B919" i="25"/>
  <c r="F918" i="25"/>
  <c r="N916" i="25"/>
  <c r="M916" i="25"/>
  <c r="F916" i="25"/>
  <c r="F915" i="25"/>
  <c r="J912" i="25" l="1"/>
  <c r="F370" i="25"/>
  <c r="K363" i="25"/>
  <c r="J363" i="25"/>
  <c r="F919" i="25"/>
  <c r="H912" i="25"/>
  <c r="K912" i="25"/>
  <c r="E477" i="25"/>
  <c r="E255" i="25"/>
  <c r="E254" i="25"/>
  <c r="E439" i="25"/>
  <c r="E675" i="25"/>
  <c r="E910" i="25" l="1"/>
  <c r="B910" i="25"/>
  <c r="F909" i="25"/>
  <c r="N907" i="25"/>
  <c r="M907" i="25"/>
  <c r="F907" i="25"/>
  <c r="F906" i="25"/>
  <c r="E438" i="25"/>
  <c r="E888" i="25"/>
  <c r="J903" i="25" l="1"/>
  <c r="H903" i="25"/>
  <c r="K903" i="25"/>
  <c r="F910" i="25"/>
  <c r="E901" i="25"/>
  <c r="B901" i="25"/>
  <c r="F900" i="25"/>
  <c r="N898" i="25"/>
  <c r="M898" i="25"/>
  <c r="F898" i="25"/>
  <c r="F897" i="25"/>
  <c r="J894" i="25" l="1"/>
  <c r="H894" i="25"/>
  <c r="K894" i="25"/>
  <c r="F901" i="25"/>
  <c r="E674" i="25"/>
  <c r="F853" i="25" l="1"/>
  <c r="F855" i="25"/>
  <c r="E856" i="25"/>
  <c r="B856" i="25"/>
  <c r="H849" i="25" s="1"/>
  <c r="N853" i="25"/>
  <c r="M853" i="25"/>
  <c r="F852" i="25"/>
  <c r="E558" i="25"/>
  <c r="E531" i="25"/>
  <c r="F856" i="25" l="1"/>
  <c r="J849" i="25"/>
  <c r="K849" i="25"/>
  <c r="E892" i="25" l="1"/>
  <c r="B892" i="25"/>
  <c r="H885" i="25" s="1"/>
  <c r="F891" i="25"/>
  <c r="N889" i="25"/>
  <c r="M889" i="25"/>
  <c r="F889" i="25"/>
  <c r="F888" i="25"/>
  <c r="E883" i="25"/>
  <c r="B883" i="25"/>
  <c r="H876" i="25" s="1"/>
  <c r="F882" i="25"/>
  <c r="N880" i="25"/>
  <c r="M880" i="25"/>
  <c r="F880" i="25"/>
  <c r="F879" i="25"/>
  <c r="F892" i="25" l="1"/>
  <c r="J885" i="25"/>
  <c r="K885" i="25"/>
  <c r="J876" i="25"/>
  <c r="F883" i="25"/>
  <c r="K876" i="25"/>
  <c r="E246" i="25"/>
  <c r="E282" i="25"/>
  <c r="E672" i="25"/>
  <c r="E475" i="25"/>
  <c r="E280" i="25" l="1"/>
  <c r="E237" i="25"/>
  <c r="E272" i="25"/>
  <c r="E245" i="25"/>
  <c r="F871" i="25" l="1"/>
  <c r="F872" i="25"/>
  <c r="F873" i="25"/>
  <c r="B874" i="25"/>
  <c r="H867" i="25" s="1"/>
  <c r="N871" i="25"/>
  <c r="M871" i="25"/>
  <c r="F870" i="25"/>
  <c r="E874" i="25" l="1"/>
  <c r="J867" i="25" s="1"/>
  <c r="F874" i="25" l="1"/>
  <c r="K867" i="25"/>
  <c r="E387" i="25" l="1"/>
  <c r="E236" i="25"/>
  <c r="E309" i="25"/>
  <c r="E478" i="25" l="1"/>
  <c r="B478" i="25"/>
  <c r="H471" i="25" s="1"/>
  <c r="F477" i="25"/>
  <c r="F475" i="25"/>
  <c r="F474" i="25"/>
  <c r="E646" i="25"/>
  <c r="J471" i="25" l="1"/>
  <c r="F478" i="25"/>
  <c r="K471" i="25"/>
  <c r="B847" i="25"/>
  <c r="H840" i="25" s="1"/>
  <c r="N844" i="25"/>
  <c r="M844" i="25"/>
  <c r="F843" i="25"/>
  <c r="J840" i="25" l="1"/>
  <c r="K840" i="25"/>
  <c r="F847" i="25"/>
  <c r="E495" i="25"/>
  <c r="E459" i="25"/>
  <c r="E513" i="25"/>
  <c r="E166" i="25" l="1"/>
  <c r="B166" i="25"/>
  <c r="H159" i="25" s="1"/>
  <c r="F165" i="25"/>
  <c r="F163" i="25"/>
  <c r="F162" i="25"/>
  <c r="E645" i="25"/>
  <c r="E649" i="25" s="1"/>
  <c r="J159" i="25" l="1"/>
  <c r="K159" i="25"/>
  <c r="F166" i="25"/>
  <c r="E658" i="25"/>
  <c r="B658" i="25"/>
  <c r="F657" i="25"/>
  <c r="F655" i="25"/>
  <c r="F654" i="25"/>
  <c r="H651" i="25"/>
  <c r="K651" i="25" l="1"/>
  <c r="F658" i="25"/>
  <c r="J651" i="25"/>
  <c r="E667" i="25" l="1"/>
  <c r="B667" i="25"/>
  <c r="H660" i="25" s="1"/>
  <c r="F666" i="25"/>
  <c r="F664" i="25"/>
  <c r="F663" i="25"/>
  <c r="K660" i="25" l="1"/>
  <c r="F667" i="25"/>
  <c r="J660" i="25"/>
  <c r="E301" i="25"/>
  <c r="B301" i="25"/>
  <c r="H294" i="25" s="1"/>
  <c r="F300" i="25"/>
  <c r="F298" i="25"/>
  <c r="F297" i="25"/>
  <c r="K294" i="25" l="1"/>
  <c r="J294" i="25"/>
  <c r="F301" i="25"/>
  <c r="E505" i="25"/>
  <c r="B505" i="25"/>
  <c r="H498" i="25" s="1"/>
  <c r="F504" i="25"/>
  <c r="F502" i="25"/>
  <c r="F501" i="25"/>
  <c r="F505" i="25" l="1"/>
  <c r="J498" i="25"/>
  <c r="K498" i="25"/>
  <c r="E156" i="25"/>
  <c r="E838" i="25" l="1"/>
  <c r="B838" i="25"/>
  <c r="H831" i="25" s="1"/>
  <c r="N835" i="25"/>
  <c r="M835" i="25"/>
  <c r="F834" i="25"/>
  <c r="E829" i="25"/>
  <c r="B829" i="25"/>
  <c r="H822" i="25" s="1"/>
  <c r="N826" i="25"/>
  <c r="M826" i="25"/>
  <c r="F825" i="25"/>
  <c r="F838" i="25" l="1"/>
  <c r="J831" i="25"/>
  <c r="K831" i="25"/>
  <c r="J822" i="25"/>
  <c r="F829" i="25"/>
  <c r="K822" i="25"/>
  <c r="E405" i="25"/>
  <c r="E540" i="25"/>
  <c r="E468" i="25"/>
  <c r="E228" i="25"/>
  <c r="E271" i="25"/>
  <c r="E279" i="25"/>
  <c r="B292" i="25" l="1"/>
  <c r="H285" i="25" s="1"/>
  <c r="F291" i="25"/>
  <c r="F289" i="25"/>
  <c r="F288" i="25"/>
  <c r="E292" i="25" l="1"/>
  <c r="F292" i="25" s="1"/>
  <c r="E820" i="25"/>
  <c r="B820" i="25"/>
  <c r="N817" i="25"/>
  <c r="M817" i="25"/>
  <c r="F816" i="25"/>
  <c r="K285" i="25" l="1"/>
  <c r="J813" i="25"/>
  <c r="J285" i="25"/>
  <c r="H813" i="25"/>
  <c r="F820" i="25"/>
  <c r="K813" i="25"/>
  <c r="E808" i="25" l="1"/>
  <c r="B808" i="25"/>
  <c r="P807" i="25"/>
  <c r="F807" i="25"/>
  <c r="O805" i="25"/>
  <c r="N805" i="25"/>
  <c r="M805" i="25"/>
  <c r="F805" i="25"/>
  <c r="F804" i="25"/>
  <c r="F808" i="25" l="1"/>
  <c r="P805" i="25"/>
  <c r="K801" i="25"/>
  <c r="H801" i="25"/>
  <c r="J801" i="25"/>
  <c r="E336" i="25"/>
  <c r="E270" i="25"/>
  <c r="E253" i="25"/>
  <c r="E522" i="25" l="1"/>
  <c r="E549" i="25" l="1"/>
  <c r="E227" i="25"/>
  <c r="E783" i="25"/>
  <c r="E244" i="25" l="1"/>
  <c r="E154" i="25"/>
  <c r="E796" i="25" l="1"/>
  <c r="B796" i="25"/>
  <c r="P795" i="25"/>
  <c r="F795" i="25"/>
  <c r="O793" i="25"/>
  <c r="N793" i="25"/>
  <c r="M793" i="25"/>
  <c r="F793" i="25"/>
  <c r="F792" i="25"/>
  <c r="J789" i="25" l="1"/>
  <c r="P793" i="25"/>
  <c r="K789" i="25"/>
  <c r="H789" i="25"/>
  <c r="F796" i="25"/>
  <c r="E283" i="25"/>
  <c r="B283" i="25"/>
  <c r="H276" i="25" s="1"/>
  <c r="F282" i="25"/>
  <c r="F280" i="25"/>
  <c r="F279" i="25"/>
  <c r="F283" i="25" l="1"/>
  <c r="J276" i="25"/>
  <c r="K276" i="25"/>
  <c r="E48" i="25" l="1"/>
  <c r="E210" i="25"/>
  <c r="E252" i="25"/>
  <c r="E243" i="25"/>
  <c r="B496" i="25" l="1"/>
  <c r="H489" i="25" s="1"/>
  <c r="F495" i="25"/>
  <c r="F493" i="25"/>
  <c r="F492" i="25"/>
  <c r="E157" i="25"/>
  <c r="B157" i="25"/>
  <c r="F156" i="25"/>
  <c r="F154" i="25"/>
  <c r="F153" i="25"/>
  <c r="J150" i="25" l="1"/>
  <c r="E496" i="25"/>
  <c r="F157" i="25"/>
  <c r="K150" i="25"/>
  <c r="H150" i="25"/>
  <c r="F496" i="25" l="1"/>
  <c r="J489" i="25"/>
  <c r="K489" i="25"/>
  <c r="E537" i="25"/>
  <c r="E234" i="25"/>
  <c r="E557" i="25" l="1"/>
  <c r="E226" i="25" l="1"/>
  <c r="E548" i="25" l="1"/>
  <c r="E757" i="25" l="1"/>
  <c r="B757" i="25"/>
  <c r="H750" i="25" s="1"/>
  <c r="F756" i="25"/>
  <c r="F754" i="25"/>
  <c r="F753" i="25"/>
  <c r="F757" i="25" l="1"/>
  <c r="J750" i="25"/>
  <c r="K750" i="25"/>
  <c r="E748" i="25"/>
  <c r="B748" i="25"/>
  <c r="H741" i="25" s="1"/>
  <c r="F747" i="25"/>
  <c r="F745" i="25"/>
  <c r="F744" i="25"/>
  <c r="K741" i="25" l="1"/>
  <c r="F748" i="25"/>
  <c r="J741" i="25"/>
  <c r="E538" i="25" l="1"/>
  <c r="E564" i="25"/>
  <c r="E345" i="25" l="1"/>
  <c r="E423" i="25" l="1"/>
  <c r="E360" i="25"/>
  <c r="E209" i="25"/>
  <c r="E556" i="25" l="1"/>
  <c r="E555" i="25"/>
  <c r="E335" i="25" l="1"/>
  <c r="E530" i="25"/>
  <c r="E192" i="25"/>
  <c r="E774" i="25"/>
  <c r="E327" i="25"/>
  <c r="E415" i="25" l="1"/>
  <c r="B415" i="25"/>
  <c r="H408" i="25" s="1"/>
  <c r="F414" i="25"/>
  <c r="F412" i="25"/>
  <c r="F411" i="25"/>
  <c r="F415" i="25" l="1"/>
  <c r="K408" i="25"/>
  <c r="J408" i="25"/>
  <c r="E547" i="25"/>
  <c r="E784" i="25" l="1"/>
  <c r="B784" i="25"/>
  <c r="H777" i="25" s="1"/>
  <c r="P783" i="25"/>
  <c r="F783" i="25"/>
  <c r="O781" i="25"/>
  <c r="N781" i="25"/>
  <c r="M781" i="25"/>
  <c r="F781" i="25"/>
  <c r="F780" i="25"/>
  <c r="P781" i="25" l="1"/>
  <c r="J777" i="25"/>
  <c r="F784" i="25"/>
  <c r="K777" i="25"/>
  <c r="E622" i="25"/>
  <c r="B622" i="25"/>
  <c r="H615" i="25" s="1"/>
  <c r="F621" i="25"/>
  <c r="F620" i="25"/>
  <c r="F619" i="25"/>
  <c r="F618" i="25"/>
  <c r="F622" i="25" l="1"/>
  <c r="J615" i="25"/>
  <c r="K615" i="25"/>
  <c r="E183" i="25" l="1"/>
  <c r="E201" i="25" l="1"/>
  <c r="E521" i="25" l="1"/>
  <c r="E771" i="25" l="1"/>
  <c r="E274" i="25" l="1"/>
  <c r="B274" i="25"/>
  <c r="H267" i="25" s="1"/>
  <c r="F273" i="25"/>
  <c r="F271" i="25"/>
  <c r="F270" i="25"/>
  <c r="E207" i="25"/>
  <c r="F274" i="25" l="1"/>
  <c r="K267" i="25"/>
  <c r="J267" i="25"/>
  <c r="E219" i="25" l="1"/>
  <c r="E739" i="25" l="1"/>
  <c r="B739" i="25"/>
  <c r="H732" i="25" s="1"/>
  <c r="F738" i="25"/>
  <c r="F736" i="25"/>
  <c r="F735" i="25"/>
  <c r="K732" i="25" l="1"/>
  <c r="F739" i="25"/>
  <c r="J732" i="25"/>
  <c r="E730" i="25"/>
  <c r="B730" i="25"/>
  <c r="H723" i="25" s="1"/>
  <c r="F729" i="25"/>
  <c r="F727" i="25"/>
  <c r="F726" i="25"/>
  <c r="K723" i="25" l="1"/>
  <c r="J723" i="25"/>
  <c r="F730" i="25"/>
  <c r="E721" i="25"/>
  <c r="B721" i="25"/>
  <c r="H714" i="25" s="1"/>
  <c r="F720" i="25"/>
  <c r="F718" i="25"/>
  <c r="F717" i="25"/>
  <c r="E712" i="25"/>
  <c r="B712" i="25"/>
  <c r="H705" i="25" s="1"/>
  <c r="F711" i="25"/>
  <c r="F709" i="25"/>
  <c r="F708" i="25"/>
  <c r="E703" i="25"/>
  <c r="B703" i="25"/>
  <c r="F702" i="25"/>
  <c r="F700" i="25"/>
  <c r="F699" i="25"/>
  <c r="K705" i="25" l="1"/>
  <c r="J705" i="25"/>
  <c r="J696" i="25"/>
  <c r="F721" i="25"/>
  <c r="J714" i="25"/>
  <c r="K714" i="25"/>
  <c r="F712" i="25"/>
  <c r="K696" i="25"/>
  <c r="F703" i="25"/>
  <c r="H696" i="25"/>
  <c r="E432" i="25" l="1"/>
  <c r="E519" i="25" l="1"/>
  <c r="E523" i="25" s="1"/>
  <c r="E694" i="25" l="1"/>
  <c r="B694" i="25"/>
  <c r="H687" i="25" s="1"/>
  <c r="F693" i="25"/>
  <c r="F691" i="25"/>
  <c r="F690" i="25"/>
  <c r="E484" i="25"/>
  <c r="F694" i="25" l="1"/>
  <c r="J687" i="25"/>
  <c r="K687" i="25"/>
  <c r="E685" i="25" l="1"/>
  <c r="B685" i="25"/>
  <c r="F684" i="25"/>
  <c r="F682" i="25"/>
  <c r="F681" i="25"/>
  <c r="J678" i="25" l="1"/>
  <c r="K678" i="25"/>
  <c r="F685" i="25"/>
  <c r="H678" i="25"/>
  <c r="E676" i="25"/>
  <c r="B676" i="25"/>
  <c r="H669" i="25" s="1"/>
  <c r="F675" i="25"/>
  <c r="F673" i="25"/>
  <c r="F672" i="25"/>
  <c r="K669" i="25" l="1"/>
  <c r="F676" i="25"/>
  <c r="J669" i="25"/>
  <c r="B649" i="25"/>
  <c r="H642" i="25" s="1"/>
  <c r="F648" i="25"/>
  <c r="F646" i="25"/>
  <c r="F645" i="25"/>
  <c r="F649" i="25" l="1"/>
  <c r="J642" i="25"/>
  <c r="K642" i="25"/>
  <c r="E640" i="25"/>
  <c r="B640" i="25"/>
  <c r="H633" i="25" s="1"/>
  <c r="F639" i="25"/>
  <c r="F638" i="25"/>
  <c r="F637" i="25"/>
  <c r="F636" i="25"/>
  <c r="E631" i="25"/>
  <c r="B631" i="25"/>
  <c r="H624" i="25" s="1"/>
  <c r="F630" i="25"/>
  <c r="F629" i="25"/>
  <c r="F628" i="25"/>
  <c r="F627" i="25"/>
  <c r="F640" i="25" l="1"/>
  <c r="J633" i="25"/>
  <c r="K633" i="25"/>
  <c r="F631" i="25"/>
  <c r="J624" i="25"/>
  <c r="K624" i="25"/>
  <c r="E613" i="25" l="1"/>
  <c r="B613" i="25"/>
  <c r="F612" i="25"/>
  <c r="F611" i="25"/>
  <c r="F610" i="25"/>
  <c r="F609" i="25"/>
  <c r="E604" i="25"/>
  <c r="B604" i="25"/>
  <c r="H597" i="25" s="1"/>
  <c r="F603" i="25"/>
  <c r="F602" i="25"/>
  <c r="F601" i="25"/>
  <c r="F600" i="25"/>
  <c r="E595" i="25"/>
  <c r="B595" i="25"/>
  <c r="H588" i="25" s="1"/>
  <c r="F594" i="25"/>
  <c r="F593" i="25"/>
  <c r="F592" i="25"/>
  <c r="F591" i="25"/>
  <c r="J606" i="25" l="1"/>
  <c r="F613" i="25"/>
  <c r="H606" i="25"/>
  <c r="K606" i="25"/>
  <c r="F604" i="25"/>
  <c r="J597" i="25"/>
  <c r="K597" i="25"/>
  <c r="K588" i="25"/>
  <c r="J588" i="25"/>
  <c r="F595" i="25"/>
  <c r="E586" i="25" l="1"/>
  <c r="B586" i="25"/>
  <c r="F585" i="25"/>
  <c r="F584" i="25"/>
  <c r="F583" i="25"/>
  <c r="F582" i="25"/>
  <c r="E577" i="25"/>
  <c r="B577" i="25"/>
  <c r="H570" i="25" s="1"/>
  <c r="F576" i="25"/>
  <c r="F575" i="25"/>
  <c r="F574" i="25"/>
  <c r="F573" i="25"/>
  <c r="J579" i="25" l="1"/>
  <c r="F586" i="25"/>
  <c r="H579" i="25"/>
  <c r="K579" i="25"/>
  <c r="J570" i="25"/>
  <c r="K570" i="25"/>
  <c r="F577" i="25"/>
  <c r="E358" i="25"/>
  <c r="E318" i="25" l="1"/>
  <c r="E460" i="25" l="1"/>
  <c r="B460" i="25"/>
  <c r="F459" i="25"/>
  <c r="F457" i="25"/>
  <c r="F456" i="25"/>
  <c r="J453" i="25" l="1"/>
  <c r="K453" i="25"/>
  <c r="F460" i="25"/>
  <c r="H453" i="25"/>
  <c r="E208" i="25"/>
  <c r="P774" i="25" l="1"/>
  <c r="O772" i="25"/>
  <c r="N772" i="25"/>
  <c r="M772" i="25"/>
  <c r="P772" i="25" l="1"/>
  <c r="E334" i="25" l="1"/>
  <c r="E218" i="25"/>
  <c r="B211" i="25" l="1"/>
  <c r="H204" i="25" s="1"/>
  <c r="F210" i="25"/>
  <c r="E211" i="25"/>
  <c r="F208" i="25"/>
  <c r="F207" i="25"/>
  <c r="F211" i="25" l="1"/>
  <c r="K204" i="25"/>
  <c r="J204" i="25"/>
  <c r="E775" i="25"/>
  <c r="B775" i="25"/>
  <c r="F774" i="25"/>
  <c r="F772" i="25"/>
  <c r="F771" i="25"/>
  <c r="E359" i="25"/>
  <c r="J768" i="25" l="1"/>
  <c r="K768" i="25"/>
  <c r="H768" i="25"/>
  <c r="F775" i="25"/>
  <c r="E766" i="25"/>
  <c r="B766" i="25"/>
  <c r="H759" i="25" s="1"/>
  <c r="F765" i="25"/>
  <c r="F764" i="25"/>
  <c r="F763" i="25"/>
  <c r="F762" i="25"/>
  <c r="F766" i="25" l="1"/>
  <c r="K759" i="25"/>
  <c r="J759" i="25"/>
  <c r="E568" i="25" l="1"/>
  <c r="B568" i="25"/>
  <c r="H561" i="25" s="1"/>
  <c r="F567" i="25"/>
  <c r="F566" i="25"/>
  <c r="F565" i="25"/>
  <c r="F564" i="25"/>
  <c r="E559" i="25"/>
  <c r="B559" i="25"/>
  <c r="H552" i="25" s="1"/>
  <c r="F558" i="25"/>
  <c r="F557" i="25"/>
  <c r="F556" i="25"/>
  <c r="F555" i="25"/>
  <c r="K561" i="25" l="1"/>
  <c r="F559" i="25"/>
  <c r="K552" i="25"/>
  <c r="J552" i="25"/>
  <c r="J561" i="25"/>
  <c r="F568" i="25"/>
  <c r="F548" i="25"/>
  <c r="E550" i="25"/>
  <c r="B550" i="25"/>
  <c r="H543" i="25" s="1"/>
  <c r="F549" i="25"/>
  <c r="F547" i="25"/>
  <c r="F546" i="25"/>
  <c r="F550" i="25" l="1"/>
  <c r="J543" i="25"/>
  <c r="K543" i="25"/>
  <c r="E541" i="25" l="1"/>
  <c r="B541" i="25"/>
  <c r="H534" i="25" s="1"/>
  <c r="F540" i="25"/>
  <c r="F538" i="25"/>
  <c r="F537" i="25"/>
  <c r="F522" i="25"/>
  <c r="F531" i="25"/>
  <c r="E532" i="25"/>
  <c r="B532" i="25"/>
  <c r="H525" i="25" s="1"/>
  <c r="F529" i="25"/>
  <c r="F528" i="25"/>
  <c r="F541" i="25" l="1"/>
  <c r="J534" i="25"/>
  <c r="K534" i="25"/>
  <c r="F532" i="25"/>
  <c r="J525" i="25"/>
  <c r="K525" i="25"/>
  <c r="E451" i="25"/>
  <c r="B451" i="25"/>
  <c r="H444" i="25" s="1"/>
  <c r="F450" i="25"/>
  <c r="F448" i="25"/>
  <c r="F447" i="25"/>
  <c r="E344" i="25"/>
  <c r="E326" i="25"/>
  <c r="E217" i="25"/>
  <c r="K444" i="25" l="1"/>
  <c r="F451" i="25"/>
  <c r="J444" i="25"/>
  <c r="B523" i="25" l="1"/>
  <c r="H516" i="25" s="1"/>
  <c r="F520" i="25"/>
  <c r="F519" i="25"/>
  <c r="J516" i="25" l="1"/>
  <c r="F523" i="25"/>
  <c r="K516" i="25"/>
  <c r="E442" i="25" l="1"/>
  <c r="B442" i="25"/>
  <c r="F441" i="25"/>
  <c r="F439" i="25"/>
  <c r="F438" i="25"/>
  <c r="E514" i="25"/>
  <c r="B514" i="25"/>
  <c r="F511" i="25"/>
  <c r="F510" i="25"/>
  <c r="K507" i="25" l="1"/>
  <c r="J435" i="25"/>
  <c r="H435" i="25"/>
  <c r="F442" i="25"/>
  <c r="K435" i="25"/>
  <c r="H507" i="25"/>
  <c r="F514" i="25"/>
  <c r="J507" i="25"/>
  <c r="E121" i="25" l="1"/>
  <c r="B121" i="25"/>
  <c r="F118" i="25"/>
  <c r="F117" i="25"/>
  <c r="K114" i="25" l="1"/>
  <c r="J114" i="25"/>
  <c r="F121" i="25"/>
  <c r="H114" i="25"/>
  <c r="E487" i="25"/>
  <c r="B487" i="25"/>
  <c r="F486" i="25"/>
  <c r="F484" i="25"/>
  <c r="F483" i="25"/>
  <c r="B469" i="25"/>
  <c r="H462" i="25" s="1"/>
  <c r="E469" i="25"/>
  <c r="F466" i="25"/>
  <c r="F465" i="25"/>
  <c r="F487" i="25" l="1"/>
  <c r="H480" i="25"/>
  <c r="J480" i="25"/>
  <c r="K480" i="25"/>
  <c r="J462" i="25"/>
  <c r="F469" i="25"/>
  <c r="K462" i="25"/>
  <c r="F468" i="25"/>
  <c r="E325" i="25"/>
  <c r="E147" i="25"/>
  <c r="E200" i="25" l="1"/>
  <c r="E111" i="25"/>
  <c r="E342" i="25" l="1"/>
  <c r="E361" i="25" l="1"/>
  <c r="B361" i="25"/>
  <c r="H354" i="25" s="1"/>
  <c r="F360" i="25"/>
  <c r="F359" i="25"/>
  <c r="F358" i="25"/>
  <c r="F357" i="25"/>
  <c r="E346" i="25"/>
  <c r="B346" i="25"/>
  <c r="H339" i="25" s="1"/>
  <c r="F345" i="25"/>
  <c r="F344" i="25"/>
  <c r="F343" i="25"/>
  <c r="F342" i="25"/>
  <c r="E82" i="25"/>
  <c r="E84" i="25"/>
  <c r="F361" i="25" l="1"/>
  <c r="J354" i="25"/>
  <c r="K354" i="25"/>
  <c r="K339" i="25"/>
  <c r="J339" i="25"/>
  <c r="F346" i="25"/>
  <c r="E406" i="25" l="1"/>
  <c r="B406" i="25"/>
  <c r="F405" i="25"/>
  <c r="F403" i="25"/>
  <c r="F402" i="25"/>
  <c r="J399" i="25" l="1"/>
  <c r="K399" i="25"/>
  <c r="H399" i="25"/>
  <c r="F406" i="25"/>
  <c r="E396" i="25"/>
  <c r="E333" i="25" l="1"/>
  <c r="E12" i="25" l="1"/>
  <c r="E191" i="25" l="1"/>
  <c r="E308" i="25"/>
  <c r="E307" i="25"/>
  <c r="E198" i="25"/>
  <c r="E324" i="25" l="1"/>
  <c r="E21" i="25" l="1"/>
  <c r="E306" i="25" l="1"/>
  <c r="E138" i="25"/>
  <c r="E397" i="25" l="1"/>
  <c r="B397" i="25"/>
  <c r="H390" i="25" s="1"/>
  <c r="F396" i="25"/>
  <c r="F394" i="25"/>
  <c r="F393" i="25"/>
  <c r="J390" i="25" l="1"/>
  <c r="F397" i="25"/>
  <c r="K390" i="25"/>
  <c r="E420" i="25"/>
  <c r="E181" i="25" l="1"/>
  <c r="E174" i="25"/>
  <c r="E189" i="25" l="1"/>
  <c r="E102" i="25" l="1"/>
  <c r="E180" i="25" l="1"/>
  <c r="E93" i="25" l="1"/>
  <c r="F100" i="25" l="1"/>
  <c r="B112" i="25"/>
  <c r="H105" i="25" s="1"/>
  <c r="F111" i="25"/>
  <c r="F109" i="25"/>
  <c r="F108" i="25"/>
  <c r="E112" i="25" l="1"/>
  <c r="J105" i="25" s="1"/>
  <c r="E433" i="25"/>
  <c r="B433" i="25"/>
  <c r="H426" i="25" s="1"/>
  <c r="F432" i="25"/>
  <c r="F431" i="25"/>
  <c r="F430" i="25"/>
  <c r="F429" i="25"/>
  <c r="E424" i="25"/>
  <c r="B424" i="25"/>
  <c r="H417" i="25" s="1"/>
  <c r="F423" i="25"/>
  <c r="F422" i="25"/>
  <c r="F421" i="25"/>
  <c r="F420" i="25"/>
  <c r="K105" i="25" l="1"/>
  <c r="F112" i="25"/>
  <c r="F433" i="25"/>
  <c r="J426" i="25"/>
  <c r="K426" i="25"/>
  <c r="K417" i="25"/>
  <c r="J417" i="25"/>
  <c r="F424" i="25"/>
  <c r="E337" i="25"/>
  <c r="B337" i="25"/>
  <c r="H330" i="25" s="1"/>
  <c r="F336" i="25"/>
  <c r="F335" i="25"/>
  <c r="F334" i="25"/>
  <c r="F333" i="25"/>
  <c r="E328" i="25"/>
  <c r="B328" i="25"/>
  <c r="H321" i="25" s="1"/>
  <c r="F327" i="25"/>
  <c r="F326" i="25"/>
  <c r="F325" i="25"/>
  <c r="F324" i="25"/>
  <c r="E388" i="25"/>
  <c r="B388" i="25"/>
  <c r="H381" i="25" s="1"/>
  <c r="F387" i="25"/>
  <c r="F386" i="25"/>
  <c r="F385" i="25"/>
  <c r="F384" i="25"/>
  <c r="K321" i="25" l="1"/>
  <c r="K330" i="25"/>
  <c r="J330" i="25"/>
  <c r="F337" i="25"/>
  <c r="J321" i="25"/>
  <c r="F328" i="25"/>
  <c r="K381" i="25"/>
  <c r="J381" i="25"/>
  <c r="F388" i="25"/>
  <c r="E66" i="25" l="1"/>
  <c r="E319" i="25"/>
  <c r="B319" i="25"/>
  <c r="H312" i="25" s="1"/>
  <c r="F318" i="25"/>
  <c r="F317" i="25"/>
  <c r="F316" i="25"/>
  <c r="F315" i="25"/>
  <c r="K312" i="25" l="1"/>
  <c r="J312" i="25"/>
  <c r="F319" i="25"/>
  <c r="E265" i="25" l="1"/>
  <c r="B265" i="25"/>
  <c r="H258" i="25" s="1"/>
  <c r="F264" i="25"/>
  <c r="F262" i="25"/>
  <c r="F261" i="25"/>
  <c r="B256" i="25"/>
  <c r="H249" i="25" s="1"/>
  <c r="F255" i="25"/>
  <c r="F253" i="25"/>
  <c r="F252" i="25"/>
  <c r="E247" i="25"/>
  <c r="B247" i="25"/>
  <c r="H240" i="25" s="1"/>
  <c r="F246" i="25"/>
  <c r="F244" i="25"/>
  <c r="F243" i="25"/>
  <c r="K249" i="25" l="1"/>
  <c r="K240" i="25"/>
  <c r="F265" i="25"/>
  <c r="J258" i="25"/>
  <c r="K258" i="25"/>
  <c r="F256" i="25"/>
  <c r="J249" i="25"/>
  <c r="J240" i="25"/>
  <c r="F247" i="25"/>
  <c r="E19" i="25"/>
  <c r="E135" i="25"/>
  <c r="E75" i="25"/>
  <c r="E238" i="25" l="1"/>
  <c r="B238" i="25"/>
  <c r="F237" i="25"/>
  <c r="F235" i="25"/>
  <c r="F234" i="25"/>
  <c r="J231" i="25" l="1"/>
  <c r="K231" i="25"/>
  <c r="F238" i="25"/>
  <c r="H231" i="25"/>
  <c r="E229" i="25" l="1"/>
  <c r="B229" i="25"/>
  <c r="F228" i="25"/>
  <c r="F226" i="25"/>
  <c r="F225" i="25"/>
  <c r="E220" i="25"/>
  <c r="B220" i="25"/>
  <c r="H213" i="25" s="1"/>
  <c r="F219" i="25"/>
  <c r="F217" i="25"/>
  <c r="F216" i="25"/>
  <c r="E202" i="25"/>
  <c r="B202" i="25"/>
  <c r="H195" i="25" s="1"/>
  <c r="F201" i="25"/>
  <c r="F199" i="25"/>
  <c r="F198" i="25"/>
  <c r="K222" i="25" l="1"/>
  <c r="J222" i="25"/>
  <c r="H222" i="25"/>
  <c r="F229" i="25"/>
  <c r="K213" i="25"/>
  <c r="F220" i="25"/>
  <c r="J213" i="25"/>
  <c r="K195" i="25"/>
  <c r="F202" i="25"/>
  <c r="J195" i="25"/>
  <c r="E18" i="25"/>
  <c r="E352" i="25" l="1"/>
  <c r="B352" i="25"/>
  <c r="F351" i="25"/>
  <c r="F350" i="25"/>
  <c r="F349" i="25"/>
  <c r="F348" i="25"/>
  <c r="F308" i="25"/>
  <c r="E310" i="25"/>
  <c r="B310" i="25"/>
  <c r="H303" i="25" s="1"/>
  <c r="F309" i="25"/>
  <c r="F307" i="25"/>
  <c r="F306" i="25"/>
  <c r="F352" i="25" l="1"/>
  <c r="K303" i="25"/>
  <c r="F310" i="25"/>
  <c r="J303" i="25"/>
  <c r="E184" i="25"/>
  <c r="B184" i="25"/>
  <c r="F183" i="25"/>
  <c r="F181" i="25"/>
  <c r="F180" i="25"/>
  <c r="E193" i="25"/>
  <c r="B193" i="25"/>
  <c r="F192" i="25"/>
  <c r="F190" i="25"/>
  <c r="F189" i="25"/>
  <c r="J177" i="25" l="1"/>
  <c r="K177" i="25"/>
  <c r="F193" i="25"/>
  <c r="F184" i="25"/>
  <c r="H177" i="25"/>
  <c r="K186" i="25"/>
  <c r="J186" i="25"/>
  <c r="H186" i="25"/>
  <c r="F137" i="25" l="1"/>
  <c r="B139" i="25"/>
  <c r="H132" i="25" s="1"/>
  <c r="F138" i="25"/>
  <c r="F136" i="25"/>
  <c r="F135" i="25"/>
  <c r="E11" i="25"/>
  <c r="E101" i="25"/>
  <c r="F101" i="25" s="1"/>
  <c r="E139" i="25" l="1"/>
  <c r="E175" i="25"/>
  <c r="B175" i="25"/>
  <c r="F174" i="25"/>
  <c r="F172" i="25"/>
  <c r="F171" i="25"/>
  <c r="J168" i="25" l="1"/>
  <c r="K132" i="25"/>
  <c r="F139" i="25"/>
  <c r="J132" i="25"/>
  <c r="H168" i="25"/>
  <c r="F175" i="25"/>
  <c r="K168" i="25"/>
  <c r="B22" i="25"/>
  <c r="F21" i="25"/>
  <c r="F20" i="25"/>
  <c r="F19" i="25"/>
  <c r="E10" i="25"/>
  <c r="E22" i="25" l="1"/>
  <c r="J15" i="25" s="1"/>
  <c r="H15" i="25"/>
  <c r="F18" i="25"/>
  <c r="E81" i="25"/>
  <c r="B103" i="25"/>
  <c r="F22" i="25" l="1"/>
  <c r="K15" i="25"/>
  <c r="B148" i="25" l="1"/>
  <c r="H141" i="25" s="1"/>
  <c r="E148" i="25"/>
  <c r="F145" i="25"/>
  <c r="F144" i="25"/>
  <c r="K141" i="25" l="1"/>
  <c r="F148" i="25"/>
  <c r="J141" i="25"/>
  <c r="F147" i="25"/>
  <c r="E90" i="25" l="1"/>
  <c r="F90" i="25" s="1"/>
  <c r="B130" i="25" l="1"/>
  <c r="E130" i="25"/>
  <c r="F127" i="25"/>
  <c r="F126" i="25"/>
  <c r="K123" i="25" l="1"/>
  <c r="F129" i="25"/>
  <c r="J123" i="25"/>
  <c r="F130" i="25"/>
  <c r="H123" i="25"/>
  <c r="E9" i="25" l="1"/>
  <c r="E57" i="25" l="1"/>
  <c r="E103" i="25" l="1"/>
  <c r="H96" i="25"/>
  <c r="F102" i="25"/>
  <c r="F99" i="25"/>
  <c r="K96" i="25" l="1"/>
  <c r="F103" i="25"/>
  <c r="J96" i="25"/>
  <c r="E45" i="25" l="1"/>
  <c r="E94" i="25" l="1"/>
  <c r="B94" i="25"/>
  <c r="H87" i="25" s="1"/>
  <c r="F93" i="25"/>
  <c r="F91" i="25"/>
  <c r="K87" i="25" l="1"/>
  <c r="F94" i="25"/>
  <c r="J87" i="25"/>
  <c r="E73" i="25" l="1"/>
  <c r="E46" i="25" l="1"/>
  <c r="F83" i="25" l="1"/>
  <c r="E85" i="25"/>
  <c r="B85" i="25"/>
  <c r="H78" i="25" s="1"/>
  <c r="F84" i="25"/>
  <c r="F82" i="25"/>
  <c r="F81" i="25"/>
  <c r="F85" i="25" l="1"/>
  <c r="J78" i="25"/>
  <c r="K78" i="25"/>
  <c r="E47" i="25" l="1"/>
  <c r="E72" i="25" l="1"/>
  <c r="B13" i="25" l="1"/>
  <c r="F12" i="25"/>
  <c r="F11" i="25"/>
  <c r="F10" i="25"/>
  <c r="E13" i="25"/>
  <c r="F9" i="25" l="1"/>
  <c r="J6" i="25"/>
  <c r="H6" i="25"/>
  <c r="F13" i="25"/>
  <c r="K6" i="25"/>
  <c r="B76" i="25" l="1"/>
  <c r="H69" i="25" s="1"/>
  <c r="F75" i="25"/>
  <c r="F73" i="25"/>
  <c r="F72" i="25"/>
  <c r="E76" i="25" l="1"/>
  <c r="J69" i="25" s="1"/>
  <c r="K69" i="25" l="1"/>
  <c r="F76" i="25"/>
  <c r="E56" i="25" l="1"/>
  <c r="E54" i="25" l="1"/>
  <c r="E30" i="25" l="1"/>
  <c r="E67" i="25" l="1"/>
  <c r="B67" i="25"/>
  <c r="H60" i="25" s="1"/>
  <c r="F66" i="25"/>
  <c r="F64" i="25"/>
  <c r="F63" i="25"/>
  <c r="F67" i="25" l="1"/>
  <c r="J60" i="25"/>
  <c r="K60" i="25"/>
  <c r="F56" i="25" l="1"/>
  <c r="E58" i="25"/>
  <c r="B58" i="25"/>
  <c r="H51" i="25" s="1"/>
  <c r="F57" i="25"/>
  <c r="F55" i="25"/>
  <c r="F54" i="25"/>
  <c r="F58" i="25" l="1"/>
  <c r="K51" i="25"/>
  <c r="J51" i="25"/>
  <c r="E49" i="25" l="1"/>
  <c r="B49" i="25"/>
  <c r="F48" i="25"/>
  <c r="F47" i="25"/>
  <c r="F46" i="25"/>
  <c r="F45" i="25"/>
  <c r="J42" i="25" l="1"/>
  <c r="F49" i="25"/>
  <c r="H42" i="25"/>
  <c r="K42" i="25"/>
  <c r="E40" i="25" l="1"/>
  <c r="B40" i="25"/>
  <c r="F39" i="25"/>
  <c r="F37" i="25"/>
  <c r="F36" i="25"/>
  <c r="I34" i="25" l="1"/>
  <c r="H33" i="25"/>
  <c r="K33" i="25"/>
  <c r="F40" i="25"/>
  <c r="F34" i="25"/>
  <c r="J33" i="25"/>
  <c r="E31" i="25" l="1"/>
  <c r="B31" i="25"/>
  <c r="F25" i="25" s="1"/>
  <c r="F30" i="25"/>
  <c r="F29" i="25"/>
  <c r="F28" i="25"/>
  <c r="F27" i="25"/>
  <c r="J24" i="25" l="1"/>
  <c r="F31" i="25"/>
  <c r="K24" i="25"/>
  <c r="H24" i="25"/>
  <c r="I25" i="25"/>
</calcChain>
</file>

<file path=xl/sharedStrings.xml><?xml version="1.0" encoding="utf-8"?>
<sst xmlns="http://schemas.openxmlformats.org/spreadsheetml/2006/main" count="2697" uniqueCount="243">
  <si>
    <t>ABSENT</t>
  </si>
  <si>
    <t>SERTISSAGE</t>
  </si>
  <si>
    <t>(maladie)</t>
  </si>
  <si>
    <t>FERIE</t>
  </si>
  <si>
    <t>étape terminée</t>
  </si>
  <si>
    <t>en cours</t>
  </si>
  <si>
    <t>reliquat</t>
  </si>
  <si>
    <t>Heures Méthodes</t>
  </si>
  <si>
    <t>Heures Atelier</t>
  </si>
  <si>
    <t>D</t>
  </si>
  <si>
    <t>U</t>
  </si>
  <si>
    <t>S</t>
  </si>
  <si>
    <t>M</t>
  </si>
  <si>
    <t>FRONT URBAIN/3931001</t>
  </si>
  <si>
    <t>Observations</t>
  </si>
  <si>
    <t>Total heures</t>
  </si>
  <si>
    <t>Temps Méthode alloué:</t>
  </si>
  <si>
    <t>Reste à produire:</t>
  </si>
  <si>
    <t>Chassis:</t>
  </si>
  <si>
    <t>BERSOL refab CH-B09/3813003</t>
  </si>
  <si>
    <t>MEDIAPOST/3911005</t>
  </si>
  <si>
    <t>LYNCH modif MR VEC zone lab/3711009</t>
  </si>
  <si>
    <t>TECHNAL</t>
  </si>
  <si>
    <t>CARRON/3921012</t>
  </si>
  <si>
    <t>GABRIEL/3921017</t>
  </si>
  <si>
    <t>recoupe tapée pour chassis seuil plat</t>
  </si>
  <si>
    <t>NOUS(nettoyage)</t>
  </si>
  <si>
    <t xml:space="preserve"> G1 R+4 tourette /3813004</t>
  </si>
  <si>
    <t>AGRI33 Administration/3911006</t>
  </si>
  <si>
    <t>AGRI33 chassis MR Patio/3911006</t>
  </si>
  <si>
    <t>AGRI33 Portes B-C-D/3911006</t>
  </si>
  <si>
    <t>AGRI33 logement/3911006</t>
  </si>
  <si>
    <t>CASENAVE/3921022</t>
  </si>
  <si>
    <t>débit intérimaire</t>
  </si>
  <si>
    <t xml:space="preserve"> G1 rep MR39 MR40 /3813004</t>
  </si>
  <si>
    <t>MERICHICK/3921024</t>
  </si>
  <si>
    <t>DURIEUX/3821041</t>
  </si>
  <si>
    <t>ESID Z2 RdC/3811048</t>
  </si>
  <si>
    <t>ESID Z1 RdC/3811048</t>
  </si>
  <si>
    <t>ESID Z3 R+1/3811048</t>
  </si>
  <si>
    <t>ESID Z4 R+1/3811048</t>
  </si>
  <si>
    <t>ESID Z5 R+2/3811048</t>
  </si>
  <si>
    <t>ESID Z6 R+2/3811048</t>
  </si>
  <si>
    <t>T</t>
  </si>
  <si>
    <t>E</t>
  </si>
  <si>
    <t>ESID Z7 R+2/3811048</t>
  </si>
  <si>
    <t>ESID Z8 R+3/3811048</t>
  </si>
  <si>
    <t>ESID Z9 R+3/3811048</t>
  </si>
  <si>
    <t>ESID Z10 R+3/3811048</t>
  </si>
  <si>
    <t>CEPAEO/3913001</t>
  </si>
  <si>
    <t>manutention</t>
  </si>
  <si>
    <t>BATIMENT H Zone C R+1/3814021</t>
  </si>
  <si>
    <t>CROUS OF Acoustique/3812007</t>
  </si>
  <si>
    <t>BATIMENT H Zone A R+1/3814021</t>
  </si>
  <si>
    <t>BATIMENT H Zone A R+2/3814021</t>
  </si>
  <si>
    <t>COLLECTION Bureaux/3911008</t>
  </si>
  <si>
    <t>COLLECTION Bureaux Bico/3911008</t>
  </si>
  <si>
    <t>AGRI33 porte Admin/3911006</t>
  </si>
  <si>
    <t>formation Goujon montage AMBIAL-montage à blanc de l'AMBIAL</t>
  </si>
  <si>
    <t>pb usinage gache+serrure-pas de gabarit pour le montage des paumelles. Fait à la main</t>
  </si>
  <si>
    <t>CROUS Porte CF 1/2h MR2c/3812007</t>
  </si>
  <si>
    <t>CROUS Porte CF 1/2h MR3 /3812007</t>
  </si>
  <si>
    <t>S35</t>
  </si>
  <si>
    <t>BATIMENT H Zone C RdC/3814021</t>
  </si>
  <si>
    <t>BATIMENT H Zone A RdC/3814021</t>
  </si>
  <si>
    <t>PORTALET</t>
  </si>
  <si>
    <t>METALECO</t>
  </si>
  <si>
    <t>776/3911008/ALU</t>
  </si>
  <si>
    <t>6/09/19-TIV</t>
  </si>
  <si>
    <t>TIV</t>
  </si>
  <si>
    <t>361/3814021-TIV</t>
  </si>
  <si>
    <t>livré</t>
  </si>
  <si>
    <t>Vitrage atelier</t>
  </si>
  <si>
    <t>Délai vitrage atelier</t>
  </si>
  <si>
    <t>Vitrage chantier</t>
  </si>
  <si>
    <t>Délai vitrage chantier</t>
  </si>
  <si>
    <t>Délai commande</t>
  </si>
  <si>
    <t>781/3911005-APIL</t>
  </si>
  <si>
    <r>
      <t>67/3811048/VIR-</t>
    </r>
    <r>
      <rPr>
        <b/>
        <sz val="10"/>
        <rFont val="Arial"/>
        <family val="2"/>
      </rPr>
      <t>TIV</t>
    </r>
  </si>
  <si>
    <t>S38</t>
  </si>
  <si>
    <t>N°commande accessoires / profils</t>
  </si>
  <si>
    <t>Fournisseur accessoires / profils</t>
  </si>
  <si>
    <t>Délai accessoires / profils</t>
  </si>
  <si>
    <r>
      <t>76/3811048/VIR-</t>
    </r>
    <r>
      <rPr>
        <b/>
        <sz val="10"/>
        <rFont val="Arial"/>
        <family val="2"/>
      </rPr>
      <t>TIV</t>
    </r>
  </si>
  <si>
    <t>ACCESSOIRES</t>
  </si>
  <si>
    <t>REMPLISSAGES</t>
  </si>
  <si>
    <t>69/3811048/QUI</t>
  </si>
  <si>
    <t>83/3811048/ALU + 69/3811048/QUI</t>
  </si>
  <si>
    <t>TECHNAL + PORTALET</t>
  </si>
  <si>
    <t>S36 ? + S38</t>
  </si>
  <si>
    <t>S37</t>
  </si>
  <si>
    <r>
      <t>75/3811048/VIR-</t>
    </r>
    <r>
      <rPr>
        <b/>
        <sz val="10"/>
        <rFont val="Arial"/>
        <family val="2"/>
      </rPr>
      <t>TIV</t>
    </r>
  </si>
  <si>
    <r>
      <t>77/3811048/VIR-</t>
    </r>
    <r>
      <rPr>
        <b/>
        <sz val="10"/>
        <rFont val="Arial"/>
        <family val="2"/>
      </rPr>
      <t>TIV</t>
    </r>
  </si>
  <si>
    <r>
      <t>74/3811048/VIR-</t>
    </r>
    <r>
      <rPr>
        <b/>
        <sz val="10"/>
        <rFont val="Arial"/>
        <family val="2"/>
      </rPr>
      <t>TIV</t>
    </r>
  </si>
  <si>
    <r>
      <t>73/3811048/VIR-</t>
    </r>
    <r>
      <rPr>
        <b/>
        <sz val="10"/>
        <rFont val="Arial"/>
        <family val="2"/>
      </rPr>
      <t>TIV</t>
    </r>
  </si>
  <si>
    <r>
      <t>72/3811048/VIR-</t>
    </r>
    <r>
      <rPr>
        <b/>
        <sz val="10"/>
        <rFont val="Arial"/>
        <family val="2"/>
      </rPr>
      <t>TIV</t>
    </r>
  </si>
  <si>
    <r>
      <t>68/3811048/VIR-</t>
    </r>
    <r>
      <rPr>
        <b/>
        <sz val="10"/>
        <rFont val="Arial"/>
        <family val="2"/>
      </rPr>
      <t>TIV</t>
    </r>
  </si>
  <si>
    <r>
      <t>66/3811048/VIR-</t>
    </r>
    <r>
      <rPr>
        <b/>
        <sz val="10"/>
        <rFont val="Arial"/>
        <family val="2"/>
      </rPr>
      <t>TIV</t>
    </r>
  </si>
  <si>
    <t>reprise OT coulissant (mal vitré)--&gt; 5h</t>
  </si>
  <si>
    <t>208/3921023/VIR-TECHNI</t>
  </si>
  <si>
    <t>HARDOIN/3921023</t>
  </si>
  <si>
    <t>G1 Zone Lidl MR RdC/3813004</t>
  </si>
  <si>
    <t>AGRI33 garde corps zone A/3911006</t>
  </si>
  <si>
    <t>P11 proto/3911003</t>
  </si>
  <si>
    <t>COLLECTION Bat C/3911008</t>
  </si>
  <si>
    <t>manque 1 plaque alu pour panneau-reçue le 26/08</t>
  </si>
  <si>
    <t>COLLECTION verrière/3911008</t>
  </si>
  <si>
    <t>MONJOUS OF ext/3814001</t>
  </si>
  <si>
    <t>reprise pour manque goupille sur ouvrants--&gt; 3h</t>
  </si>
  <si>
    <t>P11 1A1-R+1/3911003</t>
  </si>
  <si>
    <t>MR3+MR6</t>
  </si>
  <si>
    <t>Total</t>
  </si>
  <si>
    <t>MR4</t>
  </si>
  <si>
    <t>DF</t>
  </si>
  <si>
    <t>P11 1B1-R+2/3911003</t>
  </si>
  <si>
    <t>P11 1C1-R+3/3911003</t>
  </si>
  <si>
    <t>P11 3E2-R+6/3911003</t>
  </si>
  <si>
    <t>P11 3E1-R+6/3911003</t>
  </si>
  <si>
    <t>P11 3A1-R+4/3911003</t>
  </si>
  <si>
    <t>P11 3A2-R+4/3911003</t>
  </si>
  <si>
    <t>P11 3C1-R+5/3911003</t>
  </si>
  <si>
    <t>attente vitrage-reçu le 3/09</t>
  </si>
  <si>
    <t>FDS</t>
  </si>
  <si>
    <t>P11 3G1-R+7/3911003</t>
  </si>
  <si>
    <t>P11 3G2-R+7/3911003</t>
  </si>
  <si>
    <t>P11 1B2-R+2/3911003</t>
  </si>
  <si>
    <t>P11 1C2-R+3/3911003</t>
  </si>
  <si>
    <t>Dossier de fabrication</t>
  </si>
  <si>
    <t>DF:</t>
  </si>
  <si>
    <t>P11 BF 2A-R+1/3911003</t>
  </si>
  <si>
    <t>P11 BF 2C-R+2/3911003</t>
  </si>
  <si>
    <t>P11 BF 3B-R+4/3911003</t>
  </si>
  <si>
    <t>P11 1A2-R+1/3911003</t>
  </si>
  <si>
    <t>P11 BF 3D-R+5/3911003</t>
  </si>
  <si>
    <t>P11 BF 2E-R+3/3911003</t>
  </si>
  <si>
    <t>P11 BF 3F-R+6/3911003</t>
  </si>
  <si>
    <t>P11 4A-R+1/3911003</t>
  </si>
  <si>
    <t>P11 4B-R+2/3911003</t>
  </si>
  <si>
    <t>P11 4C-R+3/3911003</t>
  </si>
  <si>
    <t>DARWIN-Bello/3911009</t>
  </si>
  <si>
    <t>ESID OF/3811048</t>
  </si>
  <si>
    <t>FSC</t>
  </si>
  <si>
    <t>Attente tapée</t>
  </si>
  <si>
    <t>Débit</t>
  </si>
  <si>
    <t>Usinage</t>
  </si>
  <si>
    <t>Sertissage</t>
  </si>
  <si>
    <t>Montage</t>
  </si>
  <si>
    <t>Cumul des temps théoriques enregistrés en production</t>
  </si>
  <si>
    <t>P11 3C2-R+5/3911003</t>
  </si>
  <si>
    <t>attente paumelles pour le 11/09</t>
  </si>
  <si>
    <t>KALAMAZOO/3813004</t>
  </si>
  <si>
    <t>FSC:</t>
  </si>
  <si>
    <t>Fiche de suivi chantier</t>
  </si>
  <si>
    <t>montage anti-panique+crémone pompier+ferme porte</t>
  </si>
  <si>
    <t>manque ferme porte 7016-prévu S36-reçu le 12/09</t>
  </si>
  <si>
    <t>CROUS 3 MR SAS+ 1 porte feu/3812007</t>
  </si>
  <si>
    <t>P11 2D1-R+2/3911003</t>
  </si>
  <si>
    <t>P11 2D2-R+2/3911003</t>
  </si>
  <si>
    <t>casse vitrage rep A N2</t>
  </si>
  <si>
    <t>attente vitrage-reçus+acc à la teinte manque poignée--&gt; reçu</t>
  </si>
  <si>
    <t>manque poignée+rosette--W&gt; reçu</t>
  </si>
  <si>
    <t>commande annulée</t>
  </si>
  <si>
    <t>DUFFAU chassis à poser/3913003</t>
  </si>
  <si>
    <t>G1 refab tapées/3813004</t>
  </si>
  <si>
    <t>4 h de reprise ouvrant suite erreur sens vitrage+ 5 h suitrze àerreur sur sertissage dormant + repises chassis suite erreur maçon/charpentier(9,75)+reprise Ots OF vers OB</t>
  </si>
  <si>
    <t>BERGONIE TS/3811014</t>
  </si>
  <si>
    <t>reprise pour manque goupille sur ouvrants--&gt; 3h, Manque 1 x FY1111 - cde 83/3811048/ALU + attente 2 vitrages rep CAL 1G non livré + casse 1 vitrage soufflet recommandé le 4/09-91/3811048/VIR-TIV-réception le 13/09</t>
  </si>
  <si>
    <t>ESID MR1-2/3811048</t>
  </si>
  <si>
    <t>DUFFAU fourniture seule/3913003</t>
  </si>
  <si>
    <t>URBAN ART/3914007</t>
  </si>
  <si>
    <t>débit CJ</t>
  </si>
  <si>
    <t>ESID MR3-4-5/3811048</t>
  </si>
  <si>
    <t>4 vitrage NC en dimension rep BB03-32dB-d</t>
  </si>
  <si>
    <t>CARRON refab/3921012</t>
  </si>
  <si>
    <t>BATIMENT H refab porte C R+1/3814021</t>
  </si>
  <si>
    <t>G1 MR/3813004</t>
  </si>
  <si>
    <t>ESID MR6-7 NO/3811048</t>
  </si>
  <si>
    <t>P11 BF 2B2-R+1/3911003</t>
  </si>
  <si>
    <t>P11 BF 2B1-R+1/3911003</t>
  </si>
  <si>
    <t>aide manut Enzo</t>
  </si>
  <si>
    <t>reste porte à usiner</t>
  </si>
  <si>
    <t>débit Enzo</t>
  </si>
  <si>
    <t>BALDELLI rep 1 à 14/3921019</t>
  </si>
  <si>
    <t>1 vi HS rep BB001-34dB/d-reçu le 30/09</t>
  </si>
  <si>
    <t>attente vitrage-1/10 SGG-reçu le 1/10</t>
  </si>
  <si>
    <t>HARDOIN A6A /3921023</t>
  </si>
  <si>
    <t>manut importante</t>
  </si>
  <si>
    <t>0,75 pour démontage porte (dim NC)</t>
  </si>
  <si>
    <t xml:space="preserve">2h de répérage barre </t>
  </si>
  <si>
    <t>BATIMENT H Patio A R+1-R+2/3814021</t>
  </si>
  <si>
    <t>montage dormant à la goupille</t>
  </si>
  <si>
    <t>ICHER/3928032</t>
  </si>
  <si>
    <t>COURTADE/3921018</t>
  </si>
  <si>
    <t>BALDELLI rep 15/3921019</t>
  </si>
  <si>
    <t>Abram+Claude (intérim)</t>
  </si>
  <si>
    <t>manque profil de porte 1202 + FY1232</t>
  </si>
  <si>
    <t>ARCHI EDGAR 5OB/3921025</t>
  </si>
  <si>
    <t>ARCHI EDGAR verrière/3921025</t>
  </si>
  <si>
    <t>SCI DOUVES/3928041</t>
  </si>
  <si>
    <t>BATIMENT H PATIO OUEST RdC MR Bloc4/3814021</t>
  </si>
  <si>
    <t>BATIMENT H PATIO OUEST RdC Portes Bloc4/3814021</t>
  </si>
  <si>
    <t>S42</t>
  </si>
  <si>
    <t>HLN GC/3911007</t>
  </si>
  <si>
    <t>TRIBEQUA proto ch1/3913004</t>
  </si>
  <si>
    <t>BALDELLI refab M12-13/3921019</t>
  </si>
  <si>
    <t>FERRIERE SAV montant GY/3990043</t>
  </si>
  <si>
    <t>Espace Garonne 2OB/3711018</t>
  </si>
  <si>
    <t>NOUS(réunion sécurité)</t>
  </si>
  <si>
    <t>NOUS(réunion sécurité+DP)</t>
  </si>
  <si>
    <t>AGRI33 fixes en TS/3911006</t>
  </si>
  <si>
    <t>(arrêt maladie)</t>
  </si>
  <si>
    <t>NOUS (présentoir Dassault)</t>
  </si>
  <si>
    <t>JP+Boubacar</t>
  </si>
  <si>
    <t>AQUARE proto/3931002</t>
  </si>
  <si>
    <t>TRIBEQUA proto ch2/3913004</t>
  </si>
  <si>
    <t>TRIBEQUA proto MR/3913004</t>
  </si>
  <si>
    <t>S43</t>
  </si>
  <si>
    <t>reste capot</t>
  </si>
  <si>
    <t>TRIBEQUA proto BU2 repère B R+2/3913004</t>
  </si>
  <si>
    <t>mise en place bavette</t>
  </si>
  <si>
    <t>HLN verrière/3911007</t>
  </si>
  <si>
    <t>(congés)</t>
  </si>
  <si>
    <t>NOUS(réglage poinçon)</t>
  </si>
  <si>
    <t>montage Martino+Enzo</t>
  </si>
  <si>
    <t>montage Martino + Enzo</t>
  </si>
  <si>
    <t>Débit Eddy</t>
  </si>
  <si>
    <t>Stagiaire Johnson</t>
  </si>
  <si>
    <t>FORUM C10-C11/3812003</t>
  </si>
  <si>
    <t>NOUS(rgt praticables)</t>
  </si>
  <si>
    <t>DARWIN verrière/3911009</t>
  </si>
  <si>
    <t>travail en tandem-Enzo+Martino</t>
  </si>
  <si>
    <t>Enzo + Martino</t>
  </si>
  <si>
    <t>S44</t>
  </si>
  <si>
    <t>GAIA MR/3912006</t>
  </si>
  <si>
    <t>GAIA chassis/3912006</t>
  </si>
  <si>
    <t>ESID/3811048 (proto)</t>
  </si>
  <si>
    <t>NOUS(verrou Virginie+proto Eric)</t>
  </si>
  <si>
    <t>NOUS(proto EA+nettoyage)</t>
  </si>
  <si>
    <t>FORUM chassis feu ?</t>
  </si>
  <si>
    <t>FORUM chassis feu/3812003</t>
  </si>
  <si>
    <t>BATIMENT H refab 4 OF/3814021</t>
  </si>
  <si>
    <t>FERRAND/3911005</t>
  </si>
  <si>
    <t>CAMAROL/3911011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</si>
</sst>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6"/>
      <color theme="1"/>
      <name val="Arial"/>
      <family val="2"/>
    </font>
    <font>
      <b/>
      <sz val="11"/>
      <color theme="1"/>
      <name val="Arial"/>
      <family val="2"/>
    </font>
    <font>
      <b/>
      <u/>
      <sz val="8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trike/>
      <sz val="11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Verdana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theme="9" tint="0.5999938962981048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63377788628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/>
  </cellStyleXfs>
  <cellXfs count="72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vertical="center"/>
    </xf>
    <xf numFmtId="0" fontId="2" fillId="4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vertical="center"/>
    </xf>
    <xf numFmtId="0" fontId="5" fillId="6" borderId="1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9" fillId="5" borderId="5" xfId="1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4" borderId="5" xfId="1" applyFont="1" applyFill="1" applyBorder="1" applyAlignment="1">
      <alignment vertical="center"/>
    </xf>
    <xf numFmtId="0" fontId="2" fillId="6" borderId="7" xfId="1" applyFont="1" applyFill="1" applyBorder="1" applyAlignment="1">
      <alignment horizontal="left" vertical="center"/>
    </xf>
    <xf numFmtId="0" fontId="5" fillId="6" borderId="7" xfId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vertical="center"/>
    </xf>
    <xf numFmtId="0" fontId="2" fillId="6" borderId="6" xfId="1" applyFont="1" applyFill="1" applyBorder="1" applyAlignment="1">
      <alignment horizontal="left" vertical="center"/>
    </xf>
    <xf numFmtId="0" fontId="1" fillId="0" borderId="0" xfId="1"/>
    <xf numFmtId="0" fontId="1" fillId="11" borderId="0" xfId="1" applyFill="1" applyAlignment="1">
      <alignment horizontal="center"/>
    </xf>
    <xf numFmtId="0" fontId="1" fillId="0" borderId="0" xfId="1" applyAlignment="1">
      <alignment wrapText="1"/>
    </xf>
    <xf numFmtId="0" fontId="1" fillId="0" borderId="0" xfId="1" applyAlignment="1">
      <alignment vertical="center"/>
    </xf>
    <xf numFmtId="0" fontId="16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9" fontId="1" fillId="0" borderId="1" xfId="1" applyNumberFormat="1" applyBorder="1" applyAlignment="1">
      <alignment horizontal="center" vertical="center"/>
    </xf>
    <xf numFmtId="0" fontId="16" fillId="0" borderId="1" xfId="1" applyFont="1" applyBorder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6" fillId="0" borderId="14" xfId="1" applyFont="1" applyBorder="1" applyAlignment="1">
      <alignment horizontal="center" vertical="center" wrapText="1"/>
    </xf>
    <xf numFmtId="0" fontId="1" fillId="0" borderId="1" xfId="1" applyBorder="1"/>
    <xf numFmtId="0" fontId="15" fillId="0" borderId="1" xfId="1" applyFont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/>
    <xf numFmtId="0" fontId="1" fillId="0" borderId="1" xfId="1" applyBorder="1" applyAlignment="1">
      <alignment horizontal="center" vertical="center" wrapText="1"/>
    </xf>
    <xf numFmtId="0" fontId="15" fillId="0" borderId="0" xfId="1" applyFont="1" applyBorder="1" applyAlignment="1">
      <alignment vertical="center"/>
    </xf>
    <xf numFmtId="9" fontId="1" fillId="0" borderId="0" xfId="1" applyNumberFormat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7" fillId="0" borderId="1" xfId="1" applyFont="1" applyBorder="1" applyAlignment="1">
      <alignment horizontal="center" wrapText="1"/>
    </xf>
    <xf numFmtId="0" fontId="17" fillId="0" borderId="5" xfId="1" applyFont="1" applyBorder="1" applyAlignment="1">
      <alignment horizontal="right" wrapText="1"/>
    </xf>
    <xf numFmtId="0" fontId="1" fillId="0" borderId="14" xfId="1" applyBorder="1"/>
    <xf numFmtId="0" fontId="17" fillId="0" borderId="0" xfId="1" applyFont="1" applyBorder="1" applyAlignment="1">
      <alignment horizontal="center" wrapText="1"/>
    </xf>
    <xf numFmtId="0" fontId="17" fillId="0" borderId="0" xfId="1" applyFont="1" applyBorder="1" applyAlignment="1">
      <alignment horizontal="left" wrapText="1"/>
    </xf>
    <xf numFmtId="0" fontId="17" fillId="0" borderId="0" xfId="1" applyFont="1" applyBorder="1" applyAlignment="1">
      <alignment horizontal="right" wrapText="1"/>
    </xf>
    <xf numFmtId="0" fontId="17" fillId="0" borderId="7" xfId="1" applyFont="1" applyBorder="1" applyAlignment="1">
      <alignment horizontal="center" wrapText="1"/>
    </xf>
    <xf numFmtId="2" fontId="1" fillId="0" borderId="0" xfId="1" applyNumberFormat="1" applyAlignment="1">
      <alignment wrapText="1"/>
    </xf>
    <xf numFmtId="2" fontId="1" fillId="0" borderId="0" xfId="1" applyNumberFormat="1" applyAlignment="1">
      <alignment vertical="center"/>
    </xf>
    <xf numFmtId="2" fontId="15" fillId="0" borderId="0" xfId="1" applyNumberFormat="1" applyFont="1" applyBorder="1" applyAlignment="1">
      <alignment horizontal="center" vertical="center"/>
    </xf>
    <xf numFmtId="2" fontId="16" fillId="0" borderId="0" xfId="1" applyNumberFormat="1" applyFont="1" applyBorder="1" applyAlignment="1">
      <alignment horizontal="center" vertical="center"/>
    </xf>
    <xf numFmtId="2" fontId="1" fillId="0" borderId="1" xfId="1" applyNumberFormat="1" applyBorder="1" applyAlignment="1">
      <alignment horizontal="center" wrapText="1"/>
    </xf>
    <xf numFmtId="2" fontId="1" fillId="0" borderId="0" xfId="1" applyNumberFormat="1"/>
    <xf numFmtId="2" fontId="1" fillId="0" borderId="0" xfId="1" applyNumberFormat="1" applyAlignment="1">
      <alignment horizontal="center" wrapText="1"/>
    </xf>
    <xf numFmtId="2" fontId="17" fillId="0" borderId="7" xfId="1" applyNumberFormat="1" applyFont="1" applyBorder="1" applyAlignment="1">
      <alignment horizontal="center" wrapText="1"/>
    </xf>
    <xf numFmtId="2" fontId="17" fillId="0" borderId="0" xfId="1" applyNumberFormat="1" applyFont="1" applyBorder="1" applyAlignment="1">
      <alignment horizontal="center" wrapText="1"/>
    </xf>
    <xf numFmtId="2" fontId="1" fillId="0" borderId="0" xfId="1" applyNumberFormat="1" applyBorder="1" applyAlignment="1">
      <alignment horizontal="center" vertical="center"/>
    </xf>
    <xf numFmtId="2" fontId="1" fillId="0" borderId="0" xfId="1" applyNumberFormat="1" applyAlignment="1">
      <alignment horizontal="center"/>
    </xf>
    <xf numFmtId="2" fontId="1" fillId="4" borderId="0" xfId="1" applyNumberFormat="1" applyFill="1" applyAlignment="1">
      <alignment horizontal="center"/>
    </xf>
    <xf numFmtId="2" fontId="1" fillId="0" borderId="7" xfId="1" applyNumberFormat="1" applyBorder="1" applyAlignment="1">
      <alignment horizontal="center" wrapText="1"/>
    </xf>
    <xf numFmtId="2" fontId="1" fillId="0" borderId="0" xfId="1" applyNumberFormat="1" applyBorder="1" applyAlignment="1">
      <alignment horizont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7" fillId="0" borderId="5" xfId="1" applyFont="1" applyBorder="1" applyAlignment="1">
      <alignment horizontal="center" vertical="center" wrapText="1"/>
    </xf>
    <xf numFmtId="0" fontId="5" fillId="6" borderId="6" xfId="1" applyFont="1" applyFill="1" applyBorder="1" applyAlignment="1">
      <alignment horizontal="left" vertical="center"/>
    </xf>
    <xf numFmtId="3" fontId="7" fillId="6" borderId="5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left" vertical="center"/>
    </xf>
    <xf numFmtId="9" fontId="15" fillId="0" borderId="1" xfId="1" applyNumberFormat="1" applyFont="1" applyBorder="1" applyAlignment="1">
      <alignment horizontal="center" vertical="center"/>
    </xf>
    <xf numFmtId="0" fontId="2" fillId="6" borderId="8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wrapText="1"/>
    </xf>
    <xf numFmtId="0" fontId="15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wrapText="1"/>
    </xf>
    <xf numFmtId="0" fontId="2" fillId="6" borderId="11" xfId="1" applyFont="1" applyFill="1" applyBorder="1" applyAlignment="1">
      <alignment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5" borderId="8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5" fillId="6" borderId="1" xfId="1" applyFont="1" applyFill="1" applyBorder="1" applyAlignment="1">
      <alignment vertical="center"/>
    </xf>
    <xf numFmtId="0" fontId="2" fillId="6" borderId="7" xfId="1" applyFont="1" applyFill="1" applyBorder="1" applyAlignment="1">
      <alignment vertical="center"/>
    </xf>
    <xf numFmtId="0" fontId="5" fillId="6" borderId="7" xfId="1" applyFont="1" applyFill="1" applyBorder="1" applyAlignment="1">
      <alignment vertical="center"/>
    </xf>
    <xf numFmtId="0" fontId="2" fillId="0" borderId="15" xfId="1" applyFont="1" applyFill="1" applyBorder="1" applyAlignment="1">
      <alignment vertical="center"/>
    </xf>
    <xf numFmtId="0" fontId="2" fillId="0" borderId="15" xfId="1" applyFont="1" applyFill="1" applyBorder="1" applyAlignment="1">
      <alignment horizontal="left" vertical="center"/>
    </xf>
    <xf numFmtId="0" fontId="10" fillId="6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2" fontId="10" fillId="4" borderId="19" xfId="1" applyNumberFormat="1" applyFont="1" applyFill="1" applyBorder="1" applyAlignment="1">
      <alignment horizontal="center" vertical="center"/>
    </xf>
    <xf numFmtId="2" fontId="7" fillId="6" borderId="7" xfId="1" applyNumberFormat="1" applyFont="1" applyFill="1" applyBorder="1" applyAlignment="1">
      <alignment horizontal="center" vertical="center"/>
    </xf>
    <xf numFmtId="2" fontId="8" fillId="6" borderId="7" xfId="1" applyNumberFormat="1" applyFont="1" applyFill="1" applyBorder="1" applyAlignment="1">
      <alignment horizontal="center" vertical="center"/>
    </xf>
    <xf numFmtId="2" fontId="13" fillId="5" borderId="7" xfId="1" applyNumberFormat="1" applyFont="1" applyFill="1" applyBorder="1" applyAlignment="1">
      <alignment horizontal="center" vertical="center"/>
    </xf>
    <xf numFmtId="2" fontId="10" fillId="6" borderId="7" xfId="1" applyNumberFormat="1" applyFont="1" applyFill="1" applyBorder="1" applyAlignment="1">
      <alignment horizontal="center" vertical="center"/>
    </xf>
    <xf numFmtId="0" fontId="13" fillId="6" borderId="5" xfId="1" applyFont="1" applyFill="1" applyBorder="1" applyAlignment="1">
      <alignment horizontal="center" vertical="center"/>
    </xf>
    <xf numFmtId="3" fontId="7" fillId="6" borderId="6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left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7" fillId="6" borderId="8" xfId="1" applyNumberFormat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13" fillId="6" borderId="6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0" borderId="8" xfId="1" applyFont="1" applyFill="1" applyBorder="1" applyAlignment="1">
      <alignment horizontal="right" vertical="center"/>
    </xf>
    <xf numFmtId="3" fontId="7" fillId="0" borderId="17" xfId="1" applyNumberFormat="1" applyFont="1" applyFill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center"/>
    </xf>
    <xf numFmtId="2" fontId="20" fillId="0" borderId="6" xfId="1" applyNumberFormat="1" applyFont="1" applyFill="1" applyBorder="1" applyAlignment="1">
      <alignment horizontal="center" vertical="center"/>
    </xf>
    <xf numFmtId="2" fontId="10" fillId="4" borderId="7" xfId="1" applyNumberFormat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vertical="center"/>
    </xf>
    <xf numFmtId="0" fontId="1" fillId="0" borderId="0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/>
    </xf>
    <xf numFmtId="3" fontId="7" fillId="0" borderId="15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3" fontId="10" fillId="4" borderId="6" xfId="1" applyNumberFormat="1" applyFont="1" applyFill="1" applyBorder="1" applyAlignment="1">
      <alignment horizontal="center" vertical="center"/>
    </xf>
    <xf numFmtId="2" fontId="10" fillId="5" borderId="7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6" borderId="1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0" fillId="6" borderId="7" xfId="1" applyNumberFormat="1" applyFont="1" applyFill="1" applyBorder="1" applyAlignment="1">
      <alignment vertical="center"/>
    </xf>
    <xf numFmtId="4" fontId="7" fillId="6" borderId="7" xfId="1" applyNumberFormat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0" fillId="4" borderId="7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7" fillId="12" borderId="0" xfId="1" applyFont="1" applyFill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7" fillId="0" borderId="0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7" fillId="6" borderId="0" xfId="1" applyNumberFormat="1" applyFont="1" applyFill="1" applyBorder="1" applyAlignment="1">
      <alignment horizontal="center" vertical="center"/>
    </xf>
    <xf numFmtId="2" fontId="13" fillId="6" borderId="6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11" borderId="5" xfId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7" fillId="13" borderId="0" xfId="1" applyFont="1" applyFill="1" applyBorder="1" applyAlignment="1">
      <alignment horizontal="center" wrapText="1"/>
    </xf>
    <xf numFmtId="0" fontId="1" fillId="0" borderId="4" xfId="1" applyBorder="1" applyAlignment="1">
      <alignment horizontal="center" wrapText="1"/>
    </xf>
    <xf numFmtId="0" fontId="1" fillId="0" borderId="16" xfId="1" applyBorder="1" applyAlignment="1">
      <alignment horizontal="center"/>
    </xf>
    <xf numFmtId="0" fontId="1" fillId="0" borderId="16" xfId="1" applyBorder="1" applyAlignment="1">
      <alignment horizontal="center" wrapText="1"/>
    </xf>
    <xf numFmtId="0" fontId="1" fillId="0" borderId="14" xfId="1" applyBorder="1" applyAlignment="1">
      <alignment horizontal="center"/>
    </xf>
    <xf numFmtId="0" fontId="1" fillId="0" borderId="4" xfId="1" applyBorder="1" applyAlignment="1">
      <alignment wrapText="1"/>
    </xf>
    <xf numFmtId="0" fontId="1" fillId="0" borderId="16" xfId="1" applyBorder="1"/>
    <xf numFmtId="0" fontId="1" fillId="0" borderId="5" xfId="1" applyBorder="1" applyAlignment="1">
      <alignment horizontal="center" vertical="center"/>
    </xf>
    <xf numFmtId="0" fontId="15" fillId="10" borderId="0" xfId="1" applyFont="1" applyFill="1" applyAlignment="1">
      <alignment horizontal="center"/>
    </xf>
    <xf numFmtId="0" fontId="17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2" fontId="1" fillId="0" borderId="0" xfId="1" applyNumberFormat="1" applyFill="1" applyAlignment="1">
      <alignment horizontal="center"/>
    </xf>
    <xf numFmtId="0" fontId="15" fillId="0" borderId="0" xfId="1" applyFont="1" applyFill="1" applyAlignment="1"/>
    <xf numFmtId="0" fontId="1" fillId="0" borderId="0" xfId="1" applyFill="1"/>
    <xf numFmtId="0" fontId="1" fillId="0" borderId="1" xfId="1" applyBorder="1" applyAlignment="1">
      <alignment horizontal="center"/>
    </xf>
    <xf numFmtId="0" fontId="22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5" fillId="0" borderId="6" xfId="1" applyFont="1" applyBorder="1" applyAlignment="1">
      <alignment vertical="center"/>
    </xf>
    <xf numFmtId="0" fontId="1" fillId="0" borderId="15" xfId="1" applyBorder="1" applyAlignment="1">
      <alignment horizontal="center" vertical="center"/>
    </xf>
    <xf numFmtId="9" fontId="1" fillId="0" borderId="6" xfId="1" applyNumberForma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5" borderId="11" xfId="1" applyFont="1" applyFill="1" applyBorder="1" applyAlignment="1">
      <alignment horizontal="left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/>
    <xf numFmtId="0" fontId="5" fillId="0" borderId="10" xfId="1" applyFont="1" applyBorder="1" applyAlignment="1">
      <alignment horizontal="center" vertical="center"/>
    </xf>
    <xf numFmtId="0" fontId="10" fillId="6" borderId="12" xfId="1" applyFont="1" applyFill="1" applyBorder="1" applyAlignment="1">
      <alignment horizontal="center" vertical="center"/>
    </xf>
    <xf numFmtId="2" fontId="10" fillId="6" borderId="8" xfId="1" applyNumberFormat="1" applyFont="1" applyFill="1" applyBorder="1" applyAlignment="1">
      <alignment horizontal="center" vertical="center"/>
    </xf>
    <xf numFmtId="2" fontId="20" fillId="0" borderId="0" xfId="1" applyNumberFormat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vertical="center"/>
    </xf>
    <xf numFmtId="2" fontId="19" fillId="0" borderId="0" xfId="1" applyNumberFormat="1" applyFont="1" applyFill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17" fillId="9" borderId="0" xfId="1" applyFont="1" applyFill="1" applyBorder="1" applyAlignment="1">
      <alignment horizontal="center" vertical="center" wrapText="1"/>
    </xf>
    <xf numFmtId="0" fontId="24" fillId="12" borderId="0" xfId="2" applyFont="1" applyFill="1" applyBorder="1" applyAlignment="1">
      <alignment horizontal="center" vertical="center" wrapText="1"/>
    </xf>
    <xf numFmtId="0" fontId="17" fillId="13" borderId="0" xfId="1" applyFont="1" applyFill="1" applyBorder="1" applyAlignment="1">
      <alignment horizontal="center" vertical="center" wrapText="1"/>
    </xf>
    <xf numFmtId="0" fontId="18" fillId="9" borderId="19" xfId="2" applyFill="1" applyBorder="1" applyAlignment="1">
      <alignment horizontal="center" vertical="center" wrapText="1"/>
    </xf>
    <xf numFmtId="0" fontId="18" fillId="9" borderId="19" xfId="2" applyFill="1" applyBorder="1" applyAlignment="1">
      <alignment horizontal="center" vertical="center"/>
    </xf>
    <xf numFmtId="0" fontId="18" fillId="9" borderId="0" xfId="2" applyFill="1" applyBorder="1" applyAlignment="1">
      <alignment horizontal="center" vertical="center"/>
    </xf>
    <xf numFmtId="0" fontId="18" fillId="12" borderId="19" xfId="2" applyFill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25" fillId="0" borderId="7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15" fillId="0" borderId="0" xfId="1" applyFont="1" applyFill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5" fillId="0" borderId="15" xfId="1" applyFont="1" applyBorder="1" applyAlignment="1">
      <alignment vertical="center"/>
    </xf>
    <xf numFmtId="0" fontId="1" fillId="0" borderId="0" xfId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7" fillId="9" borderId="8" xfId="1" applyFont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8" fillId="9" borderId="4" xfId="2" applyFill="1" applyBorder="1" applyAlignment="1">
      <alignment horizontal="center" vertical="center" wrapText="1"/>
    </xf>
    <xf numFmtId="0" fontId="18" fillId="9" borderId="14" xfId="2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12" borderId="14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7" fillId="12" borderId="19" xfId="1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Alignment="1">
      <alignment vertical="center" wrapText="1"/>
    </xf>
    <xf numFmtId="0" fontId="17" fillId="0" borderId="0" xfId="1" applyFont="1" applyBorder="1" applyAlignment="1">
      <alignment horizontal="center" vertical="center" wrapText="1"/>
    </xf>
    <xf numFmtId="2" fontId="20" fillId="0" borderId="11" xfId="1" applyNumberFormat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/>
    </xf>
    <xf numFmtId="0" fontId="1" fillId="4" borderId="16" xfId="1" applyFill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8" fillId="13" borderId="19" xfId="2" applyFill="1" applyBorder="1" applyAlignment="1">
      <alignment horizontal="center" vertical="center" wrapText="1"/>
    </xf>
    <xf numFmtId="2" fontId="13" fillId="6" borderId="7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3" fontId="13" fillId="4" borderId="5" xfId="1" applyNumberFormat="1" applyFont="1" applyFill="1" applyBorder="1" applyAlignment="1">
      <alignment horizontal="center" vertical="center"/>
    </xf>
    <xf numFmtId="4" fontId="10" fillId="4" borderId="7" xfId="1" applyNumberFormat="1" applyFont="1" applyFill="1" applyBorder="1" applyAlignment="1">
      <alignment horizontal="center" vertical="center"/>
    </xf>
    <xf numFmtId="3" fontId="13" fillId="6" borderId="5" xfId="1" applyNumberFormat="1" applyFont="1" applyFill="1" applyBorder="1" applyAlignment="1">
      <alignment horizontal="center" vertical="center"/>
    </xf>
    <xf numFmtId="3" fontId="10" fillId="6" borderId="5" xfId="1" applyNumberFormat="1" applyFont="1" applyFill="1" applyBorder="1" applyAlignment="1">
      <alignment horizontal="center" vertical="center"/>
    </xf>
    <xf numFmtId="4" fontId="13" fillId="6" borderId="7" xfId="1" applyNumberFormat="1" applyFont="1" applyFill="1" applyBorder="1" applyAlignment="1">
      <alignment horizontal="center" vertical="center"/>
    </xf>
    <xf numFmtId="3" fontId="10" fillId="6" borderId="12" xfId="1" applyNumberFormat="1" applyFont="1" applyFill="1" applyBorder="1" applyAlignment="1">
      <alignment horizontal="center" vertical="center"/>
    </xf>
    <xf numFmtId="2" fontId="13" fillId="6" borderId="8" xfId="1" applyNumberFormat="1" applyFont="1" applyFill="1" applyBorder="1" applyAlignment="1">
      <alignment horizontal="center" vertical="center"/>
    </xf>
    <xf numFmtId="4" fontId="13" fillId="6" borderId="8" xfId="1" applyNumberFormat="1" applyFont="1" applyFill="1" applyBorder="1" applyAlignment="1">
      <alignment horizontal="center" vertical="center"/>
    </xf>
    <xf numFmtId="3" fontId="13" fillId="5" borderId="15" xfId="1" applyNumberFormat="1" applyFont="1" applyFill="1" applyBorder="1" applyAlignment="1">
      <alignment horizontal="center" vertical="center"/>
    </xf>
    <xf numFmtId="0" fontId="0" fillId="13" borderId="1" xfId="0" applyFill="1" applyBorder="1"/>
    <xf numFmtId="3" fontId="10" fillId="4" borderId="5" xfId="1" applyNumberFormat="1" applyFont="1" applyFill="1" applyBorder="1" applyAlignment="1">
      <alignment horizontal="center" vertical="center"/>
    </xf>
    <xf numFmtId="3" fontId="10" fillId="5" borderId="5" xfId="1" applyNumberFormat="1" applyFont="1" applyFill="1" applyBorder="1" applyAlignment="1">
      <alignment horizontal="center" vertical="center"/>
    </xf>
    <xf numFmtId="3" fontId="10" fillId="5" borderId="15" xfId="1" applyNumberFormat="1" applyFont="1" applyFill="1" applyBorder="1" applyAlignment="1">
      <alignment horizontal="center" vertical="center"/>
    </xf>
    <xf numFmtId="4" fontId="10" fillId="6" borderId="7" xfId="1" applyNumberFormat="1" applyFont="1" applyFill="1" applyBorder="1" applyAlignment="1">
      <alignment horizontal="center" vertical="center"/>
    </xf>
    <xf numFmtId="3" fontId="13" fillId="6" borderId="12" xfId="1" applyNumberFormat="1" applyFont="1" applyFill="1" applyBorder="1" applyAlignment="1">
      <alignment horizontal="center" vertical="center"/>
    </xf>
    <xf numFmtId="0" fontId="1" fillId="0" borderId="16" xfId="1" applyBorder="1" applyAlignment="1">
      <alignment wrapText="1"/>
    </xf>
    <xf numFmtId="0" fontId="17" fillId="0" borderId="0" xfId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0" fillId="6" borderId="6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11" borderId="5" xfId="1" applyFont="1" applyFill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4" fontId="13" fillId="4" borderId="7" xfId="1" applyNumberFormat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17" fillId="0" borderId="7" xfId="1" applyFont="1" applyFill="1" applyBorder="1" applyAlignment="1">
      <alignment horizontal="center" wrapText="1"/>
    </xf>
    <xf numFmtId="9" fontId="15" fillId="0" borderId="5" xfId="1" applyNumberFormat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1" fillId="5" borderId="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3" fillId="4" borderId="6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0" fontId="1" fillId="0" borderId="22" xfId="1" applyBorder="1" applyAlignment="1">
      <alignment horizontal="center"/>
    </xf>
    <xf numFmtId="0" fontId="1" fillId="4" borderId="22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/>
    </xf>
    <xf numFmtId="0" fontId="16" fillId="0" borderId="0" xfId="1" applyFont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6" borderId="8" xfId="1" applyFont="1" applyFill="1" applyBorder="1" applyAlignment="1">
      <alignment horizontal="left" vertical="center"/>
    </xf>
    <xf numFmtId="0" fontId="1" fillId="0" borderId="5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7" fillId="0" borderId="3" xfId="1" applyNumberFormat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/>
    </xf>
    <xf numFmtId="0" fontId="2" fillId="5" borderId="1" xfId="1" applyFont="1" applyFill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3" fillId="6" borderId="8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vertical="center"/>
    </xf>
    <xf numFmtId="2" fontId="13" fillId="6" borderId="21" xfId="1" applyNumberFormat="1" applyFont="1" applyFill="1" applyBorder="1" applyAlignment="1">
      <alignment horizontal="center" vertical="center"/>
    </xf>
    <xf numFmtId="0" fontId="9" fillId="6" borderId="25" xfId="1" applyNumberFormat="1" applyFont="1" applyFill="1" applyBorder="1" applyAlignment="1">
      <alignment vertical="center"/>
    </xf>
    <xf numFmtId="2" fontId="7" fillId="6" borderId="26" xfId="1" applyNumberFormat="1" applyFont="1" applyFill="1" applyBorder="1" applyAlignment="1">
      <alignment horizontal="center" vertical="center"/>
    </xf>
    <xf numFmtId="2" fontId="20" fillId="0" borderId="26" xfId="1" applyNumberFormat="1" applyFont="1" applyFill="1" applyBorder="1" applyAlignment="1">
      <alignment horizontal="center" vertical="center"/>
    </xf>
    <xf numFmtId="0" fontId="5" fillId="6" borderId="25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vertical="center"/>
    </xf>
    <xf numFmtId="2" fontId="13" fillId="6" borderId="26" xfId="1" applyNumberFormat="1" applyFont="1" applyFill="1" applyBorder="1" applyAlignment="1">
      <alignment horizontal="center" vertical="center"/>
    </xf>
    <xf numFmtId="0" fontId="9" fillId="0" borderId="28" xfId="1" applyNumberFormat="1" applyFont="1" applyFill="1" applyBorder="1" applyAlignment="1">
      <alignment vertical="center"/>
    </xf>
    <xf numFmtId="2" fontId="20" fillId="0" borderId="29" xfId="1" applyNumberFormat="1" applyFont="1" applyFill="1" applyBorder="1" applyAlignment="1">
      <alignment horizontal="center" vertical="center"/>
    </xf>
    <xf numFmtId="0" fontId="5" fillId="6" borderId="27" xfId="1" applyFont="1" applyFill="1" applyBorder="1" applyAlignment="1">
      <alignment horizontal="center" vertical="center"/>
    </xf>
    <xf numFmtId="0" fontId="5" fillId="6" borderId="31" xfId="1" applyFont="1" applyFill="1" applyBorder="1" applyAlignment="1">
      <alignment horizontal="center" vertical="center"/>
    </xf>
    <xf numFmtId="0" fontId="2" fillId="6" borderId="9" xfId="1" applyFont="1" applyFill="1" applyBorder="1" applyAlignment="1">
      <alignment vertical="center"/>
    </xf>
    <xf numFmtId="3" fontId="13" fillId="6" borderId="32" xfId="1" applyNumberFormat="1" applyFont="1" applyFill="1" applyBorder="1" applyAlignment="1">
      <alignment horizontal="center" vertical="center"/>
    </xf>
    <xf numFmtId="2" fontId="13" fillId="6" borderId="34" xfId="1" applyNumberFormat="1" applyFont="1" applyFill="1" applyBorder="1" applyAlignment="1">
      <alignment horizontal="center" vertical="center"/>
    </xf>
    <xf numFmtId="3" fontId="13" fillId="6" borderId="35" xfId="1" applyNumberFormat="1" applyFont="1" applyFill="1" applyBorder="1" applyAlignment="1">
      <alignment horizontal="center" vertical="center"/>
    </xf>
    <xf numFmtId="4" fontId="13" fillId="6" borderId="33" xfId="1" applyNumberFormat="1" applyFont="1" applyFill="1" applyBorder="1" applyAlignment="1">
      <alignment horizontal="center" vertical="center"/>
    </xf>
    <xf numFmtId="4" fontId="13" fillId="6" borderId="36" xfId="1" applyNumberFormat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vertical="center"/>
    </xf>
    <xf numFmtId="0" fontId="5" fillId="0" borderId="28" xfId="1" applyFont="1" applyFill="1" applyBorder="1" applyAlignment="1">
      <alignment vertical="center"/>
    </xf>
    <xf numFmtId="0" fontId="9" fillId="0" borderId="25" xfId="1" applyNumberFormat="1" applyFont="1" applyFill="1" applyBorder="1" applyAlignment="1">
      <alignment vertical="center"/>
    </xf>
    <xf numFmtId="0" fontId="5" fillId="6" borderId="18" xfId="1" applyFont="1" applyFill="1" applyBorder="1" applyAlignment="1">
      <alignment horizontal="center" vertical="center"/>
    </xf>
    <xf numFmtId="0" fontId="5" fillId="6" borderId="37" xfId="1" applyFont="1" applyFill="1" applyBorder="1" applyAlignment="1">
      <alignment horizontal="center" vertical="center"/>
    </xf>
    <xf numFmtId="2" fontId="7" fillId="6" borderId="34" xfId="1" applyNumberFormat="1" applyFont="1" applyFill="1" applyBorder="1" applyAlignment="1">
      <alignment horizontal="center" vertical="center"/>
    </xf>
    <xf numFmtId="2" fontId="13" fillId="6" borderId="38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2" fontId="1" fillId="0" borderId="1" xfId="1" applyNumberFormat="1" applyFill="1" applyBorder="1" applyAlignment="1">
      <alignment horizontal="center" vertical="center"/>
    </xf>
    <xf numFmtId="2" fontId="1" fillId="0" borderId="5" xfId="1" applyNumberForma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0" fillId="6" borderId="23" xfId="1" applyNumberFormat="1" applyFont="1" applyFill="1" applyBorder="1" applyAlignment="1">
      <alignment horizontal="center" vertical="center"/>
    </xf>
    <xf numFmtId="2" fontId="10" fillId="6" borderId="24" xfId="1" applyNumberFormat="1" applyFont="1" applyFill="1" applyBorder="1" applyAlignment="1">
      <alignment horizontal="center" vertical="center"/>
    </xf>
    <xf numFmtId="3" fontId="10" fillId="6" borderId="32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3" fillId="6" borderId="6" xfId="1" applyNumberFormat="1" applyFont="1" applyFill="1" applyBorder="1" applyAlignment="1">
      <alignment horizontal="center" vertical="center"/>
    </xf>
    <xf numFmtId="4" fontId="7" fillId="6" borderId="26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3" fillId="6" borderId="2" xfId="1" applyFont="1" applyFill="1" applyBorder="1" applyAlignment="1">
      <alignment horizontal="left" vertical="center"/>
    </xf>
    <xf numFmtId="0" fontId="10" fillId="6" borderId="32" xfId="1" applyFont="1" applyFill="1" applyBorder="1" applyAlignment="1">
      <alignment horizontal="center" vertical="center"/>
    </xf>
    <xf numFmtId="2" fontId="20" fillId="0" borderId="15" xfId="1" applyNumberFormat="1" applyFont="1" applyFill="1" applyBorder="1" applyAlignment="1">
      <alignment horizontal="center" vertical="center"/>
    </xf>
    <xf numFmtId="2" fontId="10" fillId="6" borderId="3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0" fillId="6" borderId="26" xfId="1" applyNumberFormat="1" applyFont="1" applyFill="1" applyBorder="1" applyAlignment="1">
      <alignment horizontal="center" vertical="center"/>
    </xf>
    <xf numFmtId="2" fontId="10" fillId="6" borderId="21" xfId="1" applyNumberFormat="1" applyFont="1" applyFill="1" applyBorder="1" applyAlignment="1">
      <alignment horizontal="center" vertical="center"/>
    </xf>
    <xf numFmtId="3" fontId="13" fillId="6" borderId="23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horizontal="center" vertical="center"/>
    </xf>
    <xf numFmtId="0" fontId="5" fillId="6" borderId="41" xfId="1" applyFont="1" applyFill="1" applyBorder="1" applyAlignment="1">
      <alignment horizontal="left" vertical="center"/>
    </xf>
    <xf numFmtId="2" fontId="13" fillId="6" borderId="2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0" fillId="6" borderId="40" xfId="1" applyNumberFormat="1" applyFont="1" applyFill="1" applyBorder="1" applyAlignment="1">
      <alignment horizontal="center" vertical="center"/>
    </xf>
    <xf numFmtId="0" fontId="10" fillId="6" borderId="23" xfId="1" applyFont="1" applyFill="1" applyBorder="1" applyAlignment="1">
      <alignment horizontal="center" vertical="center"/>
    </xf>
    <xf numFmtId="0" fontId="10" fillId="6" borderId="24" xfId="1" applyFont="1" applyFill="1" applyBorder="1" applyAlignment="1">
      <alignment horizontal="center" vertical="center"/>
    </xf>
    <xf numFmtId="0" fontId="10" fillId="6" borderId="39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0" fillId="6" borderId="6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6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3" borderId="32" xfId="1" applyFont="1" applyFill="1" applyBorder="1" applyAlignment="1">
      <alignment horizontal="center" vertical="center"/>
    </xf>
    <xf numFmtId="0" fontId="5" fillId="3" borderId="34" xfId="1" applyFont="1" applyFill="1" applyBorder="1" applyAlignment="1">
      <alignment vertical="center"/>
    </xf>
    <xf numFmtId="2" fontId="10" fillId="6" borderId="19" xfId="1" applyNumberFormat="1" applyFont="1" applyFill="1" applyBorder="1" applyAlignment="1">
      <alignment horizontal="center" vertical="center"/>
    </xf>
    <xf numFmtId="0" fontId="5" fillId="5" borderId="1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0" fillId="6" borderId="41" xfId="1" applyNumberFormat="1" applyFont="1" applyFill="1" applyBorder="1" applyAlignment="1">
      <alignment horizontal="center" vertical="center"/>
    </xf>
    <xf numFmtId="0" fontId="9" fillId="0" borderId="42" xfId="1" applyNumberFormat="1" applyFont="1" applyFill="1" applyBorder="1" applyAlignment="1">
      <alignment vertical="center"/>
    </xf>
    <xf numFmtId="3" fontId="13" fillId="0" borderId="15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0" fillId="6" borderId="11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6" borderId="32" xfId="1" applyFont="1" applyFill="1" applyBorder="1" applyAlignment="1">
      <alignment horizontal="center" vertical="center"/>
    </xf>
    <xf numFmtId="0" fontId="5" fillId="6" borderId="34" xfId="1" applyFont="1" applyFill="1" applyBorder="1" applyAlignment="1">
      <alignment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3" fillId="6" borderId="11" xfId="1" applyNumberFormat="1" applyFont="1" applyFill="1" applyBorder="1" applyAlignment="1">
      <alignment horizontal="center" vertical="center"/>
    </xf>
    <xf numFmtId="2" fontId="13" fillId="6" borderId="40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/>
    </xf>
    <xf numFmtId="2" fontId="20" fillId="0" borderId="43" xfId="1" applyNumberFormat="1" applyFont="1" applyFill="1" applyBorder="1" applyAlignment="1">
      <alignment horizontal="center" vertical="center"/>
    </xf>
    <xf numFmtId="2" fontId="13" fillId="6" borderId="30" xfId="1" applyNumberFormat="1" applyFont="1" applyFill="1" applyBorder="1" applyAlignment="1">
      <alignment horizontal="center" vertical="center"/>
    </xf>
    <xf numFmtId="0" fontId="13" fillId="6" borderId="23" xfId="1" applyFont="1" applyFill="1" applyBorder="1" applyAlignment="1">
      <alignment horizontal="center" vertical="center"/>
    </xf>
    <xf numFmtId="2" fontId="10" fillId="6" borderId="38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2" fontId="10" fillId="4" borderId="6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3" fontId="10" fillId="6" borderId="39" xfId="1" applyNumberFormat="1" applyFont="1" applyFill="1" applyBorder="1" applyAlignment="1">
      <alignment horizontal="center" vertical="center"/>
    </xf>
    <xf numFmtId="2" fontId="10" fillId="6" borderId="34" xfId="1" applyNumberFormat="1" applyFont="1" applyFill="1" applyBorder="1" applyAlignment="1">
      <alignment vertical="center"/>
    </xf>
    <xf numFmtId="0" fontId="10" fillId="8" borderId="5" xfId="1" applyFont="1" applyFill="1" applyBorder="1" applyAlignment="1">
      <alignment horizontal="center" vertical="center"/>
    </xf>
    <xf numFmtId="2" fontId="10" fillId="8" borderId="7" xfId="1" applyNumberFormat="1" applyFont="1" applyFill="1" applyBorder="1" applyAlignment="1">
      <alignment horizontal="center" vertical="center"/>
    </xf>
    <xf numFmtId="2" fontId="10" fillId="8" borderId="7" xfId="1" applyNumberFormat="1" applyFont="1" applyFill="1" applyBorder="1" applyAlignment="1">
      <alignment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7" xfId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11" fillId="5" borderId="7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3" fontId="10" fillId="6" borderId="17" xfId="1" applyNumberFormat="1" applyFont="1" applyFill="1" applyBorder="1" applyAlignment="1">
      <alignment horizontal="center" vertical="center"/>
    </xf>
    <xf numFmtId="3" fontId="10" fillId="5" borderId="6" xfId="1" applyNumberFormat="1" applyFont="1" applyFill="1" applyBorder="1" applyAlignment="1">
      <alignment horizontal="center" vertical="center"/>
    </xf>
    <xf numFmtId="3" fontId="13" fillId="5" borderId="6" xfId="1" applyNumberFormat="1" applyFont="1" applyFill="1" applyBorder="1" applyAlignment="1">
      <alignment horizontal="center" vertical="center"/>
    </xf>
    <xf numFmtId="3" fontId="13" fillId="5" borderId="5" xfId="1" applyNumberFormat="1" applyFont="1" applyFill="1" applyBorder="1" applyAlignment="1">
      <alignment horizontal="center" vertical="center"/>
    </xf>
    <xf numFmtId="2" fontId="10" fillId="6" borderId="41" xfId="1" applyNumberFormat="1" applyFont="1" applyFill="1" applyBorder="1" applyAlignment="1">
      <alignment horizontal="center" vertical="center"/>
    </xf>
    <xf numFmtId="3" fontId="13" fillId="6" borderId="41" xfId="1" applyNumberFormat="1" applyFont="1" applyFill="1" applyBorder="1" applyAlignment="1">
      <alignment horizontal="center" vertical="center"/>
    </xf>
    <xf numFmtId="3" fontId="13" fillId="7" borderId="6" xfId="1" applyNumberFormat="1" applyFont="1" applyFill="1" applyBorder="1" applyAlignment="1">
      <alignment horizontal="center" vertical="center"/>
    </xf>
    <xf numFmtId="2" fontId="13" fillId="7" borderId="7" xfId="1" applyNumberFormat="1" applyFont="1" applyFill="1" applyBorder="1" applyAlignment="1">
      <alignment horizontal="center" vertical="center"/>
    </xf>
    <xf numFmtId="2" fontId="13" fillId="7" borderId="19" xfId="1" applyNumberFormat="1" applyFont="1" applyFill="1" applyBorder="1" applyAlignment="1">
      <alignment horizontal="center" vertical="center"/>
    </xf>
    <xf numFmtId="3" fontId="13" fillId="7" borderId="5" xfId="1" applyNumberFormat="1" applyFont="1" applyFill="1" applyBorder="1" applyAlignment="1">
      <alignment horizontal="center" vertical="center"/>
    </xf>
    <xf numFmtId="4" fontId="13" fillId="7" borderId="7" xfId="1" applyNumberFormat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7" borderId="7" xfId="1" applyFont="1" applyFill="1" applyBorder="1" applyAlignment="1">
      <alignment horizontal="center" vertical="center"/>
    </xf>
    <xf numFmtId="3" fontId="13" fillId="7" borderId="15" xfId="1" applyNumberFormat="1" applyFont="1" applyFill="1" applyBorder="1" applyAlignment="1">
      <alignment horizontal="center" vertical="center"/>
    </xf>
    <xf numFmtId="0" fontId="13" fillId="7" borderId="5" xfId="1" applyFont="1" applyFill="1" applyBorder="1" applyAlignment="1">
      <alignment horizontal="center" vertical="center"/>
    </xf>
    <xf numFmtId="0" fontId="13" fillId="7" borderId="8" xfId="1" applyFont="1" applyFill="1" applyBorder="1" applyAlignment="1">
      <alignment horizontal="center" vertical="center"/>
    </xf>
    <xf numFmtId="3" fontId="13" fillId="7" borderId="41" xfId="1" applyNumberFormat="1" applyFont="1" applyFill="1" applyBorder="1" applyAlignment="1">
      <alignment horizontal="center" vertical="center"/>
    </xf>
    <xf numFmtId="2" fontId="13" fillId="7" borderId="21" xfId="1" applyNumberFormat="1" applyFont="1" applyFill="1" applyBorder="1" applyAlignment="1">
      <alignment horizontal="center" vertical="center"/>
    </xf>
    <xf numFmtId="2" fontId="13" fillId="7" borderId="26" xfId="1" applyNumberFormat="1" applyFont="1" applyFill="1" applyBorder="1" applyAlignment="1">
      <alignment horizontal="center" vertical="center"/>
    </xf>
    <xf numFmtId="3" fontId="7" fillId="7" borderId="5" xfId="1" applyNumberFormat="1" applyFont="1" applyFill="1" applyBorder="1" applyAlignment="1">
      <alignment horizontal="center" vertical="center"/>
    </xf>
    <xf numFmtId="2" fontId="7" fillId="7" borderId="26" xfId="1" applyNumberFormat="1" applyFont="1" applyFill="1" applyBorder="1" applyAlignment="1">
      <alignment horizontal="center" vertical="center"/>
    </xf>
    <xf numFmtId="4" fontId="7" fillId="7" borderId="26" xfId="1" applyNumberFormat="1" applyFont="1" applyFill="1" applyBorder="1" applyAlignment="1">
      <alignment horizontal="center" vertical="center"/>
    </xf>
    <xf numFmtId="3" fontId="13" fillId="7" borderId="32" xfId="1" applyNumberFormat="1" applyFont="1" applyFill="1" applyBorder="1" applyAlignment="1">
      <alignment horizontal="center" vertical="center"/>
    </xf>
    <xf numFmtId="2" fontId="13" fillId="7" borderId="38" xfId="1" applyNumberFormat="1" applyFont="1" applyFill="1" applyBorder="1" applyAlignment="1">
      <alignment horizontal="center" vertical="center"/>
    </xf>
    <xf numFmtId="3" fontId="13" fillId="7" borderId="23" xfId="1" applyNumberFormat="1" applyFont="1" applyFill="1" applyBorder="1" applyAlignment="1">
      <alignment horizontal="center" vertical="center"/>
    </xf>
    <xf numFmtId="2" fontId="13" fillId="7" borderId="30" xfId="1" applyNumberFormat="1" applyFont="1" applyFill="1" applyBorder="1" applyAlignment="1">
      <alignment horizontal="center" vertical="center"/>
    </xf>
    <xf numFmtId="0" fontId="13" fillId="7" borderId="12" xfId="1" applyFont="1" applyFill="1" applyBorder="1" applyAlignment="1">
      <alignment horizontal="center" vertical="center"/>
    </xf>
    <xf numFmtId="0" fontId="5" fillId="7" borderId="32" xfId="1" applyFont="1" applyFill="1" applyBorder="1" applyAlignment="1">
      <alignment horizontal="center" vertical="center"/>
    </xf>
    <xf numFmtId="0" fontId="5" fillId="7" borderId="38" xfId="1" applyFont="1" applyFill="1" applyBorder="1" applyAlignment="1">
      <alignment vertical="center"/>
    </xf>
    <xf numFmtId="0" fontId="13" fillId="7" borderId="7" xfId="1" applyFont="1" applyFill="1" applyBorder="1" applyAlignment="1">
      <alignment horizontal="center" vertical="center"/>
    </xf>
    <xf numFmtId="0" fontId="13" fillId="7" borderId="23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2" fontId="13" fillId="7" borderId="43" xfId="1" applyNumberFormat="1" applyFont="1" applyFill="1" applyBorder="1" applyAlignment="1">
      <alignment horizontal="center" vertical="center"/>
    </xf>
    <xf numFmtId="3" fontId="12" fillId="7" borderId="6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2" fontId="10" fillId="4" borderId="8" xfId="1" applyNumberFormat="1" applyFont="1" applyFill="1" applyBorder="1" applyAlignment="1">
      <alignment horizontal="center" vertical="center"/>
    </xf>
    <xf numFmtId="3" fontId="10" fillId="6" borderId="11" xfId="1" applyNumberFormat="1" applyFont="1" applyFill="1" applyBorder="1" applyAlignment="1">
      <alignment horizontal="center" vertical="center"/>
    </xf>
    <xf numFmtId="0" fontId="10" fillId="6" borderId="15" xfId="1" applyFont="1" applyFill="1" applyBorder="1" applyAlignment="1">
      <alignment horizontal="center" vertical="center"/>
    </xf>
    <xf numFmtId="2" fontId="10" fillId="6" borderId="0" xfId="1" applyNumberFormat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3" fillId="6" borderId="0" xfId="1" applyFont="1" applyFill="1" applyBorder="1" applyAlignment="1">
      <alignment horizontal="center" vertical="center"/>
    </xf>
    <xf numFmtId="0" fontId="13" fillId="10" borderId="5" xfId="1" applyFont="1" applyFill="1" applyBorder="1" applyAlignment="1">
      <alignment horizontal="center" vertical="center"/>
    </xf>
    <xf numFmtId="0" fontId="13" fillId="10" borderId="7" xfId="1" applyFont="1" applyFill="1" applyBorder="1" applyAlignment="1">
      <alignment horizontal="center" vertical="center"/>
    </xf>
    <xf numFmtId="0" fontId="13" fillId="10" borderId="8" xfId="1" applyFont="1" applyFill="1" applyBorder="1" applyAlignment="1">
      <alignment horizontal="center" vertical="center"/>
    </xf>
    <xf numFmtId="0" fontId="5" fillId="10" borderId="2" xfId="1" applyFont="1" applyFill="1" applyBorder="1" applyAlignment="1">
      <alignment horizontal="center" vertical="center"/>
    </xf>
    <xf numFmtId="0" fontId="5" fillId="10" borderId="2" xfId="1" applyFont="1" applyFill="1" applyBorder="1" applyAlignment="1">
      <alignment horizontal="left" vertical="center"/>
    </xf>
    <xf numFmtId="3" fontId="13" fillId="10" borderId="6" xfId="1" applyNumberFormat="1" applyFont="1" applyFill="1" applyBorder="1" applyAlignment="1">
      <alignment horizontal="center" vertical="center"/>
    </xf>
    <xf numFmtId="2" fontId="13" fillId="10" borderId="7" xfId="1" applyNumberFormat="1" applyFont="1" applyFill="1" applyBorder="1" applyAlignment="1">
      <alignment horizontal="center" vertical="center"/>
    </xf>
    <xf numFmtId="3" fontId="10" fillId="10" borderId="6" xfId="1" applyNumberFormat="1" applyFont="1" applyFill="1" applyBorder="1" applyAlignment="1">
      <alignment horizontal="center" vertical="center"/>
    </xf>
    <xf numFmtId="3" fontId="13" fillId="10" borderId="6" xfId="1" applyNumberFormat="1" applyFont="1" applyFill="1" applyBorder="1" applyAlignment="1">
      <alignment horizontal="center" vertical="center" wrapText="1"/>
    </xf>
    <xf numFmtId="0" fontId="5" fillId="10" borderId="1" xfId="1" applyFont="1" applyFill="1" applyBorder="1" applyAlignment="1">
      <alignment horizontal="center" vertical="center"/>
    </xf>
    <xf numFmtId="0" fontId="2" fillId="10" borderId="4" xfId="1" applyFont="1" applyFill="1" applyBorder="1" applyAlignment="1">
      <alignment horizontal="left" vertical="center"/>
    </xf>
    <xf numFmtId="3" fontId="10" fillId="10" borderId="6" xfId="1" applyNumberFormat="1" applyFont="1" applyFill="1" applyBorder="1" applyAlignment="1">
      <alignment horizontal="center" vertical="center" wrapText="1"/>
    </xf>
    <xf numFmtId="2" fontId="10" fillId="10" borderId="7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2" fillId="10" borderId="1" xfId="1" applyFont="1" applyFill="1" applyBorder="1" applyAlignment="1">
      <alignment horizontal="left" vertical="center"/>
    </xf>
    <xf numFmtId="3" fontId="10" fillId="10" borderId="5" xfId="1" applyNumberFormat="1" applyFont="1" applyFill="1" applyBorder="1" applyAlignment="1">
      <alignment horizontal="center" vertical="center"/>
    </xf>
    <xf numFmtId="3" fontId="13" fillId="10" borderId="5" xfId="1" applyNumberFormat="1" applyFont="1" applyFill="1" applyBorder="1" applyAlignment="1">
      <alignment horizontal="center" vertical="center"/>
    </xf>
    <xf numFmtId="2" fontId="10" fillId="10" borderId="6" xfId="1" applyNumberFormat="1" applyFont="1" applyFill="1" applyBorder="1" applyAlignment="1">
      <alignment horizontal="center" vertical="center"/>
    </xf>
    <xf numFmtId="2" fontId="5" fillId="6" borderId="34" xfId="1" applyNumberFormat="1" applyFont="1" applyFill="1" applyBorder="1" applyAlignment="1">
      <alignment horizontal="center" vertical="center"/>
    </xf>
    <xf numFmtId="3" fontId="13" fillId="6" borderId="23" xfId="1" applyNumberFormat="1" applyFont="1" applyFill="1" applyBorder="1" applyAlignment="1">
      <alignment horizontal="center" vertical="center" wrapText="1"/>
    </xf>
    <xf numFmtId="3" fontId="13" fillId="6" borderId="5" xfId="1" applyNumberFormat="1" applyFont="1" applyFill="1" applyBorder="1" applyAlignment="1">
      <alignment horizontal="center" vertical="center" wrapText="1"/>
    </xf>
    <xf numFmtId="3" fontId="13" fillId="6" borderId="6" xfId="1" applyNumberFormat="1" applyFont="1" applyFill="1" applyBorder="1" applyAlignment="1">
      <alignment horizontal="center" vertical="center" wrapText="1"/>
    </xf>
    <xf numFmtId="3" fontId="10" fillId="4" borderId="5" xfId="1" applyNumberFormat="1" applyFont="1" applyFill="1" applyBorder="1" applyAlignment="1">
      <alignment horizontal="center" vertical="center" wrapText="1"/>
    </xf>
    <xf numFmtId="2" fontId="10" fillId="10" borderId="19" xfId="1" applyNumberFormat="1" applyFont="1" applyFill="1" applyBorder="1" applyAlignment="1">
      <alignment horizontal="center" vertical="center"/>
    </xf>
    <xf numFmtId="2" fontId="13" fillId="10" borderId="19" xfId="1" applyNumberFormat="1" applyFont="1" applyFill="1" applyBorder="1" applyAlignment="1">
      <alignment horizontal="center" vertical="center"/>
    </xf>
    <xf numFmtId="0" fontId="5" fillId="10" borderId="16" xfId="1" applyFont="1" applyFill="1" applyBorder="1" applyAlignment="1">
      <alignment horizontal="center" vertical="center"/>
    </xf>
    <xf numFmtId="0" fontId="5" fillId="10" borderId="1" xfId="1" applyFont="1" applyFill="1" applyBorder="1" applyAlignment="1">
      <alignment horizontal="left" vertical="center"/>
    </xf>
    <xf numFmtId="0" fontId="5" fillId="10" borderId="4" xfId="1" applyFont="1" applyFill="1" applyBorder="1" applyAlignment="1">
      <alignment horizontal="center" vertical="center"/>
    </xf>
    <xf numFmtId="0" fontId="10" fillId="10" borderId="5" xfId="1" applyFont="1" applyFill="1" applyBorder="1" applyAlignment="1">
      <alignment horizontal="center" vertical="center"/>
    </xf>
    <xf numFmtId="2" fontId="10" fillId="10" borderId="8" xfId="1" applyNumberFormat="1" applyFont="1" applyFill="1" applyBorder="1" applyAlignment="1">
      <alignment horizontal="center" vertical="center"/>
    </xf>
    <xf numFmtId="3" fontId="6" fillId="10" borderId="5" xfId="1" applyNumberFormat="1" applyFont="1" applyFill="1" applyBorder="1" applyAlignment="1">
      <alignment horizontal="center" vertical="center"/>
    </xf>
    <xf numFmtId="2" fontId="10" fillId="4" borderId="26" xfId="1" applyNumberFormat="1" applyFont="1" applyFill="1" applyBorder="1" applyAlignment="1">
      <alignment horizontal="center" vertical="center"/>
    </xf>
    <xf numFmtId="0" fontId="10" fillId="5" borderId="12" xfId="1" applyFont="1" applyFill="1" applyBorder="1" applyAlignment="1">
      <alignment horizontal="center" vertical="center"/>
    </xf>
    <xf numFmtId="2" fontId="10" fillId="5" borderId="19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0" fillId="6" borderId="44" xfId="1" applyFont="1" applyFill="1" applyBorder="1" applyAlignment="1">
      <alignment horizontal="center" vertical="center"/>
    </xf>
    <xf numFmtId="2" fontId="10" fillId="6" borderId="45" xfId="1" applyNumberFormat="1" applyFont="1" applyFill="1" applyBorder="1" applyAlignment="1">
      <alignment horizontal="center" vertical="center"/>
    </xf>
    <xf numFmtId="3" fontId="10" fillId="4" borderId="23" xfId="1" applyNumberFormat="1" applyFont="1" applyFill="1" applyBorder="1" applyAlignment="1">
      <alignment horizontal="center" vertical="center"/>
    </xf>
    <xf numFmtId="2" fontId="10" fillId="4" borderId="24" xfId="1" applyNumberFormat="1" applyFont="1" applyFill="1" applyBorder="1" applyAlignment="1">
      <alignment horizontal="center" vertical="center"/>
    </xf>
    <xf numFmtId="0" fontId="11" fillId="5" borderId="7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2" fontId="11" fillId="5" borderId="7" xfId="1" applyNumberFormat="1" applyFont="1" applyFill="1" applyBorder="1" applyAlignment="1">
      <alignment horizontal="center" vertical="center"/>
    </xf>
    <xf numFmtId="0" fontId="10" fillId="10" borderId="7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4" fontId="5" fillId="0" borderId="20" xfId="1" applyNumberFormat="1" applyFont="1" applyBorder="1" applyAlignment="1">
      <alignment horizontal="center" vertical="center"/>
    </xf>
    <xf numFmtId="14" fontId="5" fillId="0" borderId="21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3" fillId="9" borderId="17" xfId="0" applyFont="1" applyFill="1" applyBorder="1" applyAlignment="1">
      <alignment horizontal="center" vertical="center"/>
    </xf>
    <xf numFmtId="0" fontId="23" fillId="9" borderId="19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8" xfId="0" applyFont="1" applyFill="1" applyBorder="1" applyAlignment="1">
      <alignment horizontal="center" vertical="center"/>
    </xf>
    <xf numFmtId="0" fontId="18" fillId="9" borderId="4" xfId="2" applyFill="1" applyBorder="1" applyAlignment="1">
      <alignment horizontal="center" vertical="center"/>
    </xf>
    <xf numFmtId="0" fontId="18" fillId="9" borderId="14" xfId="2" applyFill="1" applyBorder="1" applyAlignment="1">
      <alignment horizontal="center" vertical="center"/>
    </xf>
    <xf numFmtId="0" fontId="18" fillId="9" borderId="4" xfId="2" applyFill="1" applyBorder="1" applyAlignment="1">
      <alignment vertical="center"/>
    </xf>
    <xf numFmtId="0" fontId="18" fillId="9" borderId="14" xfId="2" applyFill="1" applyBorder="1" applyAlignment="1">
      <alignment vertical="center"/>
    </xf>
    <xf numFmtId="0" fontId="1" fillId="0" borderId="5" xfId="1" applyFill="1" applyBorder="1" applyAlignment="1">
      <alignment horizontal="left" vertical="center"/>
    </xf>
    <xf numFmtId="0" fontId="1" fillId="0" borderId="6" xfId="1" applyFill="1" applyBorder="1" applyAlignment="1">
      <alignment horizontal="left" vertical="center"/>
    </xf>
    <xf numFmtId="0" fontId="1" fillId="0" borderId="7" xfId="1" applyFill="1" applyBorder="1" applyAlignment="1">
      <alignment horizontal="left" vertical="center"/>
    </xf>
    <xf numFmtId="0" fontId="18" fillId="9" borderId="1" xfId="2" applyFill="1" applyBorder="1" applyAlignment="1">
      <alignment horizontal="center" vertical="center"/>
    </xf>
    <xf numFmtId="0" fontId="1" fillId="10" borderId="6" xfId="1" applyFill="1" applyBorder="1" applyAlignment="1">
      <alignment horizontal="left" vertical="center"/>
    </xf>
    <xf numFmtId="0" fontId="1" fillId="10" borderId="7" xfId="1" applyFill="1" applyBorder="1" applyAlignment="1">
      <alignment horizontal="left" vertical="center"/>
    </xf>
    <xf numFmtId="0" fontId="0" fillId="0" borderId="4" xfId="0" applyBorder="1"/>
    <xf numFmtId="0" fontId="0" fillId="0" borderId="14" xfId="0" applyBorder="1"/>
    <xf numFmtId="0" fontId="16" fillId="11" borderId="5" xfId="1" applyFont="1" applyFill="1" applyBorder="1" applyAlignment="1">
      <alignment horizontal="center" vertical="center"/>
    </xf>
    <xf numFmtId="0" fontId="16" fillId="11" borderId="7" xfId="1" applyFont="1" applyFill="1" applyBorder="1" applyAlignment="1">
      <alignment horizontal="center" vertical="center"/>
    </xf>
    <xf numFmtId="0" fontId="1" fillId="4" borderId="6" xfId="1" applyFill="1" applyBorder="1" applyAlignment="1">
      <alignment horizontal="left" vertical="center"/>
    </xf>
    <xf numFmtId="0" fontId="1" fillId="4" borderId="7" xfId="1" applyFill="1" applyBorder="1" applyAlignment="1">
      <alignment horizontal="left" vertical="center"/>
    </xf>
    <xf numFmtId="0" fontId="0" fillId="9" borderId="4" xfId="0" applyFill="1" applyBorder="1"/>
    <xf numFmtId="0" fontId="0" fillId="9" borderId="14" xfId="0" applyFill="1" applyBorder="1"/>
    <xf numFmtId="0" fontId="18" fillId="9" borderId="16" xfId="2" applyFill="1" applyBorder="1" applyAlignment="1">
      <alignment horizontal="center" vertical="center"/>
    </xf>
    <xf numFmtId="0" fontId="17" fillId="9" borderId="1" xfId="1" applyFont="1" applyFill="1" applyBorder="1" applyAlignment="1">
      <alignment horizontal="center" vertical="center" wrapText="1"/>
    </xf>
    <xf numFmtId="0" fontId="18" fillId="9" borderId="4" xfId="2" applyFill="1" applyBorder="1" applyAlignment="1">
      <alignment horizontal="center" vertical="center" wrapText="1"/>
    </xf>
    <xf numFmtId="0" fontId="18" fillId="9" borderId="14" xfId="2" applyFill="1" applyBorder="1" applyAlignment="1">
      <alignment horizontal="center" vertical="center" wrapText="1"/>
    </xf>
    <xf numFmtId="0" fontId="18" fillId="9" borderId="17" xfId="2" applyFill="1" applyBorder="1" applyAlignment="1">
      <alignment horizontal="center" vertical="center" wrapText="1"/>
    </xf>
    <xf numFmtId="0" fontId="18" fillId="9" borderId="3" xfId="2" applyFill="1" applyBorder="1" applyAlignment="1">
      <alignment horizontal="center" vertical="center" wrapText="1"/>
    </xf>
    <xf numFmtId="0" fontId="18" fillId="9" borderId="17" xfId="2" applyFill="1" applyBorder="1" applyAlignment="1">
      <alignment horizontal="center" vertical="center"/>
    </xf>
    <xf numFmtId="0" fontId="18" fillId="9" borderId="12" xfId="2" applyFill="1" applyBorder="1" applyAlignment="1">
      <alignment horizontal="center" vertical="center"/>
    </xf>
    <xf numFmtId="0" fontId="18" fillId="9" borderId="4" xfId="2" applyFill="1" applyBorder="1" applyAlignment="1">
      <alignment horizontal="center"/>
    </xf>
    <xf numFmtId="0" fontId="18" fillId="9" borderId="14" xfId="2" applyFill="1" applyBorder="1" applyAlignment="1">
      <alignment horizontal="center"/>
    </xf>
    <xf numFmtId="0" fontId="17" fillId="13" borderId="1" xfId="1" applyFont="1" applyFill="1" applyBorder="1" applyAlignment="1">
      <alignment horizontal="center" vertical="center" wrapText="1"/>
    </xf>
    <xf numFmtId="0" fontId="16" fillId="9" borderId="4" xfId="2" applyFont="1" applyFill="1" applyBorder="1" applyAlignment="1">
      <alignment horizontal="center" vertical="center" wrapText="1"/>
    </xf>
    <xf numFmtId="0" fontId="16" fillId="9" borderId="14" xfId="2" applyFont="1" applyFill="1" applyBorder="1" applyAlignment="1">
      <alignment horizontal="center" vertical="center" wrapText="1"/>
    </xf>
    <xf numFmtId="0" fontId="18" fillId="9" borderId="4" xfId="2" applyFill="1" applyBorder="1"/>
    <xf numFmtId="0" fontId="18" fillId="9" borderId="14" xfId="2" applyFill="1" applyBorder="1"/>
    <xf numFmtId="0" fontId="18" fillId="13" borderId="4" xfId="2" applyFill="1" applyBorder="1" applyAlignment="1">
      <alignment horizontal="center" vertical="center" wrapText="1"/>
    </xf>
    <xf numFmtId="0" fontId="18" fillId="13" borderId="14" xfId="2" applyFill="1" applyBorder="1" applyAlignment="1">
      <alignment horizontal="center" vertical="center" wrapText="1"/>
    </xf>
    <xf numFmtId="0" fontId="18" fillId="13" borderId="4" xfId="2" applyFill="1" applyBorder="1" applyAlignment="1">
      <alignment horizontal="center" vertical="center"/>
    </xf>
    <xf numFmtId="0" fontId="18" fillId="13" borderId="14" xfId="2" applyFill="1" applyBorder="1" applyAlignment="1">
      <alignment horizontal="center" vertical="center"/>
    </xf>
    <xf numFmtId="0" fontId="16" fillId="10" borderId="5" xfId="1" applyFont="1" applyFill="1" applyBorder="1" applyAlignment="1">
      <alignment horizontal="center" vertical="center"/>
    </xf>
    <xf numFmtId="0" fontId="16" fillId="10" borderId="7" xfId="1" applyFont="1" applyFill="1" applyBorder="1" applyAlignment="1">
      <alignment horizontal="center" vertical="center"/>
    </xf>
    <xf numFmtId="0" fontId="16" fillId="12" borderId="4" xfId="2" applyFont="1" applyFill="1" applyBorder="1" applyAlignment="1">
      <alignment horizontal="center" vertical="center" wrapText="1"/>
    </xf>
    <xf numFmtId="0" fontId="16" fillId="12" borderId="14" xfId="2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/>
    </xf>
    <xf numFmtId="0" fontId="16" fillId="2" borderId="7" xfId="1" applyFont="1" applyFill="1" applyBorder="1" applyAlignment="1">
      <alignment horizontal="center" vertical="center"/>
    </xf>
    <xf numFmtId="0" fontId="17" fillId="12" borderId="1" xfId="1" applyFont="1" applyFill="1" applyBorder="1" applyAlignment="1">
      <alignment horizontal="center" vertical="center" wrapText="1"/>
    </xf>
    <xf numFmtId="0" fontId="18" fillId="12" borderId="4" xfId="2" applyFill="1" applyBorder="1" applyAlignment="1">
      <alignment horizontal="center" vertical="center" wrapText="1"/>
    </xf>
    <xf numFmtId="0" fontId="18" fillId="12" borderId="14" xfId="2" applyFill="1" applyBorder="1" applyAlignment="1">
      <alignment horizontal="center" vertical="center" wrapText="1"/>
    </xf>
    <xf numFmtId="0" fontId="18" fillId="9" borderId="15" xfId="2" applyFill="1" applyBorder="1" applyAlignment="1">
      <alignment horizontal="center" vertical="center" wrapText="1"/>
    </xf>
    <xf numFmtId="0" fontId="18" fillId="9" borderId="0" xfId="2" applyFill="1" applyBorder="1" applyAlignment="1">
      <alignment horizontal="center" vertical="center" wrapText="1"/>
    </xf>
    <xf numFmtId="0" fontId="18" fillId="12" borderId="17" xfId="2" applyFill="1" applyBorder="1" applyAlignment="1">
      <alignment horizontal="center" vertical="center" wrapText="1"/>
    </xf>
    <xf numFmtId="0" fontId="18" fillId="12" borderId="3" xfId="2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4" borderId="5" xfId="1" applyFont="1" applyFill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wrapText="1"/>
    </xf>
    <xf numFmtId="0" fontId="1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7" fillId="0" borderId="5" xfId="1" applyFont="1" applyBorder="1" applyAlignment="1">
      <alignment horizontal="center"/>
    </xf>
    <xf numFmtId="0" fontId="17" fillId="0" borderId="6" xfId="1" applyFont="1" applyBorder="1" applyAlignment="1">
      <alignment horizontal="center"/>
    </xf>
    <xf numFmtId="0" fontId="17" fillId="0" borderId="7" xfId="1" applyFont="1" applyBorder="1" applyAlignment="1">
      <alignment horizontal="center"/>
    </xf>
    <xf numFmtId="0" fontId="17" fillId="0" borderId="1" xfId="1" applyFont="1" applyBorder="1" applyAlignment="1">
      <alignment horizontal="center" vertical="center" wrapText="1"/>
    </xf>
    <xf numFmtId="0" fontId="25" fillId="12" borderId="4" xfId="1" applyFont="1" applyFill="1" applyBorder="1" applyAlignment="1">
      <alignment horizontal="center" vertical="center" wrapText="1"/>
    </xf>
    <xf numFmtId="0" fontId="25" fillId="12" borderId="14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18" fillId="14" borderId="17" xfId="2" applyFill="1" applyBorder="1" applyAlignment="1">
      <alignment horizontal="center" vertical="center" wrapText="1"/>
    </xf>
    <xf numFmtId="0" fontId="18" fillId="14" borderId="3" xfId="2" applyFill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6" fillId="0" borderId="5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8" fillId="14" borderId="4" xfId="2" applyFill="1" applyBorder="1" applyAlignment="1">
      <alignment horizontal="center" vertical="center"/>
    </xf>
    <xf numFmtId="0" fontId="18" fillId="14" borderId="14" xfId="2" applyFill="1" applyBorder="1" applyAlignment="1">
      <alignment horizontal="center" vertical="center"/>
    </xf>
    <xf numFmtId="0" fontId="16" fillId="9" borderId="4" xfId="2" applyFont="1" applyFill="1" applyBorder="1" applyAlignment="1">
      <alignment horizontal="center" vertical="center"/>
    </xf>
    <xf numFmtId="0" fontId="16" fillId="9" borderId="14" xfId="2" applyFont="1" applyFill="1" applyBorder="1" applyAlignment="1">
      <alignment horizontal="center" vertical="center"/>
    </xf>
    <xf numFmtId="0" fontId="0" fillId="0" borderId="1" xfId="0" applyBorder="1"/>
  </cellXfs>
  <cellStyles count="3">
    <cellStyle name="Lien hypertexte" xfId="2" builtinId="8"/>
    <cellStyle name="Normal" xfId="0" builtinId="0"/>
    <cellStyle name="Normal 2" xfId="1"/>
  </cellStyles>
  <dxfs count="109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47</xdr:row>
      <xdr:rowOff>219884</xdr:rowOff>
    </xdr:to>
    <xdr:sp macro="" textlink="">
      <xdr:nvSpPr>
        <xdr:cNvPr id="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7739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47</xdr:row>
      <xdr:rowOff>191309</xdr:rowOff>
    </xdr:to>
    <xdr:sp macro="" textlink="">
      <xdr:nvSpPr>
        <xdr:cNvPr id="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7710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50</xdr:row>
      <xdr:rowOff>113379</xdr:rowOff>
    </xdr:to>
    <xdr:sp macro="" textlink="">
      <xdr:nvSpPr>
        <xdr:cNvPr id="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8234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46</xdr:row>
      <xdr:rowOff>44715</xdr:rowOff>
    </xdr:to>
    <xdr:sp macro="" textlink="">
      <xdr:nvSpPr>
        <xdr:cNvPr id="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7461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46</xdr:row>
      <xdr:rowOff>44715</xdr:rowOff>
    </xdr:to>
    <xdr:sp macro="" textlink="">
      <xdr:nvSpPr>
        <xdr:cNvPr id="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7461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50</xdr:row>
      <xdr:rowOff>132429</xdr:rowOff>
    </xdr:to>
    <xdr:sp macro="" textlink="">
      <xdr:nvSpPr>
        <xdr:cNvPr id="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82533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50</xdr:row>
      <xdr:rowOff>132429</xdr:rowOff>
    </xdr:to>
    <xdr:sp macro="" textlink="">
      <xdr:nvSpPr>
        <xdr:cNvPr id="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82533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51</xdr:row>
      <xdr:rowOff>130817</xdr:rowOff>
    </xdr:to>
    <xdr:sp macro="" textlink="">
      <xdr:nvSpPr>
        <xdr:cNvPr id="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8499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51</xdr:row>
      <xdr:rowOff>130817</xdr:rowOff>
    </xdr:to>
    <xdr:sp macro="" textlink="">
      <xdr:nvSpPr>
        <xdr:cNvPr id="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8499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53</xdr:row>
      <xdr:rowOff>48019</xdr:rowOff>
    </xdr:to>
    <xdr:sp macro="" textlink="">
      <xdr:nvSpPr>
        <xdr:cNvPr id="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8758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53</xdr:row>
      <xdr:rowOff>48019</xdr:rowOff>
    </xdr:to>
    <xdr:sp macro="" textlink="">
      <xdr:nvSpPr>
        <xdr:cNvPr id="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8758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56</xdr:row>
      <xdr:rowOff>152400</xdr:rowOff>
    </xdr:to>
    <xdr:sp macro="" textlink="">
      <xdr:nvSpPr>
        <xdr:cNvPr id="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94544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57</xdr:row>
      <xdr:rowOff>47052</xdr:rowOff>
    </xdr:to>
    <xdr:sp macro="" textlink="">
      <xdr:nvSpPr>
        <xdr:cNvPr id="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9595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57</xdr:row>
      <xdr:rowOff>126825</xdr:rowOff>
    </xdr:to>
    <xdr:sp macro="" textlink="">
      <xdr:nvSpPr>
        <xdr:cNvPr id="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96764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57</xdr:row>
      <xdr:rowOff>84323</xdr:rowOff>
    </xdr:to>
    <xdr:sp macro="" textlink="">
      <xdr:nvSpPr>
        <xdr:cNvPr id="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9632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58</xdr:row>
      <xdr:rowOff>34987</xdr:rowOff>
    </xdr:to>
    <xdr:sp macro="" textlink="">
      <xdr:nvSpPr>
        <xdr:cNvPr id="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98317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57</xdr:row>
      <xdr:rowOff>47052</xdr:rowOff>
    </xdr:to>
    <xdr:sp macro="" textlink="">
      <xdr:nvSpPr>
        <xdr:cNvPr id="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9595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58</xdr:row>
      <xdr:rowOff>88215</xdr:rowOff>
    </xdr:to>
    <xdr:sp macro="" textlink="">
      <xdr:nvSpPr>
        <xdr:cNvPr id="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988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10</xdr:row>
      <xdr:rowOff>0</xdr:rowOff>
    </xdr:from>
    <xdr:to>
      <xdr:col>32</xdr:col>
      <xdr:colOff>447675</xdr:colOff>
      <xdr:row>58</xdr:row>
      <xdr:rowOff>88215</xdr:rowOff>
    </xdr:to>
    <xdr:sp macro="" textlink="">
      <xdr:nvSpPr>
        <xdr:cNvPr id="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562225"/>
          <a:ext cx="30880050" cy="988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60</xdr:row>
      <xdr:rowOff>57471</xdr:rowOff>
    </xdr:to>
    <xdr:sp macro="" textlink="">
      <xdr:nvSpPr>
        <xdr:cNvPr id="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562225"/>
          <a:ext cx="27993975" cy="10202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45</xdr:row>
      <xdr:rowOff>163344</xdr:rowOff>
    </xdr:to>
    <xdr:sp macro="" textlink="">
      <xdr:nvSpPr>
        <xdr:cNvPr id="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848100"/>
          <a:ext cx="30880050" cy="62834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29166</xdr:rowOff>
    </xdr:to>
    <xdr:sp macro="" textlink="">
      <xdr:nvSpPr>
        <xdr:cNvPr id="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848100"/>
          <a:ext cx="27993975" cy="6396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11</xdr:row>
      <xdr:rowOff>0</xdr:rowOff>
    </xdr:from>
    <xdr:to>
      <xdr:col>33</xdr:col>
      <xdr:colOff>323850</xdr:colOff>
      <xdr:row>61</xdr:row>
      <xdr:rowOff>45384</xdr:rowOff>
    </xdr:to>
    <xdr:sp macro="" textlink="">
      <xdr:nvSpPr>
        <xdr:cNvPr id="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657475"/>
          <a:ext cx="27993975" cy="10337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11</xdr:row>
      <xdr:rowOff>0</xdr:rowOff>
    </xdr:from>
    <xdr:to>
      <xdr:col>33</xdr:col>
      <xdr:colOff>323850</xdr:colOff>
      <xdr:row>62</xdr:row>
      <xdr:rowOff>59642</xdr:rowOff>
    </xdr:to>
    <xdr:sp macro="" textlink="">
      <xdr:nvSpPr>
        <xdr:cNvPr id="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657475"/>
          <a:ext cx="27993975" cy="10476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42</xdr:row>
      <xdr:rowOff>193583</xdr:rowOff>
    </xdr:to>
    <xdr:sp macro="" textlink="">
      <xdr:nvSpPr>
        <xdr:cNvPr id="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848100"/>
          <a:ext cx="30880050" cy="5670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45</xdr:row>
      <xdr:rowOff>172869</xdr:rowOff>
    </xdr:to>
    <xdr:sp macro="" textlink="">
      <xdr:nvSpPr>
        <xdr:cNvPr id="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848100"/>
          <a:ext cx="27993975" cy="6292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63</xdr:row>
      <xdr:rowOff>159634</xdr:rowOff>
    </xdr:to>
    <xdr:sp macro="" textlink="">
      <xdr:nvSpPr>
        <xdr:cNvPr id="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1122</xdr:rowOff>
    </xdr:to>
    <xdr:sp macro="" textlink="">
      <xdr:nvSpPr>
        <xdr:cNvPr id="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1122</xdr:rowOff>
    </xdr:to>
    <xdr:sp macro="" textlink="">
      <xdr:nvSpPr>
        <xdr:cNvPr id="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696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169208</xdr:rowOff>
    </xdr:to>
    <xdr:sp macro="" textlink="">
      <xdr:nvSpPr>
        <xdr:cNvPr id="1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656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169208</xdr:rowOff>
    </xdr:to>
    <xdr:sp macro="" textlink="">
      <xdr:nvSpPr>
        <xdr:cNvPr id="1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656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63</xdr:row>
      <xdr:rowOff>159634</xdr:rowOff>
    </xdr:to>
    <xdr:sp macro="" textlink="">
      <xdr:nvSpPr>
        <xdr:cNvPr id="1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63</xdr:row>
      <xdr:rowOff>159634</xdr:rowOff>
    </xdr:to>
    <xdr:sp macro="" textlink="">
      <xdr:nvSpPr>
        <xdr:cNvPr id="1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63</xdr:row>
      <xdr:rowOff>159635</xdr:rowOff>
    </xdr:to>
    <xdr:sp macro="" textlink="">
      <xdr:nvSpPr>
        <xdr:cNvPr id="1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50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63</xdr:row>
      <xdr:rowOff>159635</xdr:rowOff>
    </xdr:to>
    <xdr:sp macro="" textlink="">
      <xdr:nvSpPr>
        <xdr:cNvPr id="1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50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62</xdr:row>
      <xdr:rowOff>52667</xdr:rowOff>
    </xdr:to>
    <xdr:sp macro="" textlink="">
      <xdr:nvSpPr>
        <xdr:cNvPr id="1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62</xdr:row>
      <xdr:rowOff>52667</xdr:rowOff>
    </xdr:to>
    <xdr:sp macro="" textlink="">
      <xdr:nvSpPr>
        <xdr:cNvPr id="1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62</xdr:row>
      <xdr:rowOff>52667</xdr:rowOff>
    </xdr:to>
    <xdr:sp macro="" textlink="">
      <xdr:nvSpPr>
        <xdr:cNvPr id="1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62</xdr:row>
      <xdr:rowOff>52667</xdr:rowOff>
    </xdr:to>
    <xdr:sp macro="" textlink="">
      <xdr:nvSpPr>
        <xdr:cNvPr id="1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62</xdr:row>
      <xdr:rowOff>52667</xdr:rowOff>
    </xdr:to>
    <xdr:sp macro="" textlink="">
      <xdr:nvSpPr>
        <xdr:cNvPr id="1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62</xdr:row>
      <xdr:rowOff>52667</xdr:rowOff>
    </xdr:to>
    <xdr:sp macro="" textlink="">
      <xdr:nvSpPr>
        <xdr:cNvPr id="1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1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63</xdr:row>
      <xdr:rowOff>159634</xdr:rowOff>
    </xdr:to>
    <xdr:sp macro="" textlink="">
      <xdr:nvSpPr>
        <xdr:cNvPr id="1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63</xdr:row>
      <xdr:rowOff>159634</xdr:rowOff>
    </xdr:to>
    <xdr:sp macro="" textlink="">
      <xdr:nvSpPr>
        <xdr:cNvPr id="1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1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1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1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1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62</xdr:row>
      <xdr:rowOff>52667</xdr:rowOff>
    </xdr:to>
    <xdr:sp macro="" textlink="">
      <xdr:nvSpPr>
        <xdr:cNvPr id="1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62</xdr:row>
      <xdr:rowOff>52667</xdr:rowOff>
    </xdr:to>
    <xdr:sp macro="" textlink="">
      <xdr:nvSpPr>
        <xdr:cNvPr id="1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62</xdr:row>
      <xdr:rowOff>52667</xdr:rowOff>
    </xdr:to>
    <xdr:sp macro="" textlink="">
      <xdr:nvSpPr>
        <xdr:cNvPr id="2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62</xdr:row>
      <xdr:rowOff>52667</xdr:rowOff>
    </xdr:to>
    <xdr:sp macro="" textlink="">
      <xdr:nvSpPr>
        <xdr:cNvPr id="2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910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60</xdr:row>
      <xdr:rowOff>231961</xdr:rowOff>
    </xdr:to>
    <xdr:sp macro="" textlink="">
      <xdr:nvSpPr>
        <xdr:cNvPr id="2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60</xdr:row>
      <xdr:rowOff>231961</xdr:rowOff>
    </xdr:to>
    <xdr:sp macro="" textlink="">
      <xdr:nvSpPr>
        <xdr:cNvPr id="2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2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2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31</xdr:row>
      <xdr:rowOff>0</xdr:rowOff>
    </xdr:from>
    <xdr:to>
      <xdr:col>33</xdr:col>
      <xdr:colOff>323850</xdr:colOff>
      <xdr:row>63</xdr:row>
      <xdr:rowOff>203949</xdr:rowOff>
    </xdr:to>
    <xdr:sp macro="" textlink="">
      <xdr:nvSpPr>
        <xdr:cNvPr id="2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305550"/>
          <a:ext cx="27993975" cy="6713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2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2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2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2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2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2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86847</xdr:rowOff>
    </xdr:to>
    <xdr:sp macro="" textlink="">
      <xdr:nvSpPr>
        <xdr:cNvPr id="2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86847</xdr:rowOff>
    </xdr:to>
    <xdr:sp macro="" textlink="">
      <xdr:nvSpPr>
        <xdr:cNvPr id="2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782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2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2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65</xdr:row>
      <xdr:rowOff>1121</xdr:rowOff>
    </xdr:to>
    <xdr:sp macro="" textlink="">
      <xdr:nvSpPr>
        <xdr:cNvPr id="2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65</xdr:row>
      <xdr:rowOff>1121</xdr:rowOff>
    </xdr:to>
    <xdr:sp macro="" textlink="">
      <xdr:nvSpPr>
        <xdr:cNvPr id="2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4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28</xdr:row>
      <xdr:rowOff>0</xdr:rowOff>
    </xdr:from>
    <xdr:to>
      <xdr:col>32</xdr:col>
      <xdr:colOff>447675</xdr:colOff>
      <xdr:row>63</xdr:row>
      <xdr:rowOff>159634</xdr:rowOff>
    </xdr:to>
    <xdr:sp macro="" textlink="">
      <xdr:nvSpPr>
        <xdr:cNvPr id="2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62650"/>
          <a:ext cx="30880050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63</xdr:row>
      <xdr:rowOff>159634</xdr:rowOff>
    </xdr:to>
    <xdr:sp macro="" textlink="">
      <xdr:nvSpPr>
        <xdr:cNvPr id="2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62650"/>
          <a:ext cx="27993975" cy="72602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2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2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2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2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2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2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2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2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2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2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2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2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48</xdr:row>
      <xdr:rowOff>163296</xdr:rowOff>
    </xdr:to>
    <xdr:sp macro="" textlink="">
      <xdr:nvSpPr>
        <xdr:cNvPr id="2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48</xdr:row>
      <xdr:rowOff>163296</xdr:rowOff>
    </xdr:to>
    <xdr:sp macro="" textlink="">
      <xdr:nvSpPr>
        <xdr:cNvPr id="2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48</xdr:row>
      <xdr:rowOff>163296</xdr:rowOff>
    </xdr:to>
    <xdr:sp macro="" textlink="">
      <xdr:nvSpPr>
        <xdr:cNvPr id="2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48</xdr:row>
      <xdr:rowOff>163296</xdr:rowOff>
    </xdr:to>
    <xdr:sp macro="" textlink="">
      <xdr:nvSpPr>
        <xdr:cNvPr id="2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2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2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2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2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2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2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2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2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212380</xdr:rowOff>
    </xdr:to>
    <xdr:sp macro="" textlink="">
      <xdr:nvSpPr>
        <xdr:cNvPr id="2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95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212380</xdr:rowOff>
    </xdr:to>
    <xdr:sp macro="" textlink="">
      <xdr:nvSpPr>
        <xdr:cNvPr id="2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95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69540</xdr:rowOff>
    </xdr:to>
    <xdr:sp macro="" textlink="">
      <xdr:nvSpPr>
        <xdr:cNvPr id="2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69540</xdr:rowOff>
    </xdr:to>
    <xdr:sp macro="" textlink="">
      <xdr:nvSpPr>
        <xdr:cNvPr id="2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552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2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2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3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52</xdr:row>
      <xdr:rowOff>14007</xdr:rowOff>
    </xdr:to>
    <xdr:sp macro="" textlink="">
      <xdr:nvSpPr>
        <xdr:cNvPr id="3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52</xdr:row>
      <xdr:rowOff>14007</xdr:rowOff>
    </xdr:to>
    <xdr:sp macro="" textlink="">
      <xdr:nvSpPr>
        <xdr:cNvPr id="3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6493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3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3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3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3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43</xdr:row>
      <xdr:rowOff>85864</xdr:rowOff>
    </xdr:to>
    <xdr:sp macro="" textlink="">
      <xdr:nvSpPr>
        <xdr:cNvPr id="3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43</xdr:row>
      <xdr:rowOff>85864</xdr:rowOff>
    </xdr:to>
    <xdr:sp macro="" textlink="">
      <xdr:nvSpPr>
        <xdr:cNvPr id="3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730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3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3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3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3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27</xdr:row>
      <xdr:rowOff>0</xdr:rowOff>
    </xdr:from>
    <xdr:to>
      <xdr:col>32</xdr:col>
      <xdr:colOff>447675</xdr:colOff>
      <xdr:row>65</xdr:row>
      <xdr:rowOff>105897</xdr:rowOff>
    </xdr:to>
    <xdr:sp macro="" textlink="">
      <xdr:nvSpPr>
        <xdr:cNvPr id="3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15000"/>
          <a:ext cx="30880050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27</xdr:row>
      <xdr:rowOff>0</xdr:rowOff>
    </xdr:from>
    <xdr:to>
      <xdr:col>33</xdr:col>
      <xdr:colOff>323850</xdr:colOff>
      <xdr:row>65</xdr:row>
      <xdr:rowOff>105897</xdr:rowOff>
    </xdr:to>
    <xdr:sp macro="" textlink="">
      <xdr:nvSpPr>
        <xdr:cNvPr id="3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15000"/>
          <a:ext cx="27993975" cy="7801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48</xdr:row>
      <xdr:rowOff>163296</xdr:rowOff>
    </xdr:to>
    <xdr:sp macro="" textlink="">
      <xdr:nvSpPr>
        <xdr:cNvPr id="3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48</xdr:row>
      <xdr:rowOff>163296</xdr:rowOff>
    </xdr:to>
    <xdr:sp macro="" textlink="">
      <xdr:nvSpPr>
        <xdr:cNvPr id="3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48</xdr:row>
      <xdr:rowOff>163296</xdr:rowOff>
    </xdr:to>
    <xdr:sp macro="" textlink="">
      <xdr:nvSpPr>
        <xdr:cNvPr id="3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48</xdr:row>
      <xdr:rowOff>163296</xdr:rowOff>
    </xdr:to>
    <xdr:sp macro="" textlink="">
      <xdr:nvSpPr>
        <xdr:cNvPr id="3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794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3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3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17</xdr:row>
      <xdr:rowOff>0</xdr:rowOff>
    </xdr:from>
    <xdr:to>
      <xdr:col>32</xdr:col>
      <xdr:colOff>447675</xdr:colOff>
      <xdr:row>44</xdr:row>
      <xdr:rowOff>209703</xdr:rowOff>
    </xdr:to>
    <xdr:sp macro="" textlink="">
      <xdr:nvSpPr>
        <xdr:cNvPr id="3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191000"/>
          <a:ext cx="30880050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17</xdr:row>
      <xdr:rowOff>0</xdr:rowOff>
    </xdr:from>
    <xdr:to>
      <xdr:col>33</xdr:col>
      <xdr:colOff>323850</xdr:colOff>
      <xdr:row>44</xdr:row>
      <xdr:rowOff>209703</xdr:rowOff>
    </xdr:to>
    <xdr:sp macro="" textlink="">
      <xdr:nvSpPr>
        <xdr:cNvPr id="3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191000"/>
          <a:ext cx="27993975" cy="5693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3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3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277452</xdr:rowOff>
    </xdr:to>
    <xdr:sp macro="" textlink="">
      <xdr:nvSpPr>
        <xdr:cNvPr id="3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277452</xdr:rowOff>
    </xdr:to>
    <xdr:sp macro="" textlink="">
      <xdr:nvSpPr>
        <xdr:cNvPr id="3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5018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20</xdr:row>
      <xdr:rowOff>0</xdr:rowOff>
    </xdr:from>
    <xdr:to>
      <xdr:col>32</xdr:col>
      <xdr:colOff>447675</xdr:colOff>
      <xdr:row>44</xdr:row>
      <xdr:rowOff>212380</xdr:rowOff>
    </xdr:to>
    <xdr:sp macro="" textlink="">
      <xdr:nvSpPr>
        <xdr:cNvPr id="3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38650"/>
          <a:ext cx="30880050" cy="495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20</xdr:row>
      <xdr:rowOff>0</xdr:rowOff>
    </xdr:from>
    <xdr:to>
      <xdr:col>33</xdr:col>
      <xdr:colOff>323850</xdr:colOff>
      <xdr:row>44</xdr:row>
      <xdr:rowOff>212380</xdr:rowOff>
    </xdr:to>
    <xdr:sp macro="" textlink="">
      <xdr:nvSpPr>
        <xdr:cNvPr id="3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38650"/>
          <a:ext cx="27993975" cy="495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50</xdr:row>
      <xdr:rowOff>186266</xdr:rowOff>
    </xdr:to>
    <xdr:sp macro="" textlink="">
      <xdr:nvSpPr>
        <xdr:cNvPr id="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7735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50</xdr:row>
      <xdr:rowOff>157691</xdr:rowOff>
    </xdr:to>
    <xdr:sp macro="" textlink="">
      <xdr:nvSpPr>
        <xdr:cNvPr id="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7706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53</xdr:row>
      <xdr:rowOff>46143</xdr:rowOff>
    </xdr:to>
    <xdr:sp macro="" textlink="">
      <xdr:nvSpPr>
        <xdr:cNvPr id="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8238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49</xdr:row>
      <xdr:rowOff>1572</xdr:rowOff>
    </xdr:to>
    <xdr:sp macro="" textlink="">
      <xdr:nvSpPr>
        <xdr:cNvPr id="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7464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49</xdr:row>
      <xdr:rowOff>1572</xdr:rowOff>
    </xdr:to>
    <xdr:sp macro="" textlink="">
      <xdr:nvSpPr>
        <xdr:cNvPr id="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7464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53</xdr:row>
      <xdr:rowOff>65193</xdr:rowOff>
    </xdr:to>
    <xdr:sp macro="" textlink="">
      <xdr:nvSpPr>
        <xdr:cNvPr id="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8257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53</xdr:row>
      <xdr:rowOff>65193</xdr:rowOff>
    </xdr:to>
    <xdr:sp macro="" textlink="">
      <xdr:nvSpPr>
        <xdr:cNvPr id="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8257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54</xdr:row>
      <xdr:rowOff>63581</xdr:rowOff>
    </xdr:to>
    <xdr:sp macro="" textlink="">
      <xdr:nvSpPr>
        <xdr:cNvPr id="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850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54</xdr:row>
      <xdr:rowOff>63581</xdr:rowOff>
    </xdr:to>
    <xdr:sp macro="" textlink="">
      <xdr:nvSpPr>
        <xdr:cNvPr id="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85032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55</xdr:row>
      <xdr:rowOff>81636</xdr:rowOff>
    </xdr:to>
    <xdr:sp macro="" textlink="">
      <xdr:nvSpPr>
        <xdr:cNvPr id="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8763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55</xdr:row>
      <xdr:rowOff>81636</xdr:rowOff>
    </xdr:to>
    <xdr:sp macro="" textlink="">
      <xdr:nvSpPr>
        <xdr:cNvPr id="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8763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59</xdr:row>
      <xdr:rowOff>73958</xdr:rowOff>
    </xdr:to>
    <xdr:sp macro="" textlink="">
      <xdr:nvSpPr>
        <xdr:cNvPr id="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945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59</xdr:row>
      <xdr:rowOff>215139</xdr:rowOff>
    </xdr:to>
    <xdr:sp macro="" textlink="">
      <xdr:nvSpPr>
        <xdr:cNvPr id="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9600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60</xdr:row>
      <xdr:rowOff>48383</xdr:rowOff>
    </xdr:to>
    <xdr:sp macro="" textlink="">
      <xdr:nvSpPr>
        <xdr:cNvPr id="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968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60</xdr:row>
      <xdr:rowOff>5881</xdr:rowOff>
    </xdr:to>
    <xdr:sp macro="" textlink="">
      <xdr:nvSpPr>
        <xdr:cNvPr id="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9637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60</xdr:row>
      <xdr:rowOff>203075</xdr:rowOff>
    </xdr:to>
    <xdr:sp macro="" textlink="">
      <xdr:nvSpPr>
        <xdr:cNvPr id="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98362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59</xdr:row>
      <xdr:rowOff>215139</xdr:rowOff>
    </xdr:to>
    <xdr:sp macro="" textlink="">
      <xdr:nvSpPr>
        <xdr:cNvPr id="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9600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61</xdr:row>
      <xdr:rowOff>9774</xdr:rowOff>
    </xdr:to>
    <xdr:sp macro="" textlink="">
      <xdr:nvSpPr>
        <xdr:cNvPr id="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9889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13</xdr:row>
      <xdr:rowOff>0</xdr:rowOff>
    </xdr:from>
    <xdr:to>
      <xdr:col>32</xdr:col>
      <xdr:colOff>447675</xdr:colOff>
      <xdr:row>61</xdr:row>
      <xdr:rowOff>9774</xdr:rowOff>
    </xdr:to>
    <xdr:sp macro="" textlink="">
      <xdr:nvSpPr>
        <xdr:cNvPr id="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324100"/>
          <a:ext cx="30880050" cy="9889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13</xdr:row>
      <xdr:rowOff>0</xdr:rowOff>
    </xdr:from>
    <xdr:to>
      <xdr:col>33</xdr:col>
      <xdr:colOff>323850</xdr:colOff>
      <xdr:row>62</xdr:row>
      <xdr:rowOff>225559</xdr:rowOff>
    </xdr:to>
    <xdr:sp macro="" textlink="">
      <xdr:nvSpPr>
        <xdr:cNvPr id="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324100"/>
          <a:ext cx="27993975" cy="10201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19</xdr:row>
      <xdr:rowOff>0</xdr:rowOff>
    </xdr:from>
    <xdr:to>
      <xdr:col>32</xdr:col>
      <xdr:colOff>447675</xdr:colOff>
      <xdr:row>50</xdr:row>
      <xdr:rowOff>107314</xdr:rowOff>
    </xdr:to>
    <xdr:sp macro="" textlink="">
      <xdr:nvSpPr>
        <xdr:cNvPr id="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371850"/>
          <a:ext cx="30880050" cy="6287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19</xdr:row>
      <xdr:rowOff>0</xdr:rowOff>
    </xdr:from>
    <xdr:to>
      <xdr:col>33</xdr:col>
      <xdr:colOff>323850</xdr:colOff>
      <xdr:row>50</xdr:row>
      <xdr:rowOff>219666</xdr:rowOff>
    </xdr:to>
    <xdr:sp macro="" textlink="">
      <xdr:nvSpPr>
        <xdr:cNvPr id="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371850"/>
          <a:ext cx="27993975" cy="6401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63</xdr:row>
      <xdr:rowOff>213471</xdr:rowOff>
    </xdr:to>
    <xdr:sp macro="" textlink="">
      <xdr:nvSpPr>
        <xdr:cNvPr id="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419350"/>
          <a:ext cx="27993975" cy="10341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64</xdr:row>
      <xdr:rowOff>104465</xdr:rowOff>
    </xdr:to>
    <xdr:sp macro="" textlink="">
      <xdr:nvSpPr>
        <xdr:cNvPr id="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419350"/>
          <a:ext cx="27993975" cy="10479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19</xdr:row>
      <xdr:rowOff>0</xdr:rowOff>
    </xdr:from>
    <xdr:to>
      <xdr:col>32</xdr:col>
      <xdr:colOff>447675</xdr:colOff>
      <xdr:row>47</xdr:row>
      <xdr:rowOff>92730</xdr:rowOff>
    </xdr:to>
    <xdr:sp macro="" textlink="">
      <xdr:nvSpPr>
        <xdr:cNvPr id="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371850"/>
          <a:ext cx="30880050" cy="5689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19</xdr:row>
      <xdr:rowOff>0</xdr:rowOff>
    </xdr:from>
    <xdr:to>
      <xdr:col>33</xdr:col>
      <xdr:colOff>323850</xdr:colOff>
      <xdr:row>50</xdr:row>
      <xdr:rowOff>116839</xdr:rowOff>
    </xdr:to>
    <xdr:sp macro="" textlink="">
      <xdr:nvSpPr>
        <xdr:cNvPr id="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371850"/>
          <a:ext cx="27993975" cy="6297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71</xdr:row>
      <xdr:rowOff>159634</xdr:rowOff>
    </xdr:to>
    <xdr:sp macro="" textlink="">
      <xdr:nvSpPr>
        <xdr:cNvPr id="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69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169209</xdr:rowOff>
    </xdr:to>
    <xdr:sp macro="" textlink="">
      <xdr:nvSpPr>
        <xdr:cNvPr id="1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655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169209</xdr:rowOff>
    </xdr:to>
    <xdr:sp macro="" textlink="">
      <xdr:nvSpPr>
        <xdr:cNvPr id="1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655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71</xdr:row>
      <xdr:rowOff>159634</xdr:rowOff>
    </xdr:to>
    <xdr:sp macro="" textlink="">
      <xdr:nvSpPr>
        <xdr:cNvPr id="1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71</xdr:row>
      <xdr:rowOff>159634</xdr:rowOff>
    </xdr:to>
    <xdr:sp macro="" textlink="">
      <xdr:nvSpPr>
        <xdr:cNvPr id="1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71</xdr:row>
      <xdr:rowOff>159634</xdr:rowOff>
    </xdr:to>
    <xdr:sp macro="" textlink="">
      <xdr:nvSpPr>
        <xdr:cNvPr id="1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512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71</xdr:row>
      <xdr:rowOff>159634</xdr:rowOff>
    </xdr:to>
    <xdr:sp macro="" textlink="">
      <xdr:nvSpPr>
        <xdr:cNvPr id="1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512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70</xdr:row>
      <xdr:rowOff>52668</xdr:rowOff>
    </xdr:to>
    <xdr:sp macro="" textlink="">
      <xdr:nvSpPr>
        <xdr:cNvPr id="1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70</xdr:row>
      <xdr:rowOff>52668</xdr:rowOff>
    </xdr:to>
    <xdr:sp macro="" textlink="">
      <xdr:nvSpPr>
        <xdr:cNvPr id="1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70</xdr:row>
      <xdr:rowOff>52668</xdr:rowOff>
    </xdr:to>
    <xdr:sp macro="" textlink="">
      <xdr:nvSpPr>
        <xdr:cNvPr id="1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70</xdr:row>
      <xdr:rowOff>52668</xdr:rowOff>
    </xdr:to>
    <xdr:sp macro="" textlink="">
      <xdr:nvSpPr>
        <xdr:cNvPr id="1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70</xdr:row>
      <xdr:rowOff>52668</xdr:rowOff>
    </xdr:to>
    <xdr:sp macro="" textlink="">
      <xdr:nvSpPr>
        <xdr:cNvPr id="1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70</xdr:row>
      <xdr:rowOff>52668</xdr:rowOff>
    </xdr:to>
    <xdr:sp macro="" textlink="">
      <xdr:nvSpPr>
        <xdr:cNvPr id="1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1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71</xdr:row>
      <xdr:rowOff>159634</xdr:rowOff>
    </xdr:to>
    <xdr:sp macro="" textlink="">
      <xdr:nvSpPr>
        <xdr:cNvPr id="1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71</xdr:row>
      <xdr:rowOff>159634</xdr:rowOff>
    </xdr:to>
    <xdr:sp macro="" textlink="">
      <xdr:nvSpPr>
        <xdr:cNvPr id="1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1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1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1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1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70</xdr:row>
      <xdr:rowOff>52668</xdr:rowOff>
    </xdr:to>
    <xdr:sp macro="" textlink="">
      <xdr:nvSpPr>
        <xdr:cNvPr id="1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70</xdr:row>
      <xdr:rowOff>52668</xdr:rowOff>
    </xdr:to>
    <xdr:sp macro="" textlink="">
      <xdr:nvSpPr>
        <xdr:cNvPr id="1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70</xdr:row>
      <xdr:rowOff>52668</xdr:rowOff>
    </xdr:to>
    <xdr:sp macro="" textlink="">
      <xdr:nvSpPr>
        <xdr:cNvPr id="2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70</xdr:row>
      <xdr:rowOff>52668</xdr:rowOff>
    </xdr:to>
    <xdr:sp macro="" textlink="">
      <xdr:nvSpPr>
        <xdr:cNvPr id="2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68</xdr:row>
      <xdr:rowOff>231962</xdr:rowOff>
    </xdr:to>
    <xdr:sp macro="" textlink="">
      <xdr:nvSpPr>
        <xdr:cNvPr id="2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68</xdr:row>
      <xdr:rowOff>231962</xdr:rowOff>
    </xdr:to>
    <xdr:sp macro="" textlink="">
      <xdr:nvSpPr>
        <xdr:cNvPr id="2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6718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2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2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38</xdr:row>
      <xdr:rowOff>0</xdr:rowOff>
    </xdr:from>
    <xdr:to>
      <xdr:col>33</xdr:col>
      <xdr:colOff>323850</xdr:colOff>
      <xdr:row>70</xdr:row>
      <xdr:rowOff>203949</xdr:rowOff>
    </xdr:to>
    <xdr:sp macro="" textlink="">
      <xdr:nvSpPr>
        <xdr:cNvPr id="2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6572250"/>
          <a:ext cx="27993975" cy="6719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2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2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2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53229</xdr:rowOff>
    </xdr:to>
    <xdr:sp macro="" textlink="">
      <xdr:nvSpPr>
        <xdr:cNvPr id="2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53229</xdr:rowOff>
    </xdr:to>
    <xdr:sp macro="" textlink="">
      <xdr:nvSpPr>
        <xdr:cNvPr id="2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78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2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72</xdr:row>
      <xdr:rowOff>101975</xdr:rowOff>
    </xdr:to>
    <xdr:sp macro="" textlink="">
      <xdr:nvSpPr>
        <xdr:cNvPr id="2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72</xdr:row>
      <xdr:rowOff>101975</xdr:rowOff>
    </xdr:to>
    <xdr:sp macro="" textlink="">
      <xdr:nvSpPr>
        <xdr:cNvPr id="2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44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36</xdr:row>
      <xdr:rowOff>0</xdr:rowOff>
    </xdr:from>
    <xdr:to>
      <xdr:col>32</xdr:col>
      <xdr:colOff>447675</xdr:colOff>
      <xdr:row>71</xdr:row>
      <xdr:rowOff>159634</xdr:rowOff>
    </xdr:to>
    <xdr:sp macro="" textlink="">
      <xdr:nvSpPr>
        <xdr:cNvPr id="2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981700"/>
          <a:ext cx="30880050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36</xdr:row>
      <xdr:rowOff>0</xdr:rowOff>
    </xdr:from>
    <xdr:to>
      <xdr:col>33</xdr:col>
      <xdr:colOff>323850</xdr:colOff>
      <xdr:row>71</xdr:row>
      <xdr:rowOff>159634</xdr:rowOff>
    </xdr:to>
    <xdr:sp macro="" textlink="">
      <xdr:nvSpPr>
        <xdr:cNvPr id="2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981700"/>
          <a:ext cx="27993975" cy="7265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2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2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2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2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2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2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2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2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2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2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2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2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51</xdr:row>
      <xdr:rowOff>163296</xdr:rowOff>
    </xdr:to>
    <xdr:sp macro="" textlink="">
      <xdr:nvSpPr>
        <xdr:cNvPr id="2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51</xdr:row>
      <xdr:rowOff>163296</xdr:rowOff>
    </xdr:to>
    <xdr:sp macro="" textlink="">
      <xdr:nvSpPr>
        <xdr:cNvPr id="2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51</xdr:row>
      <xdr:rowOff>163296</xdr:rowOff>
    </xdr:to>
    <xdr:sp macro="" textlink="">
      <xdr:nvSpPr>
        <xdr:cNvPr id="2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51</xdr:row>
      <xdr:rowOff>163296</xdr:rowOff>
    </xdr:to>
    <xdr:sp macro="" textlink="">
      <xdr:nvSpPr>
        <xdr:cNvPr id="2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2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2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2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2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2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2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2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2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47</xdr:row>
      <xdr:rowOff>212380</xdr:rowOff>
    </xdr:to>
    <xdr:sp macro="" textlink="">
      <xdr:nvSpPr>
        <xdr:cNvPr id="2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965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47</xdr:row>
      <xdr:rowOff>212380</xdr:rowOff>
    </xdr:to>
    <xdr:sp macro="" textlink="">
      <xdr:nvSpPr>
        <xdr:cNvPr id="2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965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69540</xdr:rowOff>
    </xdr:to>
    <xdr:sp macro="" textlink="">
      <xdr:nvSpPr>
        <xdr:cNvPr id="2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69540</xdr:rowOff>
    </xdr:to>
    <xdr:sp macro="" textlink="">
      <xdr:nvSpPr>
        <xdr:cNvPr id="2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2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2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3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55</xdr:row>
      <xdr:rowOff>25213</xdr:rowOff>
    </xdr:to>
    <xdr:sp macro="" textlink="">
      <xdr:nvSpPr>
        <xdr:cNvPr id="3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55</xdr:row>
      <xdr:rowOff>25213</xdr:rowOff>
    </xdr:to>
    <xdr:sp macro="" textlink="">
      <xdr:nvSpPr>
        <xdr:cNvPr id="3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6500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3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3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3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3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46</xdr:row>
      <xdr:rowOff>85864</xdr:rowOff>
    </xdr:to>
    <xdr:sp macro="" textlink="">
      <xdr:nvSpPr>
        <xdr:cNvPr id="3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46</xdr:row>
      <xdr:rowOff>85864</xdr:rowOff>
    </xdr:to>
    <xdr:sp macro="" textlink="">
      <xdr:nvSpPr>
        <xdr:cNvPr id="3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3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3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3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3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35</xdr:row>
      <xdr:rowOff>0</xdr:rowOff>
    </xdr:from>
    <xdr:to>
      <xdr:col>32</xdr:col>
      <xdr:colOff>447675</xdr:colOff>
      <xdr:row>73</xdr:row>
      <xdr:rowOff>72279</xdr:rowOff>
    </xdr:to>
    <xdr:sp macro="" textlink="">
      <xdr:nvSpPr>
        <xdr:cNvPr id="3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5734050"/>
          <a:ext cx="30880050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35</xdr:row>
      <xdr:rowOff>0</xdr:rowOff>
    </xdr:from>
    <xdr:to>
      <xdr:col>33</xdr:col>
      <xdr:colOff>323850</xdr:colOff>
      <xdr:row>73</xdr:row>
      <xdr:rowOff>72279</xdr:rowOff>
    </xdr:to>
    <xdr:sp macro="" textlink="">
      <xdr:nvSpPr>
        <xdr:cNvPr id="3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5734050"/>
          <a:ext cx="27993975" cy="78020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51</xdr:row>
      <xdr:rowOff>163296</xdr:rowOff>
    </xdr:to>
    <xdr:sp macro="" textlink="">
      <xdr:nvSpPr>
        <xdr:cNvPr id="3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51</xdr:row>
      <xdr:rowOff>163296</xdr:rowOff>
    </xdr:to>
    <xdr:sp macro="" textlink="">
      <xdr:nvSpPr>
        <xdr:cNvPr id="3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51</xdr:row>
      <xdr:rowOff>163296</xdr:rowOff>
    </xdr:to>
    <xdr:sp macro="" textlink="">
      <xdr:nvSpPr>
        <xdr:cNvPr id="3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51</xdr:row>
      <xdr:rowOff>163296</xdr:rowOff>
    </xdr:to>
    <xdr:sp macro="" textlink="">
      <xdr:nvSpPr>
        <xdr:cNvPr id="3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792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3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3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21</xdr:row>
      <xdr:rowOff>0</xdr:rowOff>
    </xdr:from>
    <xdr:to>
      <xdr:col>32</xdr:col>
      <xdr:colOff>447675</xdr:colOff>
      <xdr:row>48</xdr:row>
      <xdr:rowOff>209703</xdr:rowOff>
    </xdr:to>
    <xdr:sp macro="" textlink="">
      <xdr:nvSpPr>
        <xdr:cNvPr id="3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3714750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21</xdr:row>
      <xdr:rowOff>0</xdr:rowOff>
    </xdr:from>
    <xdr:to>
      <xdr:col>33</xdr:col>
      <xdr:colOff>323850</xdr:colOff>
      <xdr:row>48</xdr:row>
      <xdr:rowOff>209703</xdr:rowOff>
    </xdr:to>
    <xdr:sp macro="" textlink="">
      <xdr:nvSpPr>
        <xdr:cNvPr id="3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3714750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3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3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48</xdr:row>
      <xdr:rowOff>30923</xdr:rowOff>
    </xdr:to>
    <xdr:sp macro="" textlink="">
      <xdr:nvSpPr>
        <xdr:cNvPr id="3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48</xdr:row>
      <xdr:rowOff>30923</xdr:rowOff>
    </xdr:to>
    <xdr:sp macro="" textlink="">
      <xdr:nvSpPr>
        <xdr:cNvPr id="3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503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23</xdr:row>
      <xdr:rowOff>0</xdr:rowOff>
    </xdr:from>
    <xdr:to>
      <xdr:col>32</xdr:col>
      <xdr:colOff>447675</xdr:colOff>
      <xdr:row>47</xdr:row>
      <xdr:rowOff>212380</xdr:rowOff>
    </xdr:to>
    <xdr:sp macro="" textlink="">
      <xdr:nvSpPr>
        <xdr:cNvPr id="3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57700"/>
          <a:ext cx="30880050" cy="4965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23</xdr:row>
      <xdr:rowOff>0</xdr:rowOff>
    </xdr:from>
    <xdr:to>
      <xdr:col>33</xdr:col>
      <xdr:colOff>323850</xdr:colOff>
      <xdr:row>47</xdr:row>
      <xdr:rowOff>212380</xdr:rowOff>
    </xdr:to>
    <xdr:sp macro="" textlink="">
      <xdr:nvSpPr>
        <xdr:cNvPr id="3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57700"/>
          <a:ext cx="27993975" cy="4965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46</xdr:row>
      <xdr:rowOff>219885</xdr:rowOff>
    </xdr:to>
    <xdr:sp macro="" textlink="">
      <xdr:nvSpPr>
        <xdr:cNvPr id="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77435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46</xdr:row>
      <xdr:rowOff>191310</xdr:rowOff>
    </xdr:to>
    <xdr:sp macro="" textlink="">
      <xdr:nvSpPr>
        <xdr:cNvPr id="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77149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49</xdr:row>
      <xdr:rowOff>23732</xdr:rowOff>
    </xdr:to>
    <xdr:sp macro="" textlink="">
      <xdr:nvSpPr>
        <xdr:cNvPr id="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8232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45</xdr:row>
      <xdr:rowOff>35191</xdr:rowOff>
    </xdr:to>
    <xdr:sp macro="" textlink="">
      <xdr:nvSpPr>
        <xdr:cNvPr id="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7463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45</xdr:row>
      <xdr:rowOff>35191</xdr:rowOff>
    </xdr:to>
    <xdr:sp macro="" textlink="">
      <xdr:nvSpPr>
        <xdr:cNvPr id="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7463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49</xdr:row>
      <xdr:rowOff>42782</xdr:rowOff>
    </xdr:to>
    <xdr:sp macro="" textlink="">
      <xdr:nvSpPr>
        <xdr:cNvPr id="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8251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49</xdr:row>
      <xdr:rowOff>42782</xdr:rowOff>
    </xdr:to>
    <xdr:sp macro="" textlink="">
      <xdr:nvSpPr>
        <xdr:cNvPr id="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8251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50</xdr:row>
      <xdr:rowOff>41171</xdr:rowOff>
    </xdr:to>
    <xdr:sp macro="" textlink="">
      <xdr:nvSpPr>
        <xdr:cNvPr id="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8497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50</xdr:row>
      <xdr:rowOff>41171</xdr:rowOff>
    </xdr:to>
    <xdr:sp macro="" textlink="">
      <xdr:nvSpPr>
        <xdr:cNvPr id="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8497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51</xdr:row>
      <xdr:rowOff>59225</xdr:rowOff>
    </xdr:to>
    <xdr:sp macro="" textlink="">
      <xdr:nvSpPr>
        <xdr:cNvPr id="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8765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51</xdr:row>
      <xdr:rowOff>59225</xdr:rowOff>
    </xdr:to>
    <xdr:sp macro="" textlink="">
      <xdr:nvSpPr>
        <xdr:cNvPr id="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8765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54</xdr:row>
      <xdr:rowOff>163606</xdr:rowOff>
    </xdr:to>
    <xdr:sp macro="" textlink="">
      <xdr:nvSpPr>
        <xdr:cNvPr id="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94600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55</xdr:row>
      <xdr:rowOff>58258</xdr:rowOff>
    </xdr:to>
    <xdr:sp macro="" textlink="">
      <xdr:nvSpPr>
        <xdr:cNvPr id="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9602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56</xdr:row>
      <xdr:rowOff>14766</xdr:rowOff>
    </xdr:to>
    <xdr:sp macro="" textlink="">
      <xdr:nvSpPr>
        <xdr:cNvPr id="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96820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55</xdr:row>
      <xdr:rowOff>95529</xdr:rowOff>
    </xdr:to>
    <xdr:sp macro="" textlink="">
      <xdr:nvSpPr>
        <xdr:cNvPr id="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9639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56</xdr:row>
      <xdr:rowOff>169458</xdr:rowOff>
    </xdr:to>
    <xdr:sp macro="" textlink="">
      <xdr:nvSpPr>
        <xdr:cNvPr id="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9837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55</xdr:row>
      <xdr:rowOff>58258</xdr:rowOff>
    </xdr:to>
    <xdr:sp macro="" textlink="">
      <xdr:nvSpPr>
        <xdr:cNvPr id="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9602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56</xdr:row>
      <xdr:rowOff>228289</xdr:rowOff>
    </xdr:to>
    <xdr:sp macro="" textlink="">
      <xdr:nvSpPr>
        <xdr:cNvPr id="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9891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9</xdr:row>
      <xdr:rowOff>0</xdr:rowOff>
    </xdr:from>
    <xdr:to>
      <xdr:col>32</xdr:col>
      <xdr:colOff>447675</xdr:colOff>
      <xdr:row>56</xdr:row>
      <xdr:rowOff>228289</xdr:rowOff>
    </xdr:to>
    <xdr:sp macro="" textlink="">
      <xdr:nvSpPr>
        <xdr:cNvPr id="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2800350"/>
          <a:ext cx="30880050" cy="9891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9</xdr:row>
      <xdr:rowOff>0</xdr:rowOff>
    </xdr:from>
    <xdr:to>
      <xdr:col>33</xdr:col>
      <xdr:colOff>323850</xdr:colOff>
      <xdr:row>58</xdr:row>
      <xdr:rowOff>46265</xdr:rowOff>
    </xdr:to>
    <xdr:sp macro="" textlink="">
      <xdr:nvSpPr>
        <xdr:cNvPr id="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00350"/>
          <a:ext cx="27993975" cy="10203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12</xdr:row>
      <xdr:rowOff>0</xdr:rowOff>
    </xdr:from>
    <xdr:to>
      <xdr:col>32</xdr:col>
      <xdr:colOff>447675</xdr:colOff>
      <xdr:row>43</xdr:row>
      <xdr:rowOff>17668</xdr:rowOff>
    </xdr:to>
    <xdr:sp macro="" textlink="">
      <xdr:nvSpPr>
        <xdr:cNvPr id="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086225"/>
          <a:ext cx="30880050" cy="62890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12</xdr:row>
      <xdr:rowOff>0</xdr:rowOff>
    </xdr:from>
    <xdr:to>
      <xdr:col>33</xdr:col>
      <xdr:colOff>323850</xdr:colOff>
      <xdr:row>43</xdr:row>
      <xdr:rowOff>130020</xdr:rowOff>
    </xdr:to>
    <xdr:sp macro="" textlink="">
      <xdr:nvSpPr>
        <xdr:cNvPr id="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086225"/>
          <a:ext cx="27993975" cy="6401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59</xdr:row>
      <xdr:rowOff>146236</xdr:rowOff>
    </xdr:to>
    <xdr:sp macro="" textlink="">
      <xdr:nvSpPr>
        <xdr:cNvPr id="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95600"/>
          <a:ext cx="27993975" cy="103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10</xdr:row>
      <xdr:rowOff>0</xdr:rowOff>
    </xdr:from>
    <xdr:to>
      <xdr:col>33</xdr:col>
      <xdr:colOff>323850</xdr:colOff>
      <xdr:row>60</xdr:row>
      <xdr:rowOff>37229</xdr:rowOff>
    </xdr:to>
    <xdr:sp macro="" textlink="">
      <xdr:nvSpPr>
        <xdr:cNvPr id="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2895600"/>
          <a:ext cx="27993975" cy="10481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12</xdr:row>
      <xdr:rowOff>0</xdr:rowOff>
    </xdr:from>
    <xdr:to>
      <xdr:col>32</xdr:col>
      <xdr:colOff>447675</xdr:colOff>
      <xdr:row>40</xdr:row>
      <xdr:rowOff>92730</xdr:rowOff>
    </xdr:to>
    <xdr:sp macro="" textlink="">
      <xdr:nvSpPr>
        <xdr:cNvPr id="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086225"/>
          <a:ext cx="30880050" cy="5683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12</xdr:row>
      <xdr:rowOff>0</xdr:rowOff>
    </xdr:from>
    <xdr:to>
      <xdr:col>33</xdr:col>
      <xdr:colOff>323850</xdr:colOff>
      <xdr:row>43</xdr:row>
      <xdr:rowOff>27193</xdr:rowOff>
    </xdr:to>
    <xdr:sp macro="" textlink="">
      <xdr:nvSpPr>
        <xdr:cNvPr id="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086225"/>
          <a:ext cx="27993975" cy="629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13957</xdr:rowOff>
    </xdr:to>
    <xdr:sp macro="" textlink="">
      <xdr:nvSpPr>
        <xdr:cNvPr id="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202828</xdr:rowOff>
    </xdr:to>
    <xdr:sp macro="" textlink="">
      <xdr:nvSpPr>
        <xdr:cNvPr id="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202828</xdr:rowOff>
    </xdr:to>
    <xdr:sp macro="" textlink="">
      <xdr:nvSpPr>
        <xdr:cNvPr id="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00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34738</xdr:rowOff>
    </xdr:to>
    <xdr:sp macro="" textlink="">
      <xdr:nvSpPr>
        <xdr:cNvPr id="1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656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34738</xdr:rowOff>
    </xdr:to>
    <xdr:sp macro="" textlink="">
      <xdr:nvSpPr>
        <xdr:cNvPr id="1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656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13957</xdr:rowOff>
    </xdr:to>
    <xdr:sp macro="" textlink="">
      <xdr:nvSpPr>
        <xdr:cNvPr id="1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13957</xdr:rowOff>
    </xdr:to>
    <xdr:sp macro="" textlink="">
      <xdr:nvSpPr>
        <xdr:cNvPr id="1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60</xdr:row>
      <xdr:rowOff>13958</xdr:rowOff>
    </xdr:to>
    <xdr:sp macro="" textlink="">
      <xdr:nvSpPr>
        <xdr:cNvPr id="1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5118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60</xdr:row>
      <xdr:rowOff>13958</xdr:rowOff>
    </xdr:to>
    <xdr:sp macro="" textlink="">
      <xdr:nvSpPr>
        <xdr:cNvPr id="1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5118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58</xdr:row>
      <xdr:rowOff>41461</xdr:rowOff>
    </xdr:to>
    <xdr:sp macro="" textlink="">
      <xdr:nvSpPr>
        <xdr:cNvPr id="1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58</xdr:row>
      <xdr:rowOff>41461</xdr:rowOff>
    </xdr:to>
    <xdr:sp macro="" textlink="">
      <xdr:nvSpPr>
        <xdr:cNvPr id="1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58</xdr:row>
      <xdr:rowOff>41461</xdr:rowOff>
    </xdr:to>
    <xdr:sp macro="" textlink="">
      <xdr:nvSpPr>
        <xdr:cNvPr id="1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58</xdr:row>
      <xdr:rowOff>41461</xdr:rowOff>
    </xdr:to>
    <xdr:sp macro="" textlink="">
      <xdr:nvSpPr>
        <xdr:cNvPr id="1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58</xdr:row>
      <xdr:rowOff>41461</xdr:rowOff>
    </xdr:to>
    <xdr:sp macro="" textlink="">
      <xdr:nvSpPr>
        <xdr:cNvPr id="1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58</xdr:row>
      <xdr:rowOff>41461</xdr:rowOff>
    </xdr:to>
    <xdr:sp macro="" textlink="">
      <xdr:nvSpPr>
        <xdr:cNvPr id="1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1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13957</xdr:rowOff>
    </xdr:to>
    <xdr:sp macro="" textlink="">
      <xdr:nvSpPr>
        <xdr:cNvPr id="1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13957</xdr:rowOff>
    </xdr:to>
    <xdr:sp macro="" textlink="">
      <xdr:nvSpPr>
        <xdr:cNvPr id="1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1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1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1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1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58</xdr:row>
      <xdr:rowOff>41461</xdr:rowOff>
    </xdr:to>
    <xdr:sp macro="" textlink="">
      <xdr:nvSpPr>
        <xdr:cNvPr id="1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58</xdr:row>
      <xdr:rowOff>41461</xdr:rowOff>
    </xdr:to>
    <xdr:sp macro="" textlink="">
      <xdr:nvSpPr>
        <xdr:cNvPr id="1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58</xdr:row>
      <xdr:rowOff>41461</xdr:rowOff>
    </xdr:to>
    <xdr:sp macro="" textlink="">
      <xdr:nvSpPr>
        <xdr:cNvPr id="2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58</xdr:row>
      <xdr:rowOff>41461</xdr:rowOff>
    </xdr:to>
    <xdr:sp macro="" textlink="">
      <xdr:nvSpPr>
        <xdr:cNvPr id="2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91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57</xdr:row>
      <xdr:rowOff>97491</xdr:rowOff>
    </xdr:to>
    <xdr:sp macro="" textlink="">
      <xdr:nvSpPr>
        <xdr:cNvPr id="2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57</xdr:row>
      <xdr:rowOff>97491</xdr:rowOff>
    </xdr:to>
    <xdr:sp macro="" textlink="">
      <xdr:nvSpPr>
        <xdr:cNvPr id="2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671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2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2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28</xdr:row>
      <xdr:rowOff>0</xdr:rowOff>
    </xdr:from>
    <xdr:to>
      <xdr:col>33</xdr:col>
      <xdr:colOff>323850</xdr:colOff>
      <xdr:row>59</xdr:row>
      <xdr:rowOff>58272</xdr:rowOff>
    </xdr:to>
    <xdr:sp macro="" textlink="">
      <xdr:nvSpPr>
        <xdr:cNvPr id="2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877175"/>
          <a:ext cx="27993975" cy="6719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2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2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2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2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2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2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42024</xdr:rowOff>
    </xdr:to>
    <xdr:sp macro="" textlink="">
      <xdr:nvSpPr>
        <xdr:cNvPr id="2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42024</xdr:rowOff>
    </xdr:to>
    <xdr:sp macro="" textlink="">
      <xdr:nvSpPr>
        <xdr:cNvPr id="2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78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2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2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202827</xdr:rowOff>
    </xdr:to>
    <xdr:sp macro="" textlink="">
      <xdr:nvSpPr>
        <xdr:cNvPr id="2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202827</xdr:rowOff>
    </xdr:to>
    <xdr:sp macro="" textlink="">
      <xdr:nvSpPr>
        <xdr:cNvPr id="2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453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26</xdr:row>
      <xdr:rowOff>0</xdr:rowOff>
    </xdr:from>
    <xdr:to>
      <xdr:col>32</xdr:col>
      <xdr:colOff>447675</xdr:colOff>
      <xdr:row>60</xdr:row>
      <xdr:rowOff>13957</xdr:rowOff>
    </xdr:to>
    <xdr:sp macro="" textlink="">
      <xdr:nvSpPr>
        <xdr:cNvPr id="2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534275"/>
          <a:ext cx="30880050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26</xdr:row>
      <xdr:rowOff>0</xdr:rowOff>
    </xdr:from>
    <xdr:to>
      <xdr:col>33</xdr:col>
      <xdr:colOff>323850</xdr:colOff>
      <xdr:row>60</xdr:row>
      <xdr:rowOff>13957</xdr:rowOff>
    </xdr:to>
    <xdr:sp macro="" textlink="">
      <xdr:nvSpPr>
        <xdr:cNvPr id="2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534275"/>
          <a:ext cx="27993975" cy="7264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3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4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4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4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4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4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4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4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4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4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4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5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5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5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5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5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25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25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25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25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25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26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26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26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26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26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26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26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6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6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6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7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7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7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43</xdr:row>
      <xdr:rowOff>118473</xdr:rowOff>
    </xdr:to>
    <xdr:sp macro="" textlink="">
      <xdr:nvSpPr>
        <xdr:cNvPr id="27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43</xdr:row>
      <xdr:rowOff>118473</xdr:rowOff>
    </xdr:to>
    <xdr:sp macro="" textlink="">
      <xdr:nvSpPr>
        <xdr:cNvPr id="27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43</xdr:row>
      <xdr:rowOff>118473</xdr:rowOff>
    </xdr:to>
    <xdr:sp macro="" textlink="">
      <xdr:nvSpPr>
        <xdr:cNvPr id="27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43</xdr:row>
      <xdr:rowOff>118473</xdr:rowOff>
    </xdr:to>
    <xdr:sp macro="" textlink="">
      <xdr:nvSpPr>
        <xdr:cNvPr id="27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27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27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7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8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8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8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28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28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28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28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28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28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39</xdr:row>
      <xdr:rowOff>66703</xdr:rowOff>
    </xdr:to>
    <xdr:sp macro="" textlink="">
      <xdr:nvSpPr>
        <xdr:cNvPr id="28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965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39</xdr:row>
      <xdr:rowOff>66703</xdr:rowOff>
    </xdr:to>
    <xdr:sp macro="" textlink="">
      <xdr:nvSpPr>
        <xdr:cNvPr id="29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965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9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9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9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9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40</xdr:row>
      <xdr:rowOff>316069</xdr:rowOff>
    </xdr:to>
    <xdr:sp macro="" textlink="">
      <xdr:nvSpPr>
        <xdr:cNvPr id="29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40</xdr:row>
      <xdr:rowOff>316069</xdr:rowOff>
    </xdr:to>
    <xdr:sp macro="" textlink="">
      <xdr:nvSpPr>
        <xdr:cNvPr id="29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5654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9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29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29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30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46</xdr:row>
      <xdr:rowOff>148478</xdr:rowOff>
    </xdr:to>
    <xdr:sp macro="" textlink="">
      <xdr:nvSpPr>
        <xdr:cNvPr id="30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46</xdr:row>
      <xdr:rowOff>148478</xdr:rowOff>
    </xdr:to>
    <xdr:sp macro="" textlink="">
      <xdr:nvSpPr>
        <xdr:cNvPr id="30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6492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30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30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30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30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38</xdr:row>
      <xdr:rowOff>85864</xdr:rowOff>
    </xdr:to>
    <xdr:sp macro="" textlink="">
      <xdr:nvSpPr>
        <xdr:cNvPr id="30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38</xdr:row>
      <xdr:rowOff>85864</xdr:rowOff>
    </xdr:to>
    <xdr:sp macro="" textlink="">
      <xdr:nvSpPr>
        <xdr:cNvPr id="30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743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30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31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31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31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25</xdr:row>
      <xdr:rowOff>0</xdr:rowOff>
    </xdr:from>
    <xdr:to>
      <xdr:col>32</xdr:col>
      <xdr:colOff>447675</xdr:colOff>
      <xdr:row>61</xdr:row>
      <xdr:rowOff>61074</xdr:rowOff>
    </xdr:to>
    <xdr:sp macro="" textlink="">
      <xdr:nvSpPr>
        <xdr:cNvPr id="31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7286625"/>
          <a:ext cx="30880050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25</xdr:row>
      <xdr:rowOff>0</xdr:rowOff>
    </xdr:from>
    <xdr:to>
      <xdr:col>33</xdr:col>
      <xdr:colOff>323850</xdr:colOff>
      <xdr:row>61</xdr:row>
      <xdr:rowOff>61074</xdr:rowOff>
    </xdr:to>
    <xdr:sp macro="" textlink="">
      <xdr:nvSpPr>
        <xdr:cNvPr id="31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7286625"/>
          <a:ext cx="27993975" cy="78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1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1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1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1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1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2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43</xdr:row>
      <xdr:rowOff>118473</xdr:rowOff>
    </xdr:to>
    <xdr:sp macro="" textlink="">
      <xdr:nvSpPr>
        <xdr:cNvPr id="32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43</xdr:row>
      <xdr:rowOff>118473</xdr:rowOff>
    </xdr:to>
    <xdr:sp macro="" textlink="">
      <xdr:nvSpPr>
        <xdr:cNvPr id="32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43</xdr:row>
      <xdr:rowOff>118473</xdr:rowOff>
    </xdr:to>
    <xdr:sp macro="" textlink="">
      <xdr:nvSpPr>
        <xdr:cNvPr id="32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43</xdr:row>
      <xdr:rowOff>118473</xdr:rowOff>
    </xdr:to>
    <xdr:sp macro="" textlink="">
      <xdr:nvSpPr>
        <xdr:cNvPr id="32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79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32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32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2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2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29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30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14</xdr:row>
      <xdr:rowOff>0</xdr:rowOff>
    </xdr:from>
    <xdr:to>
      <xdr:col>32</xdr:col>
      <xdr:colOff>447675</xdr:colOff>
      <xdr:row>41</xdr:row>
      <xdr:rowOff>131262</xdr:rowOff>
    </xdr:to>
    <xdr:sp macro="" textlink="">
      <xdr:nvSpPr>
        <xdr:cNvPr id="331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429125"/>
          <a:ext cx="30880050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14</xdr:row>
      <xdr:rowOff>0</xdr:rowOff>
    </xdr:from>
    <xdr:to>
      <xdr:col>33</xdr:col>
      <xdr:colOff>323850</xdr:colOff>
      <xdr:row>41</xdr:row>
      <xdr:rowOff>131262</xdr:rowOff>
    </xdr:to>
    <xdr:sp macro="" textlink="">
      <xdr:nvSpPr>
        <xdr:cNvPr id="332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429125"/>
          <a:ext cx="27993975" cy="570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333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334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40</xdr:row>
      <xdr:rowOff>30922</xdr:rowOff>
    </xdr:to>
    <xdr:sp macro="" textlink="">
      <xdr:nvSpPr>
        <xdr:cNvPr id="335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40</xdr:row>
      <xdr:rowOff>30922</xdr:rowOff>
    </xdr:to>
    <xdr:sp macro="" textlink="">
      <xdr:nvSpPr>
        <xdr:cNvPr id="336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5031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428625</xdr:colOff>
      <xdr:row>15</xdr:row>
      <xdr:rowOff>0</xdr:rowOff>
    </xdr:from>
    <xdr:to>
      <xdr:col>32</xdr:col>
      <xdr:colOff>447675</xdr:colOff>
      <xdr:row>39</xdr:row>
      <xdr:rowOff>66703</xdr:rowOff>
    </xdr:to>
    <xdr:sp macro="" textlink="">
      <xdr:nvSpPr>
        <xdr:cNvPr id="337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19364325" y="4924425"/>
          <a:ext cx="30880050" cy="4965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1476375</xdr:colOff>
      <xdr:row>15</xdr:row>
      <xdr:rowOff>0</xdr:rowOff>
    </xdr:from>
    <xdr:to>
      <xdr:col>33</xdr:col>
      <xdr:colOff>323850</xdr:colOff>
      <xdr:row>39</xdr:row>
      <xdr:rowOff>66703</xdr:rowOff>
    </xdr:to>
    <xdr:sp macro="" textlink="">
      <xdr:nvSpPr>
        <xdr:cNvPr id="338" name="AutoShape 1024" descr="Résultat de recherche d'images pour &quot;14 juillet fete nationale&quot;"/>
        <xdr:cNvSpPr>
          <a:spLocks noChangeAspect="1" noChangeArrowheads="1"/>
        </xdr:cNvSpPr>
      </xdr:nvSpPr>
      <xdr:spPr bwMode="auto">
        <a:xfrm>
          <a:off x="23841075" y="4924425"/>
          <a:ext cx="27993975" cy="4965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</xdr:row>
          <xdr:rowOff>295275</xdr:rowOff>
        </xdr:from>
        <xdr:to>
          <xdr:col>9</xdr:col>
          <xdr:colOff>333375</xdr:colOff>
          <xdr:row>3</xdr:row>
          <xdr:rowOff>123825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temps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Srv-lab33dc\lab\60%20-%20Affaires%20en%20cours\3%20912%20005%20-%20DLC%20KALAMAZOO\02%20-%20Plans%20Labastere\04_M&#233;thode\Fiche%20suivi%20chantier%20KALAMAZOO%203912005.xlsx" TargetMode="External"/><Relationship Id="rId21" Type="http://schemas.openxmlformats.org/officeDocument/2006/relationships/hyperlink" Target="file:///\\SRV-LAB33DC\LAB\60%20-%20Affaires%20en%20cours\3%20911%20003%20-%20Ilot%20P11\02%20-%20Plans%20Labastere\04_M&#233;thode\Fiche%20suivi%20chantier%20P11%203911003%201C2-R+3.xlsx" TargetMode="External"/><Relationship Id="rId42" Type="http://schemas.openxmlformats.org/officeDocument/2006/relationships/hyperlink" Target="file:///\\SRV-LAB33DC\LAB\60%20-%20Affaires%20en%20cours\3%20811%20048%20-%20ESID%20BEAUREGARD\02%20-%20Plans%20Labastere\04_M&#233;thode\Fiche%20suivi%20chantier%20ESID%203811048%20Z6%20R+2.xlsx" TargetMode="External"/><Relationship Id="rId63" Type="http://schemas.openxmlformats.org/officeDocument/2006/relationships/hyperlink" Target="file:///\\Srv-lab33dc\lab\60%20-%20Affaires%20en%20cours\3%20911%20003%20-%20Ilot%20P11\02%20-%20Plans%20Labastere\04_M&#233;thode\Fiche%20suivi%20chantier%20P11%203911003%20BF%203F-R+6.xlsx" TargetMode="External"/><Relationship Id="rId84" Type="http://schemas.openxmlformats.org/officeDocument/2006/relationships/hyperlink" Target="file:///\\SRV-LAB33DC\LAB\60%20-%20Affaires%20en%20cours\3%20911%20008%20-%20COLLECTION\02%20-%20Plans%20Labastere\04_M&#233;thode\Fiche%20suivi%20chantier%20COLLECTION%203911008%20Bureaux%20Bico.xlsx" TargetMode="External"/><Relationship Id="rId138" Type="http://schemas.openxmlformats.org/officeDocument/2006/relationships/hyperlink" Target="file:///\\Srv-lab33dc\lab\60%20-%20Affaires%20en%20cours\3%20911%20003%20-%20Ilot%20P11\02%20-%20Plans%20Labastere\04_M&#233;thode\Fiche%20suivi%20chantier%20P11%203911003%20BF%202D1-R+2.xlsx" TargetMode="External"/><Relationship Id="rId159" Type="http://schemas.openxmlformats.org/officeDocument/2006/relationships/hyperlink" Target="file:///\\Srv-lab33dc\lab\60%20-%20Affaires%20en%20cours\3%20911%20003%20-%20Ilot%20P11\02%20-%20Plans%20Labastere\04_M&#233;thode\Fiche%20suivi%20chantier%20P11%203911003%20BF%202B2-R+1.xlsx" TargetMode="External"/><Relationship Id="rId170" Type="http://schemas.openxmlformats.org/officeDocument/2006/relationships/hyperlink" Target="file:///\\Srv-lab33dc\lab\60%20-%20Affaires%20en%20cours\3%20814%20021%20-%20B&#226;timent%20H%20Universit&#233;\02%20-%20Plans%20Labastere\04_M&#233;thode\FAB\PATIO%20A\3814021-BATIMENT%20H_PATIO%20A-R+1-R+2_F08.pdf" TargetMode="External"/><Relationship Id="rId191" Type="http://schemas.openxmlformats.org/officeDocument/2006/relationships/hyperlink" Target="file:///\\SRV-LAB33DC\LAB\60%20-%20Affaires%20en%20cours\3%20711%20018%20-%20ESPACE%20GARONNE\Fiche%20suivi%20chantier%20ESPACE%20GARONNE%202%20OB%203711018.xlsx" TargetMode="External"/><Relationship Id="rId205" Type="http://schemas.openxmlformats.org/officeDocument/2006/relationships/hyperlink" Target="file:///\\SRV-LAB33DC\LAB\60%20-%20Affaires%20en%20cours\3%20912%20006%20-%20GA&#207;A\02%20-%20Plans%20Labastere\04_M&#233;thode\3912006-GAIA-MR.pdf" TargetMode="External"/><Relationship Id="rId107" Type="http://schemas.openxmlformats.org/officeDocument/2006/relationships/hyperlink" Target="file:///\\SRV-LAB33DC\LAB\60%20-%20Affaires%20en%20cours\3%20911%20006%20-%20AGRI%2033\02%20-%20Plans%20Labastere\04_M&#233;thode\Fiche%20suivi%20chantier%20AGRI33%203911006%20Chassis%20MR%20Patio.xlsx" TargetMode="External"/><Relationship Id="rId11" Type="http://schemas.openxmlformats.org/officeDocument/2006/relationships/hyperlink" Target="file:///\\SRV-LAB33DC\LAB\60%20-%20Affaires%20en%20cours\3%20911%20008%20-%20COLLECTION\02%20-%20Plans%20Labastere\04_M&#233;thode\Fiche%20suivi%20chantier%20Collection%203911008%20verri&#232;re(2).xlsx" TargetMode="External"/><Relationship Id="rId32" Type="http://schemas.openxmlformats.org/officeDocument/2006/relationships/hyperlink" Target="file:///\\SRV-LAB33DC\LAB\60%20-%20Affaires%20en%20cours\3%20911%20008%20-%20COLLECTION\02%20-%20Plans%20Labastere\04_M&#233;thode\Fiche%20suivi%20chantier%20COLLECTION%203911008%20Bureaux%20Bico.xlsx" TargetMode="External"/><Relationship Id="rId53" Type="http://schemas.openxmlformats.org/officeDocument/2006/relationships/hyperlink" Target="file:///\\Srv-lab33dc\lab\60%20-%20Affaires%20en%20cours\3%20911%20003%20-%20Ilot%20P11\02%20-%20Plans%20Labastere\04_M&#233;thode\Fiche%20suivi%20chantier%20P11%203911003%20BF%203B-R+4.xlsx" TargetMode="External"/><Relationship Id="rId74" Type="http://schemas.openxmlformats.org/officeDocument/2006/relationships/hyperlink" Target="file:///\\SRV-LAB33DC\LAB\60%20-%20Affaires%20en%20cours\3%20911%20003%20-%20Ilot%20P11\02%20-%20Plans%20Labastere\04_M&#233;thode\FAB-R+6-3E2.pdf" TargetMode="External"/><Relationship Id="rId128" Type="http://schemas.openxmlformats.org/officeDocument/2006/relationships/hyperlink" Target="file:///\\SRV-LAB33DC\LAB\60%20-%20Affaires%20en%20cours\3%20911%20005%20-%20AGC%20MEDIA%20POST\02%20-%20Plans%20Labastere\04_M&#233;thode\3911005_MEDIAPOST_fab%20totalit&#233;.pdf" TargetMode="External"/><Relationship Id="rId149" Type="http://schemas.openxmlformats.org/officeDocument/2006/relationships/hyperlink" Target="file:///\\Srv-lab33dc\lab\60%20-%20Affaires%20en%20cours\3%20811%20048%20-%20ESID%20BEAUREGARD\02%20-%20Plans%20Labastere\04_M&#233;thode\Fiche%20suivi%20chantier%20ESID%20MR%203-4-5%203811048.xlsx" TargetMode="External"/><Relationship Id="rId5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C-R+1%203814021.xlsx" TargetMode="External"/><Relationship Id="rId90" Type="http://schemas.openxmlformats.org/officeDocument/2006/relationships/hyperlink" Target="file:///\\Srv-lab33dc\lab\60%20-%20Affaires%20en%20cours\3%20811%20048%20-%20ESID%20BEAUREGARD\02%20-%20Plans%20Labastere\04_M&#233;thode\FAB_ESID_Z4_R+1.pdf" TargetMode="External"/><Relationship Id="rId95" Type="http://schemas.openxmlformats.org/officeDocument/2006/relationships/hyperlink" Target="file:///\\Srv-lab33dc\lab\60%20-%20Affaires%20en%20cours\3%20811%20048%20-%20ESID%20BEAUREGARD\02%20-%20Plans%20Labastere\04_M&#233;thode\FAB_ESID_Z9_R+3.pdf" TargetMode="External"/><Relationship Id="rId160" Type="http://schemas.openxmlformats.org/officeDocument/2006/relationships/hyperlink" Target="file:///\\Srv-lab33dc\lab\60%20-%20Affaires%20en%20cours\3%20911%20003%20-%20Ilot%20P11\02%20-%20Plans%20Labastere\04_M&#233;thode\3911003-P11-2B2-R+1.pdf" TargetMode="External"/><Relationship Id="rId165" Type="http://schemas.openxmlformats.org/officeDocument/2006/relationships/hyperlink" Target="file:///\\Srv-lab33dc\lab\60%20-%20Affaires%20en%20cours\3%20913%20003%20-%20DLC%20DUFFAU\02%20-%20Plans%20Labastere\04_M&#233;thode\3913003_DLC%20DUFFAU_Fabch&#226;ssis%20founiture%20seule.pdf" TargetMode="External"/><Relationship Id="rId181" Type="http://schemas.openxmlformats.org/officeDocument/2006/relationships/hyperlink" Target="file:///\\Srv-lab33dc\lab\60%20-%20Affaires%20en%20cours\3%20921%20025%20-%20ARCHI%20EDGAR\02%20-%20Plans%20Labastere\04_M&#233;thode\3921025%20ARCHI%20EDGAR%20verri&#232;re.pdf" TargetMode="External"/><Relationship Id="rId186" Type="http://schemas.openxmlformats.org/officeDocument/2006/relationships/hyperlink" Target="file:///\\Srv-lab33dc\lab\60%20-%20Affaires%20en%20cours\3%20814%20021%20-%20B&#226;timent%20H%20Universit&#233;\02%20-%20Plans%20Labastere\04_M&#233;thode\FAB\3814021_BATIMENT%20H_PATIO%20A_RDC_MR_F14.pdf" TargetMode="External"/><Relationship Id="rId216" Type="http://schemas.openxmlformats.org/officeDocument/2006/relationships/vmlDrawing" Target="../drawings/vmlDrawing1.vml"/><Relationship Id="rId211" Type="http://schemas.openxmlformats.org/officeDocument/2006/relationships/hyperlink" Target="file:///\\SRV-LAB33DC\LAB\60%20-%20Affaires%20en%20cours\3%20911%20015%20-%20FERRAND\02%20-%20Plans%20Labastere\04_M&#233;thode\3911015-FERRAND_fab.pdf" TargetMode="External"/><Relationship Id="rId22" Type="http://schemas.openxmlformats.org/officeDocument/2006/relationships/hyperlink" Target="file:///\\SRV-LAB33DC\LAB\60%20-%20Affaires%20en%20cours\3%20911%20003%20-%20Ilot%20P11\02%20-%20Plans%20Labastere\04_M&#233;thode\Fiche%20suivi%20chantier%20P11%203911003%203E1-R+6.xlsx" TargetMode="External"/><Relationship Id="rId27" Type="http://schemas.openxmlformats.org/officeDocument/2006/relationships/hyperlink" Target="file:///\\SRV-LAB33DC\LAB\60%20-%20Affaires%20en%20cours\3%20911%20003%20-%20Ilot%20P11\02%20-%20Plans%20Labastere\04_M&#233;thode\Fiche%20suivi%20chantier%20P11%203911003%203G1-R+7.xlsx" TargetMode="External"/><Relationship Id="rId43" Type="http://schemas.openxmlformats.org/officeDocument/2006/relationships/hyperlink" Target="file:///\\SRV-LAB33DC\LAB\60%20-%20Affaires%20en%20cours\3%20811%20048%20-%20ESID%20BEAUREGARD\02%20-%20Plans%20Labastere\04_M&#233;thode\Fiche%20suivi%20chantier%20ESID%203811048%20Z7%20R+2.xlsx" TargetMode="External"/><Relationship Id="rId48" Type="http://schemas.openxmlformats.org/officeDocument/2006/relationships/hyperlink" Target="file:///\\SRV-LAB33DC\LAB\60%20-%20Affaires%20en%20cours\3%20821%20041%20-%20DURIEUX\02%20-%20Plans%20Labastere\04_M&#233;thode\Fiche%20suivi%20chantier%20DURIEUX%203821041.xlsx" TargetMode="External"/><Relationship Id="rId64" Type="http://schemas.openxmlformats.org/officeDocument/2006/relationships/hyperlink" Target="file:///\\Srv-lab33dc\LAB\60%20-%20Affaires%20en%20cours\3%20911%20003%20-%20Ilot%20P11\02%20-%20Plans%20Labastere\04_M&#233;thode\FAB-R+1-4A.pdf" TargetMode="External"/><Relationship Id="rId69" Type="http://schemas.openxmlformats.org/officeDocument/2006/relationships/hyperlink" Target="file:///\\Srv-lab33dc\lab\60%20-%20Affaires%20en%20cours\3%20911%20003%20-%20Ilot%20P11\02%20-%20Plans%20Labastere\04_M&#233;thode\Fiche%20suivi%20chantier%20P11%203911003%204C-R+3.xlsx" TargetMode="External"/><Relationship Id="rId113" Type="http://schemas.openxmlformats.org/officeDocument/2006/relationships/hyperlink" Target="file:///\\SRV-LAB33DC\LAB\60%20-%20Affaires%20en%20cours\3%20921%20017%20-%20GABRIEL\02%20-%20Plans%20Labastere\04_M&#233;thode\Fiche%20suivi%20chantier%20Gabriel%203921017.xlsx" TargetMode="External"/><Relationship Id="rId118" Type="http://schemas.openxmlformats.org/officeDocument/2006/relationships/hyperlink" Target="file:///\\SRV-LAB33DC\LAB\60%20-%20Affaires%20en%20cours\3%20911%20006%20-%20AGRI%2033\02%20-%20Plans%20Labastere\04_M&#233;thode\20190705153251326.pdf" TargetMode="External"/><Relationship Id="rId134" Type="http://schemas.openxmlformats.org/officeDocument/2006/relationships/hyperlink" Target="file:///\\SRV-LAB33DC\LAB\60%20-%20Affaires%20en%20cours\3%20812%20007%20-%20CROUS%20EMS\02%20-%20Plans%20Labastere\04_M&#233;thode\Fiche%20suivi%20chantier%20CROUS%203812007%20MR3%20+porte%20feu.xlsx" TargetMode="External"/><Relationship Id="rId139" Type="http://schemas.openxmlformats.org/officeDocument/2006/relationships/hyperlink" Target="file:///\\Srv-lab33dc\lab\60%20-%20Affaires%20en%20cours\3%20913%20003%20-%20DLC%20DUFFAU\02%20-%20Plans%20Labastere\04_M&#233;thode\Fiche%20suivi%20chantier%20DUFFAU%203913003%20chassis%20&#224;%20poser.xlsx" TargetMode="External"/><Relationship Id="rId80" Type="http://schemas.openxmlformats.org/officeDocument/2006/relationships/hyperlink" Target="file:///\\SRV-LAB33DC\LAB\60%20-%20Affaires%20en%20cours\3%20921%20023%20-%20HARDOIN\02%20-%20Plans%20Labastere\04_M&#233;thode\HARDOIN%20-%20FAB.pdf" TargetMode="External"/><Relationship Id="rId85" Type="http://schemas.openxmlformats.org/officeDocument/2006/relationships/hyperlink" Target="file:///\\SRV-LAB33DC\LAB\60%20-%20Affaires%20en%20cours\3%20812%20007%20-%20CROUS%20EMS\02%20-%20Plans%20Labastere\04_M&#233;thode\Fiche%20suivi%20chantier%20CROUS%203812007%20porte%20feu%20MR2c.xlsx" TargetMode="External"/><Relationship Id="rId150" Type="http://schemas.openxmlformats.org/officeDocument/2006/relationships/hyperlink" Target="file:///\\Srv-lab33dc\lab\60%20-%20Affaires%20en%20cours\3%20921%20012%20-%20CARRON\02%20-%20Plans%20Labastere\04_M&#233;thode\3921012_CARRON_refab.pdf" TargetMode="External"/><Relationship Id="rId155" Type="http://schemas.openxmlformats.org/officeDocument/2006/relationships/hyperlink" Target="file:///\\Srv-lab33dc\lab\60%20-%20Affaires%20en%20cours\3%20813%20004%20-%20Batiment%20G1\02%20-%20Plans%20Labastere\04_M&#233;thode\3813004_G1_fab_PHASE2.pdf" TargetMode="External"/><Relationship Id="rId171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Patio%20A-R+1-R+2%203814021.xlsx" TargetMode="External"/><Relationship Id="rId176" Type="http://schemas.openxmlformats.org/officeDocument/2006/relationships/hyperlink" Target="file:///\\Srv-lab33dc\lab\60%20-%20Affaires%20en%20cours\3%20921%20019%20-%20BALDELLI\02%20-%20Plans%20Labastere\04_M&#233;thode\3921019_BALDELLI_fab%20rep%2015.pdf" TargetMode="External"/><Relationship Id="rId192" Type="http://schemas.openxmlformats.org/officeDocument/2006/relationships/hyperlink" Target="file:///\\SRV-LAB33DC\LAB\60%20-%20Affaires%20en%20cours\3%20921%20005%20-%20FERRIERE%202\02%20-%20Plans%20Labastere\04_M&#233;thode\Fiche%20suivi%20chantier%20FERRIERE%20refab%203990043.xlsx" TargetMode="External"/><Relationship Id="rId197" Type="http://schemas.openxmlformats.org/officeDocument/2006/relationships/hyperlink" Target="file:///\\Srv-lab33dc\lab\60%20-%20Affaires%20en%20cours\3%20913%20004%20-%20TRIBEQUA\02%20-%20Plans%20Labastere\04_M&#233;thode\Fiche%20suivi%20chantier%20TRIBEQUA%20proto%20MR%203913004.xlsx" TargetMode="External"/><Relationship Id="rId206" Type="http://schemas.openxmlformats.org/officeDocument/2006/relationships/hyperlink" Target="file:///\\Srv-lab33dc\lab\60%20-%20Affaires%20en%20cours\3%20912%20006%20-%20GA&#207;A\02%20-%20Plans%20Labastere\04_M&#233;thode\Fiche%20suivi%20chantier%20GAIA%20chassis%203912006.xlsx" TargetMode="External"/><Relationship Id="rId201" Type="http://schemas.openxmlformats.org/officeDocument/2006/relationships/hyperlink" Target="file:///\\Srv-lab33dc\lab\60%20-%20Affaires%20en%20cours\3%20913%20004%20-%20TRIBEQUA\02%20-%20Plans%20Labastere\04_M&#233;thode\Fiche%20suivi%20chantier%20TRIBEQUA%20proto%202%20rep%20B%20R+2%203913004.xlsx" TargetMode="External"/><Relationship Id="rId12" Type="http://schemas.openxmlformats.org/officeDocument/2006/relationships/hyperlink" Target="file:///\\Srv-lab33dc\lab\60%20-%20Affaires%20en%20cours\3%20911%20008%20-%20COLLECTION\02%20-%20Plans%20Labastere\04_M&#233;thode\Fiche%20suivi%20chantier%20Collection%20Bureaux%203911008.xlsx" TargetMode="External"/><Relationship Id="rId17" Type="http://schemas.openxmlformats.org/officeDocument/2006/relationships/hyperlink" Target="file:///\\SRV-LAB33DC\LAB\60%20-%20Affaires%20en%20cours\3%20911%20003%20-%20Ilot%20P11\02%20-%20Plans%20Labastere\04_M&#233;thode\Fiche%20suivi%20chantier%20P11%203911003%201B1%20-%20R+2.xlsx" TargetMode="External"/><Relationship Id="rId33" Type="http://schemas.openxmlformats.org/officeDocument/2006/relationships/hyperlink" Target="file:///\\SRV-LAB33DC\LAB\60%20-%20Affaires%20en%20cours\3%20913%20001%20-%20CEPAEO%20DLC\02%20-%20Plans%20Labastere\04_M&#233;thode\Fiche%20suivi%20chantier%20CEPAEO%203913001.xlsx" TargetMode="External"/><Relationship Id="rId38" Type="http://schemas.openxmlformats.org/officeDocument/2006/relationships/hyperlink" Target="file:///\\SRV-LAB33DC\LAB\60%20-%20Affaires%20en%20cours\3%20811%20048%20-%20ESID%20BEAUREGARD\02%20-%20Plans%20Labastere\04_M&#233;thode\Fiche%20suivi%20chantier%20ESID%203811048%20Z2%20RdC.xlsx" TargetMode="External"/><Relationship Id="rId59" Type="http://schemas.openxmlformats.org/officeDocument/2006/relationships/hyperlink" Target="file:///\\Srv-lab33dc\lab\60%20-%20Affaires%20en%20cours\3%20911%20003%20-%20Ilot%20P11\02%20-%20Plans%20Labastere\04_M&#233;thode\Fiche%20suivi%20chantier%20P11%203911003%20BF%203D-R+5.xlsx" TargetMode="External"/><Relationship Id="rId103" Type="http://schemas.openxmlformats.org/officeDocument/2006/relationships/hyperlink" Target="file:///\\SRV-LAB33DC\LAB\60%20-%20Affaires%20en%20cours\3%20814%20021%20-%20B&#226;timent%20H%20Universit&#233;\02%20-%20Plans%20Labastere\04_M&#233;thode\FAB\38114021_BATIMENT_H_A-RDC_F11.pdf" TargetMode="External"/><Relationship Id="rId108" Type="http://schemas.openxmlformats.org/officeDocument/2006/relationships/hyperlink" Target="file:///\\SRV-LAB33DC\LAB\60%20-%20Affaires%20en%20cours\3%20911%20006%20-%20AGRI%2033\02%20-%20Plans%20Labastere\04_M&#233;thode\Fiche%20suivi%20chantier%20AGRI%2033%203911006%20portes%20B-C-D.xlsx" TargetMode="External"/><Relationship Id="rId124" Type="http://schemas.openxmlformats.org/officeDocument/2006/relationships/hyperlink" Target="file:///\\SRV-LAB33DC\LAB\60%20-%20Affaires%20en%20cours\3%20921%20017%20-%20GABRIEL\02%20-%20Plans%20Labastere\04_M&#233;thode\3921017_GABRIEL_F01.pdf" TargetMode="External"/><Relationship Id="rId129" Type="http://schemas.openxmlformats.org/officeDocument/2006/relationships/hyperlink" Target="file:///\\SRV-LAB33DC\LAB\60%20-%20Affaires%20en%20cours\3%20911%20005%20-%20AGC%20MEDIA%20POST\02%20-%20Plans%20Labastere\04_M&#233;thode\Fiche%20suivi%20chantier%20MEDIAPOST%203911005.xlsx" TargetMode="External"/><Relationship Id="rId54" Type="http://schemas.openxmlformats.org/officeDocument/2006/relationships/hyperlink" Target="file:///\\SRV-LAB33DC\LAB\60%20-%20Affaires%20en%20cours\3%20911%20003%20-%20Ilot%20P11\02%20-%20Plans%20Labastere\04_M&#233;thode\3911003-P11-BF-3B-R+4.pdf" TargetMode="External"/><Relationship Id="rId70" Type="http://schemas.openxmlformats.org/officeDocument/2006/relationships/hyperlink" Target="file:///\\SRV-LAB33DC\LAB\60%20-%20Affaires%20en%20cours\3%20911%20003%20-%20Ilot%20P11\02%20-%20Plans%20Labastere\04_M&#233;thode\FAB-R+1-1A2.pdf" TargetMode="External"/><Relationship Id="rId75" Type="http://schemas.openxmlformats.org/officeDocument/2006/relationships/hyperlink" Target="file:///\\Srv-lab33dc\lab\60%20-%20Affaires%20en%20cours\3%20911%20003%20-%20Ilot%20P11\02%20-%20Plans%20Labastere\04_M&#233;thode\FAB-R+4-3A1.pdf" TargetMode="External"/><Relationship Id="rId91" Type="http://schemas.openxmlformats.org/officeDocument/2006/relationships/hyperlink" Target="file:///\\Srv-lab33dc\lab\60%20-%20Affaires%20en%20cours\3%20811%20048%20-%20ESID%20BEAUREGARD\02%20-%20Plans%20Labastere\04_M&#233;thode\Fiche%20suivi%20chantier%20ESID%203811048%20Z5%20R+2.xlsx" TargetMode="External"/><Relationship Id="rId96" Type="http://schemas.openxmlformats.org/officeDocument/2006/relationships/hyperlink" Target="file:///\\Srv-lab33dc\lab\60%20-%20Affaires%20en%20cours\3%20811%20048%20-%20ESID%20BEAUREGARD\02%20-%20Plans%20Labastere\04_M&#233;thode\FAB_ESID_Z10_R+3.pdf" TargetMode="External"/><Relationship Id="rId140" Type="http://schemas.openxmlformats.org/officeDocument/2006/relationships/hyperlink" Target="file:///\\Srv-lab33dc\lab\60%20-%20Affaires%20en%20cours\3%20913%20003%20-%20DLC%20DUFFAU\02%20-%20Plans%20Labastere\04_M&#233;thode\3913003_DLC%20DUFFAU_fab%20ch&#226;ssis%20&#224;%20poser.pdf" TargetMode="External"/><Relationship Id="rId145" Type="http://schemas.openxmlformats.org/officeDocument/2006/relationships/hyperlink" Target="file:///\\Srv-lab33dc\lab\60%20-%20Affaires%20en%20cours\3%20811%20014%20-%20Bergoni&#233;\02%20-%20Plans%20Labastere\04_M&#233;thode\BERGONIE%20TS%20chassis%20fixe%203811014.xlsx" TargetMode="External"/><Relationship Id="rId161" Type="http://schemas.openxmlformats.org/officeDocument/2006/relationships/hyperlink" Target="file:///\\Srv-lab33dc\lab\60%20-%20Affaires%20en%20cours\3%20911%20003%20-%20Ilot%20P11\02%20-%20Plans%20Labastere\04_M&#233;thode\Fiche%20suivi%20chantier%20P11%203911003%20BF%202B1-R+1.xlsx" TargetMode="External"/><Relationship Id="rId166" Type="http://schemas.openxmlformats.org/officeDocument/2006/relationships/hyperlink" Target="file:///\\SRV-LAB33DC\LAB\60%20-%20Affaires%20en%20cours\3%20921%20019%20-%20BALDELLI\02%20-%20Plans%20Labastere\04_M&#233;thode\3921019_BALDELLI_fab%20rep%201&#224;14.pdf" TargetMode="External"/><Relationship Id="rId182" Type="http://schemas.openxmlformats.org/officeDocument/2006/relationships/hyperlink" Target="file:///\\SRV-LAB33DC\LAB\60%20-%20Affaires%20en%20cours\3%20928%20041%20-%20SCI%20DOUVES\02%20-%20Plans%20Labastere\04_M&#233;thode\Fiche%20suivi%20chantier%20SCI%20DOUVES%203928041%20.xlsx" TargetMode="External"/><Relationship Id="rId187" Type="http://schemas.openxmlformats.org/officeDocument/2006/relationships/hyperlink" Target="file:///\\Srv-lab33dc\lab\60%20-%20Affaires%20en%20cours\3%20814%20021%20-%20B&#226;timent%20H%20Universit&#233;\02%20-%20Plans%20Labastere\04_M&#233;thode\FAB\3814021_BATIMENT%20H_PATIO%20A_RDC_PORTES_F16.pdf" TargetMode="External"/><Relationship Id="rId217" Type="http://schemas.openxmlformats.org/officeDocument/2006/relationships/ctrlProp" Target="../ctrlProps/ctrlProp1.xml"/><Relationship Id="rId1" Type="http://schemas.openxmlformats.org/officeDocument/2006/relationships/hyperlink" Target="file:///\\Srv-lab33dc\lab\60%20-%20Affaires%20en%20cours\3%20814%20001%20-%20EPHAD%20MONJOUS\02%20-%20Plans%20Labastere\04_M&#233;thode\Fiche%20suivi%20chantier%20MONJOUS%203814001%20OF%20ext.xlsx" TargetMode="External"/><Relationship Id="rId6" Type="http://schemas.openxmlformats.org/officeDocument/2006/relationships/hyperlink" Target="file:///\\SRV-LAB33DC\LAB\60%20-%20Affaires%20en%20cours\3%20814%20021%20-%20B&#226;timent%20H%20Universit&#233;\02%20-%20Plans%20Labastere\04_M&#233;thode\FAB\3814021_BATIMENT_H_C-R+1_F01b.pdf" TargetMode="External"/><Relationship Id="rId212" Type="http://schemas.openxmlformats.org/officeDocument/2006/relationships/hyperlink" Target="file:///\\SRV-LAB33DC\LAB\60%20-%20Affaires%20en%20cours\3%20911%20015%20-%20FERRAND\02%20-%20Plans%20Labastere\04_M&#233;thode\Fiche%20suivi%20chantier%20FERRAND%203911015.xlsx" TargetMode="External"/><Relationship Id="rId23" Type="http://schemas.openxmlformats.org/officeDocument/2006/relationships/hyperlink" Target="file:///\\SRV-LAB33DC\LAB\60%20-%20Affaires%20en%20cours\3%20911%20003%20-%20Ilot%20P11\02%20-%20Plans%20Labastere\04_M&#233;thode\Fiche%20suivi%20chantier%20P11%203911003%203E2-R+6.xlsx" TargetMode="External"/><Relationship Id="rId28" Type="http://schemas.openxmlformats.org/officeDocument/2006/relationships/hyperlink" Target="file:///\\SRV-LAB33DC\LAB\60%20-%20Affaires%20en%20cours\3%20911%20003%20-%20Ilot%20P11\02%20-%20Plans%20Labastere\04_M&#233;thode\Fiche%20suivi%20chantier%20P11%203911003%203G2-R+7.xlsx" TargetMode="External"/><Relationship Id="rId49" Type="http://schemas.openxmlformats.org/officeDocument/2006/relationships/hyperlink" Target="file:///\\Srv-lab33dc\lab\60%20-%20Affaires%20en%20cours\3%20911%20003%20-%20Ilot%20P11\02%20-%20Plans%20Labastere\04_M&#233;thode\Fiche%20suivi%20chantier%20P11%203911003%20BF%202A-R+1.xlsx" TargetMode="External"/><Relationship Id="rId114" Type="http://schemas.openxmlformats.org/officeDocument/2006/relationships/hyperlink" Target="file:///\\Srv-lab33dc\lab\60%20-%20Affaires%20en%20cours\3%20911%20003%20-%20Ilot%20P11\02%20-%20Plans%20Labastere\04_M&#233;thode\Fiche%20suivi%20chantier%20P11%203911003%203C2-R+5.xlsx" TargetMode="External"/><Relationship Id="rId119" Type="http://schemas.openxmlformats.org/officeDocument/2006/relationships/hyperlink" Target="file:///\\SRV-LAB33DC\LAB\60%20-%20Affaires%20en%20cours\3%20911%20006%20-%20AGRI%2033\02%20-%20Plans%20Labastere\04_M&#233;thode\3911006_AGRI%2033_ADMIN_PY.pdf" TargetMode="External"/><Relationship Id="rId44" Type="http://schemas.openxmlformats.org/officeDocument/2006/relationships/hyperlink" Target="file:///\\SRV-LAB33DC\LAB\60%20-%20Affaires%20en%20cours\3%20811%20048%20-%20ESID%20BEAUREGARD\02%20-%20Plans%20Labastere\04_M&#233;thode\Fiche%20suivi%20chantier%20ESID%203811048%20Z8%20R+3.xlsx" TargetMode="External"/><Relationship Id="rId60" Type="http://schemas.openxmlformats.org/officeDocument/2006/relationships/hyperlink" Target="file:///\\Srv-lab33dc\LAB\60%20-%20Affaires%20en%20cours\3%20911%20003%20-%20Ilot%20P11\02%20-%20Plans%20Labastere\04_M&#233;thode\3911003-P11-BF-2E-R+3.pdf" TargetMode="External"/><Relationship Id="rId65" Type="http://schemas.openxmlformats.org/officeDocument/2006/relationships/hyperlink" Target="file:///\\Srv-lab33dc\lab\60%20-%20Affaires%20en%20cours\3%20911%20003%20-%20Ilot%20P11\02%20-%20Plans%20Labastere\04_M&#233;thode\Fiche%20suivi%20chantier%20P11%203911003%204A-R+1.xlsx" TargetMode="External"/><Relationship Id="rId81" Type="http://schemas.openxmlformats.org/officeDocument/2006/relationships/hyperlink" Target="file:///\\SRV-LAB33DC\LAB\60%20-%20Affaires%20en%20cours\3%20813%20004%20-%20Batiment%20G1\02%20-%20Plans%20Labastere\04_M&#233;thode\3813004_G1_fab%20LIDL%20RDC.pdf" TargetMode="External"/><Relationship Id="rId86" Type="http://schemas.openxmlformats.org/officeDocument/2006/relationships/hyperlink" Target="file:///\\Srv-lab33dc\lab\60%20-%20Affaires%20en%20cours\3%20812%20007%20-%20CROUS%20EMS\02%20-%20Plans%20Labastere\04_M&#233;thode\Fiche%20suivi%20chantier%20CROUS%203812007%20porte%20CF1-2H.xlsx" TargetMode="External"/><Relationship Id="rId130" Type="http://schemas.openxmlformats.org/officeDocument/2006/relationships/hyperlink" Target="file:///\\SRV-LAB33DC\LAB\60%20-%20Affaires%20en%20cours\3%20813%20004%20-%20Batiment%20G1\02%20-%20Plans%20Labastere\04_M&#233;thode\3813004_G1_fab%20Tourette%20R+4.pdf" TargetMode="External"/><Relationship Id="rId135" Type="http://schemas.openxmlformats.org/officeDocument/2006/relationships/hyperlink" Target="file:///\\Srv-lab33dc\LAB\60%20-%20Affaires%20en%20cours\3%20911%20003%20-%20Ilot%20P11\02%20-%20Plans%20Labastere\04_M&#233;thode\3911003-P11-BF-2D1-R+2.pdf" TargetMode="External"/><Relationship Id="rId151" Type="http://schemas.openxmlformats.org/officeDocument/2006/relationships/hyperlink" Target="file:///\\Srv-lab33dc\lab\60%20-%20Affaires%20en%20cours\3%20921%20012%20-%20CARRON\02%20-%20Plans%20Labastere\04_M&#233;thode\Fiche%20suivi%20chantier%20CARRON%20refab%203921012.xlsx" TargetMode="External"/><Relationship Id="rId156" Type="http://schemas.openxmlformats.org/officeDocument/2006/relationships/hyperlink" Target="file:///\\SRV-LAB33DC\LAB\60%20-%20Affaires%20en%20cours\3%20813%20004%20-%20Batiment%20G1\02%20-%20Plans%20Labastere\04_M&#233;thode\Fiche%20suivi%20chantier%20G1%20MR%203813004.xlsx" TargetMode="External"/><Relationship Id="rId177" Type="http://schemas.openxmlformats.org/officeDocument/2006/relationships/hyperlink" Target="file:///\\Srv-lab33dc\lab\60%20-%20Affaires%20en%20cours\3%20921%20019%20-%20BALDELLI\02%20-%20Plans%20Labastere\04_M&#233;thode\Fiche%20suivi%20chantier%20BALDELLI%20rep%2015%20_%203921019.xlsx" TargetMode="External"/><Relationship Id="rId198" Type="http://schemas.openxmlformats.org/officeDocument/2006/relationships/hyperlink" Target="file:///\\SRV-LAB33DC\LAB\60%20-%20Affaires%20en%20cours\3%20913%20004%20-%20TRIBEQUA\02%20-%20Plans%20Labastere\04_M&#233;thode\3913004-TRIBEQUA-PROTO-CHASSIS%201-%20GOLD.pdf" TargetMode="External"/><Relationship Id="rId172" Type="http://schemas.openxmlformats.org/officeDocument/2006/relationships/hyperlink" Target="file:///\\SRV-LAB33DC\LAB\60%20-%20Affaires%20en%20cours\3%20928%20032%20-%20ICHER\02%20-%20Plans%20Labastere\04_M&#233;thode\Fiche%20suivi%20chantier%20ICHER%203928032.xlsx" TargetMode="External"/><Relationship Id="rId193" Type="http://schemas.openxmlformats.org/officeDocument/2006/relationships/hyperlink" Target="file:///\\SRV-LAB33DC\LAB\60%20-%20Affaires%20en%20cours\3%20911%20009%20-%20DARWIN%20VERRIERE\02%20-%20Plans%20Labastere\04_M&#233;thode\Fiche%20suivi%20chantier%20DARWIN%203911009.xlsx" TargetMode="External"/><Relationship Id="rId202" Type="http://schemas.openxmlformats.org/officeDocument/2006/relationships/hyperlink" Target="file:///\\Srv-lab33dc\lab\60%20-%20Affaires%20en%20cours\3%20913%20004%20-%20TRIBEQUA\02%20-%20Plans%20Labastere\04_M&#233;thode\3913004-TRIBEQUA-PROTO-BF-REPERE%20B-R+2.pdf" TargetMode="External"/><Relationship Id="rId207" Type="http://schemas.openxmlformats.org/officeDocument/2006/relationships/hyperlink" Target="file:///\\Srv-lab33dc\lab\60%20-%20Affaires%20en%20cours\3%20912%20006%20-%20GA&#207;A\02%20-%20Plans%20Labastere\04_M&#233;thode\3912006-GAIA-CHASSIS.pdf" TargetMode="External"/><Relationship Id="rId13" Type="http://schemas.openxmlformats.org/officeDocument/2006/relationships/hyperlink" Target="file:///\\Srv-lab33dc\lab\60%20-%20Affaires%20en%20cours\3%20911%20008%20-%20COLLECTION\02%20-%20Plans%20Labastere\04_M&#233;thode\3911008_COLLECTION_VEALIS_BUREAUX.pdf" TargetMode="External"/><Relationship Id="rId18" Type="http://schemas.openxmlformats.org/officeDocument/2006/relationships/hyperlink" Target="file:///\\SRV-LAB33DC\LAB\60%20-%20Affaires%20en%20cours\3%20911%20003%20-%20Ilot%20P11\02%20-%20Plans%20Labastere\04_M&#233;thode\Fiche%20suivi%20chantier%20P11%203911003%201C1%20-%20R+3.xlsx" TargetMode="External"/><Relationship Id="rId39" Type="http://schemas.openxmlformats.org/officeDocument/2006/relationships/hyperlink" Target="file:///\\SRV-LAB33DC\LAB\60%20-%20Affaires%20en%20cours\3%20811%20048%20-%20ESID%20BEAUREGARD\02%20-%20Plans%20Labastere\04_M&#233;thode\Fiche%20suivi%20chantier%20ESID%203811048%20Z3%20R+1.xlsx" TargetMode="External"/><Relationship Id="rId109" Type="http://schemas.openxmlformats.org/officeDocument/2006/relationships/hyperlink" Target="file:///\\SRV-LAB33DC\LAB\60%20-%20Affaires%20en%20cours\3%20911%20006%20-%20AGRI%2033\02%20-%20Plans%20Labastere\04_M&#233;thode\Fiche%20suivi%20chantier%20AGRI33%203911006%20logement.xlsx" TargetMode="External"/><Relationship Id="rId34" Type="http://schemas.openxmlformats.org/officeDocument/2006/relationships/hyperlink" Target="file:///\\SRV-LAB33DC\LAB\60%20-%20Affaires%20en%20cours\3%20921%20024%20-%20MERICHICK\02%20-%20Plans%20Labastere\04_M&#233;thode\Fiche%20suivi%20chantier%20MEIRCHICK%203921024.xlsx" TargetMode="External"/><Relationship Id="rId50" Type="http://schemas.openxmlformats.org/officeDocument/2006/relationships/hyperlink" Target="file:///\\Srv-lab33dc\lab\60%20-%20Affaires%20en%20cours\3%20911%20003%20-%20Ilot%20P11\02%20-%20Plans%20Labastere\04_M&#233;thode\3911003-P11-2A-R+1.pdf" TargetMode="External"/><Relationship Id="rId55" Type="http://schemas.openxmlformats.org/officeDocument/2006/relationships/hyperlink" Target="file:///\\SRV-LAB33DC\LAB\60%20-%20Affaires%20en%20cours\3%20911%20003%20-%20Ilot%20P11\02%20-%20Plans%20Labastere\04_M&#233;thode\3911003-P11-1A1-R+1.pdf" TargetMode="External"/><Relationship Id="rId76" Type="http://schemas.openxmlformats.org/officeDocument/2006/relationships/hyperlink" Target="file:///\\Srv-lab33dc\lab\60%20-%20Affaires%20en%20cours\3%20911%20003%20-%20Ilot%20P11\02%20-%20Plans%20Labastere\04_M&#233;thode\FAB-R+4-3A2.pdf" TargetMode="External"/><Relationship Id="rId97" Type="http://schemas.openxmlformats.org/officeDocument/2006/relationships/hyperlink" Target="file:///\\Srv-lab33dc\lab\60%20-%20Affaires%20en%20cours\3%20911%20009%20-%20DARWIN%20VERRIERE\02%20-%20Plans%20Labastere\04_M&#233;thode\FAB%20Darwin-%20Bello.pdf" TargetMode="External"/><Relationship Id="rId104" Type="http://schemas.openxmlformats.org/officeDocument/2006/relationships/hyperlink" Target="file:///\\SRV-LAB33DC\LAB\60%20-%20Affaires%20en%20cours\3%20812%20007%20-%20CROUS%20EMS\02%20-%20Plans%20Labastere\04_M&#233;thode\3812007_CROUS_OF_ACCOUSTIQUE.pdf" TargetMode="External"/><Relationship Id="rId120" Type="http://schemas.openxmlformats.org/officeDocument/2006/relationships/hyperlink" Target="file:///\\SRV-LAB33DC\LAB\60%20-%20Affaires%20en%20cours\3%20911%20006%20-%20AGRI%2033\02%20-%20Plans%20Labastere\04_M&#233;thode\3911006_AGRI%2033_LOGEMENT.pdf" TargetMode="External"/><Relationship Id="rId125" Type="http://schemas.openxmlformats.org/officeDocument/2006/relationships/hyperlink" Target="file:///\\SRV-LAB33DC\LAB\60%20-%20Affaires%20en%20cours\3%20921%20012%20-%20CARRON\02%20-%20Plans%20Labastere\04_M&#233;thode\3921012_CARRON_F01.pdf" TargetMode="External"/><Relationship Id="rId141" Type="http://schemas.openxmlformats.org/officeDocument/2006/relationships/hyperlink" Target="file:///\\Srv-lab33dc\lab\60%20-%20Affaires%20en%20cours\3%20813%20004%20-%20Batiment%20G1\02%20-%20Plans%20Labastere\04_M&#233;thode\Fiche%20suivi%20chantier%20G1%203813004%20refab%20tap&#233;e.xlsx" TargetMode="External"/><Relationship Id="rId146" Type="http://schemas.openxmlformats.org/officeDocument/2006/relationships/hyperlink" Target="file:///\\SRV-LAB33DC\LAB\60%20-%20Affaires%20en%20cours\3%20913%20003%20-%20DLC%20DUFFAU\02%20-%20Plans%20Labastere\04_M&#233;thode\3913003_DLC%20DUFFAU_Fabch&#226;ssis%20founiture%20seule.pdf" TargetMode="External"/><Relationship Id="rId167" Type="http://schemas.openxmlformats.org/officeDocument/2006/relationships/hyperlink" Target="file:///\\SRV-LAB33DC\LAB\60%20-%20Affaires%20en%20cours\3%20921%20019%20-%20BALDELLI\02%20-%20Plans%20Labastere\04_M&#233;thode\Fiche%20suivi%20chantier%20BALDELLI%20rep%201%20&#224;%2014%20_%203921019.xlsx" TargetMode="External"/><Relationship Id="rId188" Type="http://schemas.openxmlformats.org/officeDocument/2006/relationships/hyperlink" Target="file:///\\SRV-LAB33DC\LAB\60%20-%20Affaires%20en%20cours\3%20911%20007%20-%20MAISON%20HLN\02%20-%20Plans%20Labastere\04_M&#233;thode\Fiche%20suivi%20chantier%20MAISON%20HLN%20GC%203911007.xlsx" TargetMode="External"/><Relationship Id="rId7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A-R+1%203814021.xlsx" TargetMode="External"/><Relationship Id="rId71" Type="http://schemas.openxmlformats.org/officeDocument/2006/relationships/hyperlink" Target="file:///\\SRV-LAB33DC\LAB\60%20-%20Affaires%20en%20cours\3%20911%20003%20-%20Ilot%20P11\02%20-%20Plans%20Labastere\04_M&#233;thode\FAB-R+2-1B2.pdf" TargetMode="External"/><Relationship Id="rId92" Type="http://schemas.openxmlformats.org/officeDocument/2006/relationships/hyperlink" Target="file:///\\Srv-lab33dc\lab\60%20-%20Affaires%20en%20cours\3%20811%20048%20-%20ESID%20BEAUREGARD\02%20-%20Plans%20Labastere\04_M&#233;thode\FAB_ESID_Z6_R+2.pdf" TargetMode="External"/><Relationship Id="rId162" Type="http://schemas.openxmlformats.org/officeDocument/2006/relationships/hyperlink" Target="file:///\\Srv-lab33dc\lab\60%20-%20Affaires%20en%20cours\3%20911%20003%20-%20Ilot%20P11\02%20-%20Plans%20Labastere\04_M&#233;thode\3911003-P11-2B1-R+1.pdf" TargetMode="External"/><Relationship Id="rId183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A-RdC%203814021.xlsx" TargetMode="External"/><Relationship Id="rId213" Type="http://schemas.openxmlformats.org/officeDocument/2006/relationships/hyperlink" Target="file:///\\SRV-LAB33DC\LAB\60%20-%20Affaires%20en%20cours\3%20911%20011%20-%20CAMAROL%20DLC\02%20-%20Plans%20Labastere\04_M&#233;thode\3911011_CAMAROL_fab.pdf" TargetMode="External"/><Relationship Id="rId2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%20Zone%20C_%20R+1%203814021.xlsx" TargetMode="External"/><Relationship Id="rId29" Type="http://schemas.openxmlformats.org/officeDocument/2006/relationships/hyperlink" Target="file:///\\SRV-LAB33DC\LAB\60%20-%20Affaires%20en%20cours\3%20812%20007%20-%20CROUS%20EMS\02%20-%20Plans%20Labastere\04_M&#233;thode\Fiche%20suivi%20chantier%20CROUS%203812007%20OF%20Acoustique.xlsx" TargetMode="External"/><Relationship Id="rId24" Type="http://schemas.openxmlformats.org/officeDocument/2006/relationships/hyperlink" Target="file:///\\SRV-LAB33DC\LAB\60%20-%20Affaires%20en%20cours\3%20911%20003%20-%20Ilot%20P11\02%20-%20Plans%20Labastere\04_M&#233;thode\Fiche%20suivi%20chantier%20P11%203911003%203A1-R+4.xlsx" TargetMode="External"/><Relationship Id="rId40" Type="http://schemas.openxmlformats.org/officeDocument/2006/relationships/hyperlink" Target="file:///\\SRV-LAB33DC\LAB\60%20-%20Affaires%20en%20cours\3%20811%20048%20-%20ESID%20BEAUREGARD\02%20-%20Plans%20Labastere\04_M&#233;thode\Fiche%20suivi%20chantier%20ESID%203811048%20Z4%20R+1.xlsx" TargetMode="External"/><Relationship Id="rId45" Type="http://schemas.openxmlformats.org/officeDocument/2006/relationships/hyperlink" Target="file:///\\SRV-LAB33DC\LAB\60%20-%20Affaires%20en%20cours\3%20811%20048%20-%20ESID%20BEAUREGARD\02%20-%20Plans%20Labastere\04_M&#233;thode\Fiche%20suivi%20chantier%20ESID%203811048%20Z9%20R+3.xlsx" TargetMode="External"/><Relationship Id="rId66" Type="http://schemas.openxmlformats.org/officeDocument/2006/relationships/hyperlink" Target="file:///\\Srv-lab33dc\LAB\60%20-%20Affaires%20en%20cours\3%20911%20003%20-%20Ilot%20P11\02%20-%20Plans%20Labastere\04_M&#233;thode\FAB-R+2-4B.pdf" TargetMode="External"/><Relationship Id="rId87" Type="http://schemas.openxmlformats.org/officeDocument/2006/relationships/hyperlink" Target="file:///\\SRV-LAB33DC\LAB\60%20-%20Affaires%20en%20cours\3%20811%20048%20-%20ESID%20BEAUREGARD\02%20-%20Plans%20Labastere\04_M&#233;thode\FAB_ESID_Z1_RDC.pdf" TargetMode="External"/><Relationship Id="rId110" Type="http://schemas.openxmlformats.org/officeDocument/2006/relationships/hyperlink" Target="file:///\\SRV-LAB33DC\LAB\60%20-%20Affaires%20en%20cours\3%20911%20006%20-%20AGRI%2033\02%20-%20Plans%20Labastere\04_M&#233;thode\Fiche%20suivi%20chantier%20AGRI33%203911006%20porte%20Admin.xlsx" TargetMode="External"/><Relationship Id="rId115" Type="http://schemas.openxmlformats.org/officeDocument/2006/relationships/hyperlink" Target="file:///\\Srv-lab33dc\lab\60%20-%20Affaires%20en%20cours\3%20911%20003%20-%20Ilot%20P11\02%20-%20Plans%20Labastere\04_M&#233;thode\FAB-R+5-3C2.pdf" TargetMode="External"/><Relationship Id="rId131" Type="http://schemas.openxmlformats.org/officeDocument/2006/relationships/hyperlink" Target="file:///\\Srv-lab33dc\lab\60%20-%20Affaires%20en%20cours\3%20813%20004%20-%20Batiment%20G1\02%20-%20Plans%20Labastere\04_M&#233;thode\3813004_G1_fab%20Tourette%20R+4.pdf" TargetMode="External"/><Relationship Id="rId136" Type="http://schemas.openxmlformats.org/officeDocument/2006/relationships/hyperlink" Target="file:///\\Srv-lab33dc\LAB\60%20-%20Affaires%20en%20cours\3%20911%20003%20-%20Ilot%20P11\02%20-%20Plans%20Labastere\04_M&#233;thode\3911003-P11-BF-2D2-R+2.pdf" TargetMode="External"/><Relationship Id="rId157" Type="http://schemas.openxmlformats.org/officeDocument/2006/relationships/hyperlink" Target="file:///\\Srv-lab33dc\lab\60%20-%20Affaires%20en%20cours\3%20811%20048%20-%20ESID%20BEAUREGARD\02%20-%20Plans%20Labastere\04_M&#233;thode\MRx\3811048_ESID_%20fab%20MR%206-7.pdf" TargetMode="External"/><Relationship Id="rId178" Type="http://schemas.openxmlformats.org/officeDocument/2006/relationships/hyperlink" Target="file:///\\SRV-LAB33DC\LAB\60%20-%20Affaires%20en%20cours\3%20921%20025%20-%20ARCHI%20EDGAR\02%20-%20Plans%20Labastere\04_M&#233;thode\Fiche%20suivi%20chantier%20ARCHI%20EDGAR%205%20OB%203921025.xlsx" TargetMode="External"/><Relationship Id="rId61" Type="http://schemas.openxmlformats.org/officeDocument/2006/relationships/hyperlink" Target="file:///\\Srv-lab33dc\lab\60%20-%20Affaires%20en%20cours\3%20911%20003%20-%20Ilot%20P11\02%20-%20Plans%20Labastere\04_M&#233;thode\Fiche%20suivi%20chantier%20P11%203911003%20BF%202E-R+3.xlsx" TargetMode="External"/><Relationship Id="rId82" Type="http://schemas.openxmlformats.org/officeDocument/2006/relationships/hyperlink" Target="file:///\\SRV-LAB33DC\LAB\60%20-%20Affaires%20en%20cours\3%20911%20008%20-%20COLLECTION\02%20-%20Plans%20Labastere\04_M&#233;thode\3911008_COLLECTION_VEALIS_BAT%20C%20.pdf" TargetMode="External"/><Relationship Id="rId152" Type="http://schemas.openxmlformats.org/officeDocument/2006/relationships/hyperlink" Target="file:///\\Srv-lab33dc\lab\60%20-%20Affaires%20en%20cours\3%20814%20021%20-%20B&#226;timent%20H%20Universit&#233;\02%20-%20Plans%20Labastere\04_M&#233;thode\FAB\3814021_BATIMENT_H_C-R+1_refab%20porte.pdf" TargetMode="External"/><Relationship Id="rId173" Type="http://schemas.openxmlformats.org/officeDocument/2006/relationships/hyperlink" Target="file:///\\Srv-lab33dc\lab\60%20-%20Affaires%20en%20cours\3%20921%20018%20-%20COURTADE\02%20-%20Plans%20Labastere\04_M&#233;thode\Fiche%20suivi%20chantier%20COURTADE%203921018.xlsx" TargetMode="External"/><Relationship Id="rId194" Type="http://schemas.openxmlformats.org/officeDocument/2006/relationships/hyperlink" Target="file:///\\SRV-LAB33DC\LAB\60%20-%20Affaires%20en%20cours\3%20911%20007%20-%20MAISON%20HLN\02%20-%20Plans%20Labastere\04_M&#233;thode\Fiche%20suivi%20chantier%20MAISON%20HLN%20verri&#232;re%203911007.xlsx" TargetMode="External"/><Relationship Id="rId199" Type="http://schemas.openxmlformats.org/officeDocument/2006/relationships/hyperlink" Target="file:///\\Srv-lab33dc\lab\60%20-%20Affaires%20en%20cours\3%20913%20004%20-%20TRIBEQUA\02%20-%20Plans%20Labastere\04_M&#233;thode\3913004-TRIBEQUA-PROTO-CHASSIS%202-AC0200.pdf" TargetMode="External"/><Relationship Id="rId203" Type="http://schemas.openxmlformats.org/officeDocument/2006/relationships/hyperlink" Target="file:///\\SRV-LAB33DC\LAB\60%20-%20Affaires%20en%20cours\3%20812%20003%20-%20LE%20FORUM\02%20-%20Plans%20Labastere\04_M&#233;thode\Fiche%20suivi%20chantier%20FORUM%20C10-C11%203812003.xlsx" TargetMode="External"/><Relationship Id="rId208" Type="http://schemas.openxmlformats.org/officeDocument/2006/relationships/hyperlink" Target="file:///\\Srv-lab33dc\lab\60%20-%20Affaires%20en%20cours\3%20812%20003%20-%20LE%20FORUM\02%20-%20Plans%20Labastere\04_M&#233;thode\Fiche%20suivi%20chantier%20FORUM%20chassis%20feu%203812003.xlsx" TargetMode="External"/><Relationship Id="rId19" Type="http://schemas.openxmlformats.org/officeDocument/2006/relationships/hyperlink" Target="file:///\\SRV-LAB33DC\LAB\60%20-%20Affaires%20en%20cours\3%20911%20003%20-%20Ilot%20P11\02%20-%20Plans%20Labastere\04_M&#233;thode\Fiche%20suivi%20chantier%20P11%203911003%201A2%20-%20R+1.xlsx" TargetMode="External"/><Relationship Id="rId14" Type="http://schemas.openxmlformats.org/officeDocument/2006/relationships/hyperlink" Target="file:///\\SRV-LAB33DC\LAB\60%20-%20Affaires%20en%20cours\3%20911%20003%20-%20Ilot%20P11\02%20-%20Plans%20Labastere\04_M&#233;thode\Fiche%20suivi%20chantier%20P11%20proto%203911003.xlsx" TargetMode="External"/><Relationship Id="rId30" Type="http://schemas.openxmlformats.org/officeDocument/2006/relationships/hyperlink" Target="file:///\\SRV-LAB33DC\LAB\60%20-%20Affaires%20en%20cours\3%20813%20004%20-%20Batiment%20G1\02%20-%20Plans%20Labastere\04_M&#233;thode\Fiche%20suivi%20chantier%20G1%20MR-RdC%203814021.xlsx" TargetMode="External"/><Relationship Id="rId35" Type="http://schemas.openxmlformats.org/officeDocument/2006/relationships/hyperlink" Target="file:///\\SRV-LAB33DC\LAB\60%20-%20Affaires%20en%20cours\3%20921%20024%20-%20MERICHICK\02%20-%20Plans%20Labastere\04_M&#233;thode\MERICHICK%20-%20FAB.pdf" TargetMode="External"/><Relationship Id="rId56" Type="http://schemas.openxmlformats.org/officeDocument/2006/relationships/hyperlink" Target="file:///\\SRV-LAB33DC\LAB\60%20-%20Affaires%20en%20cours\3%20911%20003%20-%20Ilot%20P11\02%20-%20Plans%20Labastere\04_M&#233;thode\3911003-P11-1B1-R+2.pdf" TargetMode="External"/><Relationship Id="rId77" Type="http://schemas.openxmlformats.org/officeDocument/2006/relationships/hyperlink" Target="file:///\\Srv-lab33dc\lab\60%20-%20Affaires%20en%20cours\3%20911%20003%20-%20Ilot%20P11\02%20-%20Plans%20Labastere\04_M&#233;thode\FAB-R+5-3C1.pdf" TargetMode="External"/><Relationship Id="rId100" Type="http://schemas.openxmlformats.org/officeDocument/2006/relationships/hyperlink" Target="file:///\\SRV-LAB33DC\LAB\60%20-%20Affaires%20en%20cours\3%20811%20048%20-%20ESID%20BEAUREGARD\02%20-%20Plans%20Labastere\04_M&#233;thode\Fiche%20suivi%20chantier%20ESID%203811048%20OF.xlsx" TargetMode="External"/><Relationship Id="rId105" Type="http://schemas.openxmlformats.org/officeDocument/2006/relationships/hyperlink" Target="file:///\\SRV-LAB33DC\LAB\60%20-%20Affaires%20en%20cours\3%20814%20001%20-%20EPHAD%20MONJOUS\02%20-%20Plans%20Labastere\04_M&#233;thode\3814001_MONJOUS_fab%202%20ch&#226;ssis%20of%20ext.pdf" TargetMode="External"/><Relationship Id="rId126" Type="http://schemas.openxmlformats.org/officeDocument/2006/relationships/hyperlink" Target="file:///\\SRV-LAB33DC\LAB\60%20-%20Affaires%20en%20cours\3%20821%20041%20-%20DURIEUX\02%20-%20Plans%20Labastere\04_M&#233;thode\DURIEUX%203821041.pdf" TargetMode="External"/><Relationship Id="rId147" Type="http://schemas.openxmlformats.org/officeDocument/2006/relationships/hyperlink" Target="file:///\\SRV-LAB33DC\LAB\60%20-%20Affaires%20en%20cours\3%20913%20003%20-%20DLC%20DUFFAU\02%20-%20Plans%20Labastere\04_M&#233;thode\Fiche%20suivi%20chantier%20DUFFAU%20fourniture%20seule%203913003%20chassis%20&#224;%20poser.xlsx" TargetMode="External"/><Relationship Id="rId168" Type="http://schemas.openxmlformats.org/officeDocument/2006/relationships/hyperlink" Target="file:///\\SRV-LAB33DC\LAB\60%20-%20Affaires%20en%20cours\3%20812%20007%20-%20CROUS%20EMS\02%20-%20Plans%20Labastere\04_M&#233;thode\3812007%20CROUS%20Porte%20CF%20MR2c.pdf" TargetMode="External"/><Relationship Id="rId8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A-R+2%203814021.xlsx" TargetMode="External"/><Relationship Id="rId51" Type="http://schemas.openxmlformats.org/officeDocument/2006/relationships/hyperlink" Target="file:///\\Srv-lab33dc\lab\60%20-%20Affaires%20en%20cours\3%20911%20003%20-%20Ilot%20P11\02%20-%20Plans%20Labastere\04_M&#233;thode\Fiche%20suivi%20chantier%20P11%203911003%20BF%202C-R+2.xlsx" TargetMode="External"/><Relationship Id="rId72" Type="http://schemas.openxmlformats.org/officeDocument/2006/relationships/hyperlink" Target="file:///\\SRV-LAB33DC\LAB\60%20-%20Affaires%20en%20cours\3%20911%20003%20-%20Ilot%20P11\02%20-%20Plans%20Labastere\04_M&#233;thode\FAB-R+3-1C2.pdf" TargetMode="External"/><Relationship Id="rId93" Type="http://schemas.openxmlformats.org/officeDocument/2006/relationships/hyperlink" Target="file:///\\Srv-lab33dc\lab\60%20-%20Affaires%20en%20cours\3%20811%20048%20-%20ESID%20BEAUREGARD\02%20-%20Plans%20Labastere\04_M&#233;thode\FAB_ESID_Z7_R+2.pdf" TargetMode="External"/><Relationship Id="rId98" Type="http://schemas.openxmlformats.org/officeDocument/2006/relationships/hyperlink" Target="file:///\\SRV-LAB33DC\LAB\60%20-%20Affaires%20en%20cours\3%20911%20009%20-%20DARWIN%20VERRIERE\02%20-%20Plans%20Labastere\04_M&#233;thode\Fiche%20suivi%20chantier%20DARWIN%203911009%20Bello.xlsx" TargetMode="External"/><Relationship Id="rId121" Type="http://schemas.openxmlformats.org/officeDocument/2006/relationships/hyperlink" Target="file:///\\SRV-LAB33DC\LAB\60%20-%20Affaires%20en%20cours\3%20911%20006%20-%20AGRI%2033\02%20-%20Plans%20Labastere\04_M&#233;thode\3911006_AGRI%2033_MAGASIN_PORTES.pdf" TargetMode="External"/><Relationship Id="rId142" Type="http://schemas.openxmlformats.org/officeDocument/2006/relationships/hyperlink" Target="file:///\\Srv-lab33dc\lab\60%20-%20Affaires%20en%20cours\3%20811%20048%20-%20ESID%20BEAUREGARD\02%20-%20Plans%20Labastere\04_M&#233;thode\MRx\3811048_ESID_%20fab%20MR%201-2.pdf" TargetMode="External"/><Relationship Id="rId163" Type="http://schemas.openxmlformats.org/officeDocument/2006/relationships/hyperlink" Target="file:///\\SRV-LAB33DC\LAB\60%20-%20Affaires%20en%20cours\3%20813%20004%20-%20Batiment%20G1\02%20-%20Plans%20Labastere\04_M&#233;thode\Fiche%20suivi%20chantier%20G1%203813004%20refab%20tap&#233;e.xlsx" TargetMode="External"/><Relationship Id="rId184" Type="http://schemas.openxmlformats.org/officeDocument/2006/relationships/hyperlink" Target="file:///\\Srv-lab33dc\lab\60%20-%20Affaires%20en%20cours\3%20814%20021%20-%20B&#226;timent%20H%20Universit&#233;\02%20-%20Plans%20Labastere\04_M&#233;thode\FAB\3814021_BATIMENT%20H_PATIO%20A_RDC_MR_F14.pdf" TargetMode="External"/><Relationship Id="rId189" Type="http://schemas.openxmlformats.org/officeDocument/2006/relationships/hyperlink" Target="file:///\\SRV-LAB33DC\LAB\60%20-%20Affaires%20en%20cours\3%20913%20004%20-%20TRIBEQUA\02%20-%20Plans%20Labastere\04_M&#233;thode\Fiche%20suivi%20chantier%20TRIBEQUA%20proto%20chassis%201%203913004.xlsx" TargetMode="External"/><Relationship Id="rId3" Type="http://schemas.openxmlformats.org/officeDocument/2006/relationships/hyperlink" Target="file:///\\Srv-lab33dc\lab\60%20-%20Affaires%20en%20cours\3%20911%20008%20-%20COLLECTION\02%20-%20Plans%20Labastere\04_M&#233;thode\Fiche%20suivi%20chantier%20Collection%203911008%20verri&#232;re.xlsx" TargetMode="External"/><Relationship Id="rId214" Type="http://schemas.openxmlformats.org/officeDocument/2006/relationships/printerSettings" Target="../printerSettings/printerSettings4.bin"/><Relationship Id="rId25" Type="http://schemas.openxmlformats.org/officeDocument/2006/relationships/hyperlink" Target="file:///\\SRV-LAB33DC\LAB\60%20-%20Affaires%20en%20cours\3%20911%20003%20-%20Ilot%20P11\02%20-%20Plans%20Labastere\04_M&#233;thode\Fiche%20suivi%20chantier%20P11%203911003%203A2-R+4.xlsx" TargetMode="External"/><Relationship Id="rId46" Type="http://schemas.openxmlformats.org/officeDocument/2006/relationships/hyperlink" Target="file:///\\SRV-LAB33DC\LAB\60%20-%20Affaires%20en%20cours\3%20811%20048%20-%20ESID%20BEAUREGARD\02%20-%20Plans%20Labastere\04_M&#233;thode\Fiche%20suivi%20chantier%20ESID%203811048%20Z10%20R+3.xlsx" TargetMode="External"/><Relationship Id="rId67" Type="http://schemas.openxmlformats.org/officeDocument/2006/relationships/hyperlink" Target="file:///\\Srv-lab33dc\lab\60%20-%20Affaires%20en%20cours\3%20911%20003%20-%20Ilot%20P11\02%20-%20Plans%20Labastere\04_M&#233;thode\Fiche%20suivi%20chantier%20P11%203911003%204B-R+2.xlsx" TargetMode="External"/><Relationship Id="rId116" Type="http://schemas.openxmlformats.org/officeDocument/2006/relationships/hyperlink" Target="file:///\\Srv-lab33dc\lab\60%20-%20Affaires%20en%20cours\3%20912%20005%20-%20DLC%20KALAMAZOO\02%20-%20Plans%20Labastere\04_M&#233;thode\3912005_KALAMAZOO.pdf" TargetMode="External"/><Relationship Id="rId137" Type="http://schemas.openxmlformats.org/officeDocument/2006/relationships/hyperlink" Target="file:///\\Srv-lab33dc\lab\60%20-%20Affaires%20en%20cours\3%20911%20003%20-%20Ilot%20P11\02%20-%20Plans%20Labastere\04_M&#233;thode\Fiche%20suivi%20chantier%20P11%203911003%20BF%202D2-R+2.xlsx" TargetMode="External"/><Relationship Id="rId158" Type="http://schemas.openxmlformats.org/officeDocument/2006/relationships/hyperlink" Target="file:///\\Srv-lab33dc\lab\60%20-%20Affaires%20en%20cours\3%20811%20048%20-%20ESID%20BEAUREGARD\02%20-%20Plans%20Labastere\04_M&#233;thode\Fiche%20suivi%20chantier%20ESID%20MR%206-7%20NO%203811048.xlsx" TargetMode="External"/><Relationship Id="rId20" Type="http://schemas.openxmlformats.org/officeDocument/2006/relationships/hyperlink" Target="file:///\\SRV-LAB33DC\LAB\60%20-%20Affaires%20en%20cours\3%20911%20003%20-%20Ilot%20P11\02%20-%20Plans%20Labastere\04_M&#233;thode\Fiche%20suivi%20chantier%20P11%203911003%201B2%20-%20R+2.xlsx" TargetMode="External"/><Relationship Id="rId41" Type="http://schemas.openxmlformats.org/officeDocument/2006/relationships/hyperlink" Target="file:///\\SRV-LAB33DC\LAB\60%20-%20Affaires%20en%20cours\3%20811%20048%20-%20ESID%20BEAUREGARD\02%20-%20Plans%20Labastere\04_M&#233;thode\Fiche%20suivi%20chantier%20ESID%203811048%20Z5%20R+2.xlsx" TargetMode="External"/><Relationship Id="rId62" Type="http://schemas.openxmlformats.org/officeDocument/2006/relationships/hyperlink" Target="file:///\\Srv-lab33dc\LAB\60%20-%20Affaires%20en%20cours\3%20911%20003%20-%20Ilot%20P11\02%20-%20Plans%20Labastere\04_M&#233;thode\3911003-P11-BF-3F-R+6.pdf" TargetMode="External"/><Relationship Id="rId83" Type="http://schemas.openxmlformats.org/officeDocument/2006/relationships/hyperlink" Target="file:///\\SRV-LAB33DC\LAB\60%20-%20Affaires%20en%20cours\3%20911%20008%20-%20COLLECTION\02%20-%20Plans%20Labastere\04_M&#233;thode\Fiche%20suivi%20chantier%20Collection%20Ilot%20A+B+C%20Bat%20C%203911008.xlsx" TargetMode="External"/><Relationship Id="rId88" Type="http://schemas.openxmlformats.org/officeDocument/2006/relationships/hyperlink" Target="file:///\\Srv-lab33dc\lab\60%20-%20Affaires%20en%20cours\3%20811%20048%20-%20ESID%20BEAUREGARD\02%20-%20Plans%20Labastere\04_M&#233;thode\FAB_ESID_Z2_RDC.pdf" TargetMode="External"/><Relationship Id="rId111" Type="http://schemas.openxmlformats.org/officeDocument/2006/relationships/hyperlink" Target="file:///\\SRV-LAB33DC\LAB\60%20-%20Affaires%20en%20cours\3%20911%20006%20-%20AGRI%2033\02%20-%20Plans%20Labastere\04_M&#233;thode\Fiche%20suivi%20chantier%20AGRI33%203911006%20Garde%20corps%20ZA.xlsx" TargetMode="External"/><Relationship Id="rId132" Type="http://schemas.openxmlformats.org/officeDocument/2006/relationships/hyperlink" Target="file:///\\SRV-LAB33DC\LAB\60%20-%20Affaires%20en%20cours\3%20813%20004%20-%20Batiment%20G1\02%20-%20Plans%20Labastere\04_M&#233;thode\3813004_G1_MR39-40.pdf" TargetMode="External"/><Relationship Id="rId153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refab%20porte%20C-R+1%203814021.xlsx" TargetMode="External"/><Relationship Id="rId174" Type="http://schemas.openxmlformats.org/officeDocument/2006/relationships/hyperlink" Target="file:///\\SRV-LAB33DC\LAB\60%20-%20Affaires%20en%20cours\3%20928%20032%20-%20ICHER\02%20-%20Plans%20Labastere\04_M&#233;thode\3928032%20ICHER.pdf" TargetMode="External"/><Relationship Id="rId179" Type="http://schemas.openxmlformats.org/officeDocument/2006/relationships/hyperlink" Target="file:///\\SRV-LAB33DC\LAB\60%20-%20Affaires%20en%20cours\3%20921%20025%20-%20ARCHI%20EDGAR\02%20-%20Plans%20Labastere\04_M&#233;thode\3921025%20ARCHI%20EDGAR%205%20OB.pdf" TargetMode="External"/><Relationship Id="rId195" Type="http://schemas.openxmlformats.org/officeDocument/2006/relationships/hyperlink" Target="file:///\\SRV-LAB33DC\LAB\60%20-%20Affaires%20en%20cours\3%20931%20002%20-%20AQUARE\02%20-%20Plans%20Labastere\04_M&#233;thode\Fiche%20suivi%20chantier%20AQUARE%20proto%203931002.xlsx" TargetMode="External"/><Relationship Id="rId209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refab%204%20OF%203814021%203814021.xlsx" TargetMode="External"/><Relationship Id="rId190" Type="http://schemas.openxmlformats.org/officeDocument/2006/relationships/hyperlink" Target="file:///\\Srv-lab33dc\lab\60%20-%20Affaires%20en%20cours\3%20921%20019%20-%20BALDELLI\02%20-%20Plans%20Labastere\04_M&#233;thode\Fiche%20suivi%20chantier%20BALDELLI%20rep%2015%20_%203921019.xlsx" TargetMode="External"/><Relationship Id="rId204" Type="http://schemas.openxmlformats.org/officeDocument/2006/relationships/hyperlink" Target="file:///\\SRV-LAB33DC\LAB\60%20-%20Affaires%20en%20cours\3%20912%20006%20-%20GA&#207;A\02%20-%20Plans%20Labastere\04_M&#233;thode\Fiche%20suivi%20chantier%20GAIA%20MR%203912006.xlsx" TargetMode="External"/><Relationship Id="rId15" Type="http://schemas.openxmlformats.org/officeDocument/2006/relationships/hyperlink" Target="file:///\\SRV-LAB33DC\LAB\60%20-%20Affaires%20en%20cours\3%20911%20003%20-%20Ilot%20P11\02%20-%20Plans%20Labastere\04_M&#233;thode\P11%20proto%203911008.pdf" TargetMode="External"/><Relationship Id="rId36" Type="http://schemas.openxmlformats.org/officeDocument/2006/relationships/hyperlink" Target="file:///\\SRV-LAB33DC\LAB\60%20-%20Affaires%20en%20cours\3%20913%20001%20-%20CEPAEO%20DLC\02%20-%20Plans%20Labastere\04_M&#233;thode\CEPAEO%20FAB.pdf" TargetMode="External"/><Relationship Id="rId57" Type="http://schemas.openxmlformats.org/officeDocument/2006/relationships/hyperlink" Target="file:///\\SRV-LAB33DC\LAB\60%20-%20Affaires%20en%20cours\3%20911%20003%20-%20Ilot%20P11\02%20-%20Plans%20Labastere\04_M&#233;thode\3911003-P11-1C1-R+3.pdf" TargetMode="External"/><Relationship Id="rId106" Type="http://schemas.openxmlformats.org/officeDocument/2006/relationships/hyperlink" Target="file:///\\SRV-LAB33DC\LAB\60%20-%20Affaires%20en%20cours\3%20911%20006%20-%20AGRI%2033\02%20-%20Plans%20Labastere\04_M&#233;thode\Fiche%20suivi%20chantier%20AGRI33%203911006%20Admin.xlsx" TargetMode="External"/><Relationship Id="rId127" Type="http://schemas.openxmlformats.org/officeDocument/2006/relationships/hyperlink" Target="file:///\\SRV-LAB33DC\LAB\60%20-%20Affaires%20en%20cours\3%20921%20022%20-%20CASENAVE\02%20-%20Plans%20Labastere\04_M&#233;thode\3921022_CASENAVE_F01.pdf" TargetMode="External"/><Relationship Id="rId10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A-RdC%203814021.xlsx" TargetMode="External"/><Relationship Id="rId31" Type="http://schemas.openxmlformats.org/officeDocument/2006/relationships/hyperlink" Target="file:///\\SRV-LAB33DC\LAB\60%20-%20Affaires%20en%20cours\3%20921%20023%20-%20HARDOIN\02%20-%20Plans%20Labastere\04_M&#233;thode\Fiche%20suivi%20chantier%20HARDOUIN%203921023.xlsx" TargetMode="External"/><Relationship Id="rId52" Type="http://schemas.openxmlformats.org/officeDocument/2006/relationships/hyperlink" Target="file:///\\SRV-LAB33DC\LAB\60%20-%20Affaires%20en%20cours\3%20911%20003%20-%20Ilot%20P11\02%20-%20Plans%20Labastere\04_M&#233;thode\3911003-P11-BF-2C-R+2.pdf" TargetMode="External"/><Relationship Id="rId73" Type="http://schemas.openxmlformats.org/officeDocument/2006/relationships/hyperlink" Target="file:///\\SRV-LAB33DC\LAB\60%20-%20Affaires%20en%20cours\3%20911%20003%20-%20Ilot%20P11\02%20-%20Plans%20Labastere\04_M&#233;thode\FAB-R+6-3E1.pdf" TargetMode="External"/><Relationship Id="rId78" Type="http://schemas.openxmlformats.org/officeDocument/2006/relationships/hyperlink" Target="file:///\\Srv-lab33dc\lab\60%20-%20Affaires%20en%20cours\3%20911%20003%20-%20Ilot%20P11\02%20-%20Plans%20Labastere\04_M&#233;thode\FAB-R+7-3G1.pdf" TargetMode="External"/><Relationship Id="rId94" Type="http://schemas.openxmlformats.org/officeDocument/2006/relationships/hyperlink" Target="file:///\\Srv-lab33dc\lab\60%20-%20Affaires%20en%20cours\3%20811%20048%20-%20ESID%20BEAUREGARD\02%20-%20Plans%20Labastere\04_M&#233;thode\FAB_ESID_Z8_R+3.pdf" TargetMode="External"/><Relationship Id="rId99" Type="http://schemas.openxmlformats.org/officeDocument/2006/relationships/hyperlink" Target="file:///\\SRV-LAB33DC\LAB\60%20-%20Affaires%20en%20cours\3%20811%20048%20-%20ESID%20BEAUREGARD\02%20-%20Plans%20Labastere\04_M&#233;thode\FAB_ESID_OF.pdf" TargetMode="External"/><Relationship Id="rId101" Type="http://schemas.openxmlformats.org/officeDocument/2006/relationships/hyperlink" Target="file:///\\SRV-LAB33DC\LAB\60%20-%20Affaires%20en%20cours\3%20814%20021%20-%20B&#226;timent%20H%20Universit&#233;\02%20-%20Plans%20Labastere\04_M&#233;thode\FAB\3814021_BATIMENT_H_A-R+1_F04.pdf" TargetMode="External"/><Relationship Id="rId122" Type="http://schemas.openxmlformats.org/officeDocument/2006/relationships/hyperlink" Target="file:///\\SRV-LAB33DC\LAB\60%20-%20Affaires%20en%20cours\3%20911%20006%20-%20AGRI%2033\02%20-%20Plans%20Labastere\04_M&#233;thode\3911006_AGRI%2033_PATIO_CHASSIS%20MR.pdf" TargetMode="External"/><Relationship Id="rId143" Type="http://schemas.openxmlformats.org/officeDocument/2006/relationships/hyperlink" Target="file:///\\Srv-lab33dc\lab\60%20-%20Affaires%20en%20cours\3%20811%20048%20-%20ESID%20BEAUREGARD\02%20-%20Plans%20Labastere\04_M&#233;thode\Fiche%20suivi%20chantier%20ESID%20MR%203811048.xlsx" TargetMode="External"/><Relationship Id="rId148" Type="http://schemas.openxmlformats.org/officeDocument/2006/relationships/hyperlink" Target="file:///\\SRV-LAB33DC\LAB\60%20-%20Affaires%20en%20cours\3%20811%20048%20-%20ESID%20BEAUREGARD\02%20-%20Plans%20Labastere\04_M&#233;thode\MRx\3811048_ESID_%20fab%20MR%203-4-5.pdf" TargetMode="External"/><Relationship Id="rId164" Type="http://schemas.openxmlformats.org/officeDocument/2006/relationships/hyperlink" Target="file:///\\Srv-lab33dc\lab\60%20-%20Affaires%20en%20cours\3%20913%20003%20-%20DLC%20DUFFAU\02%20-%20Plans%20Labastere\04_M&#233;thode\Fiche%20suivi%20chantier%20DUFFAU%20fourniture%20seule%203913003%20chassis%20&#224;%20poser.xlsx" TargetMode="External"/><Relationship Id="rId169" Type="http://schemas.openxmlformats.org/officeDocument/2006/relationships/hyperlink" Target="file:///\\SRV-LAB33DC\LAB\60%20-%20Affaires%20en%20cours\3%20921%20021%20-%20HARDOUIN%20A6A\02%20-%20Plans%20Labastere\04_M&#233;thode\Fiche%20suivi%20chantier%20HARDOIUN%20A6A%203921021.xlsx" TargetMode="External"/><Relationship Id="rId185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Patio%20Ouest%20RdC%20Portes%20Bloc%20A%203814021.xlsx" TargetMode="External"/><Relationship Id="rId4" Type="http://schemas.openxmlformats.org/officeDocument/2006/relationships/hyperlink" Target="file:///\\Srv-lab33dc\lab\60%20-%20Affaires%20en%20cours\3%20814%20021%20-%20B&#226;timent%20H%20Universit&#233;\02%20-%20Plans%20Labastere\04_M&#233;thode\FAB\3814021_BATIMENT_H_C-R+1_F01a.pdf" TargetMode="External"/><Relationship Id="rId9" Type="http://schemas.openxmlformats.org/officeDocument/2006/relationships/hyperlink" Target="file:///\\SRV-LAB33DC\LAB\60%20-%20Affaires%20en%20cours\3%20814%20021%20-%20B&#226;timent%20H%20Universit&#233;\02%20-%20Plans%20Labastere\04_M&#233;thode\Fiche%20suivi%20chantier%20Batiment%20H%20Zone%20C-RdC%203814021.xlsx" TargetMode="External"/><Relationship Id="rId180" Type="http://schemas.openxmlformats.org/officeDocument/2006/relationships/hyperlink" Target="file:///\\Srv-lab33dc\lab\60%20-%20Affaires%20en%20cours\3%20921%20025%20-%20ARCHI%20EDGAR\02%20-%20Plans%20Labastere\04_M&#233;thode\Fiche%20suivi%20chantier%20ARCHI%20EDGAR%20verri&#232;re%203921025.xlsx" TargetMode="External"/><Relationship Id="rId210" Type="http://schemas.openxmlformats.org/officeDocument/2006/relationships/hyperlink" Target="file:///\\SRV-LAB33DC\LAB\60%20-%20Affaires%20en%20cours\3%20911%20015%20-%20FERRAND\02%20-%20Plans%20Labastere\04_M&#233;thode\Fiche%20suivi%20chantier%20FERRAND%203911015.xlsx" TargetMode="External"/><Relationship Id="rId215" Type="http://schemas.openxmlformats.org/officeDocument/2006/relationships/drawing" Target="../drawings/drawing4.xml"/><Relationship Id="rId26" Type="http://schemas.openxmlformats.org/officeDocument/2006/relationships/hyperlink" Target="file:///\\SRV-LAB33DC\LAB\60%20-%20Affaires%20en%20cours\3%20911%20003%20-%20Ilot%20P11\02%20-%20Plans%20Labastere\04_M&#233;thode\Fiche%20suivi%20chantier%20P11%203911003%203C1-R+5.xlsx" TargetMode="External"/><Relationship Id="rId47" Type="http://schemas.openxmlformats.org/officeDocument/2006/relationships/hyperlink" Target="file:///\\SRV-LAB33DC\LAB\60%20-%20Affaires%20en%20cours\3%20921%20022%20-%20CASENAVE\02%20-%20Plans%20Labastere\04_M&#233;thode\Fiche%20suivi%20chantier%20CASENAVE%203921022.xlsx" TargetMode="External"/><Relationship Id="rId68" Type="http://schemas.openxmlformats.org/officeDocument/2006/relationships/hyperlink" Target="file:///\\Srv-lab33dc\LAB\60%20-%20Affaires%20en%20cours\3%20911%20003%20-%20Ilot%20P11\02%20-%20Plans%20Labastere\04_M&#233;thode\FAB-R+3-4C.pdf" TargetMode="External"/><Relationship Id="rId89" Type="http://schemas.openxmlformats.org/officeDocument/2006/relationships/hyperlink" Target="file:///\\Srv-lab33dc\lab\60%20-%20Affaires%20en%20cours\3%20811%20048%20-%20ESID%20BEAUREGARD\02%20-%20Plans%20Labastere\04_M&#233;thode\FAB_ESID_Z3_R+1.pdf" TargetMode="External"/><Relationship Id="rId112" Type="http://schemas.openxmlformats.org/officeDocument/2006/relationships/hyperlink" Target="file:///\\SRV-LAB33DC\LAB\60%20-%20Affaires%20en%20cours\3%20921%20012%20-%20CARRON\02%20-%20Plans%20Labastere\04_M&#233;thode\Fiche%20suivi%20chantier%20CARRON%20chassis%203921012.xlsx" TargetMode="External"/><Relationship Id="rId133" Type="http://schemas.openxmlformats.org/officeDocument/2006/relationships/hyperlink" Target="file:///\\SRV-LAB33DC\LAB\60%20-%20Affaires%20en%20cours\3%20813%20004%20-%20Batiment%20G1\02%20-%20Plans%20Labastere\04_M&#233;thode\Fiche%20suivi%20chantier%20G1%203813004%20rep%20MR39%20MR40.xlsx" TargetMode="External"/><Relationship Id="rId154" Type="http://schemas.openxmlformats.org/officeDocument/2006/relationships/hyperlink" Target="file:///\\Srv-lab33dc\lab\60%20-%20Affaires%20en%20cours\3%20813%20004%20-%20Batiment%20G1\02%20-%20Plans%20Labastere\04_M&#233;thode\Fiche%20suivi%20chantier%20G1%203813004%20refab%20tap&#233;e.xlsx" TargetMode="External"/><Relationship Id="rId175" Type="http://schemas.openxmlformats.org/officeDocument/2006/relationships/hyperlink" Target="file:///\\SRV-LAB33DC\LAB\60%20-%20Affaires%20en%20cours\3%20921%20018%20-%20COURTADE\02%20-%20Plans%20Labastere\04_M&#233;thode\3921018%20COURTADE%20.pdf" TargetMode="External"/><Relationship Id="rId196" Type="http://schemas.openxmlformats.org/officeDocument/2006/relationships/hyperlink" Target="file:///\\Srv-lab33dc\lab\60%20-%20Affaires%20en%20cours\3%20913%20004%20-%20TRIBEQUA\02%20-%20Plans%20Labastere\04_M&#233;thode\Fiche%20suivi%20chantier%20TRIBEQUA%20proto%20chassis%202%203913004.xlsx" TargetMode="External"/><Relationship Id="rId200" Type="http://schemas.openxmlformats.org/officeDocument/2006/relationships/hyperlink" Target="file:///\\Srv-lab33dc\lab\60%20-%20Affaires%20en%20cours\3%20913%20004%20-%20TRIBEQUA\02%20-%20Plans%20Labastere\04_M&#233;thode\3913004-TRIBEQUA-PROTO-MR-9005.330.pdf" TargetMode="External"/><Relationship Id="rId16" Type="http://schemas.openxmlformats.org/officeDocument/2006/relationships/hyperlink" Target="file:///\\SRV-LAB33DC\LAB\60%20-%20Affaires%20en%20cours\3%20911%20003%20-%20Ilot%20P11\02%20-%20Plans%20Labastere\04_M&#233;thode\Fiche%20suivi%20chantier%20P11%203911003%201A1%20-%20R+1.xlsx" TargetMode="External"/><Relationship Id="rId37" Type="http://schemas.openxmlformats.org/officeDocument/2006/relationships/hyperlink" Target="file:///\\SRV-LAB33DC\LAB\60%20-%20Affaires%20en%20cours\3%20811%20048%20-%20ESID%20BEAUREGARD\02%20-%20Plans%20Labastere\04_M&#233;thode\Fiche%20suivi%20chantier%20ESID%20%203811048%20Z1%20RdC.xlsx" TargetMode="External"/><Relationship Id="rId58" Type="http://schemas.openxmlformats.org/officeDocument/2006/relationships/hyperlink" Target="file:///\\Srv-lab33dc\lab\60%20-%20Affaires%20en%20cours\3%20911%20003%20-%20Ilot%20P11\02%20-%20Plans%20Labastere\04_M&#233;thode\3911003-P11-BF-3D-R+5.pdf" TargetMode="External"/><Relationship Id="rId79" Type="http://schemas.openxmlformats.org/officeDocument/2006/relationships/hyperlink" Target="file:///\\SRV-LAB33DC\LAB\60%20-%20Affaires%20en%20cours\3%20911%20003%20-%20Ilot%20P11\02%20-%20Plans%20Labastere\04_M&#233;thode\FAB-R+7-3G2.pdf" TargetMode="External"/><Relationship Id="rId102" Type="http://schemas.openxmlformats.org/officeDocument/2006/relationships/hyperlink" Target="file:///\\SRV-LAB33DC\LAB\60%20-%20Affaires%20en%20cours\3%20814%20021%20-%20B&#226;timent%20H%20Universit&#233;\02%20-%20Plans%20Labastere\04_M&#233;thode\FAB\3814021_BATIMENT_H_A-R+2_F03.pdf" TargetMode="External"/><Relationship Id="rId123" Type="http://schemas.openxmlformats.org/officeDocument/2006/relationships/hyperlink" Target="file:///\\SRV-LAB33DC\LAB\60%20-%20Affaires%20en%20cours\3%20911%20006%20-%20AGRI%2033\02%20-%20Plans%20Labastere\04_M&#233;thode\3911006_AGRI%2033_ADMIN_RDC%20-%20R+1%20-%20R+2.pdf" TargetMode="External"/><Relationship Id="rId144" Type="http://schemas.openxmlformats.org/officeDocument/2006/relationships/hyperlink" Target="file:///\\Srv-lab33dc\lab\60%20-%20Affaires%20en%20cours\3%20811%20014%20-%20Bergoni&#233;\02%20-%20Plans%20Labastere\04_M&#233;thode\3811014_BERGONIE_T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M65"/>
  <sheetViews>
    <sheetView zoomScale="85" zoomScaleNormal="85" workbookViewId="0">
      <selection activeCell="B6" sqref="B6:B64"/>
    </sheetView>
  </sheetViews>
  <sheetFormatPr baseColWidth="10" defaultColWidth="25.7109375" defaultRowHeight="20.100000000000001" customHeight="1" x14ac:dyDescent="0.25"/>
  <cols>
    <col min="1" max="1" width="3.85546875" style="1" customWidth="1"/>
    <col min="2" max="2" width="28.42578125" style="1" customWidth="1"/>
    <col min="3" max="3" width="36.140625" style="1" customWidth="1"/>
    <col min="4" max="4" width="5.5703125" style="5" customWidth="1"/>
    <col min="5" max="5" width="36.7109375" style="1" customWidth="1"/>
    <col min="6" max="6" width="5.28515625" style="1" customWidth="1"/>
    <col min="7" max="7" width="36.7109375" style="1" customWidth="1"/>
    <col min="8" max="8" width="5.7109375" style="1" customWidth="1"/>
    <col min="9" max="9" width="33.5703125" style="1" customWidth="1"/>
    <col min="10" max="10" width="6.5703125" style="1" bestFit="1" customWidth="1"/>
    <col min="11" max="11" width="34" style="1" customWidth="1"/>
    <col min="12" max="12" width="4.7109375" style="1" customWidth="1"/>
    <col min="13" max="13" width="17.85546875" style="234" bestFit="1" customWidth="1"/>
    <col min="14" max="14" width="28.85546875" style="1" bestFit="1" customWidth="1"/>
    <col min="15" max="258" width="25.7109375" style="1"/>
    <col min="259" max="259" width="4.7109375" style="1" customWidth="1"/>
    <col min="260" max="260" width="30.42578125" style="1" customWidth="1"/>
    <col min="261" max="261" width="40.28515625" style="1" customWidth="1"/>
    <col min="262" max="262" width="39.28515625" style="1" customWidth="1"/>
    <col min="263" max="263" width="41.7109375" style="1" customWidth="1"/>
    <col min="264" max="264" width="41" style="1" customWidth="1"/>
    <col min="265" max="265" width="37.7109375" style="1" customWidth="1"/>
    <col min="266" max="266" width="10.7109375" style="1" customWidth="1"/>
    <col min="267" max="268" width="4.7109375" style="1" bestFit="1" customWidth="1"/>
    <col min="269" max="514" width="25.7109375" style="1"/>
    <col min="515" max="515" width="4.7109375" style="1" customWidth="1"/>
    <col min="516" max="516" width="30.42578125" style="1" customWidth="1"/>
    <col min="517" max="517" width="40.28515625" style="1" customWidth="1"/>
    <col min="518" max="518" width="39.28515625" style="1" customWidth="1"/>
    <col min="519" max="519" width="41.7109375" style="1" customWidth="1"/>
    <col min="520" max="520" width="41" style="1" customWidth="1"/>
    <col min="521" max="521" width="37.7109375" style="1" customWidth="1"/>
    <col min="522" max="522" width="10.7109375" style="1" customWidth="1"/>
    <col min="523" max="524" width="4.7109375" style="1" bestFit="1" customWidth="1"/>
    <col min="525" max="770" width="25.7109375" style="1"/>
    <col min="771" max="771" width="4.7109375" style="1" customWidth="1"/>
    <col min="772" max="772" width="30.42578125" style="1" customWidth="1"/>
    <col min="773" max="773" width="40.28515625" style="1" customWidth="1"/>
    <col min="774" max="774" width="39.28515625" style="1" customWidth="1"/>
    <col min="775" max="775" width="41.7109375" style="1" customWidth="1"/>
    <col min="776" max="776" width="41" style="1" customWidth="1"/>
    <col min="777" max="777" width="37.7109375" style="1" customWidth="1"/>
    <col min="778" max="778" width="10.7109375" style="1" customWidth="1"/>
    <col min="779" max="780" width="4.7109375" style="1" bestFit="1" customWidth="1"/>
    <col min="781" max="1026" width="25.7109375" style="1"/>
    <col min="1027" max="1027" width="4.7109375" style="1" customWidth="1"/>
    <col min="1028" max="1028" width="30.42578125" style="1" customWidth="1"/>
    <col min="1029" max="1029" width="40.28515625" style="1" customWidth="1"/>
    <col min="1030" max="1030" width="39.28515625" style="1" customWidth="1"/>
    <col min="1031" max="1031" width="41.7109375" style="1" customWidth="1"/>
    <col min="1032" max="1032" width="41" style="1" customWidth="1"/>
    <col min="1033" max="1033" width="37.7109375" style="1" customWidth="1"/>
    <col min="1034" max="1034" width="10.7109375" style="1" customWidth="1"/>
    <col min="1035" max="1036" width="4.7109375" style="1" bestFit="1" customWidth="1"/>
    <col min="1037" max="1282" width="25.7109375" style="1"/>
    <col min="1283" max="1283" width="4.7109375" style="1" customWidth="1"/>
    <col min="1284" max="1284" width="30.42578125" style="1" customWidth="1"/>
    <col min="1285" max="1285" width="40.28515625" style="1" customWidth="1"/>
    <col min="1286" max="1286" width="39.28515625" style="1" customWidth="1"/>
    <col min="1287" max="1287" width="41.7109375" style="1" customWidth="1"/>
    <col min="1288" max="1288" width="41" style="1" customWidth="1"/>
    <col min="1289" max="1289" width="37.7109375" style="1" customWidth="1"/>
    <col min="1290" max="1290" width="10.7109375" style="1" customWidth="1"/>
    <col min="1291" max="1292" width="4.7109375" style="1" bestFit="1" customWidth="1"/>
    <col min="1293" max="1538" width="25.7109375" style="1"/>
    <col min="1539" max="1539" width="4.7109375" style="1" customWidth="1"/>
    <col min="1540" max="1540" width="30.42578125" style="1" customWidth="1"/>
    <col min="1541" max="1541" width="40.28515625" style="1" customWidth="1"/>
    <col min="1542" max="1542" width="39.28515625" style="1" customWidth="1"/>
    <col min="1543" max="1543" width="41.7109375" style="1" customWidth="1"/>
    <col min="1544" max="1544" width="41" style="1" customWidth="1"/>
    <col min="1545" max="1545" width="37.7109375" style="1" customWidth="1"/>
    <col min="1546" max="1546" width="10.7109375" style="1" customWidth="1"/>
    <col min="1547" max="1548" width="4.7109375" style="1" bestFit="1" customWidth="1"/>
    <col min="1549" max="1794" width="25.7109375" style="1"/>
    <col min="1795" max="1795" width="4.7109375" style="1" customWidth="1"/>
    <col min="1796" max="1796" width="30.42578125" style="1" customWidth="1"/>
    <col min="1797" max="1797" width="40.28515625" style="1" customWidth="1"/>
    <col min="1798" max="1798" width="39.28515625" style="1" customWidth="1"/>
    <col min="1799" max="1799" width="41.7109375" style="1" customWidth="1"/>
    <col min="1800" max="1800" width="41" style="1" customWidth="1"/>
    <col min="1801" max="1801" width="37.7109375" style="1" customWidth="1"/>
    <col min="1802" max="1802" width="10.7109375" style="1" customWidth="1"/>
    <col min="1803" max="1804" width="4.7109375" style="1" bestFit="1" customWidth="1"/>
    <col min="1805" max="2050" width="25.7109375" style="1"/>
    <col min="2051" max="2051" width="4.7109375" style="1" customWidth="1"/>
    <col min="2052" max="2052" width="30.42578125" style="1" customWidth="1"/>
    <col min="2053" max="2053" width="40.28515625" style="1" customWidth="1"/>
    <col min="2054" max="2054" width="39.28515625" style="1" customWidth="1"/>
    <col min="2055" max="2055" width="41.7109375" style="1" customWidth="1"/>
    <col min="2056" max="2056" width="41" style="1" customWidth="1"/>
    <col min="2057" max="2057" width="37.7109375" style="1" customWidth="1"/>
    <col min="2058" max="2058" width="10.7109375" style="1" customWidth="1"/>
    <col min="2059" max="2060" width="4.7109375" style="1" bestFit="1" customWidth="1"/>
    <col min="2061" max="2306" width="25.7109375" style="1"/>
    <col min="2307" max="2307" width="4.7109375" style="1" customWidth="1"/>
    <col min="2308" max="2308" width="30.42578125" style="1" customWidth="1"/>
    <col min="2309" max="2309" width="40.28515625" style="1" customWidth="1"/>
    <col min="2310" max="2310" width="39.28515625" style="1" customWidth="1"/>
    <col min="2311" max="2311" width="41.7109375" style="1" customWidth="1"/>
    <col min="2312" max="2312" width="41" style="1" customWidth="1"/>
    <col min="2313" max="2313" width="37.7109375" style="1" customWidth="1"/>
    <col min="2314" max="2314" width="10.7109375" style="1" customWidth="1"/>
    <col min="2315" max="2316" width="4.7109375" style="1" bestFit="1" customWidth="1"/>
    <col min="2317" max="2562" width="25.7109375" style="1"/>
    <col min="2563" max="2563" width="4.7109375" style="1" customWidth="1"/>
    <col min="2564" max="2564" width="30.42578125" style="1" customWidth="1"/>
    <col min="2565" max="2565" width="40.28515625" style="1" customWidth="1"/>
    <col min="2566" max="2566" width="39.28515625" style="1" customWidth="1"/>
    <col min="2567" max="2567" width="41.7109375" style="1" customWidth="1"/>
    <col min="2568" max="2568" width="41" style="1" customWidth="1"/>
    <col min="2569" max="2569" width="37.7109375" style="1" customWidth="1"/>
    <col min="2570" max="2570" width="10.7109375" style="1" customWidth="1"/>
    <col min="2571" max="2572" width="4.7109375" style="1" bestFit="1" customWidth="1"/>
    <col min="2573" max="2818" width="25.7109375" style="1"/>
    <col min="2819" max="2819" width="4.7109375" style="1" customWidth="1"/>
    <col min="2820" max="2820" width="30.42578125" style="1" customWidth="1"/>
    <col min="2821" max="2821" width="40.28515625" style="1" customWidth="1"/>
    <col min="2822" max="2822" width="39.28515625" style="1" customWidth="1"/>
    <col min="2823" max="2823" width="41.7109375" style="1" customWidth="1"/>
    <col min="2824" max="2824" width="41" style="1" customWidth="1"/>
    <col min="2825" max="2825" width="37.7109375" style="1" customWidth="1"/>
    <col min="2826" max="2826" width="10.7109375" style="1" customWidth="1"/>
    <col min="2827" max="2828" width="4.7109375" style="1" bestFit="1" customWidth="1"/>
    <col min="2829" max="3074" width="25.7109375" style="1"/>
    <col min="3075" max="3075" width="4.7109375" style="1" customWidth="1"/>
    <col min="3076" max="3076" width="30.42578125" style="1" customWidth="1"/>
    <col min="3077" max="3077" width="40.28515625" style="1" customWidth="1"/>
    <col min="3078" max="3078" width="39.28515625" style="1" customWidth="1"/>
    <col min="3079" max="3079" width="41.7109375" style="1" customWidth="1"/>
    <col min="3080" max="3080" width="41" style="1" customWidth="1"/>
    <col min="3081" max="3081" width="37.7109375" style="1" customWidth="1"/>
    <col min="3082" max="3082" width="10.7109375" style="1" customWidth="1"/>
    <col min="3083" max="3084" width="4.7109375" style="1" bestFit="1" customWidth="1"/>
    <col min="3085" max="3330" width="25.7109375" style="1"/>
    <col min="3331" max="3331" width="4.7109375" style="1" customWidth="1"/>
    <col min="3332" max="3332" width="30.42578125" style="1" customWidth="1"/>
    <col min="3333" max="3333" width="40.28515625" style="1" customWidth="1"/>
    <col min="3334" max="3334" width="39.28515625" style="1" customWidth="1"/>
    <col min="3335" max="3335" width="41.7109375" style="1" customWidth="1"/>
    <col min="3336" max="3336" width="41" style="1" customWidth="1"/>
    <col min="3337" max="3337" width="37.7109375" style="1" customWidth="1"/>
    <col min="3338" max="3338" width="10.7109375" style="1" customWidth="1"/>
    <col min="3339" max="3340" width="4.7109375" style="1" bestFit="1" customWidth="1"/>
    <col min="3341" max="3586" width="25.7109375" style="1"/>
    <col min="3587" max="3587" width="4.7109375" style="1" customWidth="1"/>
    <col min="3588" max="3588" width="30.42578125" style="1" customWidth="1"/>
    <col min="3589" max="3589" width="40.28515625" style="1" customWidth="1"/>
    <col min="3590" max="3590" width="39.28515625" style="1" customWidth="1"/>
    <col min="3591" max="3591" width="41.7109375" style="1" customWidth="1"/>
    <col min="3592" max="3592" width="41" style="1" customWidth="1"/>
    <col min="3593" max="3593" width="37.7109375" style="1" customWidth="1"/>
    <col min="3594" max="3594" width="10.7109375" style="1" customWidth="1"/>
    <col min="3595" max="3596" width="4.7109375" style="1" bestFit="1" customWidth="1"/>
    <col min="3597" max="3842" width="25.7109375" style="1"/>
    <col min="3843" max="3843" width="4.7109375" style="1" customWidth="1"/>
    <col min="3844" max="3844" width="30.42578125" style="1" customWidth="1"/>
    <col min="3845" max="3845" width="40.28515625" style="1" customWidth="1"/>
    <col min="3846" max="3846" width="39.28515625" style="1" customWidth="1"/>
    <col min="3847" max="3847" width="41.7109375" style="1" customWidth="1"/>
    <col min="3848" max="3848" width="41" style="1" customWidth="1"/>
    <col min="3849" max="3849" width="37.7109375" style="1" customWidth="1"/>
    <col min="3850" max="3850" width="10.7109375" style="1" customWidth="1"/>
    <col min="3851" max="3852" width="4.7109375" style="1" bestFit="1" customWidth="1"/>
    <col min="3853" max="4098" width="25.7109375" style="1"/>
    <col min="4099" max="4099" width="4.7109375" style="1" customWidth="1"/>
    <col min="4100" max="4100" width="30.42578125" style="1" customWidth="1"/>
    <col min="4101" max="4101" width="40.28515625" style="1" customWidth="1"/>
    <col min="4102" max="4102" width="39.28515625" style="1" customWidth="1"/>
    <col min="4103" max="4103" width="41.7109375" style="1" customWidth="1"/>
    <col min="4104" max="4104" width="41" style="1" customWidth="1"/>
    <col min="4105" max="4105" width="37.7109375" style="1" customWidth="1"/>
    <col min="4106" max="4106" width="10.7109375" style="1" customWidth="1"/>
    <col min="4107" max="4108" width="4.7109375" style="1" bestFit="1" customWidth="1"/>
    <col min="4109" max="4354" width="25.7109375" style="1"/>
    <col min="4355" max="4355" width="4.7109375" style="1" customWidth="1"/>
    <col min="4356" max="4356" width="30.42578125" style="1" customWidth="1"/>
    <col min="4357" max="4357" width="40.28515625" style="1" customWidth="1"/>
    <col min="4358" max="4358" width="39.28515625" style="1" customWidth="1"/>
    <col min="4359" max="4359" width="41.7109375" style="1" customWidth="1"/>
    <col min="4360" max="4360" width="41" style="1" customWidth="1"/>
    <col min="4361" max="4361" width="37.7109375" style="1" customWidth="1"/>
    <col min="4362" max="4362" width="10.7109375" style="1" customWidth="1"/>
    <col min="4363" max="4364" width="4.7109375" style="1" bestFit="1" customWidth="1"/>
    <col min="4365" max="4610" width="25.7109375" style="1"/>
    <col min="4611" max="4611" width="4.7109375" style="1" customWidth="1"/>
    <col min="4612" max="4612" width="30.42578125" style="1" customWidth="1"/>
    <col min="4613" max="4613" width="40.28515625" style="1" customWidth="1"/>
    <col min="4614" max="4614" width="39.28515625" style="1" customWidth="1"/>
    <col min="4615" max="4615" width="41.7109375" style="1" customWidth="1"/>
    <col min="4616" max="4616" width="41" style="1" customWidth="1"/>
    <col min="4617" max="4617" width="37.7109375" style="1" customWidth="1"/>
    <col min="4618" max="4618" width="10.7109375" style="1" customWidth="1"/>
    <col min="4619" max="4620" width="4.7109375" style="1" bestFit="1" customWidth="1"/>
    <col min="4621" max="4866" width="25.7109375" style="1"/>
    <col min="4867" max="4867" width="4.7109375" style="1" customWidth="1"/>
    <col min="4868" max="4868" width="30.42578125" style="1" customWidth="1"/>
    <col min="4869" max="4869" width="40.28515625" style="1" customWidth="1"/>
    <col min="4870" max="4870" width="39.28515625" style="1" customWidth="1"/>
    <col min="4871" max="4871" width="41.7109375" style="1" customWidth="1"/>
    <col min="4872" max="4872" width="41" style="1" customWidth="1"/>
    <col min="4873" max="4873" width="37.7109375" style="1" customWidth="1"/>
    <col min="4874" max="4874" width="10.7109375" style="1" customWidth="1"/>
    <col min="4875" max="4876" width="4.7109375" style="1" bestFit="1" customWidth="1"/>
    <col min="4877" max="5122" width="25.7109375" style="1"/>
    <col min="5123" max="5123" width="4.7109375" style="1" customWidth="1"/>
    <col min="5124" max="5124" width="30.42578125" style="1" customWidth="1"/>
    <col min="5125" max="5125" width="40.28515625" style="1" customWidth="1"/>
    <col min="5126" max="5126" width="39.28515625" style="1" customWidth="1"/>
    <col min="5127" max="5127" width="41.7109375" style="1" customWidth="1"/>
    <col min="5128" max="5128" width="41" style="1" customWidth="1"/>
    <col min="5129" max="5129" width="37.7109375" style="1" customWidth="1"/>
    <col min="5130" max="5130" width="10.7109375" style="1" customWidth="1"/>
    <col min="5131" max="5132" width="4.7109375" style="1" bestFit="1" customWidth="1"/>
    <col min="5133" max="5378" width="25.7109375" style="1"/>
    <col min="5379" max="5379" width="4.7109375" style="1" customWidth="1"/>
    <col min="5380" max="5380" width="30.42578125" style="1" customWidth="1"/>
    <col min="5381" max="5381" width="40.28515625" style="1" customWidth="1"/>
    <col min="5382" max="5382" width="39.28515625" style="1" customWidth="1"/>
    <col min="5383" max="5383" width="41.7109375" style="1" customWidth="1"/>
    <col min="5384" max="5384" width="41" style="1" customWidth="1"/>
    <col min="5385" max="5385" width="37.7109375" style="1" customWidth="1"/>
    <col min="5386" max="5386" width="10.7109375" style="1" customWidth="1"/>
    <col min="5387" max="5388" width="4.7109375" style="1" bestFit="1" customWidth="1"/>
    <col min="5389" max="5634" width="25.7109375" style="1"/>
    <col min="5635" max="5635" width="4.7109375" style="1" customWidth="1"/>
    <col min="5636" max="5636" width="30.42578125" style="1" customWidth="1"/>
    <col min="5637" max="5637" width="40.28515625" style="1" customWidth="1"/>
    <col min="5638" max="5638" width="39.28515625" style="1" customWidth="1"/>
    <col min="5639" max="5639" width="41.7109375" style="1" customWidth="1"/>
    <col min="5640" max="5640" width="41" style="1" customWidth="1"/>
    <col min="5641" max="5641" width="37.7109375" style="1" customWidth="1"/>
    <col min="5642" max="5642" width="10.7109375" style="1" customWidth="1"/>
    <col min="5643" max="5644" width="4.7109375" style="1" bestFit="1" customWidth="1"/>
    <col min="5645" max="5890" width="25.7109375" style="1"/>
    <col min="5891" max="5891" width="4.7109375" style="1" customWidth="1"/>
    <col min="5892" max="5892" width="30.42578125" style="1" customWidth="1"/>
    <col min="5893" max="5893" width="40.28515625" style="1" customWidth="1"/>
    <col min="5894" max="5894" width="39.28515625" style="1" customWidth="1"/>
    <col min="5895" max="5895" width="41.7109375" style="1" customWidth="1"/>
    <col min="5896" max="5896" width="41" style="1" customWidth="1"/>
    <col min="5897" max="5897" width="37.7109375" style="1" customWidth="1"/>
    <col min="5898" max="5898" width="10.7109375" style="1" customWidth="1"/>
    <col min="5899" max="5900" width="4.7109375" style="1" bestFit="1" customWidth="1"/>
    <col min="5901" max="6146" width="25.7109375" style="1"/>
    <col min="6147" max="6147" width="4.7109375" style="1" customWidth="1"/>
    <col min="6148" max="6148" width="30.42578125" style="1" customWidth="1"/>
    <col min="6149" max="6149" width="40.28515625" style="1" customWidth="1"/>
    <col min="6150" max="6150" width="39.28515625" style="1" customWidth="1"/>
    <col min="6151" max="6151" width="41.7109375" style="1" customWidth="1"/>
    <col min="6152" max="6152" width="41" style="1" customWidth="1"/>
    <col min="6153" max="6153" width="37.7109375" style="1" customWidth="1"/>
    <col min="6154" max="6154" width="10.7109375" style="1" customWidth="1"/>
    <col min="6155" max="6156" width="4.7109375" style="1" bestFit="1" customWidth="1"/>
    <col min="6157" max="6402" width="25.7109375" style="1"/>
    <col min="6403" max="6403" width="4.7109375" style="1" customWidth="1"/>
    <col min="6404" max="6404" width="30.42578125" style="1" customWidth="1"/>
    <col min="6405" max="6405" width="40.28515625" style="1" customWidth="1"/>
    <col min="6406" max="6406" width="39.28515625" style="1" customWidth="1"/>
    <col min="6407" max="6407" width="41.7109375" style="1" customWidth="1"/>
    <col min="6408" max="6408" width="41" style="1" customWidth="1"/>
    <col min="6409" max="6409" width="37.7109375" style="1" customWidth="1"/>
    <col min="6410" max="6410" width="10.7109375" style="1" customWidth="1"/>
    <col min="6411" max="6412" width="4.7109375" style="1" bestFit="1" customWidth="1"/>
    <col min="6413" max="6658" width="25.7109375" style="1"/>
    <col min="6659" max="6659" width="4.7109375" style="1" customWidth="1"/>
    <col min="6660" max="6660" width="30.42578125" style="1" customWidth="1"/>
    <col min="6661" max="6661" width="40.28515625" style="1" customWidth="1"/>
    <col min="6662" max="6662" width="39.28515625" style="1" customWidth="1"/>
    <col min="6663" max="6663" width="41.7109375" style="1" customWidth="1"/>
    <col min="6664" max="6664" width="41" style="1" customWidth="1"/>
    <col min="6665" max="6665" width="37.7109375" style="1" customWidth="1"/>
    <col min="6666" max="6666" width="10.7109375" style="1" customWidth="1"/>
    <col min="6667" max="6668" width="4.7109375" style="1" bestFit="1" customWidth="1"/>
    <col min="6669" max="6914" width="25.7109375" style="1"/>
    <col min="6915" max="6915" width="4.7109375" style="1" customWidth="1"/>
    <col min="6916" max="6916" width="30.42578125" style="1" customWidth="1"/>
    <col min="6917" max="6917" width="40.28515625" style="1" customWidth="1"/>
    <col min="6918" max="6918" width="39.28515625" style="1" customWidth="1"/>
    <col min="6919" max="6919" width="41.7109375" style="1" customWidth="1"/>
    <col min="6920" max="6920" width="41" style="1" customWidth="1"/>
    <col min="6921" max="6921" width="37.7109375" style="1" customWidth="1"/>
    <col min="6922" max="6922" width="10.7109375" style="1" customWidth="1"/>
    <col min="6923" max="6924" width="4.7109375" style="1" bestFit="1" customWidth="1"/>
    <col min="6925" max="7170" width="25.7109375" style="1"/>
    <col min="7171" max="7171" width="4.7109375" style="1" customWidth="1"/>
    <col min="7172" max="7172" width="30.42578125" style="1" customWidth="1"/>
    <col min="7173" max="7173" width="40.28515625" style="1" customWidth="1"/>
    <col min="7174" max="7174" width="39.28515625" style="1" customWidth="1"/>
    <col min="7175" max="7175" width="41.7109375" style="1" customWidth="1"/>
    <col min="7176" max="7176" width="41" style="1" customWidth="1"/>
    <col min="7177" max="7177" width="37.7109375" style="1" customWidth="1"/>
    <col min="7178" max="7178" width="10.7109375" style="1" customWidth="1"/>
    <col min="7179" max="7180" width="4.7109375" style="1" bestFit="1" customWidth="1"/>
    <col min="7181" max="7426" width="25.7109375" style="1"/>
    <col min="7427" max="7427" width="4.7109375" style="1" customWidth="1"/>
    <col min="7428" max="7428" width="30.42578125" style="1" customWidth="1"/>
    <col min="7429" max="7429" width="40.28515625" style="1" customWidth="1"/>
    <col min="7430" max="7430" width="39.28515625" style="1" customWidth="1"/>
    <col min="7431" max="7431" width="41.7109375" style="1" customWidth="1"/>
    <col min="7432" max="7432" width="41" style="1" customWidth="1"/>
    <col min="7433" max="7433" width="37.7109375" style="1" customWidth="1"/>
    <col min="7434" max="7434" width="10.7109375" style="1" customWidth="1"/>
    <col min="7435" max="7436" width="4.7109375" style="1" bestFit="1" customWidth="1"/>
    <col min="7437" max="7682" width="25.7109375" style="1"/>
    <col min="7683" max="7683" width="4.7109375" style="1" customWidth="1"/>
    <col min="7684" max="7684" width="30.42578125" style="1" customWidth="1"/>
    <col min="7685" max="7685" width="40.28515625" style="1" customWidth="1"/>
    <col min="7686" max="7686" width="39.28515625" style="1" customWidth="1"/>
    <col min="7687" max="7687" width="41.7109375" style="1" customWidth="1"/>
    <col min="7688" max="7688" width="41" style="1" customWidth="1"/>
    <col min="7689" max="7689" width="37.7109375" style="1" customWidth="1"/>
    <col min="7690" max="7690" width="10.7109375" style="1" customWidth="1"/>
    <col min="7691" max="7692" width="4.7109375" style="1" bestFit="1" customWidth="1"/>
    <col min="7693" max="7938" width="25.7109375" style="1"/>
    <col min="7939" max="7939" width="4.7109375" style="1" customWidth="1"/>
    <col min="7940" max="7940" width="30.42578125" style="1" customWidth="1"/>
    <col min="7941" max="7941" width="40.28515625" style="1" customWidth="1"/>
    <col min="7942" max="7942" width="39.28515625" style="1" customWidth="1"/>
    <col min="7943" max="7943" width="41.7109375" style="1" customWidth="1"/>
    <col min="7944" max="7944" width="41" style="1" customWidth="1"/>
    <col min="7945" max="7945" width="37.7109375" style="1" customWidth="1"/>
    <col min="7946" max="7946" width="10.7109375" style="1" customWidth="1"/>
    <col min="7947" max="7948" width="4.7109375" style="1" bestFit="1" customWidth="1"/>
    <col min="7949" max="8194" width="25.7109375" style="1"/>
    <col min="8195" max="8195" width="4.7109375" style="1" customWidth="1"/>
    <col min="8196" max="8196" width="30.42578125" style="1" customWidth="1"/>
    <col min="8197" max="8197" width="40.28515625" style="1" customWidth="1"/>
    <col min="8198" max="8198" width="39.28515625" style="1" customWidth="1"/>
    <col min="8199" max="8199" width="41.7109375" style="1" customWidth="1"/>
    <col min="8200" max="8200" width="41" style="1" customWidth="1"/>
    <col min="8201" max="8201" width="37.7109375" style="1" customWidth="1"/>
    <col min="8202" max="8202" width="10.7109375" style="1" customWidth="1"/>
    <col min="8203" max="8204" width="4.7109375" style="1" bestFit="1" customWidth="1"/>
    <col min="8205" max="8450" width="25.7109375" style="1"/>
    <col min="8451" max="8451" width="4.7109375" style="1" customWidth="1"/>
    <col min="8452" max="8452" width="30.42578125" style="1" customWidth="1"/>
    <col min="8453" max="8453" width="40.28515625" style="1" customWidth="1"/>
    <col min="8454" max="8454" width="39.28515625" style="1" customWidth="1"/>
    <col min="8455" max="8455" width="41.7109375" style="1" customWidth="1"/>
    <col min="8456" max="8456" width="41" style="1" customWidth="1"/>
    <col min="8457" max="8457" width="37.7109375" style="1" customWidth="1"/>
    <col min="8458" max="8458" width="10.7109375" style="1" customWidth="1"/>
    <col min="8459" max="8460" width="4.7109375" style="1" bestFit="1" customWidth="1"/>
    <col min="8461" max="8706" width="25.7109375" style="1"/>
    <col min="8707" max="8707" width="4.7109375" style="1" customWidth="1"/>
    <col min="8708" max="8708" width="30.42578125" style="1" customWidth="1"/>
    <col min="8709" max="8709" width="40.28515625" style="1" customWidth="1"/>
    <col min="8710" max="8710" width="39.28515625" style="1" customWidth="1"/>
    <col min="8711" max="8711" width="41.7109375" style="1" customWidth="1"/>
    <col min="8712" max="8712" width="41" style="1" customWidth="1"/>
    <col min="8713" max="8713" width="37.7109375" style="1" customWidth="1"/>
    <col min="8714" max="8714" width="10.7109375" style="1" customWidth="1"/>
    <col min="8715" max="8716" width="4.7109375" style="1" bestFit="1" customWidth="1"/>
    <col min="8717" max="8962" width="25.7109375" style="1"/>
    <col min="8963" max="8963" width="4.7109375" style="1" customWidth="1"/>
    <col min="8964" max="8964" width="30.42578125" style="1" customWidth="1"/>
    <col min="8965" max="8965" width="40.28515625" style="1" customWidth="1"/>
    <col min="8966" max="8966" width="39.28515625" style="1" customWidth="1"/>
    <col min="8967" max="8967" width="41.7109375" style="1" customWidth="1"/>
    <col min="8968" max="8968" width="41" style="1" customWidth="1"/>
    <col min="8969" max="8969" width="37.7109375" style="1" customWidth="1"/>
    <col min="8970" max="8970" width="10.7109375" style="1" customWidth="1"/>
    <col min="8971" max="8972" width="4.7109375" style="1" bestFit="1" customWidth="1"/>
    <col min="8973" max="9218" width="25.7109375" style="1"/>
    <col min="9219" max="9219" width="4.7109375" style="1" customWidth="1"/>
    <col min="9220" max="9220" width="30.42578125" style="1" customWidth="1"/>
    <col min="9221" max="9221" width="40.28515625" style="1" customWidth="1"/>
    <col min="9222" max="9222" width="39.28515625" style="1" customWidth="1"/>
    <col min="9223" max="9223" width="41.7109375" style="1" customWidth="1"/>
    <col min="9224" max="9224" width="41" style="1" customWidth="1"/>
    <col min="9225" max="9225" width="37.7109375" style="1" customWidth="1"/>
    <col min="9226" max="9226" width="10.7109375" style="1" customWidth="1"/>
    <col min="9227" max="9228" width="4.7109375" style="1" bestFit="1" customWidth="1"/>
    <col min="9229" max="9474" width="25.7109375" style="1"/>
    <col min="9475" max="9475" width="4.7109375" style="1" customWidth="1"/>
    <col min="9476" max="9476" width="30.42578125" style="1" customWidth="1"/>
    <col min="9477" max="9477" width="40.28515625" style="1" customWidth="1"/>
    <col min="9478" max="9478" width="39.28515625" style="1" customWidth="1"/>
    <col min="9479" max="9479" width="41.7109375" style="1" customWidth="1"/>
    <col min="9480" max="9480" width="41" style="1" customWidth="1"/>
    <col min="9481" max="9481" width="37.7109375" style="1" customWidth="1"/>
    <col min="9482" max="9482" width="10.7109375" style="1" customWidth="1"/>
    <col min="9483" max="9484" width="4.7109375" style="1" bestFit="1" customWidth="1"/>
    <col min="9485" max="9730" width="25.7109375" style="1"/>
    <col min="9731" max="9731" width="4.7109375" style="1" customWidth="1"/>
    <col min="9732" max="9732" width="30.42578125" style="1" customWidth="1"/>
    <col min="9733" max="9733" width="40.28515625" style="1" customWidth="1"/>
    <col min="9734" max="9734" width="39.28515625" style="1" customWidth="1"/>
    <col min="9735" max="9735" width="41.7109375" style="1" customWidth="1"/>
    <col min="9736" max="9736" width="41" style="1" customWidth="1"/>
    <col min="9737" max="9737" width="37.7109375" style="1" customWidth="1"/>
    <col min="9738" max="9738" width="10.7109375" style="1" customWidth="1"/>
    <col min="9739" max="9740" width="4.7109375" style="1" bestFit="1" customWidth="1"/>
    <col min="9741" max="9986" width="25.7109375" style="1"/>
    <col min="9987" max="9987" width="4.7109375" style="1" customWidth="1"/>
    <col min="9988" max="9988" width="30.42578125" style="1" customWidth="1"/>
    <col min="9989" max="9989" width="40.28515625" style="1" customWidth="1"/>
    <col min="9990" max="9990" width="39.28515625" style="1" customWidth="1"/>
    <col min="9991" max="9991" width="41.7109375" style="1" customWidth="1"/>
    <col min="9992" max="9992" width="41" style="1" customWidth="1"/>
    <col min="9993" max="9993" width="37.7109375" style="1" customWidth="1"/>
    <col min="9994" max="9994" width="10.7109375" style="1" customWidth="1"/>
    <col min="9995" max="9996" width="4.7109375" style="1" bestFit="1" customWidth="1"/>
    <col min="9997" max="10242" width="25.7109375" style="1"/>
    <col min="10243" max="10243" width="4.7109375" style="1" customWidth="1"/>
    <col min="10244" max="10244" width="30.42578125" style="1" customWidth="1"/>
    <col min="10245" max="10245" width="40.28515625" style="1" customWidth="1"/>
    <col min="10246" max="10246" width="39.28515625" style="1" customWidth="1"/>
    <col min="10247" max="10247" width="41.7109375" style="1" customWidth="1"/>
    <col min="10248" max="10248" width="41" style="1" customWidth="1"/>
    <col min="10249" max="10249" width="37.7109375" style="1" customWidth="1"/>
    <col min="10250" max="10250" width="10.7109375" style="1" customWidth="1"/>
    <col min="10251" max="10252" width="4.7109375" style="1" bestFit="1" customWidth="1"/>
    <col min="10253" max="10498" width="25.7109375" style="1"/>
    <col min="10499" max="10499" width="4.7109375" style="1" customWidth="1"/>
    <col min="10500" max="10500" width="30.42578125" style="1" customWidth="1"/>
    <col min="10501" max="10501" width="40.28515625" style="1" customWidth="1"/>
    <col min="10502" max="10502" width="39.28515625" style="1" customWidth="1"/>
    <col min="10503" max="10503" width="41.7109375" style="1" customWidth="1"/>
    <col min="10504" max="10504" width="41" style="1" customWidth="1"/>
    <col min="10505" max="10505" width="37.7109375" style="1" customWidth="1"/>
    <col min="10506" max="10506" width="10.7109375" style="1" customWidth="1"/>
    <col min="10507" max="10508" width="4.7109375" style="1" bestFit="1" customWidth="1"/>
    <col min="10509" max="10754" width="25.7109375" style="1"/>
    <col min="10755" max="10755" width="4.7109375" style="1" customWidth="1"/>
    <col min="10756" max="10756" width="30.42578125" style="1" customWidth="1"/>
    <col min="10757" max="10757" width="40.28515625" style="1" customWidth="1"/>
    <col min="10758" max="10758" width="39.28515625" style="1" customWidth="1"/>
    <col min="10759" max="10759" width="41.7109375" style="1" customWidth="1"/>
    <col min="10760" max="10760" width="41" style="1" customWidth="1"/>
    <col min="10761" max="10761" width="37.7109375" style="1" customWidth="1"/>
    <col min="10762" max="10762" width="10.7109375" style="1" customWidth="1"/>
    <col min="10763" max="10764" width="4.7109375" style="1" bestFit="1" customWidth="1"/>
    <col min="10765" max="11010" width="25.7109375" style="1"/>
    <col min="11011" max="11011" width="4.7109375" style="1" customWidth="1"/>
    <col min="11012" max="11012" width="30.42578125" style="1" customWidth="1"/>
    <col min="11013" max="11013" width="40.28515625" style="1" customWidth="1"/>
    <col min="11014" max="11014" width="39.28515625" style="1" customWidth="1"/>
    <col min="11015" max="11015" width="41.7109375" style="1" customWidth="1"/>
    <col min="11016" max="11016" width="41" style="1" customWidth="1"/>
    <col min="11017" max="11017" width="37.7109375" style="1" customWidth="1"/>
    <col min="11018" max="11018" width="10.7109375" style="1" customWidth="1"/>
    <col min="11019" max="11020" width="4.7109375" style="1" bestFit="1" customWidth="1"/>
    <col min="11021" max="11266" width="25.7109375" style="1"/>
    <col min="11267" max="11267" width="4.7109375" style="1" customWidth="1"/>
    <col min="11268" max="11268" width="30.42578125" style="1" customWidth="1"/>
    <col min="11269" max="11269" width="40.28515625" style="1" customWidth="1"/>
    <col min="11270" max="11270" width="39.28515625" style="1" customWidth="1"/>
    <col min="11271" max="11271" width="41.7109375" style="1" customWidth="1"/>
    <col min="11272" max="11272" width="41" style="1" customWidth="1"/>
    <col min="11273" max="11273" width="37.7109375" style="1" customWidth="1"/>
    <col min="11274" max="11274" width="10.7109375" style="1" customWidth="1"/>
    <col min="11275" max="11276" width="4.7109375" style="1" bestFit="1" customWidth="1"/>
    <col min="11277" max="11522" width="25.7109375" style="1"/>
    <col min="11523" max="11523" width="4.7109375" style="1" customWidth="1"/>
    <col min="11524" max="11524" width="30.42578125" style="1" customWidth="1"/>
    <col min="11525" max="11525" width="40.28515625" style="1" customWidth="1"/>
    <col min="11526" max="11526" width="39.28515625" style="1" customWidth="1"/>
    <col min="11527" max="11527" width="41.7109375" style="1" customWidth="1"/>
    <col min="11528" max="11528" width="41" style="1" customWidth="1"/>
    <col min="11529" max="11529" width="37.7109375" style="1" customWidth="1"/>
    <col min="11530" max="11530" width="10.7109375" style="1" customWidth="1"/>
    <col min="11531" max="11532" width="4.7109375" style="1" bestFit="1" customWidth="1"/>
    <col min="11533" max="11778" width="25.7109375" style="1"/>
    <col min="11779" max="11779" width="4.7109375" style="1" customWidth="1"/>
    <col min="11780" max="11780" width="30.42578125" style="1" customWidth="1"/>
    <col min="11781" max="11781" width="40.28515625" style="1" customWidth="1"/>
    <col min="11782" max="11782" width="39.28515625" style="1" customWidth="1"/>
    <col min="11783" max="11783" width="41.7109375" style="1" customWidth="1"/>
    <col min="11784" max="11784" width="41" style="1" customWidth="1"/>
    <col min="11785" max="11785" width="37.7109375" style="1" customWidth="1"/>
    <col min="11786" max="11786" width="10.7109375" style="1" customWidth="1"/>
    <col min="11787" max="11788" width="4.7109375" style="1" bestFit="1" customWidth="1"/>
    <col min="11789" max="12034" width="25.7109375" style="1"/>
    <col min="12035" max="12035" width="4.7109375" style="1" customWidth="1"/>
    <col min="12036" max="12036" width="30.42578125" style="1" customWidth="1"/>
    <col min="12037" max="12037" width="40.28515625" style="1" customWidth="1"/>
    <col min="12038" max="12038" width="39.28515625" style="1" customWidth="1"/>
    <col min="12039" max="12039" width="41.7109375" style="1" customWidth="1"/>
    <col min="12040" max="12040" width="41" style="1" customWidth="1"/>
    <col min="12041" max="12041" width="37.7109375" style="1" customWidth="1"/>
    <col min="12042" max="12042" width="10.7109375" style="1" customWidth="1"/>
    <col min="12043" max="12044" width="4.7109375" style="1" bestFit="1" customWidth="1"/>
    <col min="12045" max="12290" width="25.7109375" style="1"/>
    <col min="12291" max="12291" width="4.7109375" style="1" customWidth="1"/>
    <col min="12292" max="12292" width="30.42578125" style="1" customWidth="1"/>
    <col min="12293" max="12293" width="40.28515625" style="1" customWidth="1"/>
    <col min="12294" max="12294" width="39.28515625" style="1" customWidth="1"/>
    <col min="12295" max="12295" width="41.7109375" style="1" customWidth="1"/>
    <col min="12296" max="12296" width="41" style="1" customWidth="1"/>
    <col min="12297" max="12297" width="37.7109375" style="1" customWidth="1"/>
    <col min="12298" max="12298" width="10.7109375" style="1" customWidth="1"/>
    <col min="12299" max="12300" width="4.7109375" style="1" bestFit="1" customWidth="1"/>
    <col min="12301" max="12546" width="25.7109375" style="1"/>
    <col min="12547" max="12547" width="4.7109375" style="1" customWidth="1"/>
    <col min="12548" max="12548" width="30.42578125" style="1" customWidth="1"/>
    <col min="12549" max="12549" width="40.28515625" style="1" customWidth="1"/>
    <col min="12550" max="12550" width="39.28515625" style="1" customWidth="1"/>
    <col min="12551" max="12551" width="41.7109375" style="1" customWidth="1"/>
    <col min="12552" max="12552" width="41" style="1" customWidth="1"/>
    <col min="12553" max="12553" width="37.7109375" style="1" customWidth="1"/>
    <col min="12554" max="12554" width="10.7109375" style="1" customWidth="1"/>
    <col min="12555" max="12556" width="4.7109375" style="1" bestFit="1" customWidth="1"/>
    <col min="12557" max="12802" width="25.7109375" style="1"/>
    <col min="12803" max="12803" width="4.7109375" style="1" customWidth="1"/>
    <col min="12804" max="12804" width="30.42578125" style="1" customWidth="1"/>
    <col min="12805" max="12805" width="40.28515625" style="1" customWidth="1"/>
    <col min="12806" max="12806" width="39.28515625" style="1" customWidth="1"/>
    <col min="12807" max="12807" width="41.7109375" style="1" customWidth="1"/>
    <col min="12808" max="12808" width="41" style="1" customWidth="1"/>
    <col min="12809" max="12809" width="37.7109375" style="1" customWidth="1"/>
    <col min="12810" max="12810" width="10.7109375" style="1" customWidth="1"/>
    <col min="12811" max="12812" width="4.7109375" style="1" bestFit="1" customWidth="1"/>
    <col min="12813" max="13058" width="25.7109375" style="1"/>
    <col min="13059" max="13059" width="4.7109375" style="1" customWidth="1"/>
    <col min="13060" max="13060" width="30.42578125" style="1" customWidth="1"/>
    <col min="13061" max="13061" width="40.28515625" style="1" customWidth="1"/>
    <col min="13062" max="13062" width="39.28515625" style="1" customWidth="1"/>
    <col min="13063" max="13063" width="41.7109375" style="1" customWidth="1"/>
    <col min="13064" max="13064" width="41" style="1" customWidth="1"/>
    <col min="13065" max="13065" width="37.7109375" style="1" customWidth="1"/>
    <col min="13066" max="13066" width="10.7109375" style="1" customWidth="1"/>
    <col min="13067" max="13068" width="4.7109375" style="1" bestFit="1" customWidth="1"/>
    <col min="13069" max="13314" width="25.7109375" style="1"/>
    <col min="13315" max="13315" width="4.7109375" style="1" customWidth="1"/>
    <col min="13316" max="13316" width="30.42578125" style="1" customWidth="1"/>
    <col min="13317" max="13317" width="40.28515625" style="1" customWidth="1"/>
    <col min="13318" max="13318" width="39.28515625" style="1" customWidth="1"/>
    <col min="13319" max="13319" width="41.7109375" style="1" customWidth="1"/>
    <col min="13320" max="13320" width="41" style="1" customWidth="1"/>
    <col min="13321" max="13321" width="37.7109375" style="1" customWidth="1"/>
    <col min="13322" max="13322" width="10.7109375" style="1" customWidth="1"/>
    <col min="13323" max="13324" width="4.7109375" style="1" bestFit="1" customWidth="1"/>
    <col min="13325" max="13570" width="25.7109375" style="1"/>
    <col min="13571" max="13571" width="4.7109375" style="1" customWidth="1"/>
    <col min="13572" max="13572" width="30.42578125" style="1" customWidth="1"/>
    <col min="13573" max="13573" width="40.28515625" style="1" customWidth="1"/>
    <col min="13574" max="13574" width="39.28515625" style="1" customWidth="1"/>
    <col min="13575" max="13575" width="41.7109375" style="1" customWidth="1"/>
    <col min="13576" max="13576" width="41" style="1" customWidth="1"/>
    <col min="13577" max="13577" width="37.7109375" style="1" customWidth="1"/>
    <col min="13578" max="13578" width="10.7109375" style="1" customWidth="1"/>
    <col min="13579" max="13580" width="4.7109375" style="1" bestFit="1" customWidth="1"/>
    <col min="13581" max="13826" width="25.7109375" style="1"/>
    <col min="13827" max="13827" width="4.7109375" style="1" customWidth="1"/>
    <col min="13828" max="13828" width="30.42578125" style="1" customWidth="1"/>
    <col min="13829" max="13829" width="40.28515625" style="1" customWidth="1"/>
    <col min="13830" max="13830" width="39.28515625" style="1" customWidth="1"/>
    <col min="13831" max="13831" width="41.7109375" style="1" customWidth="1"/>
    <col min="13832" max="13832" width="41" style="1" customWidth="1"/>
    <col min="13833" max="13833" width="37.7109375" style="1" customWidth="1"/>
    <col min="13834" max="13834" width="10.7109375" style="1" customWidth="1"/>
    <col min="13835" max="13836" width="4.7109375" style="1" bestFit="1" customWidth="1"/>
    <col min="13837" max="14082" width="25.7109375" style="1"/>
    <col min="14083" max="14083" width="4.7109375" style="1" customWidth="1"/>
    <col min="14084" max="14084" width="30.42578125" style="1" customWidth="1"/>
    <col min="14085" max="14085" width="40.28515625" style="1" customWidth="1"/>
    <col min="14086" max="14086" width="39.28515625" style="1" customWidth="1"/>
    <col min="14087" max="14087" width="41.7109375" style="1" customWidth="1"/>
    <col min="14088" max="14088" width="41" style="1" customWidth="1"/>
    <col min="14089" max="14089" width="37.7109375" style="1" customWidth="1"/>
    <col min="14090" max="14090" width="10.7109375" style="1" customWidth="1"/>
    <col min="14091" max="14092" width="4.7109375" style="1" bestFit="1" customWidth="1"/>
    <col min="14093" max="14338" width="25.7109375" style="1"/>
    <col min="14339" max="14339" width="4.7109375" style="1" customWidth="1"/>
    <col min="14340" max="14340" width="30.42578125" style="1" customWidth="1"/>
    <col min="14341" max="14341" width="40.28515625" style="1" customWidth="1"/>
    <col min="14342" max="14342" width="39.28515625" style="1" customWidth="1"/>
    <col min="14343" max="14343" width="41.7109375" style="1" customWidth="1"/>
    <col min="14344" max="14344" width="41" style="1" customWidth="1"/>
    <col min="14345" max="14345" width="37.7109375" style="1" customWidth="1"/>
    <col min="14346" max="14346" width="10.7109375" style="1" customWidth="1"/>
    <col min="14347" max="14348" width="4.7109375" style="1" bestFit="1" customWidth="1"/>
    <col min="14349" max="14594" width="25.7109375" style="1"/>
    <col min="14595" max="14595" width="4.7109375" style="1" customWidth="1"/>
    <col min="14596" max="14596" width="30.42578125" style="1" customWidth="1"/>
    <col min="14597" max="14597" width="40.28515625" style="1" customWidth="1"/>
    <col min="14598" max="14598" width="39.28515625" style="1" customWidth="1"/>
    <col min="14599" max="14599" width="41.7109375" style="1" customWidth="1"/>
    <col min="14600" max="14600" width="41" style="1" customWidth="1"/>
    <col min="14601" max="14601" width="37.7109375" style="1" customWidth="1"/>
    <col min="14602" max="14602" width="10.7109375" style="1" customWidth="1"/>
    <col min="14603" max="14604" width="4.7109375" style="1" bestFit="1" customWidth="1"/>
    <col min="14605" max="14850" width="25.7109375" style="1"/>
    <col min="14851" max="14851" width="4.7109375" style="1" customWidth="1"/>
    <col min="14852" max="14852" width="30.42578125" style="1" customWidth="1"/>
    <col min="14853" max="14853" width="40.28515625" style="1" customWidth="1"/>
    <col min="14854" max="14854" width="39.28515625" style="1" customWidth="1"/>
    <col min="14855" max="14855" width="41.7109375" style="1" customWidth="1"/>
    <col min="14856" max="14856" width="41" style="1" customWidth="1"/>
    <col min="14857" max="14857" width="37.7109375" style="1" customWidth="1"/>
    <col min="14858" max="14858" width="10.7109375" style="1" customWidth="1"/>
    <col min="14859" max="14860" width="4.7109375" style="1" bestFit="1" customWidth="1"/>
    <col min="14861" max="15106" width="25.7109375" style="1"/>
    <col min="15107" max="15107" width="4.7109375" style="1" customWidth="1"/>
    <col min="15108" max="15108" width="30.42578125" style="1" customWidth="1"/>
    <col min="15109" max="15109" width="40.28515625" style="1" customWidth="1"/>
    <col min="15110" max="15110" width="39.28515625" style="1" customWidth="1"/>
    <col min="15111" max="15111" width="41.7109375" style="1" customWidth="1"/>
    <col min="15112" max="15112" width="41" style="1" customWidth="1"/>
    <col min="15113" max="15113" width="37.7109375" style="1" customWidth="1"/>
    <col min="15114" max="15114" width="10.7109375" style="1" customWidth="1"/>
    <col min="15115" max="15116" width="4.7109375" style="1" bestFit="1" customWidth="1"/>
    <col min="15117" max="15362" width="25.7109375" style="1"/>
    <col min="15363" max="15363" width="4.7109375" style="1" customWidth="1"/>
    <col min="15364" max="15364" width="30.42578125" style="1" customWidth="1"/>
    <col min="15365" max="15365" width="40.28515625" style="1" customWidth="1"/>
    <col min="15366" max="15366" width="39.28515625" style="1" customWidth="1"/>
    <col min="15367" max="15367" width="41.7109375" style="1" customWidth="1"/>
    <col min="15368" max="15368" width="41" style="1" customWidth="1"/>
    <col min="15369" max="15369" width="37.7109375" style="1" customWidth="1"/>
    <col min="15370" max="15370" width="10.7109375" style="1" customWidth="1"/>
    <col min="15371" max="15372" width="4.7109375" style="1" bestFit="1" customWidth="1"/>
    <col min="15373" max="15618" width="25.7109375" style="1"/>
    <col min="15619" max="15619" width="4.7109375" style="1" customWidth="1"/>
    <col min="15620" max="15620" width="30.42578125" style="1" customWidth="1"/>
    <col min="15621" max="15621" width="40.28515625" style="1" customWidth="1"/>
    <col min="15622" max="15622" width="39.28515625" style="1" customWidth="1"/>
    <col min="15623" max="15623" width="41.7109375" style="1" customWidth="1"/>
    <col min="15624" max="15624" width="41" style="1" customWidth="1"/>
    <col min="15625" max="15625" width="37.7109375" style="1" customWidth="1"/>
    <col min="15626" max="15626" width="10.7109375" style="1" customWidth="1"/>
    <col min="15627" max="15628" width="4.7109375" style="1" bestFit="1" customWidth="1"/>
    <col min="15629" max="15874" width="25.7109375" style="1"/>
    <col min="15875" max="15875" width="4.7109375" style="1" customWidth="1"/>
    <col min="15876" max="15876" width="30.42578125" style="1" customWidth="1"/>
    <col min="15877" max="15877" width="40.28515625" style="1" customWidth="1"/>
    <col min="15878" max="15878" width="39.28515625" style="1" customWidth="1"/>
    <col min="15879" max="15879" width="41.7109375" style="1" customWidth="1"/>
    <col min="15880" max="15880" width="41" style="1" customWidth="1"/>
    <col min="15881" max="15881" width="37.7109375" style="1" customWidth="1"/>
    <col min="15882" max="15882" width="10.7109375" style="1" customWidth="1"/>
    <col min="15883" max="15884" width="4.7109375" style="1" bestFit="1" customWidth="1"/>
    <col min="15885" max="16130" width="25.7109375" style="1"/>
    <col min="16131" max="16131" width="4.7109375" style="1" customWidth="1"/>
    <col min="16132" max="16132" width="30.42578125" style="1" customWidth="1"/>
    <col min="16133" max="16133" width="40.28515625" style="1" customWidth="1"/>
    <col min="16134" max="16134" width="39.28515625" style="1" customWidth="1"/>
    <col min="16135" max="16135" width="41.7109375" style="1" customWidth="1"/>
    <col min="16136" max="16136" width="41" style="1" customWidth="1"/>
    <col min="16137" max="16137" width="37.7109375" style="1" customWidth="1"/>
    <col min="16138" max="16138" width="10.7109375" style="1" customWidth="1"/>
    <col min="16139" max="16140" width="4.7109375" style="1" bestFit="1" customWidth="1"/>
    <col min="16141" max="16384" width="25.7109375" style="1"/>
  </cols>
  <sheetData>
    <row r="1" spans="1:13" ht="20.100000000000001" customHeight="1" x14ac:dyDescent="0.25">
      <c r="I1" s="2"/>
      <c r="J1" s="2"/>
    </row>
    <row r="2" spans="1:13" ht="20.100000000000001" customHeight="1" x14ac:dyDescent="0.25">
      <c r="I2" s="2"/>
      <c r="J2" s="2"/>
      <c r="K2" s="2"/>
    </row>
    <row r="3" spans="1:13" ht="20.100000000000001" customHeight="1" x14ac:dyDescent="0.25">
      <c r="E3" s="624"/>
      <c r="F3" s="624"/>
      <c r="G3" s="624"/>
      <c r="H3" s="469"/>
      <c r="I3" s="2"/>
      <c r="J3" s="2"/>
    </row>
    <row r="4" spans="1:13" ht="11.25" customHeight="1" thickBot="1" x14ac:dyDescent="0.3">
      <c r="B4" s="3"/>
      <c r="C4" s="149"/>
      <c r="D4" s="4"/>
      <c r="E4" s="4"/>
      <c r="F4" s="4"/>
      <c r="G4" s="149"/>
      <c r="H4" s="210"/>
      <c r="I4" s="199"/>
      <c r="J4" s="2"/>
      <c r="K4" s="2"/>
    </row>
    <row r="5" spans="1:13" s="5" customFormat="1" ht="20.100000000000001" customHeight="1" thickBot="1" x14ac:dyDescent="0.3">
      <c r="A5" s="235"/>
      <c r="B5" s="228" t="s">
        <v>201</v>
      </c>
      <c r="C5" s="625">
        <v>43752</v>
      </c>
      <c r="D5" s="626"/>
      <c r="E5" s="625">
        <v>43753</v>
      </c>
      <c r="F5" s="626"/>
      <c r="G5" s="625">
        <v>43754</v>
      </c>
      <c r="H5" s="626"/>
      <c r="I5" s="625">
        <v>43755</v>
      </c>
      <c r="J5" s="626"/>
      <c r="K5" s="625">
        <v>43756</v>
      </c>
      <c r="L5" s="626"/>
      <c r="M5" s="234"/>
    </row>
    <row r="6" spans="1:13" s="5" customFormat="1" ht="18.95" customHeight="1" x14ac:dyDescent="0.25">
      <c r="A6" s="580">
        <v>1</v>
      </c>
      <c r="B6" s="581"/>
      <c r="C6" s="584" t="s">
        <v>175</v>
      </c>
      <c r="D6" s="589">
        <v>5.5</v>
      </c>
      <c r="E6" s="592" t="s">
        <v>134</v>
      </c>
      <c r="F6" s="589">
        <v>6</v>
      </c>
      <c r="G6" s="584" t="s">
        <v>22</v>
      </c>
      <c r="H6" s="589">
        <v>1.5</v>
      </c>
      <c r="I6" s="584" t="s">
        <v>171</v>
      </c>
      <c r="J6" s="589">
        <v>5.5</v>
      </c>
      <c r="K6" s="584" t="s">
        <v>220</v>
      </c>
      <c r="L6" s="589">
        <v>1</v>
      </c>
      <c r="M6" s="234"/>
    </row>
    <row r="7" spans="1:13" s="5" customFormat="1" ht="18.95" customHeight="1" x14ac:dyDescent="0.25">
      <c r="A7" s="586"/>
      <c r="B7" s="587"/>
      <c r="C7" s="584" t="s">
        <v>169</v>
      </c>
      <c r="D7" s="589">
        <v>0.5</v>
      </c>
      <c r="E7" s="584" t="s">
        <v>173</v>
      </c>
      <c r="F7" s="589">
        <v>0.5</v>
      </c>
      <c r="G7" s="584" t="s">
        <v>171</v>
      </c>
      <c r="H7" s="589">
        <v>7.5</v>
      </c>
      <c r="I7" s="584" t="s">
        <v>209</v>
      </c>
      <c r="J7" s="589">
        <v>1.5</v>
      </c>
      <c r="K7" s="584" t="s">
        <v>198</v>
      </c>
      <c r="L7" s="600">
        <v>3</v>
      </c>
      <c r="M7" s="234"/>
    </row>
    <row r="8" spans="1:13" s="5" customFormat="1" ht="18.95" customHeight="1" x14ac:dyDescent="0.25">
      <c r="A8" s="602"/>
      <c r="B8" s="603"/>
      <c r="C8" s="584" t="s">
        <v>202</v>
      </c>
      <c r="D8" s="589">
        <v>1</v>
      </c>
      <c r="E8" s="582" t="s">
        <v>171</v>
      </c>
      <c r="F8" s="589">
        <v>2.5</v>
      </c>
      <c r="G8" s="582"/>
      <c r="H8" s="583"/>
      <c r="I8" s="584" t="s">
        <v>22</v>
      </c>
      <c r="J8" s="589">
        <v>0.5</v>
      </c>
      <c r="K8" s="584" t="s">
        <v>118</v>
      </c>
      <c r="L8" s="600">
        <v>0.5</v>
      </c>
      <c r="M8" s="234"/>
    </row>
    <row r="9" spans="1:13" s="5" customFormat="1" ht="18.95" customHeight="1" x14ac:dyDescent="0.25">
      <c r="A9" s="604"/>
      <c r="B9" s="587"/>
      <c r="C9" s="584" t="s">
        <v>173</v>
      </c>
      <c r="D9" s="589">
        <v>0.5</v>
      </c>
      <c r="E9" s="582"/>
      <c r="F9" s="583"/>
      <c r="G9" s="582"/>
      <c r="H9" s="583"/>
      <c r="I9" s="592" t="s">
        <v>213</v>
      </c>
      <c r="J9" s="589">
        <v>0.5</v>
      </c>
      <c r="K9" s="592" t="s">
        <v>26</v>
      </c>
      <c r="L9" s="600">
        <v>0.5</v>
      </c>
      <c r="M9" s="234"/>
    </row>
    <row r="10" spans="1:13" s="5" customFormat="1" ht="18.95" customHeight="1" x14ac:dyDescent="0.25">
      <c r="A10" s="590"/>
      <c r="B10" s="591"/>
      <c r="C10" s="592" t="s">
        <v>207</v>
      </c>
      <c r="D10" s="589">
        <v>1.5</v>
      </c>
      <c r="E10" s="582"/>
      <c r="F10" s="583"/>
      <c r="G10" s="582"/>
      <c r="H10" s="583"/>
      <c r="I10" s="592" t="s">
        <v>182</v>
      </c>
      <c r="J10" s="589">
        <v>1</v>
      </c>
      <c r="K10" s="593"/>
      <c r="L10" s="601"/>
      <c r="M10" s="234"/>
    </row>
    <row r="11" spans="1:13" s="6" customFormat="1" ht="8.1" customHeight="1" x14ac:dyDescent="0.25">
      <c r="A11" s="104"/>
      <c r="B11" s="105"/>
      <c r="C11" s="105"/>
      <c r="D11" s="116">
        <f>D6+D7+D8+D9+D10</f>
        <v>9</v>
      </c>
      <c r="E11" s="105"/>
      <c r="F11" s="116">
        <f>F6+F7+F8+F9+F10</f>
        <v>9</v>
      </c>
      <c r="G11" s="105"/>
      <c r="H11" s="116">
        <f>H6+H7+H8+H9+H10</f>
        <v>9</v>
      </c>
      <c r="I11" s="105"/>
      <c r="J11" s="116">
        <f>J6+J7+J8+J9+J10</f>
        <v>9</v>
      </c>
      <c r="K11" s="105"/>
      <c r="L11" s="116">
        <f>L6+L7+L8+L9+L10</f>
        <v>5</v>
      </c>
      <c r="M11" s="233">
        <f>SUM(D11:L11)</f>
        <v>41</v>
      </c>
    </row>
    <row r="12" spans="1:13" ht="18.95" customHeight="1" x14ac:dyDescent="0.25">
      <c r="A12" s="7">
        <v>2</v>
      </c>
      <c r="B12" s="8"/>
      <c r="C12" s="306" t="s">
        <v>208</v>
      </c>
      <c r="D12" s="117">
        <v>5</v>
      </c>
      <c r="E12" s="123" t="s">
        <v>175</v>
      </c>
      <c r="F12" s="117">
        <v>6</v>
      </c>
      <c r="G12" s="306" t="s">
        <v>171</v>
      </c>
      <c r="H12" s="93">
        <v>1.5</v>
      </c>
      <c r="I12" s="306" t="s">
        <v>171</v>
      </c>
      <c r="J12" s="297">
        <v>9</v>
      </c>
      <c r="K12" s="306" t="s">
        <v>171</v>
      </c>
      <c r="L12" s="297">
        <v>5</v>
      </c>
    </row>
    <row r="13" spans="1:13" ht="18.95" customHeight="1" x14ac:dyDescent="0.25">
      <c r="A13" s="9"/>
      <c r="B13" s="120"/>
      <c r="C13" s="306" t="s">
        <v>189</v>
      </c>
      <c r="D13" s="93">
        <v>2.5</v>
      </c>
      <c r="E13" s="306" t="s">
        <v>134</v>
      </c>
      <c r="F13" s="93">
        <v>3</v>
      </c>
      <c r="G13" s="299" t="s">
        <v>182</v>
      </c>
      <c r="H13" s="472">
        <v>3.5</v>
      </c>
      <c r="I13" s="306"/>
      <c r="J13" s="297"/>
      <c r="K13" s="306" t="s">
        <v>26</v>
      </c>
      <c r="L13" s="297">
        <v>0.5</v>
      </c>
    </row>
    <row r="14" spans="1:13" ht="18.95" customHeight="1" x14ac:dyDescent="0.25">
      <c r="A14" s="18"/>
      <c r="B14" s="120"/>
      <c r="C14" s="306" t="s">
        <v>155</v>
      </c>
      <c r="D14" s="117">
        <v>1.5</v>
      </c>
      <c r="E14" s="306"/>
      <c r="F14" s="93"/>
      <c r="G14" s="299" t="s">
        <v>192</v>
      </c>
      <c r="H14" s="320">
        <v>1</v>
      </c>
      <c r="I14" s="296"/>
      <c r="J14" s="328"/>
      <c r="K14" s="296"/>
      <c r="L14" s="328"/>
    </row>
    <row r="15" spans="1:13" ht="18.95" customHeight="1" x14ac:dyDescent="0.25">
      <c r="A15" s="18"/>
      <c r="B15" s="120"/>
      <c r="C15" s="306"/>
      <c r="D15" s="117"/>
      <c r="E15" s="306"/>
      <c r="F15" s="117"/>
      <c r="G15" s="306" t="s">
        <v>134</v>
      </c>
      <c r="H15" s="117">
        <v>3</v>
      </c>
      <c r="I15" s="296"/>
      <c r="J15" s="328"/>
      <c r="K15" s="296"/>
      <c r="L15" s="328"/>
    </row>
    <row r="16" spans="1:13" s="6" customFormat="1" ht="8.1" customHeight="1" x14ac:dyDescent="0.25">
      <c r="A16" s="104"/>
      <c r="B16" s="105"/>
      <c r="C16" s="105"/>
      <c r="D16" s="116">
        <f>D12+D13+D14</f>
        <v>9</v>
      </c>
      <c r="E16" s="105"/>
      <c r="F16" s="116">
        <f>F12+F13</f>
        <v>9</v>
      </c>
      <c r="G16" s="105"/>
      <c r="H16" s="116">
        <f>H12+H13+H14+H15</f>
        <v>9</v>
      </c>
      <c r="I16" s="105"/>
      <c r="J16" s="116">
        <f>J12+J13</f>
        <v>9</v>
      </c>
      <c r="K16" s="105"/>
      <c r="L16" s="116">
        <f>L12+L13</f>
        <v>5.5</v>
      </c>
      <c r="M16" s="233">
        <f>SUM(D16:L16)</f>
        <v>41.5</v>
      </c>
    </row>
    <row r="17" spans="1:13" ht="19.5" customHeight="1" x14ac:dyDescent="0.25">
      <c r="A17" s="10">
        <v>3</v>
      </c>
      <c r="B17" s="369"/>
      <c r="C17" s="293" t="s">
        <v>1</v>
      </c>
      <c r="D17" s="294"/>
      <c r="E17" s="293" t="s">
        <v>1</v>
      </c>
      <c r="F17" s="294"/>
      <c r="G17" s="293" t="s">
        <v>1</v>
      </c>
      <c r="H17" s="294"/>
      <c r="I17" s="293" t="s">
        <v>1</v>
      </c>
      <c r="J17" s="294"/>
      <c r="K17" s="293" t="s">
        <v>1</v>
      </c>
      <c r="L17" s="294"/>
    </row>
    <row r="18" spans="1:13" ht="19.5" customHeight="1" x14ac:dyDescent="0.25">
      <c r="A18" s="11"/>
      <c r="B18" s="83"/>
      <c r="C18" s="308" t="s">
        <v>207</v>
      </c>
      <c r="D18" s="124">
        <v>1.5</v>
      </c>
      <c r="E18" s="307" t="s">
        <v>189</v>
      </c>
      <c r="F18" s="124">
        <v>8.25</v>
      </c>
      <c r="G18" s="308" t="s">
        <v>134</v>
      </c>
      <c r="H18" s="124">
        <v>8.25</v>
      </c>
      <c r="I18" s="91" t="s">
        <v>189</v>
      </c>
      <c r="J18" s="97">
        <v>8.25</v>
      </c>
      <c r="K18" s="91" t="s">
        <v>189</v>
      </c>
      <c r="L18" s="97">
        <v>5</v>
      </c>
    </row>
    <row r="19" spans="1:13" ht="19.5" customHeight="1" x14ac:dyDescent="0.25">
      <c r="A19" s="16"/>
      <c r="B19" s="100"/>
      <c r="C19" s="307" t="s">
        <v>189</v>
      </c>
      <c r="D19" s="124">
        <v>6</v>
      </c>
      <c r="E19" s="308"/>
      <c r="F19" s="124"/>
      <c r="G19" s="308"/>
      <c r="H19" s="124"/>
      <c r="I19" s="293"/>
      <c r="J19" s="96"/>
      <c r="K19" s="293"/>
      <c r="L19" s="96"/>
    </row>
    <row r="20" spans="1:13" ht="19.5" customHeight="1" x14ac:dyDescent="0.25">
      <c r="A20" s="16"/>
      <c r="B20" s="100"/>
      <c r="C20" s="307" t="s">
        <v>182</v>
      </c>
      <c r="D20" s="124">
        <v>0.75</v>
      </c>
      <c r="E20" s="308"/>
      <c r="F20" s="124"/>
      <c r="G20" s="308"/>
      <c r="H20" s="124"/>
      <c r="I20" s="293"/>
      <c r="J20" s="96"/>
      <c r="K20" s="293"/>
      <c r="L20" s="96"/>
    </row>
    <row r="21" spans="1:13" s="6" customFormat="1" ht="8.1" customHeight="1" x14ac:dyDescent="0.25">
      <c r="A21" s="104"/>
      <c r="B21" s="105"/>
      <c r="C21" s="105"/>
      <c r="D21" s="116">
        <f>D17+D18+D19+D20</f>
        <v>8.25</v>
      </c>
      <c r="E21" s="105"/>
      <c r="F21" s="116">
        <f>F18+F19</f>
        <v>8.25</v>
      </c>
      <c r="G21" s="105"/>
      <c r="H21" s="116">
        <f>H18+H19</f>
        <v>8.25</v>
      </c>
      <c r="I21" s="105"/>
      <c r="J21" s="116">
        <f>J18+J19</f>
        <v>8.25</v>
      </c>
      <c r="K21" s="105"/>
      <c r="L21" s="116">
        <f>L18+L19</f>
        <v>5</v>
      </c>
      <c r="M21" s="233">
        <f>SUM(D21:L21)</f>
        <v>38</v>
      </c>
    </row>
    <row r="22" spans="1:13" s="5" customFormat="1" ht="19.5" customHeight="1" x14ac:dyDescent="0.25">
      <c r="A22" s="295">
        <v>4</v>
      </c>
      <c r="B22" s="15"/>
      <c r="C22" s="304" t="s">
        <v>189</v>
      </c>
      <c r="D22" s="124">
        <v>6.75</v>
      </c>
      <c r="E22" s="307" t="s">
        <v>189</v>
      </c>
      <c r="F22" s="124">
        <v>8.25</v>
      </c>
      <c r="G22" s="308" t="s">
        <v>134</v>
      </c>
      <c r="H22" s="124">
        <v>8.25</v>
      </c>
      <c r="I22" s="308" t="s">
        <v>189</v>
      </c>
      <c r="J22" s="124">
        <v>8.25</v>
      </c>
      <c r="K22" s="308" t="s">
        <v>189</v>
      </c>
      <c r="L22" s="124">
        <v>1.5</v>
      </c>
      <c r="M22" s="234"/>
    </row>
    <row r="23" spans="1:13" s="5" customFormat="1" ht="19.5" customHeight="1" x14ac:dyDescent="0.25">
      <c r="A23" s="295"/>
      <c r="B23" s="370"/>
      <c r="C23" s="308" t="s">
        <v>207</v>
      </c>
      <c r="D23" s="124">
        <v>1.5</v>
      </c>
      <c r="E23" s="308"/>
      <c r="F23" s="124"/>
      <c r="G23" s="304"/>
      <c r="H23" s="96"/>
      <c r="I23" s="304"/>
      <c r="J23" s="96"/>
      <c r="K23" s="91" t="s">
        <v>189</v>
      </c>
      <c r="L23" s="97">
        <v>3.5</v>
      </c>
      <c r="M23" s="234"/>
    </row>
    <row r="24" spans="1:13" s="6" customFormat="1" ht="8.1" customHeight="1" x14ac:dyDescent="0.25">
      <c r="A24" s="394"/>
      <c r="C24" s="89"/>
      <c r="D24" s="116">
        <f>D22+D23</f>
        <v>8.25</v>
      </c>
      <c r="E24" s="89"/>
      <c r="F24" s="438">
        <v>8.25</v>
      </c>
      <c r="G24" s="89"/>
      <c r="H24" s="116">
        <v>8.25</v>
      </c>
      <c r="I24" s="89"/>
      <c r="J24" s="116">
        <v>8.25</v>
      </c>
      <c r="K24" s="89"/>
      <c r="L24" s="116">
        <v>5</v>
      </c>
      <c r="M24" s="233">
        <f>SUM(D24:L24)</f>
        <v>38</v>
      </c>
    </row>
    <row r="25" spans="1:13" ht="19.5" customHeight="1" x14ac:dyDescent="0.25">
      <c r="A25" s="12">
        <v>5</v>
      </c>
      <c r="B25" s="20"/>
      <c r="C25" s="605" t="s">
        <v>229</v>
      </c>
      <c r="D25" s="606">
        <v>6</v>
      </c>
      <c r="E25" s="605" t="s">
        <v>229</v>
      </c>
      <c r="F25" s="589">
        <v>7.5</v>
      </c>
      <c r="G25" s="605" t="s">
        <v>229</v>
      </c>
      <c r="H25" s="589">
        <v>7.5</v>
      </c>
      <c r="I25" s="605" t="s">
        <v>229</v>
      </c>
      <c r="J25" s="606">
        <v>6</v>
      </c>
      <c r="K25" s="91" t="s">
        <v>209</v>
      </c>
      <c r="L25" s="230">
        <v>5</v>
      </c>
    </row>
    <row r="26" spans="1:13" ht="19.5" customHeight="1" x14ac:dyDescent="0.25">
      <c r="A26" s="381"/>
      <c r="B26" s="87"/>
      <c r="C26" s="91" t="s">
        <v>207</v>
      </c>
      <c r="D26" s="230">
        <v>1.5</v>
      </c>
      <c r="E26" s="98"/>
      <c r="F26" s="374"/>
      <c r="G26" s="98"/>
      <c r="H26" s="374"/>
      <c r="I26" s="98"/>
      <c r="J26" s="374"/>
      <c r="K26" s="98"/>
      <c r="L26" s="374"/>
    </row>
    <row r="27" spans="1:13" s="14" customFormat="1" ht="8.1" customHeight="1" thickBot="1" x14ac:dyDescent="0.3">
      <c r="A27" s="395"/>
      <c r="D27" s="231">
        <f>D25+D26</f>
        <v>7.5</v>
      </c>
      <c r="F27" s="231">
        <v>7.5</v>
      </c>
      <c r="H27" s="231">
        <v>7.5</v>
      </c>
      <c r="I27" s="6"/>
      <c r="J27" s="231">
        <v>7.5</v>
      </c>
      <c r="K27" s="6"/>
      <c r="L27" s="231">
        <v>7.5</v>
      </c>
      <c r="M27" s="233">
        <f>SUM(D27:L27)</f>
        <v>37.5</v>
      </c>
    </row>
    <row r="28" spans="1:13" ht="19.5" customHeight="1" thickBot="1" x14ac:dyDescent="0.3">
      <c r="A28" s="375">
        <v>6</v>
      </c>
      <c r="B28" s="376"/>
      <c r="C28" s="453" t="s">
        <v>155</v>
      </c>
      <c r="D28" s="454">
        <v>6.25</v>
      </c>
      <c r="E28" s="422" t="s">
        <v>155</v>
      </c>
      <c r="F28" s="423">
        <v>8</v>
      </c>
      <c r="G28" s="422" t="s">
        <v>155</v>
      </c>
      <c r="H28" s="448">
        <v>4.25</v>
      </c>
      <c r="I28" s="422" t="s">
        <v>202</v>
      </c>
      <c r="J28" s="423">
        <v>1</v>
      </c>
      <c r="K28" s="299" t="s">
        <v>140</v>
      </c>
      <c r="L28" s="377">
        <v>4.5</v>
      </c>
    </row>
    <row r="29" spans="1:13" ht="19.5" customHeight="1" x14ac:dyDescent="0.25">
      <c r="A29" s="378"/>
      <c r="B29" s="19"/>
      <c r="C29" s="299" t="s">
        <v>191</v>
      </c>
      <c r="D29" s="230">
        <v>1</v>
      </c>
      <c r="E29" s="422" t="s">
        <v>32</v>
      </c>
      <c r="F29" s="230">
        <v>0.753</v>
      </c>
      <c r="G29" s="422" t="s">
        <v>32</v>
      </c>
      <c r="H29" s="290">
        <v>1.5</v>
      </c>
      <c r="I29" s="299" t="s">
        <v>140</v>
      </c>
      <c r="J29" s="97">
        <v>6.5</v>
      </c>
      <c r="K29" s="299" t="s">
        <v>193</v>
      </c>
      <c r="L29" s="383">
        <v>1</v>
      </c>
    </row>
    <row r="30" spans="1:13" ht="19.5" customHeight="1" x14ac:dyDescent="0.25">
      <c r="A30" s="378"/>
      <c r="B30" s="363"/>
      <c r="C30" s="91" t="s">
        <v>207</v>
      </c>
      <c r="D30" s="230">
        <v>1.5</v>
      </c>
      <c r="E30" s="91"/>
      <c r="F30" s="491"/>
      <c r="G30" s="299" t="s">
        <v>192</v>
      </c>
      <c r="H30" s="290">
        <v>3</v>
      </c>
      <c r="I30" s="299" t="s">
        <v>193</v>
      </c>
      <c r="J30" s="97">
        <v>1.5</v>
      </c>
      <c r="K30" s="106"/>
      <c r="L30" s="383"/>
    </row>
    <row r="31" spans="1:13" s="17" customFormat="1" ht="8.1" customHeight="1" thickBot="1" x14ac:dyDescent="0.25">
      <c r="A31" s="396"/>
      <c r="B31" s="110"/>
      <c r="C31" s="114"/>
      <c r="D31" s="116">
        <f>D28+D29+D30</f>
        <v>8.75</v>
      </c>
      <c r="E31" s="114"/>
      <c r="F31" s="116">
        <f>F28+F29+F30</f>
        <v>8.7530000000000001</v>
      </c>
      <c r="G31" s="114"/>
      <c r="H31" s="116">
        <f>H28+H29+H30</f>
        <v>8.75</v>
      </c>
      <c r="I31" s="105"/>
      <c r="J31" s="116">
        <f>J28+J29+J30</f>
        <v>9</v>
      </c>
      <c r="K31" s="105"/>
      <c r="L31" s="116">
        <f>L28+L29+L30</f>
        <v>5.5</v>
      </c>
      <c r="M31" s="233">
        <f>SUM(D31:L31)</f>
        <v>40.753</v>
      </c>
    </row>
    <row r="32" spans="1:13" ht="19.5" customHeight="1" x14ac:dyDescent="0.25">
      <c r="A32" s="381">
        <v>7</v>
      </c>
      <c r="B32" s="13"/>
      <c r="C32" s="299" t="s">
        <v>192</v>
      </c>
      <c r="D32" s="97">
        <v>6.75</v>
      </c>
      <c r="E32" s="422" t="s">
        <v>32</v>
      </c>
      <c r="F32" s="97">
        <v>1</v>
      </c>
      <c r="G32" s="299" t="s">
        <v>211</v>
      </c>
      <c r="H32" s="97">
        <v>3</v>
      </c>
      <c r="I32" s="299" t="s">
        <v>192</v>
      </c>
      <c r="J32" s="97">
        <v>8.25</v>
      </c>
      <c r="K32" s="299" t="s">
        <v>192</v>
      </c>
      <c r="L32" s="383">
        <v>4.5</v>
      </c>
    </row>
    <row r="33" spans="1:13" ht="19.5" customHeight="1" x14ac:dyDescent="0.25">
      <c r="A33" s="378"/>
      <c r="B33" s="19"/>
      <c r="C33" s="91" t="s">
        <v>207</v>
      </c>
      <c r="D33" s="230">
        <v>1.5</v>
      </c>
      <c r="E33" s="299" t="s">
        <v>192</v>
      </c>
      <c r="F33" s="97">
        <v>2.25</v>
      </c>
      <c r="G33" s="299" t="s">
        <v>192</v>
      </c>
      <c r="H33" s="97">
        <v>5.25</v>
      </c>
      <c r="I33" s="299"/>
      <c r="J33" s="97"/>
      <c r="K33" s="69" t="s">
        <v>26</v>
      </c>
      <c r="L33" s="379">
        <v>0.5</v>
      </c>
    </row>
    <row r="34" spans="1:13" ht="19.5" customHeight="1" x14ac:dyDescent="0.25">
      <c r="A34" s="378"/>
      <c r="B34" s="19"/>
      <c r="C34" s="355"/>
      <c r="D34" s="491"/>
      <c r="E34" s="299" t="s">
        <v>211</v>
      </c>
      <c r="F34" s="320">
        <v>5</v>
      </c>
      <c r="G34" s="299"/>
      <c r="H34" s="320"/>
      <c r="I34" s="298"/>
      <c r="J34" s="290"/>
      <c r="K34" s="69"/>
      <c r="L34" s="94"/>
    </row>
    <row r="35" spans="1:13" s="17" customFormat="1" ht="8.1" customHeight="1" x14ac:dyDescent="0.25">
      <c r="A35" s="396"/>
      <c r="B35" s="113"/>
      <c r="C35" s="111"/>
      <c r="D35" s="116">
        <v>8.25</v>
      </c>
      <c r="E35" s="112"/>
      <c r="F35" s="116">
        <f>F32+F33+F34</f>
        <v>8.25</v>
      </c>
      <c r="G35" s="112"/>
      <c r="H35" s="116">
        <f>H32+H33</f>
        <v>8.25</v>
      </c>
      <c r="I35" s="105"/>
      <c r="J35" s="116">
        <f>J32+J33</f>
        <v>8.25</v>
      </c>
      <c r="K35" s="105"/>
      <c r="L35" s="116">
        <f>L32+L33</f>
        <v>5</v>
      </c>
      <c r="M35" s="233">
        <f>SUM(D35:L35)</f>
        <v>38</v>
      </c>
    </row>
    <row r="36" spans="1:13" ht="19.5" customHeight="1" x14ac:dyDescent="0.25">
      <c r="A36" s="381">
        <v>8</v>
      </c>
      <c r="B36" s="68"/>
      <c r="C36" s="480" t="s">
        <v>0</v>
      </c>
      <c r="D36" s="118"/>
      <c r="E36" s="492" t="s">
        <v>0</v>
      </c>
      <c r="F36" s="118"/>
      <c r="G36" s="500" t="s">
        <v>0</v>
      </c>
      <c r="H36" s="118"/>
      <c r="I36" s="299" t="s">
        <v>140</v>
      </c>
      <c r="J36" s="97">
        <v>6.25</v>
      </c>
      <c r="K36" s="299" t="s">
        <v>140</v>
      </c>
      <c r="L36" s="97">
        <v>4.5</v>
      </c>
    </row>
    <row r="37" spans="1:13" ht="19.5" customHeight="1" thickBot="1" x14ac:dyDescent="0.3">
      <c r="A37" s="378"/>
      <c r="B37" s="70"/>
      <c r="C37" s="492" t="s">
        <v>2</v>
      </c>
      <c r="D37" s="504"/>
      <c r="E37" s="500" t="s">
        <v>2</v>
      </c>
      <c r="F37" s="504"/>
      <c r="G37" s="500" t="s">
        <v>2</v>
      </c>
      <c r="H37" s="504"/>
      <c r="I37" s="299" t="s">
        <v>129</v>
      </c>
      <c r="J37" s="97">
        <v>2</v>
      </c>
      <c r="K37" s="424" t="s">
        <v>129</v>
      </c>
      <c r="L37" s="514">
        <v>0.5</v>
      </c>
    </row>
    <row r="38" spans="1:13" s="6" customFormat="1" ht="9.75" customHeight="1" x14ac:dyDescent="0.25">
      <c r="A38" s="382"/>
      <c r="B38" s="105"/>
      <c r="C38" s="105"/>
      <c r="D38" s="116">
        <f>D36+D37</f>
        <v>0</v>
      </c>
      <c r="E38" s="105"/>
      <c r="F38" s="116">
        <f>F36+F37</f>
        <v>0</v>
      </c>
      <c r="G38" s="105"/>
      <c r="H38" s="116">
        <f>H36+H37</f>
        <v>0</v>
      </c>
      <c r="I38" s="105"/>
      <c r="J38" s="116">
        <f>J36+J37</f>
        <v>8.25</v>
      </c>
      <c r="K38" s="105"/>
      <c r="L38" s="116">
        <f>L36+L37</f>
        <v>5</v>
      </c>
      <c r="M38" s="233">
        <f>SUM(D38:L38)</f>
        <v>13.25</v>
      </c>
    </row>
    <row r="39" spans="1:13" ht="19.5" customHeight="1" x14ac:dyDescent="0.25">
      <c r="A39" s="397">
        <v>9</v>
      </c>
      <c r="B39" s="86"/>
      <c r="C39" s="299" t="s">
        <v>196</v>
      </c>
      <c r="D39" s="97">
        <v>7.25</v>
      </c>
      <c r="E39" s="299" t="s">
        <v>173</v>
      </c>
      <c r="F39" s="97">
        <v>1.75</v>
      </c>
      <c r="G39" s="299" t="s">
        <v>173</v>
      </c>
      <c r="H39" s="97">
        <v>8.75</v>
      </c>
      <c r="I39" s="299" t="s">
        <v>140</v>
      </c>
      <c r="J39" s="97">
        <v>3.75</v>
      </c>
      <c r="K39" s="299" t="s">
        <v>140</v>
      </c>
      <c r="L39" s="97">
        <v>5</v>
      </c>
    </row>
    <row r="40" spans="1:13" ht="19.5" customHeight="1" thickBot="1" x14ac:dyDescent="0.3">
      <c r="A40" s="378"/>
      <c r="B40" s="19"/>
      <c r="C40" s="91" t="s">
        <v>207</v>
      </c>
      <c r="D40" s="230">
        <v>1.5</v>
      </c>
      <c r="E40" s="424" t="s">
        <v>174</v>
      </c>
      <c r="F40" s="439">
        <v>7</v>
      </c>
      <c r="G40" s="299"/>
      <c r="H40" s="97"/>
      <c r="I40" s="299" t="s">
        <v>173</v>
      </c>
      <c r="J40" s="309">
        <v>5</v>
      </c>
      <c r="K40" s="424" t="s">
        <v>129</v>
      </c>
      <c r="L40" s="514">
        <v>0.5</v>
      </c>
    </row>
    <row r="41" spans="1:13" s="115" customFormat="1" ht="8.1" customHeight="1" x14ac:dyDescent="0.25">
      <c r="A41" s="384"/>
      <c r="D41" s="116">
        <f>D40+D39</f>
        <v>8.75</v>
      </c>
      <c r="F41" s="116">
        <f>F39+F40</f>
        <v>8.75</v>
      </c>
      <c r="H41" s="116">
        <f>H39+H40</f>
        <v>8.75</v>
      </c>
      <c r="I41" s="6"/>
      <c r="J41" s="116">
        <f>J39+J40</f>
        <v>8.75</v>
      </c>
      <c r="K41" s="6"/>
      <c r="L41" s="116">
        <f>L39+L40</f>
        <v>5.5</v>
      </c>
      <c r="M41" s="233">
        <f>SUM(D41:L41)</f>
        <v>40.5</v>
      </c>
    </row>
    <row r="42" spans="1:13" s="5" customFormat="1" ht="19.5" customHeight="1" x14ac:dyDescent="0.25">
      <c r="A42" s="386">
        <v>10</v>
      </c>
      <c r="B42" s="86"/>
      <c r="C42" s="299" t="s">
        <v>196</v>
      </c>
      <c r="D42" s="97">
        <v>6.75</v>
      </c>
      <c r="E42" s="299" t="s">
        <v>173</v>
      </c>
      <c r="F42" s="97">
        <v>1.75</v>
      </c>
      <c r="G42" s="299" t="s">
        <v>173</v>
      </c>
      <c r="H42" s="97">
        <v>8.25</v>
      </c>
      <c r="I42" s="299" t="s">
        <v>140</v>
      </c>
      <c r="J42" s="97">
        <v>3.25</v>
      </c>
      <c r="K42" s="299" t="s">
        <v>140</v>
      </c>
      <c r="L42" s="97">
        <v>4.5</v>
      </c>
      <c r="M42" s="234"/>
    </row>
    <row r="43" spans="1:13" s="5" customFormat="1" ht="19.5" customHeight="1" thickBot="1" x14ac:dyDescent="0.3">
      <c r="A43" s="398"/>
      <c r="B43" s="388"/>
      <c r="C43" s="91" t="s">
        <v>207</v>
      </c>
      <c r="D43" s="230">
        <v>1.5</v>
      </c>
      <c r="E43" s="424" t="s">
        <v>174</v>
      </c>
      <c r="F43" s="439">
        <v>6.5</v>
      </c>
      <c r="G43" s="424"/>
      <c r="H43" s="439"/>
      <c r="I43" s="437" t="s">
        <v>182</v>
      </c>
      <c r="J43" s="439">
        <v>5</v>
      </c>
      <c r="K43" s="424" t="s">
        <v>129</v>
      </c>
      <c r="L43" s="514">
        <v>0.5</v>
      </c>
      <c r="M43" s="234"/>
    </row>
    <row r="44" spans="1:13" s="115" customFormat="1" ht="8.1" customHeight="1" thickBot="1" x14ac:dyDescent="0.3">
      <c r="D44" s="231">
        <f>D43+D42</f>
        <v>8.25</v>
      </c>
      <c r="F44" s="231">
        <v>8.25</v>
      </c>
      <c r="H44" s="231">
        <v>8.25</v>
      </c>
      <c r="I44" s="6"/>
      <c r="J44" s="231">
        <v>8.25</v>
      </c>
      <c r="K44" s="6"/>
      <c r="L44" s="231">
        <v>5</v>
      </c>
      <c r="M44" s="233">
        <f>SUM(D44:L44)</f>
        <v>38</v>
      </c>
    </row>
    <row r="45" spans="1:13" ht="22.5" customHeight="1" x14ac:dyDescent="0.25">
      <c r="A45" s="375">
        <v>11</v>
      </c>
      <c r="B45" s="447"/>
      <c r="C45" s="422" t="s">
        <v>175</v>
      </c>
      <c r="D45" s="423">
        <v>6.75</v>
      </c>
      <c r="E45" s="422" t="s">
        <v>175</v>
      </c>
      <c r="F45" s="423">
        <v>8.25</v>
      </c>
      <c r="G45" s="422" t="s">
        <v>175</v>
      </c>
      <c r="H45" s="423">
        <v>8.25</v>
      </c>
      <c r="I45" s="299" t="s">
        <v>175</v>
      </c>
      <c r="J45" s="423">
        <v>8.75</v>
      </c>
      <c r="K45" s="299" t="s">
        <v>175</v>
      </c>
      <c r="L45" s="423">
        <v>5.5</v>
      </c>
    </row>
    <row r="46" spans="1:13" ht="19.5" customHeight="1" x14ac:dyDescent="0.25">
      <c r="A46" s="378"/>
      <c r="B46" s="22"/>
      <c r="C46" s="91" t="s">
        <v>207</v>
      </c>
      <c r="D46" s="230">
        <v>1.5</v>
      </c>
      <c r="E46" s="91"/>
      <c r="F46" s="230"/>
      <c r="G46" s="463"/>
      <c r="H46" s="97"/>
      <c r="I46" s="431"/>
      <c r="J46" s="290"/>
      <c r="K46" s="298"/>
      <c r="L46" s="383"/>
    </row>
    <row r="47" spans="1:13" s="115" customFormat="1" ht="8.1" customHeight="1" thickBot="1" x14ac:dyDescent="0.3">
      <c r="A47" s="384"/>
      <c r="D47" s="438">
        <f>D45+D46</f>
        <v>8.25</v>
      </c>
      <c r="F47" s="438">
        <f>F45+F46</f>
        <v>8.25</v>
      </c>
      <c r="H47" s="438">
        <f>H45+H46</f>
        <v>8.25</v>
      </c>
      <c r="I47" s="6"/>
      <c r="J47" s="438">
        <f>J45+J46</f>
        <v>8.75</v>
      </c>
      <c r="K47" s="6"/>
      <c r="L47" s="438">
        <f>L45+L46</f>
        <v>5.5</v>
      </c>
      <c r="M47" s="233">
        <f>SUM(D47:L47)</f>
        <v>39</v>
      </c>
    </row>
    <row r="48" spans="1:13" ht="19.5" customHeight="1" x14ac:dyDescent="0.25">
      <c r="A48" s="12">
        <v>12</v>
      </c>
      <c r="B48" s="86"/>
      <c r="C48" s="422" t="s">
        <v>175</v>
      </c>
      <c r="D48" s="423">
        <v>6.75</v>
      </c>
      <c r="E48" s="422" t="s">
        <v>175</v>
      </c>
      <c r="F48" s="423">
        <v>8.25</v>
      </c>
      <c r="G48" s="299" t="s">
        <v>175</v>
      </c>
      <c r="H48" s="97">
        <v>4.5</v>
      </c>
      <c r="I48" s="503" t="s">
        <v>0</v>
      </c>
      <c r="J48" s="118"/>
      <c r="K48" s="299" t="s">
        <v>175</v>
      </c>
      <c r="L48" s="97">
        <v>5</v>
      </c>
    </row>
    <row r="49" spans="1:13" ht="19.5" customHeight="1" x14ac:dyDescent="0.25">
      <c r="A49" s="378"/>
      <c r="B49" s="19"/>
      <c r="C49" s="91" t="s">
        <v>207</v>
      </c>
      <c r="D49" s="230">
        <v>1.5</v>
      </c>
      <c r="E49" s="91"/>
      <c r="F49" s="230"/>
      <c r="G49" s="298"/>
      <c r="H49" s="290"/>
      <c r="I49" s="503" t="s">
        <v>2</v>
      </c>
      <c r="J49" s="504"/>
      <c r="K49" s="69"/>
      <c r="L49" s="379"/>
    </row>
    <row r="50" spans="1:13" s="6" customFormat="1" ht="9" customHeight="1" thickBot="1" x14ac:dyDescent="0.3">
      <c r="A50" s="478"/>
      <c r="B50" s="90"/>
      <c r="C50" s="479"/>
      <c r="D50" s="438">
        <f>D48+D49</f>
        <v>8.25</v>
      </c>
      <c r="E50" s="479"/>
      <c r="F50" s="438">
        <f>F48+F49</f>
        <v>8.25</v>
      </c>
      <c r="G50" s="479"/>
      <c r="H50" s="438">
        <f>H48+H49</f>
        <v>4.5</v>
      </c>
      <c r="I50" s="121"/>
      <c r="J50" s="438">
        <f>J48+J49</f>
        <v>0</v>
      </c>
      <c r="K50" s="121"/>
      <c r="L50" s="438">
        <f>L48+L49</f>
        <v>5</v>
      </c>
      <c r="M50" s="233">
        <f>SUM(D50:L50)</f>
        <v>26</v>
      </c>
    </row>
    <row r="51" spans="1:13" s="5" customFormat="1" ht="19.5" customHeight="1" x14ac:dyDescent="0.25">
      <c r="A51" s="329">
        <v>13</v>
      </c>
      <c r="B51" s="86"/>
      <c r="C51" s="445" t="s">
        <v>175</v>
      </c>
      <c r="D51" s="448">
        <v>6.75</v>
      </c>
      <c r="E51" s="299" t="s">
        <v>175</v>
      </c>
      <c r="F51" s="97">
        <v>8.25</v>
      </c>
      <c r="G51" s="299" t="s">
        <v>175</v>
      </c>
      <c r="H51" s="97">
        <v>8.25</v>
      </c>
      <c r="I51" s="299" t="s">
        <v>175</v>
      </c>
      <c r="J51" s="423">
        <v>8.25</v>
      </c>
      <c r="K51" s="299" t="s">
        <v>175</v>
      </c>
      <c r="L51" s="423">
        <v>5</v>
      </c>
      <c r="M51" s="234"/>
    </row>
    <row r="52" spans="1:13" s="5" customFormat="1" ht="19.5" customHeight="1" x14ac:dyDescent="0.25">
      <c r="A52" s="381"/>
      <c r="B52" s="127"/>
      <c r="C52" s="91" t="s">
        <v>207</v>
      </c>
      <c r="D52" s="230">
        <v>1.5</v>
      </c>
      <c r="E52" s="91"/>
      <c r="F52" s="230"/>
      <c r="G52" s="298"/>
      <c r="H52" s="290"/>
      <c r="I52" s="98"/>
      <c r="J52" s="300"/>
      <c r="K52" s="98"/>
      <c r="L52" s="383"/>
      <c r="M52" s="234"/>
    </row>
    <row r="53" spans="1:13" s="115" customFormat="1" ht="8.1" customHeight="1" thickBot="1" x14ac:dyDescent="0.3">
      <c r="A53" s="384"/>
      <c r="D53" s="438">
        <f>D51+D52</f>
        <v>8.25</v>
      </c>
      <c r="F53" s="438">
        <f>F51+F52</f>
        <v>8.25</v>
      </c>
      <c r="H53" s="438">
        <f>H51+H52</f>
        <v>8.25</v>
      </c>
      <c r="I53" s="6"/>
      <c r="J53" s="438">
        <f>J51+J52</f>
        <v>8.25</v>
      </c>
      <c r="K53" s="6"/>
      <c r="L53" s="438">
        <f>L51+L52</f>
        <v>5</v>
      </c>
      <c r="M53" s="233">
        <f>SUM(D53:L53)</f>
        <v>38</v>
      </c>
    </row>
    <row r="54" spans="1:13" s="5" customFormat="1" ht="19.5" customHeight="1" x14ac:dyDescent="0.25">
      <c r="A54" s="386">
        <v>14</v>
      </c>
      <c r="B54" s="86"/>
      <c r="C54" s="445" t="s">
        <v>175</v>
      </c>
      <c r="D54" s="448">
        <v>6.75</v>
      </c>
      <c r="E54" s="422" t="s">
        <v>175</v>
      </c>
      <c r="F54" s="423">
        <v>8.25</v>
      </c>
      <c r="G54" s="298" t="s">
        <v>175</v>
      </c>
      <c r="H54" s="290">
        <v>8.25</v>
      </c>
      <c r="I54" s="299" t="s">
        <v>175</v>
      </c>
      <c r="J54" s="97">
        <v>8.25</v>
      </c>
      <c r="K54" s="299" t="s">
        <v>175</v>
      </c>
      <c r="L54" s="97">
        <v>5</v>
      </c>
      <c r="M54" s="234"/>
    </row>
    <row r="55" spans="1:13" s="5" customFormat="1" ht="19.5" customHeight="1" thickBot="1" x14ac:dyDescent="0.3">
      <c r="A55" s="387"/>
      <c r="B55" s="388"/>
      <c r="C55" s="91" t="s">
        <v>207</v>
      </c>
      <c r="D55" s="230">
        <v>1.5</v>
      </c>
      <c r="E55" s="91"/>
      <c r="F55" s="230"/>
      <c r="G55" s="424"/>
      <c r="H55" s="439"/>
      <c r="I55" s="391"/>
      <c r="J55" s="392"/>
      <c r="K55" s="391"/>
      <c r="L55" s="393"/>
      <c r="M55" s="234"/>
    </row>
    <row r="56" spans="1:13" s="92" customFormat="1" ht="7.5" customHeight="1" thickBot="1" x14ac:dyDescent="0.3">
      <c r="A56" s="401"/>
      <c r="B56" s="6"/>
      <c r="C56" s="166"/>
      <c r="D56" s="231">
        <f>D54+D55</f>
        <v>8.25</v>
      </c>
      <c r="E56" s="166"/>
      <c r="F56" s="231">
        <f>F54+F55</f>
        <v>8.25</v>
      </c>
      <c r="G56" s="166"/>
      <c r="H56" s="231">
        <f>H54+H55</f>
        <v>8.25</v>
      </c>
      <c r="I56" s="166"/>
      <c r="J56" s="231">
        <f>J54+J55</f>
        <v>8.25</v>
      </c>
      <c r="K56" s="166"/>
      <c r="L56" s="231">
        <f>L54+L55</f>
        <v>5</v>
      </c>
      <c r="M56" s="233">
        <f>SUM(D56:L56)</f>
        <v>38</v>
      </c>
    </row>
    <row r="57" spans="1:13" s="5" customFormat="1" ht="19.5" customHeight="1" x14ac:dyDescent="0.25">
      <c r="A57" s="375">
        <v>15</v>
      </c>
      <c r="B57" s="436"/>
      <c r="C57" s="455" t="s">
        <v>182</v>
      </c>
      <c r="D57" s="452">
        <v>7.25</v>
      </c>
      <c r="E57" s="453" t="s">
        <v>182</v>
      </c>
      <c r="F57" s="452">
        <v>5</v>
      </c>
      <c r="G57" s="492" t="s">
        <v>0</v>
      </c>
      <c r="H57" s="118"/>
      <c r="I57" s="492" t="s">
        <v>0</v>
      </c>
      <c r="J57" s="118"/>
      <c r="K57" s="492" t="s">
        <v>0</v>
      </c>
      <c r="L57" s="118"/>
      <c r="M57" s="234"/>
    </row>
    <row r="58" spans="1:13" s="5" customFormat="1" ht="19.5" customHeight="1" thickBot="1" x14ac:dyDescent="0.3">
      <c r="A58" s="381"/>
      <c r="B58" s="70"/>
      <c r="C58" s="91" t="s">
        <v>207</v>
      </c>
      <c r="D58" s="97">
        <v>1.5</v>
      </c>
      <c r="E58" s="446"/>
      <c r="F58" s="290"/>
      <c r="G58" s="470" t="s">
        <v>210</v>
      </c>
      <c r="H58" s="471"/>
      <c r="I58" s="470" t="s">
        <v>210</v>
      </c>
      <c r="J58" s="471"/>
      <c r="K58" s="470" t="s">
        <v>210</v>
      </c>
      <c r="L58" s="471"/>
      <c r="M58" s="234"/>
    </row>
    <row r="59" spans="1:13" s="14" customFormat="1" ht="8.1" customHeight="1" x14ac:dyDescent="0.25">
      <c r="A59" s="395"/>
      <c r="D59" s="438">
        <f>D57+D58</f>
        <v>8.75</v>
      </c>
      <c r="F59" s="231">
        <f>F57+F58</f>
        <v>5</v>
      </c>
      <c r="H59" s="438">
        <f>H57+H58</f>
        <v>0</v>
      </c>
      <c r="I59" s="6"/>
      <c r="J59" s="438">
        <f>J57+J58</f>
        <v>0</v>
      </c>
      <c r="K59" s="6"/>
      <c r="L59" s="438">
        <f>L57+L58</f>
        <v>0</v>
      </c>
      <c r="M59" s="233">
        <f>SUM(D59:L59)</f>
        <v>13.75</v>
      </c>
    </row>
    <row r="60" spans="1:13" s="5" customFormat="1" ht="19.5" customHeight="1" x14ac:dyDescent="0.25">
      <c r="A60" s="381">
        <v>16</v>
      </c>
      <c r="B60" s="86"/>
      <c r="C60" s="355" t="s">
        <v>182</v>
      </c>
      <c r="D60" s="97">
        <v>6.75</v>
      </c>
      <c r="E60" s="91" t="s">
        <v>182</v>
      </c>
      <c r="F60" s="97">
        <v>8.25</v>
      </c>
      <c r="G60" s="91" t="s">
        <v>182</v>
      </c>
      <c r="H60" s="97">
        <v>8.25</v>
      </c>
      <c r="I60" s="91" t="s">
        <v>182</v>
      </c>
      <c r="J60" s="97">
        <v>8.25</v>
      </c>
      <c r="K60" s="91" t="s">
        <v>182</v>
      </c>
      <c r="L60" s="97">
        <v>5</v>
      </c>
      <c r="M60" s="234"/>
    </row>
    <row r="61" spans="1:13" s="5" customFormat="1" ht="19.5" customHeight="1" x14ac:dyDescent="0.25">
      <c r="A61" s="381"/>
      <c r="B61" s="72"/>
      <c r="C61" s="91" t="s">
        <v>207</v>
      </c>
      <c r="D61" s="230">
        <v>1.5</v>
      </c>
      <c r="E61" s="98"/>
      <c r="F61" s="290"/>
      <c r="G61" s="98"/>
      <c r="H61" s="290"/>
      <c r="I61" s="98"/>
      <c r="J61" s="94"/>
      <c r="K61" s="69"/>
      <c r="L61" s="379"/>
      <c r="M61" s="234"/>
    </row>
    <row r="62" spans="1:13" s="122" customFormat="1" ht="9.75" customHeight="1" x14ac:dyDescent="0.25">
      <c r="A62" s="403"/>
      <c r="B62" s="21"/>
      <c r="C62" s="121"/>
      <c r="D62" s="438">
        <f>D60+D61</f>
        <v>8.25</v>
      </c>
      <c r="E62" s="121"/>
      <c r="F62" s="438">
        <f>F60+F61</f>
        <v>8.25</v>
      </c>
      <c r="G62" s="166"/>
      <c r="H62" s="116">
        <f>H60+H61</f>
        <v>8.25</v>
      </c>
      <c r="I62" s="368"/>
      <c r="J62" s="438">
        <f>J60+J61</f>
        <v>8.25</v>
      </c>
      <c r="K62" s="6"/>
      <c r="L62" s="116">
        <f>L60+L61</f>
        <v>5</v>
      </c>
      <c r="M62" s="233">
        <f>SUM(D62:L62)</f>
        <v>38</v>
      </c>
    </row>
    <row r="63" spans="1:13" s="5" customFormat="1" ht="19.5" customHeight="1" x14ac:dyDescent="0.25">
      <c r="A63" s="386">
        <v>17</v>
      </c>
      <c r="B63" s="86"/>
      <c r="C63" s="480" t="s">
        <v>0</v>
      </c>
      <c r="D63" s="118"/>
      <c r="E63" s="492" t="s">
        <v>0</v>
      </c>
      <c r="F63" s="118"/>
      <c r="G63" s="500" t="s">
        <v>0</v>
      </c>
      <c r="H63" s="118"/>
      <c r="I63" s="500" t="s">
        <v>0</v>
      </c>
      <c r="J63" s="118"/>
      <c r="K63" s="500" t="s">
        <v>0</v>
      </c>
      <c r="L63" s="118"/>
      <c r="M63" s="234"/>
    </row>
    <row r="64" spans="1:13" s="5" customFormat="1" ht="19.5" customHeight="1" thickBot="1" x14ac:dyDescent="0.3">
      <c r="A64" s="387"/>
      <c r="B64" s="388"/>
      <c r="C64" s="470"/>
      <c r="D64" s="471"/>
      <c r="E64" s="470"/>
      <c r="F64" s="471"/>
      <c r="G64" s="470"/>
      <c r="H64" s="471"/>
      <c r="I64" s="470"/>
      <c r="J64" s="471"/>
      <c r="K64" s="470"/>
      <c r="L64" s="471"/>
      <c r="M64" s="234"/>
    </row>
    <row r="65" spans="1:13" s="92" customFormat="1" ht="8.1" customHeight="1" x14ac:dyDescent="0.25">
      <c r="A65" s="401"/>
      <c r="B65" s="14"/>
      <c r="C65" s="402"/>
      <c r="D65" s="231">
        <v>0</v>
      </c>
      <c r="E65" s="402"/>
      <c r="F65" s="231">
        <v>0</v>
      </c>
      <c r="G65" s="402"/>
      <c r="H65" s="438">
        <v>0</v>
      </c>
      <c r="I65" s="402"/>
      <c r="J65" s="438">
        <v>0</v>
      </c>
      <c r="K65" s="402"/>
      <c r="L65" s="438">
        <v>0</v>
      </c>
      <c r="M65" s="233">
        <f>SUM(D65:L65)</f>
        <v>0</v>
      </c>
    </row>
  </sheetData>
  <mergeCells count="6">
    <mergeCell ref="K5:L5"/>
    <mergeCell ref="E3:G3"/>
    <mergeCell ref="C5:D5"/>
    <mergeCell ref="E5:F5"/>
    <mergeCell ref="G5:H5"/>
    <mergeCell ref="I5:J5"/>
  </mergeCells>
  <printOptions horizontalCentered="1" verticalCentered="1"/>
  <pageMargins left="0" right="0" top="0.35433070866141736" bottom="0.15748031496062992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M76"/>
  <sheetViews>
    <sheetView zoomScale="85" zoomScaleNormal="85" workbookViewId="0">
      <selection activeCell="B6" sqref="B6:B76"/>
    </sheetView>
  </sheetViews>
  <sheetFormatPr baseColWidth="10" defaultColWidth="25.7109375" defaultRowHeight="20.100000000000001" customHeight="1" x14ac:dyDescent="0.25"/>
  <cols>
    <col min="1" max="1" width="3.85546875" style="1" customWidth="1"/>
    <col min="2" max="2" width="28.42578125" style="1" customWidth="1"/>
    <col min="3" max="3" width="36.140625" style="1" customWidth="1"/>
    <col min="4" max="4" width="5.5703125" style="5" customWidth="1"/>
    <col min="5" max="5" width="36.7109375" style="1" customWidth="1"/>
    <col min="6" max="6" width="5.28515625" style="1" customWidth="1"/>
    <col min="7" max="7" width="36.7109375" style="1" customWidth="1"/>
    <col min="8" max="8" width="5.7109375" style="1" customWidth="1"/>
    <col min="9" max="9" width="33.5703125" style="1" customWidth="1"/>
    <col min="10" max="10" width="6.5703125" style="1" bestFit="1" customWidth="1"/>
    <col min="11" max="11" width="34" style="1" customWidth="1"/>
    <col min="12" max="12" width="4.7109375" style="1" customWidth="1"/>
    <col min="13" max="13" width="17.85546875" style="234" bestFit="1" customWidth="1"/>
    <col min="14" max="14" width="28.85546875" style="1" bestFit="1" customWidth="1"/>
    <col min="15" max="258" width="25.7109375" style="1"/>
    <col min="259" max="259" width="4.7109375" style="1" customWidth="1"/>
    <col min="260" max="260" width="30.42578125" style="1" customWidth="1"/>
    <col min="261" max="261" width="40.28515625" style="1" customWidth="1"/>
    <col min="262" max="262" width="39.28515625" style="1" customWidth="1"/>
    <col min="263" max="263" width="41.7109375" style="1" customWidth="1"/>
    <col min="264" max="264" width="41" style="1" customWidth="1"/>
    <col min="265" max="265" width="37.7109375" style="1" customWidth="1"/>
    <col min="266" max="266" width="10.7109375" style="1" customWidth="1"/>
    <col min="267" max="268" width="4.7109375" style="1" bestFit="1" customWidth="1"/>
    <col min="269" max="514" width="25.7109375" style="1"/>
    <col min="515" max="515" width="4.7109375" style="1" customWidth="1"/>
    <col min="516" max="516" width="30.42578125" style="1" customWidth="1"/>
    <col min="517" max="517" width="40.28515625" style="1" customWidth="1"/>
    <col min="518" max="518" width="39.28515625" style="1" customWidth="1"/>
    <col min="519" max="519" width="41.7109375" style="1" customWidth="1"/>
    <col min="520" max="520" width="41" style="1" customWidth="1"/>
    <col min="521" max="521" width="37.7109375" style="1" customWidth="1"/>
    <col min="522" max="522" width="10.7109375" style="1" customWidth="1"/>
    <col min="523" max="524" width="4.7109375" style="1" bestFit="1" customWidth="1"/>
    <col min="525" max="770" width="25.7109375" style="1"/>
    <col min="771" max="771" width="4.7109375" style="1" customWidth="1"/>
    <col min="772" max="772" width="30.42578125" style="1" customWidth="1"/>
    <col min="773" max="773" width="40.28515625" style="1" customWidth="1"/>
    <col min="774" max="774" width="39.28515625" style="1" customWidth="1"/>
    <col min="775" max="775" width="41.7109375" style="1" customWidth="1"/>
    <col min="776" max="776" width="41" style="1" customWidth="1"/>
    <col min="777" max="777" width="37.7109375" style="1" customWidth="1"/>
    <col min="778" max="778" width="10.7109375" style="1" customWidth="1"/>
    <col min="779" max="780" width="4.7109375" style="1" bestFit="1" customWidth="1"/>
    <col min="781" max="1026" width="25.7109375" style="1"/>
    <col min="1027" max="1027" width="4.7109375" style="1" customWidth="1"/>
    <col min="1028" max="1028" width="30.42578125" style="1" customWidth="1"/>
    <col min="1029" max="1029" width="40.28515625" style="1" customWidth="1"/>
    <col min="1030" max="1030" width="39.28515625" style="1" customWidth="1"/>
    <col min="1031" max="1031" width="41.7109375" style="1" customWidth="1"/>
    <col min="1032" max="1032" width="41" style="1" customWidth="1"/>
    <col min="1033" max="1033" width="37.7109375" style="1" customWidth="1"/>
    <col min="1034" max="1034" width="10.7109375" style="1" customWidth="1"/>
    <col min="1035" max="1036" width="4.7109375" style="1" bestFit="1" customWidth="1"/>
    <col min="1037" max="1282" width="25.7109375" style="1"/>
    <col min="1283" max="1283" width="4.7109375" style="1" customWidth="1"/>
    <col min="1284" max="1284" width="30.42578125" style="1" customWidth="1"/>
    <col min="1285" max="1285" width="40.28515625" style="1" customWidth="1"/>
    <col min="1286" max="1286" width="39.28515625" style="1" customWidth="1"/>
    <col min="1287" max="1287" width="41.7109375" style="1" customWidth="1"/>
    <col min="1288" max="1288" width="41" style="1" customWidth="1"/>
    <col min="1289" max="1289" width="37.7109375" style="1" customWidth="1"/>
    <col min="1290" max="1290" width="10.7109375" style="1" customWidth="1"/>
    <col min="1291" max="1292" width="4.7109375" style="1" bestFit="1" customWidth="1"/>
    <col min="1293" max="1538" width="25.7109375" style="1"/>
    <col min="1539" max="1539" width="4.7109375" style="1" customWidth="1"/>
    <col min="1540" max="1540" width="30.42578125" style="1" customWidth="1"/>
    <col min="1541" max="1541" width="40.28515625" style="1" customWidth="1"/>
    <col min="1542" max="1542" width="39.28515625" style="1" customWidth="1"/>
    <col min="1543" max="1543" width="41.7109375" style="1" customWidth="1"/>
    <col min="1544" max="1544" width="41" style="1" customWidth="1"/>
    <col min="1545" max="1545" width="37.7109375" style="1" customWidth="1"/>
    <col min="1546" max="1546" width="10.7109375" style="1" customWidth="1"/>
    <col min="1547" max="1548" width="4.7109375" style="1" bestFit="1" customWidth="1"/>
    <col min="1549" max="1794" width="25.7109375" style="1"/>
    <col min="1795" max="1795" width="4.7109375" style="1" customWidth="1"/>
    <col min="1796" max="1796" width="30.42578125" style="1" customWidth="1"/>
    <col min="1797" max="1797" width="40.28515625" style="1" customWidth="1"/>
    <col min="1798" max="1798" width="39.28515625" style="1" customWidth="1"/>
    <col min="1799" max="1799" width="41.7109375" style="1" customWidth="1"/>
    <col min="1800" max="1800" width="41" style="1" customWidth="1"/>
    <col min="1801" max="1801" width="37.7109375" style="1" customWidth="1"/>
    <col min="1802" max="1802" width="10.7109375" style="1" customWidth="1"/>
    <col min="1803" max="1804" width="4.7109375" style="1" bestFit="1" customWidth="1"/>
    <col min="1805" max="2050" width="25.7109375" style="1"/>
    <col min="2051" max="2051" width="4.7109375" style="1" customWidth="1"/>
    <col min="2052" max="2052" width="30.42578125" style="1" customWidth="1"/>
    <col min="2053" max="2053" width="40.28515625" style="1" customWidth="1"/>
    <col min="2054" max="2054" width="39.28515625" style="1" customWidth="1"/>
    <col min="2055" max="2055" width="41.7109375" style="1" customWidth="1"/>
    <col min="2056" max="2056" width="41" style="1" customWidth="1"/>
    <col min="2057" max="2057" width="37.7109375" style="1" customWidth="1"/>
    <col min="2058" max="2058" width="10.7109375" style="1" customWidth="1"/>
    <col min="2059" max="2060" width="4.7109375" style="1" bestFit="1" customWidth="1"/>
    <col min="2061" max="2306" width="25.7109375" style="1"/>
    <col min="2307" max="2307" width="4.7109375" style="1" customWidth="1"/>
    <col min="2308" max="2308" width="30.42578125" style="1" customWidth="1"/>
    <col min="2309" max="2309" width="40.28515625" style="1" customWidth="1"/>
    <col min="2310" max="2310" width="39.28515625" style="1" customWidth="1"/>
    <col min="2311" max="2311" width="41.7109375" style="1" customWidth="1"/>
    <col min="2312" max="2312" width="41" style="1" customWidth="1"/>
    <col min="2313" max="2313" width="37.7109375" style="1" customWidth="1"/>
    <col min="2314" max="2314" width="10.7109375" style="1" customWidth="1"/>
    <col min="2315" max="2316" width="4.7109375" style="1" bestFit="1" customWidth="1"/>
    <col min="2317" max="2562" width="25.7109375" style="1"/>
    <col min="2563" max="2563" width="4.7109375" style="1" customWidth="1"/>
    <col min="2564" max="2564" width="30.42578125" style="1" customWidth="1"/>
    <col min="2565" max="2565" width="40.28515625" style="1" customWidth="1"/>
    <col min="2566" max="2566" width="39.28515625" style="1" customWidth="1"/>
    <col min="2567" max="2567" width="41.7109375" style="1" customWidth="1"/>
    <col min="2568" max="2568" width="41" style="1" customWidth="1"/>
    <col min="2569" max="2569" width="37.7109375" style="1" customWidth="1"/>
    <col min="2570" max="2570" width="10.7109375" style="1" customWidth="1"/>
    <col min="2571" max="2572" width="4.7109375" style="1" bestFit="1" customWidth="1"/>
    <col min="2573" max="2818" width="25.7109375" style="1"/>
    <col min="2819" max="2819" width="4.7109375" style="1" customWidth="1"/>
    <col min="2820" max="2820" width="30.42578125" style="1" customWidth="1"/>
    <col min="2821" max="2821" width="40.28515625" style="1" customWidth="1"/>
    <col min="2822" max="2822" width="39.28515625" style="1" customWidth="1"/>
    <col min="2823" max="2823" width="41.7109375" style="1" customWidth="1"/>
    <col min="2824" max="2824" width="41" style="1" customWidth="1"/>
    <col min="2825" max="2825" width="37.7109375" style="1" customWidth="1"/>
    <col min="2826" max="2826" width="10.7109375" style="1" customWidth="1"/>
    <col min="2827" max="2828" width="4.7109375" style="1" bestFit="1" customWidth="1"/>
    <col min="2829" max="3074" width="25.7109375" style="1"/>
    <col min="3075" max="3075" width="4.7109375" style="1" customWidth="1"/>
    <col min="3076" max="3076" width="30.42578125" style="1" customWidth="1"/>
    <col min="3077" max="3077" width="40.28515625" style="1" customWidth="1"/>
    <col min="3078" max="3078" width="39.28515625" style="1" customWidth="1"/>
    <col min="3079" max="3079" width="41.7109375" style="1" customWidth="1"/>
    <col min="3080" max="3080" width="41" style="1" customWidth="1"/>
    <col min="3081" max="3081" width="37.7109375" style="1" customWidth="1"/>
    <col min="3082" max="3082" width="10.7109375" style="1" customWidth="1"/>
    <col min="3083" max="3084" width="4.7109375" style="1" bestFit="1" customWidth="1"/>
    <col min="3085" max="3330" width="25.7109375" style="1"/>
    <col min="3331" max="3331" width="4.7109375" style="1" customWidth="1"/>
    <col min="3332" max="3332" width="30.42578125" style="1" customWidth="1"/>
    <col min="3333" max="3333" width="40.28515625" style="1" customWidth="1"/>
    <col min="3334" max="3334" width="39.28515625" style="1" customWidth="1"/>
    <col min="3335" max="3335" width="41.7109375" style="1" customWidth="1"/>
    <col min="3336" max="3336" width="41" style="1" customWidth="1"/>
    <col min="3337" max="3337" width="37.7109375" style="1" customWidth="1"/>
    <col min="3338" max="3338" width="10.7109375" style="1" customWidth="1"/>
    <col min="3339" max="3340" width="4.7109375" style="1" bestFit="1" customWidth="1"/>
    <col min="3341" max="3586" width="25.7109375" style="1"/>
    <col min="3587" max="3587" width="4.7109375" style="1" customWidth="1"/>
    <col min="3588" max="3588" width="30.42578125" style="1" customWidth="1"/>
    <col min="3589" max="3589" width="40.28515625" style="1" customWidth="1"/>
    <col min="3590" max="3590" width="39.28515625" style="1" customWidth="1"/>
    <col min="3591" max="3591" width="41.7109375" style="1" customWidth="1"/>
    <col min="3592" max="3592" width="41" style="1" customWidth="1"/>
    <col min="3593" max="3593" width="37.7109375" style="1" customWidth="1"/>
    <col min="3594" max="3594" width="10.7109375" style="1" customWidth="1"/>
    <col min="3595" max="3596" width="4.7109375" style="1" bestFit="1" customWidth="1"/>
    <col min="3597" max="3842" width="25.7109375" style="1"/>
    <col min="3843" max="3843" width="4.7109375" style="1" customWidth="1"/>
    <col min="3844" max="3844" width="30.42578125" style="1" customWidth="1"/>
    <col min="3845" max="3845" width="40.28515625" style="1" customWidth="1"/>
    <col min="3846" max="3846" width="39.28515625" style="1" customWidth="1"/>
    <col min="3847" max="3847" width="41.7109375" style="1" customWidth="1"/>
    <col min="3848" max="3848" width="41" style="1" customWidth="1"/>
    <col min="3849" max="3849" width="37.7109375" style="1" customWidth="1"/>
    <col min="3850" max="3850" width="10.7109375" style="1" customWidth="1"/>
    <col min="3851" max="3852" width="4.7109375" style="1" bestFit="1" customWidth="1"/>
    <col min="3853" max="4098" width="25.7109375" style="1"/>
    <col min="4099" max="4099" width="4.7109375" style="1" customWidth="1"/>
    <col min="4100" max="4100" width="30.42578125" style="1" customWidth="1"/>
    <col min="4101" max="4101" width="40.28515625" style="1" customWidth="1"/>
    <col min="4102" max="4102" width="39.28515625" style="1" customWidth="1"/>
    <col min="4103" max="4103" width="41.7109375" style="1" customWidth="1"/>
    <col min="4104" max="4104" width="41" style="1" customWidth="1"/>
    <col min="4105" max="4105" width="37.7109375" style="1" customWidth="1"/>
    <col min="4106" max="4106" width="10.7109375" style="1" customWidth="1"/>
    <col min="4107" max="4108" width="4.7109375" style="1" bestFit="1" customWidth="1"/>
    <col min="4109" max="4354" width="25.7109375" style="1"/>
    <col min="4355" max="4355" width="4.7109375" style="1" customWidth="1"/>
    <col min="4356" max="4356" width="30.42578125" style="1" customWidth="1"/>
    <col min="4357" max="4357" width="40.28515625" style="1" customWidth="1"/>
    <col min="4358" max="4358" width="39.28515625" style="1" customWidth="1"/>
    <col min="4359" max="4359" width="41.7109375" style="1" customWidth="1"/>
    <col min="4360" max="4360" width="41" style="1" customWidth="1"/>
    <col min="4361" max="4361" width="37.7109375" style="1" customWidth="1"/>
    <col min="4362" max="4362" width="10.7109375" style="1" customWidth="1"/>
    <col min="4363" max="4364" width="4.7109375" style="1" bestFit="1" customWidth="1"/>
    <col min="4365" max="4610" width="25.7109375" style="1"/>
    <col min="4611" max="4611" width="4.7109375" style="1" customWidth="1"/>
    <col min="4612" max="4612" width="30.42578125" style="1" customWidth="1"/>
    <col min="4613" max="4613" width="40.28515625" style="1" customWidth="1"/>
    <col min="4614" max="4614" width="39.28515625" style="1" customWidth="1"/>
    <col min="4615" max="4615" width="41.7109375" style="1" customWidth="1"/>
    <col min="4616" max="4616" width="41" style="1" customWidth="1"/>
    <col min="4617" max="4617" width="37.7109375" style="1" customWidth="1"/>
    <col min="4618" max="4618" width="10.7109375" style="1" customWidth="1"/>
    <col min="4619" max="4620" width="4.7109375" style="1" bestFit="1" customWidth="1"/>
    <col min="4621" max="4866" width="25.7109375" style="1"/>
    <col min="4867" max="4867" width="4.7109375" style="1" customWidth="1"/>
    <col min="4868" max="4868" width="30.42578125" style="1" customWidth="1"/>
    <col min="4869" max="4869" width="40.28515625" style="1" customWidth="1"/>
    <col min="4870" max="4870" width="39.28515625" style="1" customWidth="1"/>
    <col min="4871" max="4871" width="41.7109375" style="1" customWidth="1"/>
    <col min="4872" max="4872" width="41" style="1" customWidth="1"/>
    <col min="4873" max="4873" width="37.7109375" style="1" customWidth="1"/>
    <col min="4874" max="4874" width="10.7109375" style="1" customWidth="1"/>
    <col min="4875" max="4876" width="4.7109375" style="1" bestFit="1" customWidth="1"/>
    <col min="4877" max="5122" width="25.7109375" style="1"/>
    <col min="5123" max="5123" width="4.7109375" style="1" customWidth="1"/>
    <col min="5124" max="5124" width="30.42578125" style="1" customWidth="1"/>
    <col min="5125" max="5125" width="40.28515625" style="1" customWidth="1"/>
    <col min="5126" max="5126" width="39.28515625" style="1" customWidth="1"/>
    <col min="5127" max="5127" width="41.7109375" style="1" customWidth="1"/>
    <col min="5128" max="5128" width="41" style="1" customWidth="1"/>
    <col min="5129" max="5129" width="37.7109375" style="1" customWidth="1"/>
    <col min="5130" max="5130" width="10.7109375" style="1" customWidth="1"/>
    <col min="5131" max="5132" width="4.7109375" style="1" bestFit="1" customWidth="1"/>
    <col min="5133" max="5378" width="25.7109375" style="1"/>
    <col min="5379" max="5379" width="4.7109375" style="1" customWidth="1"/>
    <col min="5380" max="5380" width="30.42578125" style="1" customWidth="1"/>
    <col min="5381" max="5381" width="40.28515625" style="1" customWidth="1"/>
    <col min="5382" max="5382" width="39.28515625" style="1" customWidth="1"/>
    <col min="5383" max="5383" width="41.7109375" style="1" customWidth="1"/>
    <col min="5384" max="5384" width="41" style="1" customWidth="1"/>
    <col min="5385" max="5385" width="37.7109375" style="1" customWidth="1"/>
    <col min="5386" max="5386" width="10.7109375" style="1" customWidth="1"/>
    <col min="5387" max="5388" width="4.7109375" style="1" bestFit="1" customWidth="1"/>
    <col min="5389" max="5634" width="25.7109375" style="1"/>
    <col min="5635" max="5635" width="4.7109375" style="1" customWidth="1"/>
    <col min="5636" max="5636" width="30.42578125" style="1" customWidth="1"/>
    <col min="5637" max="5637" width="40.28515625" style="1" customWidth="1"/>
    <col min="5638" max="5638" width="39.28515625" style="1" customWidth="1"/>
    <col min="5639" max="5639" width="41.7109375" style="1" customWidth="1"/>
    <col min="5640" max="5640" width="41" style="1" customWidth="1"/>
    <col min="5641" max="5641" width="37.7109375" style="1" customWidth="1"/>
    <col min="5642" max="5642" width="10.7109375" style="1" customWidth="1"/>
    <col min="5643" max="5644" width="4.7109375" style="1" bestFit="1" customWidth="1"/>
    <col min="5645" max="5890" width="25.7109375" style="1"/>
    <col min="5891" max="5891" width="4.7109375" style="1" customWidth="1"/>
    <col min="5892" max="5892" width="30.42578125" style="1" customWidth="1"/>
    <col min="5893" max="5893" width="40.28515625" style="1" customWidth="1"/>
    <col min="5894" max="5894" width="39.28515625" style="1" customWidth="1"/>
    <col min="5895" max="5895" width="41.7109375" style="1" customWidth="1"/>
    <col min="5896" max="5896" width="41" style="1" customWidth="1"/>
    <col min="5897" max="5897" width="37.7109375" style="1" customWidth="1"/>
    <col min="5898" max="5898" width="10.7109375" style="1" customWidth="1"/>
    <col min="5899" max="5900" width="4.7109375" style="1" bestFit="1" customWidth="1"/>
    <col min="5901" max="6146" width="25.7109375" style="1"/>
    <col min="6147" max="6147" width="4.7109375" style="1" customWidth="1"/>
    <col min="6148" max="6148" width="30.42578125" style="1" customWidth="1"/>
    <col min="6149" max="6149" width="40.28515625" style="1" customWidth="1"/>
    <col min="6150" max="6150" width="39.28515625" style="1" customWidth="1"/>
    <col min="6151" max="6151" width="41.7109375" style="1" customWidth="1"/>
    <col min="6152" max="6152" width="41" style="1" customWidth="1"/>
    <col min="6153" max="6153" width="37.7109375" style="1" customWidth="1"/>
    <col min="6154" max="6154" width="10.7109375" style="1" customWidth="1"/>
    <col min="6155" max="6156" width="4.7109375" style="1" bestFit="1" customWidth="1"/>
    <col min="6157" max="6402" width="25.7109375" style="1"/>
    <col min="6403" max="6403" width="4.7109375" style="1" customWidth="1"/>
    <col min="6404" max="6404" width="30.42578125" style="1" customWidth="1"/>
    <col min="6405" max="6405" width="40.28515625" style="1" customWidth="1"/>
    <col min="6406" max="6406" width="39.28515625" style="1" customWidth="1"/>
    <col min="6407" max="6407" width="41.7109375" style="1" customWidth="1"/>
    <col min="6408" max="6408" width="41" style="1" customWidth="1"/>
    <col min="6409" max="6409" width="37.7109375" style="1" customWidth="1"/>
    <col min="6410" max="6410" width="10.7109375" style="1" customWidth="1"/>
    <col min="6411" max="6412" width="4.7109375" style="1" bestFit="1" customWidth="1"/>
    <col min="6413" max="6658" width="25.7109375" style="1"/>
    <col min="6659" max="6659" width="4.7109375" style="1" customWidth="1"/>
    <col min="6660" max="6660" width="30.42578125" style="1" customWidth="1"/>
    <col min="6661" max="6661" width="40.28515625" style="1" customWidth="1"/>
    <col min="6662" max="6662" width="39.28515625" style="1" customWidth="1"/>
    <col min="6663" max="6663" width="41.7109375" style="1" customWidth="1"/>
    <col min="6664" max="6664" width="41" style="1" customWidth="1"/>
    <col min="6665" max="6665" width="37.7109375" style="1" customWidth="1"/>
    <col min="6666" max="6666" width="10.7109375" style="1" customWidth="1"/>
    <col min="6667" max="6668" width="4.7109375" style="1" bestFit="1" customWidth="1"/>
    <col min="6669" max="6914" width="25.7109375" style="1"/>
    <col min="6915" max="6915" width="4.7109375" style="1" customWidth="1"/>
    <col min="6916" max="6916" width="30.42578125" style="1" customWidth="1"/>
    <col min="6917" max="6917" width="40.28515625" style="1" customWidth="1"/>
    <col min="6918" max="6918" width="39.28515625" style="1" customWidth="1"/>
    <col min="6919" max="6919" width="41.7109375" style="1" customWidth="1"/>
    <col min="6920" max="6920" width="41" style="1" customWidth="1"/>
    <col min="6921" max="6921" width="37.7109375" style="1" customWidth="1"/>
    <col min="6922" max="6922" width="10.7109375" style="1" customWidth="1"/>
    <col min="6923" max="6924" width="4.7109375" style="1" bestFit="1" customWidth="1"/>
    <col min="6925" max="7170" width="25.7109375" style="1"/>
    <col min="7171" max="7171" width="4.7109375" style="1" customWidth="1"/>
    <col min="7172" max="7172" width="30.42578125" style="1" customWidth="1"/>
    <col min="7173" max="7173" width="40.28515625" style="1" customWidth="1"/>
    <col min="7174" max="7174" width="39.28515625" style="1" customWidth="1"/>
    <col min="7175" max="7175" width="41.7109375" style="1" customWidth="1"/>
    <col min="7176" max="7176" width="41" style="1" customWidth="1"/>
    <col min="7177" max="7177" width="37.7109375" style="1" customWidth="1"/>
    <col min="7178" max="7178" width="10.7109375" style="1" customWidth="1"/>
    <col min="7179" max="7180" width="4.7109375" style="1" bestFit="1" customWidth="1"/>
    <col min="7181" max="7426" width="25.7109375" style="1"/>
    <col min="7427" max="7427" width="4.7109375" style="1" customWidth="1"/>
    <col min="7428" max="7428" width="30.42578125" style="1" customWidth="1"/>
    <col min="7429" max="7429" width="40.28515625" style="1" customWidth="1"/>
    <col min="7430" max="7430" width="39.28515625" style="1" customWidth="1"/>
    <col min="7431" max="7431" width="41.7109375" style="1" customWidth="1"/>
    <col min="7432" max="7432" width="41" style="1" customWidth="1"/>
    <col min="7433" max="7433" width="37.7109375" style="1" customWidth="1"/>
    <col min="7434" max="7434" width="10.7109375" style="1" customWidth="1"/>
    <col min="7435" max="7436" width="4.7109375" style="1" bestFit="1" customWidth="1"/>
    <col min="7437" max="7682" width="25.7109375" style="1"/>
    <col min="7683" max="7683" width="4.7109375" style="1" customWidth="1"/>
    <col min="7684" max="7684" width="30.42578125" style="1" customWidth="1"/>
    <col min="7685" max="7685" width="40.28515625" style="1" customWidth="1"/>
    <col min="7686" max="7686" width="39.28515625" style="1" customWidth="1"/>
    <col min="7687" max="7687" width="41.7109375" style="1" customWidth="1"/>
    <col min="7688" max="7688" width="41" style="1" customWidth="1"/>
    <col min="7689" max="7689" width="37.7109375" style="1" customWidth="1"/>
    <col min="7690" max="7690" width="10.7109375" style="1" customWidth="1"/>
    <col min="7691" max="7692" width="4.7109375" style="1" bestFit="1" customWidth="1"/>
    <col min="7693" max="7938" width="25.7109375" style="1"/>
    <col min="7939" max="7939" width="4.7109375" style="1" customWidth="1"/>
    <col min="7940" max="7940" width="30.42578125" style="1" customWidth="1"/>
    <col min="7941" max="7941" width="40.28515625" style="1" customWidth="1"/>
    <col min="7942" max="7942" width="39.28515625" style="1" customWidth="1"/>
    <col min="7943" max="7943" width="41.7109375" style="1" customWidth="1"/>
    <col min="7944" max="7944" width="41" style="1" customWidth="1"/>
    <col min="7945" max="7945" width="37.7109375" style="1" customWidth="1"/>
    <col min="7946" max="7946" width="10.7109375" style="1" customWidth="1"/>
    <col min="7947" max="7948" width="4.7109375" style="1" bestFit="1" customWidth="1"/>
    <col min="7949" max="8194" width="25.7109375" style="1"/>
    <col min="8195" max="8195" width="4.7109375" style="1" customWidth="1"/>
    <col min="8196" max="8196" width="30.42578125" style="1" customWidth="1"/>
    <col min="8197" max="8197" width="40.28515625" style="1" customWidth="1"/>
    <col min="8198" max="8198" width="39.28515625" style="1" customWidth="1"/>
    <col min="8199" max="8199" width="41.7109375" style="1" customWidth="1"/>
    <col min="8200" max="8200" width="41" style="1" customWidth="1"/>
    <col min="8201" max="8201" width="37.7109375" style="1" customWidth="1"/>
    <col min="8202" max="8202" width="10.7109375" style="1" customWidth="1"/>
    <col min="8203" max="8204" width="4.7109375" style="1" bestFit="1" customWidth="1"/>
    <col min="8205" max="8450" width="25.7109375" style="1"/>
    <col min="8451" max="8451" width="4.7109375" style="1" customWidth="1"/>
    <col min="8452" max="8452" width="30.42578125" style="1" customWidth="1"/>
    <col min="8453" max="8453" width="40.28515625" style="1" customWidth="1"/>
    <col min="8454" max="8454" width="39.28515625" style="1" customWidth="1"/>
    <col min="8455" max="8455" width="41.7109375" style="1" customWidth="1"/>
    <col min="8456" max="8456" width="41" style="1" customWidth="1"/>
    <col min="8457" max="8457" width="37.7109375" style="1" customWidth="1"/>
    <col min="8458" max="8458" width="10.7109375" style="1" customWidth="1"/>
    <col min="8459" max="8460" width="4.7109375" style="1" bestFit="1" customWidth="1"/>
    <col min="8461" max="8706" width="25.7109375" style="1"/>
    <col min="8707" max="8707" width="4.7109375" style="1" customWidth="1"/>
    <col min="8708" max="8708" width="30.42578125" style="1" customWidth="1"/>
    <col min="8709" max="8709" width="40.28515625" style="1" customWidth="1"/>
    <col min="8710" max="8710" width="39.28515625" style="1" customWidth="1"/>
    <col min="8711" max="8711" width="41.7109375" style="1" customWidth="1"/>
    <col min="8712" max="8712" width="41" style="1" customWidth="1"/>
    <col min="8713" max="8713" width="37.7109375" style="1" customWidth="1"/>
    <col min="8714" max="8714" width="10.7109375" style="1" customWidth="1"/>
    <col min="8715" max="8716" width="4.7109375" style="1" bestFit="1" customWidth="1"/>
    <col min="8717" max="8962" width="25.7109375" style="1"/>
    <col min="8963" max="8963" width="4.7109375" style="1" customWidth="1"/>
    <col min="8964" max="8964" width="30.42578125" style="1" customWidth="1"/>
    <col min="8965" max="8965" width="40.28515625" style="1" customWidth="1"/>
    <col min="8966" max="8966" width="39.28515625" style="1" customWidth="1"/>
    <col min="8967" max="8967" width="41.7109375" style="1" customWidth="1"/>
    <col min="8968" max="8968" width="41" style="1" customWidth="1"/>
    <col min="8969" max="8969" width="37.7109375" style="1" customWidth="1"/>
    <col min="8970" max="8970" width="10.7109375" style="1" customWidth="1"/>
    <col min="8971" max="8972" width="4.7109375" style="1" bestFit="1" customWidth="1"/>
    <col min="8973" max="9218" width="25.7109375" style="1"/>
    <col min="9219" max="9219" width="4.7109375" style="1" customWidth="1"/>
    <col min="9220" max="9220" width="30.42578125" style="1" customWidth="1"/>
    <col min="9221" max="9221" width="40.28515625" style="1" customWidth="1"/>
    <col min="9222" max="9222" width="39.28515625" style="1" customWidth="1"/>
    <col min="9223" max="9223" width="41.7109375" style="1" customWidth="1"/>
    <col min="9224" max="9224" width="41" style="1" customWidth="1"/>
    <col min="9225" max="9225" width="37.7109375" style="1" customWidth="1"/>
    <col min="9226" max="9226" width="10.7109375" style="1" customWidth="1"/>
    <col min="9227" max="9228" width="4.7109375" style="1" bestFit="1" customWidth="1"/>
    <col min="9229" max="9474" width="25.7109375" style="1"/>
    <col min="9475" max="9475" width="4.7109375" style="1" customWidth="1"/>
    <col min="9476" max="9476" width="30.42578125" style="1" customWidth="1"/>
    <col min="9477" max="9477" width="40.28515625" style="1" customWidth="1"/>
    <col min="9478" max="9478" width="39.28515625" style="1" customWidth="1"/>
    <col min="9479" max="9479" width="41.7109375" style="1" customWidth="1"/>
    <col min="9480" max="9480" width="41" style="1" customWidth="1"/>
    <col min="9481" max="9481" width="37.7109375" style="1" customWidth="1"/>
    <col min="9482" max="9482" width="10.7109375" style="1" customWidth="1"/>
    <col min="9483" max="9484" width="4.7109375" style="1" bestFit="1" customWidth="1"/>
    <col min="9485" max="9730" width="25.7109375" style="1"/>
    <col min="9731" max="9731" width="4.7109375" style="1" customWidth="1"/>
    <col min="9732" max="9732" width="30.42578125" style="1" customWidth="1"/>
    <col min="9733" max="9733" width="40.28515625" style="1" customWidth="1"/>
    <col min="9734" max="9734" width="39.28515625" style="1" customWidth="1"/>
    <col min="9735" max="9735" width="41.7109375" style="1" customWidth="1"/>
    <col min="9736" max="9736" width="41" style="1" customWidth="1"/>
    <col min="9737" max="9737" width="37.7109375" style="1" customWidth="1"/>
    <col min="9738" max="9738" width="10.7109375" style="1" customWidth="1"/>
    <col min="9739" max="9740" width="4.7109375" style="1" bestFit="1" customWidth="1"/>
    <col min="9741" max="9986" width="25.7109375" style="1"/>
    <col min="9987" max="9987" width="4.7109375" style="1" customWidth="1"/>
    <col min="9988" max="9988" width="30.42578125" style="1" customWidth="1"/>
    <col min="9989" max="9989" width="40.28515625" style="1" customWidth="1"/>
    <col min="9990" max="9990" width="39.28515625" style="1" customWidth="1"/>
    <col min="9991" max="9991" width="41.7109375" style="1" customWidth="1"/>
    <col min="9992" max="9992" width="41" style="1" customWidth="1"/>
    <col min="9993" max="9993" width="37.7109375" style="1" customWidth="1"/>
    <col min="9994" max="9994" width="10.7109375" style="1" customWidth="1"/>
    <col min="9995" max="9996" width="4.7109375" style="1" bestFit="1" customWidth="1"/>
    <col min="9997" max="10242" width="25.7109375" style="1"/>
    <col min="10243" max="10243" width="4.7109375" style="1" customWidth="1"/>
    <col min="10244" max="10244" width="30.42578125" style="1" customWidth="1"/>
    <col min="10245" max="10245" width="40.28515625" style="1" customWidth="1"/>
    <col min="10246" max="10246" width="39.28515625" style="1" customWidth="1"/>
    <col min="10247" max="10247" width="41.7109375" style="1" customWidth="1"/>
    <col min="10248" max="10248" width="41" style="1" customWidth="1"/>
    <col min="10249" max="10249" width="37.7109375" style="1" customWidth="1"/>
    <col min="10250" max="10250" width="10.7109375" style="1" customWidth="1"/>
    <col min="10251" max="10252" width="4.7109375" style="1" bestFit="1" customWidth="1"/>
    <col min="10253" max="10498" width="25.7109375" style="1"/>
    <col min="10499" max="10499" width="4.7109375" style="1" customWidth="1"/>
    <col min="10500" max="10500" width="30.42578125" style="1" customWidth="1"/>
    <col min="10501" max="10501" width="40.28515625" style="1" customWidth="1"/>
    <col min="10502" max="10502" width="39.28515625" style="1" customWidth="1"/>
    <col min="10503" max="10503" width="41.7109375" style="1" customWidth="1"/>
    <col min="10504" max="10504" width="41" style="1" customWidth="1"/>
    <col min="10505" max="10505" width="37.7109375" style="1" customWidth="1"/>
    <col min="10506" max="10506" width="10.7109375" style="1" customWidth="1"/>
    <col min="10507" max="10508" width="4.7109375" style="1" bestFit="1" customWidth="1"/>
    <col min="10509" max="10754" width="25.7109375" style="1"/>
    <col min="10755" max="10755" width="4.7109375" style="1" customWidth="1"/>
    <col min="10756" max="10756" width="30.42578125" style="1" customWidth="1"/>
    <col min="10757" max="10757" width="40.28515625" style="1" customWidth="1"/>
    <col min="10758" max="10758" width="39.28515625" style="1" customWidth="1"/>
    <col min="10759" max="10759" width="41.7109375" style="1" customWidth="1"/>
    <col min="10760" max="10760" width="41" style="1" customWidth="1"/>
    <col min="10761" max="10761" width="37.7109375" style="1" customWidth="1"/>
    <col min="10762" max="10762" width="10.7109375" style="1" customWidth="1"/>
    <col min="10763" max="10764" width="4.7109375" style="1" bestFit="1" customWidth="1"/>
    <col min="10765" max="11010" width="25.7109375" style="1"/>
    <col min="11011" max="11011" width="4.7109375" style="1" customWidth="1"/>
    <col min="11012" max="11012" width="30.42578125" style="1" customWidth="1"/>
    <col min="11013" max="11013" width="40.28515625" style="1" customWidth="1"/>
    <col min="11014" max="11014" width="39.28515625" style="1" customWidth="1"/>
    <col min="11015" max="11015" width="41.7109375" style="1" customWidth="1"/>
    <col min="11016" max="11016" width="41" style="1" customWidth="1"/>
    <col min="11017" max="11017" width="37.7109375" style="1" customWidth="1"/>
    <col min="11018" max="11018" width="10.7109375" style="1" customWidth="1"/>
    <col min="11019" max="11020" width="4.7109375" style="1" bestFit="1" customWidth="1"/>
    <col min="11021" max="11266" width="25.7109375" style="1"/>
    <col min="11267" max="11267" width="4.7109375" style="1" customWidth="1"/>
    <col min="11268" max="11268" width="30.42578125" style="1" customWidth="1"/>
    <col min="11269" max="11269" width="40.28515625" style="1" customWidth="1"/>
    <col min="11270" max="11270" width="39.28515625" style="1" customWidth="1"/>
    <col min="11271" max="11271" width="41.7109375" style="1" customWidth="1"/>
    <col min="11272" max="11272" width="41" style="1" customWidth="1"/>
    <col min="11273" max="11273" width="37.7109375" style="1" customWidth="1"/>
    <col min="11274" max="11274" width="10.7109375" style="1" customWidth="1"/>
    <col min="11275" max="11276" width="4.7109375" style="1" bestFit="1" customWidth="1"/>
    <col min="11277" max="11522" width="25.7109375" style="1"/>
    <col min="11523" max="11523" width="4.7109375" style="1" customWidth="1"/>
    <col min="11524" max="11524" width="30.42578125" style="1" customWidth="1"/>
    <col min="11525" max="11525" width="40.28515625" style="1" customWidth="1"/>
    <col min="11526" max="11526" width="39.28515625" style="1" customWidth="1"/>
    <col min="11527" max="11527" width="41.7109375" style="1" customWidth="1"/>
    <col min="11528" max="11528" width="41" style="1" customWidth="1"/>
    <col min="11529" max="11529" width="37.7109375" style="1" customWidth="1"/>
    <col min="11530" max="11530" width="10.7109375" style="1" customWidth="1"/>
    <col min="11531" max="11532" width="4.7109375" style="1" bestFit="1" customWidth="1"/>
    <col min="11533" max="11778" width="25.7109375" style="1"/>
    <col min="11779" max="11779" width="4.7109375" style="1" customWidth="1"/>
    <col min="11780" max="11780" width="30.42578125" style="1" customWidth="1"/>
    <col min="11781" max="11781" width="40.28515625" style="1" customWidth="1"/>
    <col min="11782" max="11782" width="39.28515625" style="1" customWidth="1"/>
    <col min="11783" max="11783" width="41.7109375" style="1" customWidth="1"/>
    <col min="11784" max="11784" width="41" style="1" customWidth="1"/>
    <col min="11785" max="11785" width="37.7109375" style="1" customWidth="1"/>
    <col min="11786" max="11786" width="10.7109375" style="1" customWidth="1"/>
    <col min="11787" max="11788" width="4.7109375" style="1" bestFit="1" customWidth="1"/>
    <col min="11789" max="12034" width="25.7109375" style="1"/>
    <col min="12035" max="12035" width="4.7109375" style="1" customWidth="1"/>
    <col min="12036" max="12036" width="30.42578125" style="1" customWidth="1"/>
    <col min="12037" max="12037" width="40.28515625" style="1" customWidth="1"/>
    <col min="12038" max="12038" width="39.28515625" style="1" customWidth="1"/>
    <col min="12039" max="12039" width="41.7109375" style="1" customWidth="1"/>
    <col min="12040" max="12040" width="41" style="1" customWidth="1"/>
    <col min="12041" max="12041" width="37.7109375" style="1" customWidth="1"/>
    <col min="12042" max="12042" width="10.7109375" style="1" customWidth="1"/>
    <col min="12043" max="12044" width="4.7109375" style="1" bestFit="1" customWidth="1"/>
    <col min="12045" max="12290" width="25.7109375" style="1"/>
    <col min="12291" max="12291" width="4.7109375" style="1" customWidth="1"/>
    <col min="12292" max="12292" width="30.42578125" style="1" customWidth="1"/>
    <col min="12293" max="12293" width="40.28515625" style="1" customWidth="1"/>
    <col min="12294" max="12294" width="39.28515625" style="1" customWidth="1"/>
    <col min="12295" max="12295" width="41.7109375" style="1" customWidth="1"/>
    <col min="12296" max="12296" width="41" style="1" customWidth="1"/>
    <col min="12297" max="12297" width="37.7109375" style="1" customWidth="1"/>
    <col min="12298" max="12298" width="10.7109375" style="1" customWidth="1"/>
    <col min="12299" max="12300" width="4.7109375" style="1" bestFit="1" customWidth="1"/>
    <col min="12301" max="12546" width="25.7109375" style="1"/>
    <col min="12547" max="12547" width="4.7109375" style="1" customWidth="1"/>
    <col min="12548" max="12548" width="30.42578125" style="1" customWidth="1"/>
    <col min="12549" max="12549" width="40.28515625" style="1" customWidth="1"/>
    <col min="12550" max="12550" width="39.28515625" style="1" customWidth="1"/>
    <col min="12551" max="12551" width="41.7109375" style="1" customWidth="1"/>
    <col min="12552" max="12552" width="41" style="1" customWidth="1"/>
    <col min="12553" max="12553" width="37.7109375" style="1" customWidth="1"/>
    <col min="12554" max="12554" width="10.7109375" style="1" customWidth="1"/>
    <col min="12555" max="12556" width="4.7109375" style="1" bestFit="1" customWidth="1"/>
    <col min="12557" max="12802" width="25.7109375" style="1"/>
    <col min="12803" max="12803" width="4.7109375" style="1" customWidth="1"/>
    <col min="12804" max="12804" width="30.42578125" style="1" customWidth="1"/>
    <col min="12805" max="12805" width="40.28515625" style="1" customWidth="1"/>
    <col min="12806" max="12806" width="39.28515625" style="1" customWidth="1"/>
    <col min="12807" max="12807" width="41.7109375" style="1" customWidth="1"/>
    <col min="12808" max="12808" width="41" style="1" customWidth="1"/>
    <col min="12809" max="12809" width="37.7109375" style="1" customWidth="1"/>
    <col min="12810" max="12810" width="10.7109375" style="1" customWidth="1"/>
    <col min="12811" max="12812" width="4.7109375" style="1" bestFit="1" customWidth="1"/>
    <col min="12813" max="13058" width="25.7109375" style="1"/>
    <col min="13059" max="13059" width="4.7109375" style="1" customWidth="1"/>
    <col min="13060" max="13060" width="30.42578125" style="1" customWidth="1"/>
    <col min="13061" max="13061" width="40.28515625" style="1" customWidth="1"/>
    <col min="13062" max="13062" width="39.28515625" style="1" customWidth="1"/>
    <col min="13063" max="13063" width="41.7109375" style="1" customWidth="1"/>
    <col min="13064" max="13064" width="41" style="1" customWidth="1"/>
    <col min="13065" max="13065" width="37.7109375" style="1" customWidth="1"/>
    <col min="13066" max="13066" width="10.7109375" style="1" customWidth="1"/>
    <col min="13067" max="13068" width="4.7109375" style="1" bestFit="1" customWidth="1"/>
    <col min="13069" max="13314" width="25.7109375" style="1"/>
    <col min="13315" max="13315" width="4.7109375" style="1" customWidth="1"/>
    <col min="13316" max="13316" width="30.42578125" style="1" customWidth="1"/>
    <col min="13317" max="13317" width="40.28515625" style="1" customWidth="1"/>
    <col min="13318" max="13318" width="39.28515625" style="1" customWidth="1"/>
    <col min="13319" max="13319" width="41.7109375" style="1" customWidth="1"/>
    <col min="13320" max="13320" width="41" style="1" customWidth="1"/>
    <col min="13321" max="13321" width="37.7109375" style="1" customWidth="1"/>
    <col min="13322" max="13322" width="10.7109375" style="1" customWidth="1"/>
    <col min="13323" max="13324" width="4.7109375" style="1" bestFit="1" customWidth="1"/>
    <col min="13325" max="13570" width="25.7109375" style="1"/>
    <col min="13571" max="13571" width="4.7109375" style="1" customWidth="1"/>
    <col min="13572" max="13572" width="30.42578125" style="1" customWidth="1"/>
    <col min="13573" max="13573" width="40.28515625" style="1" customWidth="1"/>
    <col min="13574" max="13574" width="39.28515625" style="1" customWidth="1"/>
    <col min="13575" max="13575" width="41.7109375" style="1" customWidth="1"/>
    <col min="13576" max="13576" width="41" style="1" customWidth="1"/>
    <col min="13577" max="13577" width="37.7109375" style="1" customWidth="1"/>
    <col min="13578" max="13578" width="10.7109375" style="1" customWidth="1"/>
    <col min="13579" max="13580" width="4.7109375" style="1" bestFit="1" customWidth="1"/>
    <col min="13581" max="13826" width="25.7109375" style="1"/>
    <col min="13827" max="13827" width="4.7109375" style="1" customWidth="1"/>
    <col min="13828" max="13828" width="30.42578125" style="1" customWidth="1"/>
    <col min="13829" max="13829" width="40.28515625" style="1" customWidth="1"/>
    <col min="13830" max="13830" width="39.28515625" style="1" customWidth="1"/>
    <col min="13831" max="13831" width="41.7109375" style="1" customWidth="1"/>
    <col min="13832" max="13832" width="41" style="1" customWidth="1"/>
    <col min="13833" max="13833" width="37.7109375" style="1" customWidth="1"/>
    <col min="13834" max="13834" width="10.7109375" style="1" customWidth="1"/>
    <col min="13835" max="13836" width="4.7109375" style="1" bestFit="1" customWidth="1"/>
    <col min="13837" max="14082" width="25.7109375" style="1"/>
    <col min="14083" max="14083" width="4.7109375" style="1" customWidth="1"/>
    <col min="14084" max="14084" width="30.42578125" style="1" customWidth="1"/>
    <col min="14085" max="14085" width="40.28515625" style="1" customWidth="1"/>
    <col min="14086" max="14086" width="39.28515625" style="1" customWidth="1"/>
    <col min="14087" max="14087" width="41.7109375" style="1" customWidth="1"/>
    <col min="14088" max="14088" width="41" style="1" customWidth="1"/>
    <col min="14089" max="14089" width="37.7109375" style="1" customWidth="1"/>
    <col min="14090" max="14090" width="10.7109375" style="1" customWidth="1"/>
    <col min="14091" max="14092" width="4.7109375" style="1" bestFit="1" customWidth="1"/>
    <col min="14093" max="14338" width="25.7109375" style="1"/>
    <col min="14339" max="14339" width="4.7109375" style="1" customWidth="1"/>
    <col min="14340" max="14340" width="30.42578125" style="1" customWidth="1"/>
    <col min="14341" max="14341" width="40.28515625" style="1" customWidth="1"/>
    <col min="14342" max="14342" width="39.28515625" style="1" customWidth="1"/>
    <col min="14343" max="14343" width="41.7109375" style="1" customWidth="1"/>
    <col min="14344" max="14344" width="41" style="1" customWidth="1"/>
    <col min="14345" max="14345" width="37.7109375" style="1" customWidth="1"/>
    <col min="14346" max="14346" width="10.7109375" style="1" customWidth="1"/>
    <col min="14347" max="14348" width="4.7109375" style="1" bestFit="1" customWidth="1"/>
    <col min="14349" max="14594" width="25.7109375" style="1"/>
    <col min="14595" max="14595" width="4.7109375" style="1" customWidth="1"/>
    <col min="14596" max="14596" width="30.42578125" style="1" customWidth="1"/>
    <col min="14597" max="14597" width="40.28515625" style="1" customWidth="1"/>
    <col min="14598" max="14598" width="39.28515625" style="1" customWidth="1"/>
    <col min="14599" max="14599" width="41.7109375" style="1" customWidth="1"/>
    <col min="14600" max="14600" width="41" style="1" customWidth="1"/>
    <col min="14601" max="14601" width="37.7109375" style="1" customWidth="1"/>
    <col min="14602" max="14602" width="10.7109375" style="1" customWidth="1"/>
    <col min="14603" max="14604" width="4.7109375" style="1" bestFit="1" customWidth="1"/>
    <col min="14605" max="14850" width="25.7109375" style="1"/>
    <col min="14851" max="14851" width="4.7109375" style="1" customWidth="1"/>
    <col min="14852" max="14852" width="30.42578125" style="1" customWidth="1"/>
    <col min="14853" max="14853" width="40.28515625" style="1" customWidth="1"/>
    <col min="14854" max="14854" width="39.28515625" style="1" customWidth="1"/>
    <col min="14855" max="14855" width="41.7109375" style="1" customWidth="1"/>
    <col min="14856" max="14856" width="41" style="1" customWidth="1"/>
    <col min="14857" max="14857" width="37.7109375" style="1" customWidth="1"/>
    <col min="14858" max="14858" width="10.7109375" style="1" customWidth="1"/>
    <col min="14859" max="14860" width="4.7109375" style="1" bestFit="1" customWidth="1"/>
    <col min="14861" max="15106" width="25.7109375" style="1"/>
    <col min="15107" max="15107" width="4.7109375" style="1" customWidth="1"/>
    <col min="15108" max="15108" width="30.42578125" style="1" customWidth="1"/>
    <col min="15109" max="15109" width="40.28515625" style="1" customWidth="1"/>
    <col min="15110" max="15110" width="39.28515625" style="1" customWidth="1"/>
    <col min="15111" max="15111" width="41.7109375" style="1" customWidth="1"/>
    <col min="15112" max="15112" width="41" style="1" customWidth="1"/>
    <col min="15113" max="15113" width="37.7109375" style="1" customWidth="1"/>
    <col min="15114" max="15114" width="10.7109375" style="1" customWidth="1"/>
    <col min="15115" max="15116" width="4.7109375" style="1" bestFit="1" customWidth="1"/>
    <col min="15117" max="15362" width="25.7109375" style="1"/>
    <col min="15363" max="15363" width="4.7109375" style="1" customWidth="1"/>
    <col min="15364" max="15364" width="30.42578125" style="1" customWidth="1"/>
    <col min="15365" max="15365" width="40.28515625" style="1" customWidth="1"/>
    <col min="15366" max="15366" width="39.28515625" style="1" customWidth="1"/>
    <col min="15367" max="15367" width="41.7109375" style="1" customWidth="1"/>
    <col min="15368" max="15368" width="41" style="1" customWidth="1"/>
    <col min="15369" max="15369" width="37.7109375" style="1" customWidth="1"/>
    <col min="15370" max="15370" width="10.7109375" style="1" customWidth="1"/>
    <col min="15371" max="15372" width="4.7109375" style="1" bestFit="1" customWidth="1"/>
    <col min="15373" max="15618" width="25.7109375" style="1"/>
    <col min="15619" max="15619" width="4.7109375" style="1" customWidth="1"/>
    <col min="15620" max="15620" width="30.42578125" style="1" customWidth="1"/>
    <col min="15621" max="15621" width="40.28515625" style="1" customWidth="1"/>
    <col min="15622" max="15622" width="39.28515625" style="1" customWidth="1"/>
    <col min="15623" max="15623" width="41.7109375" style="1" customWidth="1"/>
    <col min="15624" max="15624" width="41" style="1" customWidth="1"/>
    <col min="15625" max="15625" width="37.7109375" style="1" customWidth="1"/>
    <col min="15626" max="15626" width="10.7109375" style="1" customWidth="1"/>
    <col min="15627" max="15628" width="4.7109375" style="1" bestFit="1" customWidth="1"/>
    <col min="15629" max="15874" width="25.7109375" style="1"/>
    <col min="15875" max="15875" width="4.7109375" style="1" customWidth="1"/>
    <col min="15876" max="15876" width="30.42578125" style="1" customWidth="1"/>
    <col min="15877" max="15877" width="40.28515625" style="1" customWidth="1"/>
    <col min="15878" max="15878" width="39.28515625" style="1" customWidth="1"/>
    <col min="15879" max="15879" width="41.7109375" style="1" customWidth="1"/>
    <col min="15880" max="15880" width="41" style="1" customWidth="1"/>
    <col min="15881" max="15881" width="37.7109375" style="1" customWidth="1"/>
    <col min="15882" max="15882" width="10.7109375" style="1" customWidth="1"/>
    <col min="15883" max="15884" width="4.7109375" style="1" bestFit="1" customWidth="1"/>
    <col min="15885" max="16130" width="25.7109375" style="1"/>
    <col min="16131" max="16131" width="4.7109375" style="1" customWidth="1"/>
    <col min="16132" max="16132" width="30.42578125" style="1" customWidth="1"/>
    <col min="16133" max="16133" width="40.28515625" style="1" customWidth="1"/>
    <col min="16134" max="16134" width="39.28515625" style="1" customWidth="1"/>
    <col min="16135" max="16135" width="41.7109375" style="1" customWidth="1"/>
    <col min="16136" max="16136" width="41" style="1" customWidth="1"/>
    <col min="16137" max="16137" width="37.7109375" style="1" customWidth="1"/>
    <col min="16138" max="16138" width="10.7109375" style="1" customWidth="1"/>
    <col min="16139" max="16140" width="4.7109375" style="1" bestFit="1" customWidth="1"/>
    <col min="16141" max="16384" width="25.7109375" style="1"/>
  </cols>
  <sheetData>
    <row r="1" spans="1:13" ht="20.100000000000001" customHeight="1" x14ac:dyDescent="0.25">
      <c r="I1" s="2"/>
      <c r="J1" s="2"/>
    </row>
    <row r="2" spans="1:13" ht="20.100000000000001" customHeight="1" x14ac:dyDescent="0.25">
      <c r="I2" s="2"/>
      <c r="J2" s="2"/>
      <c r="K2" s="2"/>
    </row>
    <row r="3" spans="1:13" ht="20.100000000000001" customHeight="1" x14ac:dyDescent="0.25">
      <c r="E3" s="624"/>
      <c r="F3" s="624"/>
      <c r="G3" s="624"/>
      <c r="H3" s="499"/>
      <c r="I3" s="2"/>
      <c r="J3" s="2"/>
    </row>
    <row r="4" spans="1:13" ht="11.25" customHeight="1" thickBot="1" x14ac:dyDescent="0.3">
      <c r="B4" s="3"/>
      <c r="C4" s="149"/>
      <c r="D4" s="4"/>
      <c r="E4" s="4"/>
      <c r="F4" s="4"/>
      <c r="G4" s="149"/>
      <c r="H4" s="210"/>
      <c r="I4" s="199"/>
      <c r="J4" s="2"/>
      <c r="K4" s="2"/>
    </row>
    <row r="5" spans="1:13" s="5" customFormat="1" ht="20.100000000000001" customHeight="1" thickBot="1" x14ac:dyDescent="0.3">
      <c r="A5" s="235"/>
      <c r="B5" s="228" t="s">
        <v>216</v>
      </c>
      <c r="C5" s="625">
        <v>43759</v>
      </c>
      <c r="D5" s="626"/>
      <c r="E5" s="625">
        <v>43760</v>
      </c>
      <c r="F5" s="626"/>
      <c r="G5" s="625">
        <v>43761</v>
      </c>
      <c r="H5" s="626"/>
      <c r="I5" s="625">
        <v>43762</v>
      </c>
      <c r="J5" s="626"/>
      <c r="K5" s="625">
        <v>43763</v>
      </c>
      <c r="L5" s="626"/>
      <c r="M5" s="234"/>
    </row>
    <row r="6" spans="1:13" s="5" customFormat="1" ht="18.95" customHeight="1" x14ac:dyDescent="0.25">
      <c r="A6" s="580">
        <v>1</v>
      </c>
      <c r="B6" s="581"/>
      <c r="C6" s="584" t="s">
        <v>118</v>
      </c>
      <c r="D6" s="589">
        <v>5</v>
      </c>
      <c r="E6" s="584" t="s">
        <v>176</v>
      </c>
      <c r="F6" s="589">
        <v>6</v>
      </c>
      <c r="G6" s="584" t="s">
        <v>22</v>
      </c>
      <c r="H6" s="589">
        <v>0.75</v>
      </c>
      <c r="I6" s="584" t="s">
        <v>22</v>
      </c>
      <c r="J6" s="589">
        <v>0.5</v>
      </c>
      <c r="K6" s="584" t="s">
        <v>131</v>
      </c>
      <c r="L6" s="589">
        <v>4</v>
      </c>
      <c r="M6" s="234"/>
    </row>
    <row r="7" spans="1:13" s="5" customFormat="1" ht="18.95" customHeight="1" x14ac:dyDescent="0.25">
      <c r="A7" s="586"/>
      <c r="B7" s="587"/>
      <c r="C7" s="584" t="s">
        <v>176</v>
      </c>
      <c r="D7" s="589">
        <v>4</v>
      </c>
      <c r="E7" s="584" t="s">
        <v>228</v>
      </c>
      <c r="F7" s="589">
        <v>3</v>
      </c>
      <c r="G7" s="584" t="s">
        <v>228</v>
      </c>
      <c r="H7" s="583">
        <v>0.5</v>
      </c>
      <c r="I7" s="584" t="s">
        <v>203</v>
      </c>
      <c r="J7" s="589">
        <v>0.5</v>
      </c>
      <c r="K7" s="584" t="s">
        <v>237</v>
      </c>
      <c r="L7" s="600">
        <v>1</v>
      </c>
      <c r="M7" s="234"/>
    </row>
    <row r="8" spans="1:13" s="5" customFormat="1" ht="18.95" customHeight="1" x14ac:dyDescent="0.25">
      <c r="A8" s="590"/>
      <c r="B8" s="591"/>
      <c r="C8" s="592"/>
      <c r="D8" s="589"/>
      <c r="E8" s="582"/>
      <c r="F8" s="583"/>
      <c r="G8" s="584" t="s">
        <v>176</v>
      </c>
      <c r="H8" s="589">
        <v>1.5</v>
      </c>
      <c r="I8" s="592" t="s">
        <v>191</v>
      </c>
      <c r="J8" s="589">
        <v>0.25</v>
      </c>
      <c r="K8" s="593"/>
      <c r="L8" s="601"/>
      <c r="M8" s="234"/>
    </row>
    <row r="9" spans="1:13" s="5" customFormat="1" ht="18.95" customHeight="1" x14ac:dyDescent="0.25">
      <c r="A9" s="590"/>
      <c r="B9" s="591"/>
      <c r="C9" s="592"/>
      <c r="D9" s="589"/>
      <c r="E9" s="582"/>
      <c r="F9" s="583"/>
      <c r="G9" s="584" t="s">
        <v>168</v>
      </c>
      <c r="H9" s="594">
        <v>0.75</v>
      </c>
      <c r="I9" s="592" t="s">
        <v>205</v>
      </c>
      <c r="J9" s="589">
        <v>0.25</v>
      </c>
      <c r="K9" s="593"/>
      <c r="L9" s="601"/>
      <c r="M9" s="234"/>
    </row>
    <row r="10" spans="1:13" s="5" customFormat="1" ht="18.95" customHeight="1" x14ac:dyDescent="0.25">
      <c r="A10" s="590"/>
      <c r="B10" s="591"/>
      <c r="C10" s="592"/>
      <c r="D10" s="589"/>
      <c r="E10" s="582"/>
      <c r="F10" s="583"/>
      <c r="G10" s="584" t="s">
        <v>203</v>
      </c>
      <c r="H10" s="594">
        <v>1.75</v>
      </c>
      <c r="I10" s="592" t="s">
        <v>119</v>
      </c>
      <c r="J10" s="589">
        <v>6</v>
      </c>
      <c r="K10" s="593"/>
      <c r="L10" s="601"/>
      <c r="M10" s="234"/>
    </row>
    <row r="11" spans="1:13" s="5" customFormat="1" ht="18.95" customHeight="1" x14ac:dyDescent="0.25">
      <c r="A11" s="590"/>
      <c r="B11" s="591"/>
      <c r="C11" s="592"/>
      <c r="D11" s="589"/>
      <c r="E11" s="582"/>
      <c r="F11" s="583"/>
      <c r="G11" s="584" t="s">
        <v>101</v>
      </c>
      <c r="H11" s="594">
        <v>3</v>
      </c>
      <c r="I11" s="592" t="s">
        <v>13</v>
      </c>
      <c r="J11" s="589">
        <v>0.5</v>
      </c>
      <c r="K11" s="593"/>
      <c r="L11" s="601"/>
      <c r="M11" s="234"/>
    </row>
    <row r="12" spans="1:13" s="5" customFormat="1" ht="18.95" customHeight="1" x14ac:dyDescent="0.25">
      <c r="A12" s="590"/>
      <c r="B12" s="591"/>
      <c r="C12" s="592"/>
      <c r="D12" s="589"/>
      <c r="E12" s="582"/>
      <c r="F12" s="583"/>
      <c r="G12" s="584" t="s">
        <v>64</v>
      </c>
      <c r="H12" s="594">
        <v>0.75</v>
      </c>
      <c r="I12" s="592" t="s">
        <v>235</v>
      </c>
      <c r="J12" s="589">
        <v>0.25</v>
      </c>
      <c r="K12" s="593"/>
      <c r="L12" s="601"/>
      <c r="M12" s="234"/>
    </row>
    <row r="13" spans="1:13" s="5" customFormat="1" ht="18.95" customHeight="1" x14ac:dyDescent="0.25">
      <c r="A13" s="590"/>
      <c r="B13" s="591"/>
      <c r="C13" s="592"/>
      <c r="D13" s="589"/>
      <c r="E13" s="582"/>
      <c r="F13" s="583"/>
      <c r="G13" s="592"/>
      <c r="H13" s="589"/>
      <c r="I13" s="592" t="s">
        <v>131</v>
      </c>
      <c r="J13" s="589">
        <v>0.75</v>
      </c>
      <c r="K13" s="593"/>
      <c r="L13" s="583"/>
      <c r="M13" s="234"/>
    </row>
    <row r="14" spans="1:13" s="6" customFormat="1" ht="8.1" customHeight="1" x14ac:dyDescent="0.25">
      <c r="A14" s="104"/>
      <c r="B14" s="105"/>
      <c r="C14" s="105"/>
      <c r="D14" s="116">
        <f>D6+D7+D8</f>
        <v>9</v>
      </c>
      <c r="E14" s="105"/>
      <c r="F14" s="116">
        <f>F6+F7+F8</f>
        <v>9</v>
      </c>
      <c r="G14" s="105"/>
      <c r="H14" s="116">
        <f>H6+H7+H8+H9+H10+H11+H12</f>
        <v>9</v>
      </c>
      <c r="I14" s="105"/>
      <c r="J14" s="116">
        <f>J6+J7+J8+J9+J10+J11+J12+J13</f>
        <v>9</v>
      </c>
      <c r="K14" s="105"/>
      <c r="L14" s="116">
        <f>L6+L7+L8</f>
        <v>5</v>
      </c>
      <c r="M14" s="233">
        <f>SUM(D14:L14)</f>
        <v>41</v>
      </c>
    </row>
    <row r="15" spans="1:13" ht="25.5" x14ac:dyDescent="0.25">
      <c r="A15" s="7">
        <v>2</v>
      </c>
      <c r="B15" s="8"/>
      <c r="C15" s="296" t="s">
        <v>197</v>
      </c>
      <c r="D15" s="117">
        <v>0.5</v>
      </c>
      <c r="E15" s="354" t="s">
        <v>118</v>
      </c>
      <c r="F15" s="117">
        <v>3.5</v>
      </c>
      <c r="G15" s="306" t="s">
        <v>176</v>
      </c>
      <c r="H15" s="93">
        <v>9</v>
      </c>
      <c r="I15" s="306" t="s">
        <v>168</v>
      </c>
      <c r="J15" s="297">
        <v>1</v>
      </c>
      <c r="K15" s="599" t="s">
        <v>218</v>
      </c>
      <c r="L15" s="297">
        <v>3</v>
      </c>
    </row>
    <row r="16" spans="1:13" ht="18.95" customHeight="1" x14ac:dyDescent="0.25">
      <c r="A16" s="9"/>
      <c r="B16" s="120"/>
      <c r="C16" s="306" t="s">
        <v>198</v>
      </c>
      <c r="D16" s="93">
        <v>2</v>
      </c>
      <c r="E16" s="306" t="s">
        <v>220</v>
      </c>
      <c r="F16" s="93">
        <v>0.5</v>
      </c>
      <c r="G16" s="306"/>
      <c r="H16" s="93"/>
      <c r="I16" s="306" t="s">
        <v>176</v>
      </c>
      <c r="J16" s="297">
        <v>2</v>
      </c>
      <c r="K16" s="123" t="s">
        <v>229</v>
      </c>
      <c r="L16" s="297">
        <v>1.5</v>
      </c>
    </row>
    <row r="17" spans="1:13" ht="18.95" customHeight="1" x14ac:dyDescent="0.25">
      <c r="A17" s="18"/>
      <c r="B17" s="120"/>
      <c r="C17" s="123" t="s">
        <v>229</v>
      </c>
      <c r="D17" s="117">
        <v>2</v>
      </c>
      <c r="E17" s="123" t="s">
        <v>229</v>
      </c>
      <c r="F17" s="117">
        <v>2</v>
      </c>
      <c r="G17" s="306"/>
      <c r="H17" s="117"/>
      <c r="I17" s="306" t="s">
        <v>214</v>
      </c>
      <c r="J17" s="297">
        <v>2</v>
      </c>
      <c r="K17" s="306" t="s">
        <v>237</v>
      </c>
      <c r="L17" s="297">
        <v>0.5</v>
      </c>
    </row>
    <row r="18" spans="1:13" ht="18.95" customHeight="1" x14ac:dyDescent="0.25">
      <c r="A18" s="18"/>
      <c r="B18" s="120"/>
      <c r="C18" s="123" t="s">
        <v>118</v>
      </c>
      <c r="D18" s="516">
        <v>3.5</v>
      </c>
      <c r="E18" s="306" t="s">
        <v>215</v>
      </c>
      <c r="F18" s="117">
        <v>3</v>
      </c>
      <c r="G18" s="306"/>
      <c r="H18" s="117"/>
      <c r="I18" s="306" t="s">
        <v>203</v>
      </c>
      <c r="J18" s="297">
        <v>3</v>
      </c>
      <c r="K18" s="296"/>
      <c r="L18" s="328"/>
    </row>
    <row r="19" spans="1:13" ht="18.95" customHeight="1" x14ac:dyDescent="0.25">
      <c r="A19" s="18"/>
      <c r="B19" s="120"/>
      <c r="C19" s="123" t="s">
        <v>222</v>
      </c>
      <c r="D19" s="516">
        <v>1</v>
      </c>
      <c r="E19" s="306"/>
      <c r="F19" s="117"/>
      <c r="G19" s="306"/>
      <c r="H19" s="117"/>
      <c r="I19" s="306" t="s">
        <v>218</v>
      </c>
      <c r="J19" s="297">
        <v>1</v>
      </c>
      <c r="K19" s="296"/>
      <c r="L19" s="328"/>
    </row>
    <row r="20" spans="1:13" s="6" customFormat="1" ht="8.1" customHeight="1" x14ac:dyDescent="0.25">
      <c r="A20" s="104"/>
      <c r="B20" s="105"/>
      <c r="C20" s="105"/>
      <c r="D20" s="116">
        <f>D15+D16+D17+D18+D19</f>
        <v>9</v>
      </c>
      <c r="E20" s="105"/>
      <c r="F20" s="116">
        <f>F15+F16+F17+F18+F19</f>
        <v>9</v>
      </c>
      <c r="G20" s="105"/>
      <c r="H20" s="116">
        <v>8.25</v>
      </c>
      <c r="I20" s="105"/>
      <c r="J20" s="116">
        <f>J15+J16+J17+J18+J19</f>
        <v>9</v>
      </c>
      <c r="K20" s="105"/>
      <c r="L20" s="116">
        <f>L15+L16+L17+L18+L19</f>
        <v>5</v>
      </c>
      <c r="M20" s="233">
        <f>SUM(D20:L20)</f>
        <v>40.25</v>
      </c>
    </row>
    <row r="21" spans="1:13" ht="19.5" customHeight="1" x14ac:dyDescent="0.25">
      <c r="A21" s="10">
        <v>3</v>
      </c>
      <c r="B21" s="369"/>
      <c r="C21" s="293" t="s">
        <v>1</v>
      </c>
      <c r="D21" s="294"/>
      <c r="E21" s="293" t="s">
        <v>1</v>
      </c>
      <c r="F21" s="294"/>
      <c r="G21" s="293" t="s">
        <v>1</v>
      </c>
      <c r="H21" s="294"/>
      <c r="I21" s="307" t="s">
        <v>215</v>
      </c>
      <c r="J21" s="124">
        <v>1</v>
      </c>
      <c r="K21" s="342" t="s">
        <v>26</v>
      </c>
      <c r="L21" s="124">
        <v>0.5</v>
      </c>
    </row>
    <row r="22" spans="1:13" ht="19.5" customHeight="1" x14ac:dyDescent="0.25">
      <c r="A22" s="11"/>
      <c r="B22" s="83"/>
      <c r="C22" s="229" t="s">
        <v>189</v>
      </c>
      <c r="D22" s="230">
        <v>8.25</v>
      </c>
      <c r="E22" s="229" t="s">
        <v>189</v>
      </c>
      <c r="F22" s="230">
        <v>8.25</v>
      </c>
      <c r="G22" s="229" t="s">
        <v>189</v>
      </c>
      <c r="H22" s="230">
        <v>6</v>
      </c>
      <c r="I22" s="229" t="s">
        <v>189</v>
      </c>
      <c r="J22" s="230">
        <v>4.5</v>
      </c>
      <c r="K22" s="308" t="s">
        <v>118</v>
      </c>
      <c r="L22" s="610">
        <v>2</v>
      </c>
    </row>
    <row r="23" spans="1:13" ht="19.5" customHeight="1" x14ac:dyDescent="0.25">
      <c r="A23" s="16"/>
      <c r="B23" s="214"/>
      <c r="C23" s="307"/>
      <c r="D23" s="124"/>
      <c r="E23" s="307"/>
      <c r="F23" s="124"/>
      <c r="G23" s="307" t="s">
        <v>215</v>
      </c>
      <c r="H23" s="124">
        <v>2.25</v>
      </c>
      <c r="I23" s="308" t="s">
        <v>118</v>
      </c>
      <c r="J23" s="124">
        <v>2.75</v>
      </c>
      <c r="K23" s="91" t="s">
        <v>189</v>
      </c>
      <c r="L23" s="97">
        <v>2.5</v>
      </c>
    </row>
    <row r="24" spans="1:13" s="6" customFormat="1" ht="8.1" customHeight="1" x14ac:dyDescent="0.25">
      <c r="A24" s="104"/>
      <c r="B24" s="105"/>
      <c r="C24" s="232"/>
      <c r="D24" s="231">
        <v>8.25</v>
      </c>
      <c r="E24" s="232"/>
      <c r="F24" s="231">
        <v>8.25</v>
      </c>
      <c r="G24" s="232"/>
      <c r="H24" s="231">
        <f>H22+H23</f>
        <v>8.25</v>
      </c>
      <c r="I24" s="232"/>
      <c r="J24" s="231">
        <f>J22+J23+J21</f>
        <v>8.25</v>
      </c>
      <c r="K24" s="232"/>
      <c r="L24" s="231">
        <f>L22+L23+L21</f>
        <v>5</v>
      </c>
      <c r="M24" s="233">
        <f>SUM(D24:L24)</f>
        <v>38</v>
      </c>
    </row>
    <row r="25" spans="1:13" s="5" customFormat="1" ht="19.5" customHeight="1" x14ac:dyDescent="0.25">
      <c r="A25" s="295">
        <v>4</v>
      </c>
      <c r="B25" s="15"/>
      <c r="C25" s="515" t="s">
        <v>0</v>
      </c>
      <c r="D25" s="118"/>
      <c r="E25" s="531" t="s">
        <v>189</v>
      </c>
      <c r="F25" s="124">
        <v>8.25</v>
      </c>
      <c r="G25" s="531" t="s">
        <v>189</v>
      </c>
      <c r="H25" s="124">
        <v>3</v>
      </c>
      <c r="I25" s="308" t="s">
        <v>118</v>
      </c>
      <c r="J25" s="124">
        <v>7.92</v>
      </c>
      <c r="K25" s="308" t="s">
        <v>118</v>
      </c>
      <c r="L25" s="124">
        <v>2.5</v>
      </c>
      <c r="M25" s="234"/>
    </row>
    <row r="26" spans="1:13" s="5" customFormat="1" ht="19.5" customHeight="1" x14ac:dyDescent="0.25">
      <c r="A26" s="295"/>
      <c r="B26" s="370"/>
      <c r="C26" s="515"/>
      <c r="D26" s="118"/>
      <c r="E26" s="308"/>
      <c r="F26" s="124"/>
      <c r="G26" s="308" t="s">
        <v>118</v>
      </c>
      <c r="H26" s="124">
        <v>5</v>
      </c>
      <c r="I26" s="304"/>
      <c r="J26" s="96"/>
      <c r="K26" s="609" t="s">
        <v>189</v>
      </c>
      <c r="L26" s="124">
        <v>3</v>
      </c>
      <c r="M26" s="234"/>
    </row>
    <row r="27" spans="1:13" s="5" customFormat="1" ht="19.5" customHeight="1" x14ac:dyDescent="0.25">
      <c r="A27" s="473"/>
      <c r="B27" s="370"/>
      <c r="C27" s="530"/>
      <c r="D27" s="137"/>
      <c r="E27" s="307"/>
      <c r="F27" s="124"/>
      <c r="G27" s="307" t="s">
        <v>26</v>
      </c>
      <c r="H27" s="124">
        <v>0.25</v>
      </c>
      <c r="I27" s="536"/>
      <c r="J27" s="96"/>
      <c r="K27" s="535"/>
      <c r="L27" s="96"/>
      <c r="M27" s="234"/>
    </row>
    <row r="28" spans="1:13" s="6" customFormat="1" ht="8.1" customHeight="1" x14ac:dyDescent="0.25">
      <c r="A28" s="394"/>
      <c r="D28" s="231">
        <v>0</v>
      </c>
      <c r="F28" s="231">
        <v>8.25</v>
      </c>
      <c r="H28" s="231">
        <f>H25+H26+H27</f>
        <v>8.25</v>
      </c>
      <c r="J28" s="231">
        <f>J25+J26+J27</f>
        <v>7.92</v>
      </c>
      <c r="L28" s="280">
        <v>5.5</v>
      </c>
      <c r="M28" s="233">
        <f>SUM(D28:L28)</f>
        <v>29.92</v>
      </c>
    </row>
    <row r="29" spans="1:13" ht="19.5" customHeight="1" x14ac:dyDescent="0.25">
      <c r="A29" s="12">
        <v>5</v>
      </c>
      <c r="B29" s="20"/>
      <c r="C29" s="592" t="s">
        <v>215</v>
      </c>
      <c r="D29" s="589">
        <v>8.25</v>
      </c>
      <c r="E29" s="592" t="s">
        <v>218</v>
      </c>
      <c r="F29" s="589">
        <v>3.5</v>
      </c>
      <c r="G29" s="306" t="s">
        <v>229</v>
      </c>
      <c r="H29" s="117">
        <v>8.25</v>
      </c>
      <c r="I29" s="306" t="s">
        <v>229</v>
      </c>
      <c r="J29" s="146">
        <v>5.25</v>
      </c>
      <c r="K29" s="306" t="s">
        <v>119</v>
      </c>
      <c r="L29" s="117">
        <v>5</v>
      </c>
    </row>
    <row r="30" spans="1:13" ht="19.5" customHeight="1" x14ac:dyDescent="0.25">
      <c r="A30" s="381"/>
      <c r="B30" s="87"/>
      <c r="C30" s="593"/>
      <c r="D30" s="583"/>
      <c r="E30" s="607" t="s">
        <v>228</v>
      </c>
      <c r="F30" s="589">
        <v>1.25</v>
      </c>
      <c r="G30" s="593"/>
      <c r="H30" s="583"/>
      <c r="I30" s="107" t="s">
        <v>119</v>
      </c>
      <c r="J30" s="571">
        <v>3</v>
      </c>
      <c r="K30" s="98"/>
      <c r="L30" s="374"/>
    </row>
    <row r="31" spans="1:13" ht="19.5" customHeight="1" x14ac:dyDescent="0.25">
      <c r="A31" s="12"/>
      <c r="B31" s="127"/>
      <c r="C31" s="593"/>
      <c r="D31" s="583"/>
      <c r="E31" s="592" t="s">
        <v>214</v>
      </c>
      <c r="F31" s="589">
        <v>3.5</v>
      </c>
      <c r="G31" s="593"/>
      <c r="H31" s="583"/>
      <c r="I31" s="98"/>
      <c r="J31" s="374"/>
      <c r="K31" s="98"/>
      <c r="L31" s="374"/>
    </row>
    <row r="32" spans="1:13" s="14" customFormat="1" ht="7.5" customHeight="1" x14ac:dyDescent="0.25">
      <c r="D32" s="231">
        <f>D29+D30</f>
        <v>8.25</v>
      </c>
      <c r="F32" s="231">
        <f>F29+F30+F31</f>
        <v>8.25</v>
      </c>
      <c r="H32" s="231">
        <v>8.25</v>
      </c>
      <c r="I32" s="6"/>
      <c r="J32" s="231">
        <v>8.25</v>
      </c>
      <c r="K32" s="6"/>
      <c r="L32" s="231">
        <v>5</v>
      </c>
      <c r="M32" s="233">
        <f>SUM(D32:L32)</f>
        <v>38</v>
      </c>
    </row>
    <row r="33" spans="1:13" ht="19.5" customHeight="1" x14ac:dyDescent="0.25">
      <c r="A33" s="12">
        <v>6</v>
      </c>
      <c r="B33" s="20"/>
      <c r="C33" s="299" t="s">
        <v>202</v>
      </c>
      <c r="D33" s="320">
        <v>4.5</v>
      </c>
      <c r="E33" s="299" t="s">
        <v>220</v>
      </c>
      <c r="F33" s="97">
        <v>3</v>
      </c>
      <c r="G33" s="463" t="s">
        <v>215</v>
      </c>
      <c r="H33" s="97">
        <v>7.5</v>
      </c>
      <c r="I33" s="515" t="s">
        <v>0</v>
      </c>
      <c r="J33" s="118"/>
      <c r="K33" s="91" t="s">
        <v>182</v>
      </c>
      <c r="L33" s="97">
        <v>5</v>
      </c>
    </row>
    <row r="34" spans="1:13" ht="19.5" customHeight="1" x14ac:dyDescent="0.25">
      <c r="A34" s="381"/>
      <c r="B34" s="87"/>
      <c r="C34" s="91" t="s">
        <v>198</v>
      </c>
      <c r="D34" s="230">
        <v>3</v>
      </c>
      <c r="E34" s="91" t="s">
        <v>198</v>
      </c>
      <c r="F34" s="230">
        <v>4.5</v>
      </c>
      <c r="G34" s="98"/>
      <c r="H34" s="374"/>
      <c r="I34" s="515" t="s">
        <v>221</v>
      </c>
      <c r="J34" s="118"/>
      <c r="K34" s="98"/>
      <c r="L34" s="374"/>
    </row>
    <row r="35" spans="1:13" s="14" customFormat="1" ht="8.1" customHeight="1" thickBot="1" x14ac:dyDescent="0.3">
      <c r="A35" s="395"/>
      <c r="D35" s="231">
        <f>D33+D34</f>
        <v>7.5</v>
      </c>
      <c r="F35" s="231">
        <f>F33+F34</f>
        <v>7.5</v>
      </c>
      <c r="H35" s="231">
        <f>H33+H34</f>
        <v>7.5</v>
      </c>
      <c r="I35" s="6"/>
      <c r="J35" s="231">
        <f>J33+J34</f>
        <v>0</v>
      </c>
      <c r="K35" s="6"/>
      <c r="L35" s="231">
        <f>L33+L34</f>
        <v>5</v>
      </c>
      <c r="M35" s="233">
        <f>SUM(D35:L35)</f>
        <v>27.5</v>
      </c>
    </row>
    <row r="36" spans="1:13" ht="19.5" customHeight="1" x14ac:dyDescent="0.25">
      <c r="A36" s="375">
        <v>7</v>
      </c>
      <c r="B36" s="376"/>
      <c r="C36" s="422" t="s">
        <v>202</v>
      </c>
      <c r="D36" s="537">
        <v>5</v>
      </c>
      <c r="E36" s="422" t="s">
        <v>220</v>
      </c>
      <c r="F36" s="423">
        <v>3.75</v>
      </c>
      <c r="G36" s="477" t="s">
        <v>215</v>
      </c>
      <c r="H36" s="423">
        <v>8.75</v>
      </c>
      <c r="I36" s="477" t="s">
        <v>215</v>
      </c>
      <c r="J36" s="423">
        <v>7.75</v>
      </c>
      <c r="K36" s="91" t="s">
        <v>182</v>
      </c>
      <c r="L36" s="444">
        <v>5.5</v>
      </c>
    </row>
    <row r="37" spans="1:13" ht="19.5" customHeight="1" x14ac:dyDescent="0.25">
      <c r="A37" s="378"/>
      <c r="B37" s="19"/>
      <c r="C37" s="91" t="s">
        <v>198</v>
      </c>
      <c r="D37" s="230">
        <v>3.75</v>
      </c>
      <c r="E37" s="91" t="s">
        <v>198</v>
      </c>
      <c r="F37" s="230">
        <v>5</v>
      </c>
      <c r="G37" s="310"/>
      <c r="H37" s="302"/>
      <c r="I37" s="572" t="s">
        <v>191</v>
      </c>
      <c r="J37" s="97">
        <v>1</v>
      </c>
      <c r="K37" s="98"/>
      <c r="L37" s="383"/>
    </row>
    <row r="38" spans="1:13" s="17" customFormat="1" ht="8.1" customHeight="1" x14ac:dyDescent="0.2">
      <c r="A38" s="396"/>
      <c r="B38" s="110"/>
      <c r="C38" s="114"/>
      <c r="D38" s="116">
        <f>D36+D37</f>
        <v>8.75</v>
      </c>
      <c r="E38" s="510"/>
      <c r="F38" s="116">
        <f>F36+F37</f>
        <v>8.75</v>
      </c>
      <c r="G38" s="114"/>
      <c r="H38" s="116">
        <f>H36+H37</f>
        <v>8.75</v>
      </c>
      <c r="I38" s="105"/>
      <c r="J38" s="116">
        <f>J36+J37</f>
        <v>8.75</v>
      </c>
      <c r="K38" s="105"/>
      <c r="L38" s="380">
        <f>L36+L37</f>
        <v>5.5</v>
      </c>
      <c r="M38" s="233">
        <f>SUM(D38:L38)</f>
        <v>40.5</v>
      </c>
    </row>
    <row r="39" spans="1:13" ht="19.5" customHeight="1" x14ac:dyDescent="0.25">
      <c r="A39" s="381">
        <v>8</v>
      </c>
      <c r="B39" s="13"/>
      <c r="C39" s="299" t="s">
        <v>213</v>
      </c>
      <c r="D39" s="97">
        <v>6</v>
      </c>
      <c r="E39" s="299" t="s">
        <v>129</v>
      </c>
      <c r="F39" s="443">
        <v>8.75</v>
      </c>
      <c r="G39" s="299" t="s">
        <v>129</v>
      </c>
      <c r="H39" s="97">
        <v>8.75</v>
      </c>
      <c r="I39" s="299" t="s">
        <v>129</v>
      </c>
      <c r="J39" s="97">
        <v>8.75</v>
      </c>
      <c r="K39" s="299" t="s">
        <v>129</v>
      </c>
      <c r="L39" s="472">
        <v>5</v>
      </c>
    </row>
    <row r="40" spans="1:13" ht="19.5" customHeight="1" x14ac:dyDescent="0.25">
      <c r="A40" s="378"/>
      <c r="B40" s="19"/>
      <c r="C40" s="299" t="s">
        <v>48</v>
      </c>
      <c r="D40" s="230">
        <v>0.45</v>
      </c>
      <c r="E40" s="431"/>
      <c r="F40" s="97"/>
      <c r="G40" s="299"/>
      <c r="H40" s="97"/>
      <c r="I40" s="298"/>
      <c r="J40" s="290"/>
      <c r="K40" s="69"/>
      <c r="L40" s="379"/>
    </row>
    <row r="41" spans="1:13" s="17" customFormat="1" ht="8.1" customHeight="1" thickBot="1" x14ac:dyDescent="0.3">
      <c r="A41" s="396"/>
      <c r="B41" s="113"/>
      <c r="C41" s="111"/>
      <c r="D41" s="116">
        <f>D40+D39</f>
        <v>6.45</v>
      </c>
      <c r="E41" s="112"/>
      <c r="F41" s="116">
        <f>F40+F39</f>
        <v>8.75</v>
      </c>
      <c r="G41" s="112"/>
      <c r="H41" s="116">
        <f>H40+H39</f>
        <v>8.75</v>
      </c>
      <c r="I41" s="105"/>
      <c r="J41" s="116">
        <f>J40+J39</f>
        <v>8.75</v>
      </c>
      <c r="K41" s="105"/>
      <c r="L41" s="380">
        <f>L40+L39</f>
        <v>5</v>
      </c>
      <c r="M41" s="233">
        <f>SUM(D41:L41)</f>
        <v>37.700000000000003</v>
      </c>
    </row>
    <row r="42" spans="1:13" ht="19.5" customHeight="1" x14ac:dyDescent="0.25">
      <c r="A42" s="381">
        <v>9</v>
      </c>
      <c r="B42" s="68"/>
      <c r="C42" s="453" t="s">
        <v>189</v>
      </c>
      <c r="D42" s="97">
        <v>8.25</v>
      </c>
      <c r="E42" s="299" t="s">
        <v>129</v>
      </c>
      <c r="F42" s="443">
        <v>2</v>
      </c>
      <c r="G42" s="530" t="s">
        <v>0</v>
      </c>
      <c r="H42" s="118"/>
      <c r="I42" s="123" t="s">
        <v>176</v>
      </c>
      <c r="J42" s="117">
        <v>8.25</v>
      </c>
      <c r="K42" s="306" t="s">
        <v>176</v>
      </c>
      <c r="L42" s="608">
        <v>5</v>
      </c>
    </row>
    <row r="43" spans="1:13" ht="19.5" customHeight="1" x14ac:dyDescent="0.25">
      <c r="A43" s="378"/>
      <c r="B43" s="70"/>
      <c r="C43" s="298"/>
      <c r="D43" s="290"/>
      <c r="E43" s="306" t="s">
        <v>171</v>
      </c>
      <c r="F43" s="117">
        <v>6.25</v>
      </c>
      <c r="G43" s="298"/>
      <c r="H43" s="290"/>
      <c r="I43" s="298"/>
      <c r="J43" s="290"/>
      <c r="K43" s="69"/>
      <c r="L43" s="379"/>
    </row>
    <row r="44" spans="1:13" s="6" customFormat="1" ht="9.75" customHeight="1" x14ac:dyDescent="0.25">
      <c r="A44" s="382"/>
      <c r="B44" s="105"/>
      <c r="C44" s="105"/>
      <c r="D44" s="116">
        <f>D42+D43</f>
        <v>8.25</v>
      </c>
      <c r="E44" s="105"/>
      <c r="F44" s="116">
        <f>F42+F43</f>
        <v>8.25</v>
      </c>
      <c r="G44" s="105"/>
      <c r="H44" s="116">
        <f>H42+H43</f>
        <v>0</v>
      </c>
      <c r="I44" s="105"/>
      <c r="J44" s="116">
        <f>J42+J43</f>
        <v>8.25</v>
      </c>
      <c r="K44" s="105"/>
      <c r="L44" s="380">
        <f>L42+L43</f>
        <v>5</v>
      </c>
      <c r="M44" s="233">
        <f>SUM(D44:L44)</f>
        <v>29.75</v>
      </c>
    </row>
    <row r="45" spans="1:13" ht="19.5" customHeight="1" x14ac:dyDescent="0.25">
      <c r="A45" s="397">
        <v>10</v>
      </c>
      <c r="B45" s="86"/>
      <c r="C45" s="299" t="s">
        <v>129</v>
      </c>
      <c r="D45" s="443">
        <v>8.5</v>
      </c>
      <c r="E45" s="299" t="s">
        <v>129</v>
      </c>
      <c r="F45" s="443">
        <v>8.75</v>
      </c>
      <c r="G45" s="299" t="s">
        <v>129</v>
      </c>
      <c r="H45" s="443">
        <v>8.75</v>
      </c>
      <c r="I45" s="463" t="s">
        <v>134</v>
      </c>
      <c r="J45" s="97">
        <v>8.75</v>
      </c>
      <c r="K45" s="463" t="s">
        <v>134</v>
      </c>
      <c r="L45" s="443">
        <v>5.5</v>
      </c>
    </row>
    <row r="46" spans="1:13" ht="19.5" customHeight="1" thickBot="1" x14ac:dyDescent="0.3">
      <c r="A46" s="378"/>
      <c r="B46" s="19"/>
      <c r="C46" s="91"/>
      <c r="D46" s="230"/>
      <c r="E46" s="298"/>
      <c r="F46" s="390"/>
      <c r="G46" s="431"/>
      <c r="H46" s="290"/>
      <c r="I46" s="298"/>
      <c r="J46" s="136"/>
      <c r="K46" s="431"/>
      <c r="L46" s="432"/>
    </row>
    <row r="47" spans="1:13" s="115" customFormat="1" ht="8.1" customHeight="1" x14ac:dyDescent="0.25">
      <c r="A47" s="384"/>
      <c r="D47" s="116">
        <f>D46+D45</f>
        <v>8.5</v>
      </c>
      <c r="F47" s="116">
        <f>F45+F46</f>
        <v>8.75</v>
      </c>
      <c r="H47" s="116">
        <f>H45+H46</f>
        <v>8.75</v>
      </c>
      <c r="I47" s="6"/>
      <c r="J47" s="116">
        <f>J45+J46</f>
        <v>8.75</v>
      </c>
      <c r="K47" s="6"/>
      <c r="L47" s="380">
        <f>L45+L46</f>
        <v>5.5</v>
      </c>
      <c r="M47" s="233">
        <f>SUM(D47:L47)</f>
        <v>40.25</v>
      </c>
    </row>
    <row r="48" spans="1:13" s="5" customFormat="1" ht="19.5" customHeight="1" x14ac:dyDescent="0.25">
      <c r="A48" s="386">
        <v>11</v>
      </c>
      <c r="B48" s="86"/>
      <c r="C48" s="299" t="s">
        <v>129</v>
      </c>
      <c r="D48" s="443">
        <v>8.25</v>
      </c>
      <c r="E48" s="299" t="s">
        <v>129</v>
      </c>
      <c r="F48" s="97">
        <v>8.25</v>
      </c>
      <c r="G48" s="299" t="s">
        <v>129</v>
      </c>
      <c r="H48" s="97">
        <v>8.25</v>
      </c>
      <c r="I48" s="463" t="s">
        <v>134</v>
      </c>
      <c r="J48" s="97">
        <v>8.25</v>
      </c>
      <c r="K48" s="463" t="s">
        <v>134</v>
      </c>
      <c r="L48" s="443">
        <v>5</v>
      </c>
      <c r="M48" s="234"/>
    </row>
    <row r="49" spans="1:13" s="5" customFormat="1" ht="19.5" customHeight="1" thickBot="1" x14ac:dyDescent="0.3">
      <c r="A49" s="398"/>
      <c r="B49" s="388"/>
      <c r="C49" s="437"/>
      <c r="D49" s="439"/>
      <c r="E49" s="389"/>
      <c r="F49" s="390"/>
      <c r="G49" s="391"/>
      <c r="H49" s="390"/>
      <c r="I49" s="389"/>
      <c r="J49" s="390"/>
      <c r="K49" s="389"/>
      <c r="L49" s="400"/>
      <c r="M49" s="234"/>
    </row>
    <row r="50" spans="1:13" s="115" customFormat="1" ht="8.1" customHeight="1" thickBot="1" x14ac:dyDescent="0.3">
      <c r="D50" s="231">
        <f>D49+D48</f>
        <v>8.25</v>
      </c>
      <c r="F50" s="231">
        <f>F49+F48</f>
        <v>8.25</v>
      </c>
      <c r="H50" s="231">
        <f>H49+H48</f>
        <v>8.25</v>
      </c>
      <c r="I50" s="6"/>
      <c r="J50" s="231">
        <f>J49+J48</f>
        <v>8.25</v>
      </c>
      <c r="K50" s="6"/>
      <c r="L50" s="231">
        <f>L49+L48</f>
        <v>5</v>
      </c>
      <c r="M50" s="233">
        <f>SUM(D50:L50)</f>
        <v>38</v>
      </c>
    </row>
    <row r="51" spans="1:13" ht="22.5" customHeight="1" x14ac:dyDescent="0.25">
      <c r="A51" s="375">
        <v>12</v>
      </c>
      <c r="B51" s="447"/>
      <c r="C51" s="422" t="s">
        <v>175</v>
      </c>
      <c r="D51" s="423">
        <v>4</v>
      </c>
      <c r="E51" s="522" t="s">
        <v>171</v>
      </c>
      <c r="F51" s="452">
        <v>8.75</v>
      </c>
      <c r="G51" s="522" t="s">
        <v>171</v>
      </c>
      <c r="H51" s="452">
        <v>8.75</v>
      </c>
      <c r="I51" s="422" t="s">
        <v>176</v>
      </c>
      <c r="J51" s="423">
        <v>8.75</v>
      </c>
      <c r="K51" s="299" t="s">
        <v>176</v>
      </c>
      <c r="L51" s="444">
        <v>5.5</v>
      </c>
    </row>
    <row r="52" spans="1:13" ht="19.5" customHeight="1" x14ac:dyDescent="0.25">
      <c r="A52" s="378"/>
      <c r="B52" s="22"/>
      <c r="C52" s="299" t="s">
        <v>171</v>
      </c>
      <c r="D52" s="97">
        <v>4.75</v>
      </c>
      <c r="E52" s="298"/>
      <c r="F52" s="290"/>
      <c r="G52" s="298"/>
      <c r="H52" s="290"/>
      <c r="I52" s="431"/>
      <c r="J52" s="290"/>
      <c r="K52" s="298"/>
      <c r="L52" s="383"/>
    </row>
    <row r="53" spans="1:13" s="115" customFormat="1" ht="8.1" customHeight="1" x14ac:dyDescent="0.25">
      <c r="A53" s="384"/>
      <c r="D53" s="231">
        <f>D51+D52</f>
        <v>8.75</v>
      </c>
      <c r="F53" s="438">
        <f>F51+F52</f>
        <v>8.75</v>
      </c>
      <c r="H53" s="438">
        <f>H51+H52</f>
        <v>8.75</v>
      </c>
      <c r="I53" s="6"/>
      <c r="J53" s="438">
        <f>J51+J52</f>
        <v>8.75</v>
      </c>
      <c r="K53" s="6"/>
      <c r="L53" s="511">
        <f>L51+L52</f>
        <v>5.5</v>
      </c>
      <c r="M53" s="233">
        <f>SUM(D53:L53)</f>
        <v>40.5</v>
      </c>
    </row>
    <row r="54" spans="1:13" ht="19.5" customHeight="1" x14ac:dyDescent="0.25">
      <c r="A54" s="381">
        <v>13</v>
      </c>
      <c r="B54" s="86"/>
      <c r="C54" s="299" t="s">
        <v>175</v>
      </c>
      <c r="D54" s="97">
        <v>4</v>
      </c>
      <c r="E54" s="299" t="s">
        <v>171</v>
      </c>
      <c r="F54" s="97">
        <v>8.75</v>
      </c>
      <c r="G54" s="533" t="s">
        <v>171</v>
      </c>
      <c r="H54" s="472">
        <v>8.75</v>
      </c>
      <c r="I54" s="299" t="s">
        <v>176</v>
      </c>
      <c r="J54" s="97">
        <v>7.75</v>
      </c>
      <c r="K54" s="299" t="s">
        <v>176</v>
      </c>
      <c r="L54" s="443">
        <v>5</v>
      </c>
    </row>
    <row r="55" spans="1:13" ht="19.5" customHeight="1" x14ac:dyDescent="0.25">
      <c r="A55" s="378"/>
      <c r="B55" s="19"/>
      <c r="C55" s="299" t="s">
        <v>171</v>
      </c>
      <c r="D55" s="97">
        <v>4.75</v>
      </c>
      <c r="E55" s="91"/>
      <c r="F55" s="230"/>
      <c r="G55" s="298"/>
      <c r="H55" s="290"/>
      <c r="I55" s="69"/>
      <c r="J55" s="94"/>
      <c r="K55" s="69"/>
      <c r="L55" s="379"/>
    </row>
    <row r="56" spans="1:13" s="6" customFormat="1" ht="9" customHeight="1" x14ac:dyDescent="0.25">
      <c r="A56" s="478"/>
      <c r="B56" s="90"/>
      <c r="C56" s="570"/>
      <c r="D56" s="231">
        <f>D54+D55</f>
        <v>8.75</v>
      </c>
      <c r="E56" s="479"/>
      <c r="F56" s="438">
        <f>F54+F55</f>
        <v>8.75</v>
      </c>
      <c r="G56" s="479"/>
      <c r="H56" s="438">
        <f>H54+H55</f>
        <v>8.75</v>
      </c>
      <c r="I56" s="121"/>
      <c r="J56" s="438">
        <f>J54+J55</f>
        <v>7.75</v>
      </c>
      <c r="K56" s="121"/>
      <c r="L56" s="511">
        <f>L54+L55</f>
        <v>5</v>
      </c>
      <c r="M56" s="233">
        <f>SUM(D56:L56)</f>
        <v>39</v>
      </c>
    </row>
    <row r="57" spans="1:13" s="5" customFormat="1" ht="19.5" customHeight="1" x14ac:dyDescent="0.25">
      <c r="A57" s="386">
        <v>14</v>
      </c>
      <c r="B57" s="86"/>
      <c r="C57" s="299" t="s">
        <v>175</v>
      </c>
      <c r="D57" s="97">
        <v>4</v>
      </c>
      <c r="E57" s="299" t="s">
        <v>171</v>
      </c>
      <c r="F57" s="97">
        <v>8.75</v>
      </c>
      <c r="G57" s="533" t="s">
        <v>171</v>
      </c>
      <c r="H57" s="472">
        <v>8.75</v>
      </c>
      <c r="I57" s="299" t="s">
        <v>176</v>
      </c>
      <c r="J57" s="97">
        <v>8.75</v>
      </c>
      <c r="K57" s="299" t="s">
        <v>176</v>
      </c>
      <c r="L57" s="443">
        <v>5</v>
      </c>
      <c r="M57" s="234"/>
    </row>
    <row r="58" spans="1:13" s="5" customFormat="1" ht="19.5" customHeight="1" x14ac:dyDescent="0.25">
      <c r="A58" s="381"/>
      <c r="B58" s="127"/>
      <c r="C58" s="299" t="s">
        <v>171</v>
      </c>
      <c r="D58" s="97">
        <v>4.25</v>
      </c>
      <c r="E58" s="91"/>
      <c r="F58" s="97"/>
      <c r="G58" s="298"/>
      <c r="H58" s="290"/>
      <c r="I58" s="98"/>
      <c r="J58" s="300"/>
      <c r="K58" s="98"/>
      <c r="L58" s="512"/>
      <c r="M58" s="234"/>
    </row>
    <row r="59" spans="1:13" s="115" customFormat="1" ht="8.1" customHeight="1" x14ac:dyDescent="0.25">
      <c r="A59" s="384"/>
      <c r="D59" s="231">
        <f>D57+D58</f>
        <v>8.25</v>
      </c>
      <c r="F59" s="231">
        <f>F57+F58</f>
        <v>8.75</v>
      </c>
      <c r="H59" s="231">
        <f>H57+H58</f>
        <v>8.75</v>
      </c>
      <c r="I59" s="6"/>
      <c r="J59" s="231">
        <f>J57+J58</f>
        <v>8.75</v>
      </c>
      <c r="K59" s="6"/>
      <c r="L59" s="385">
        <f>L57+L58</f>
        <v>5</v>
      </c>
      <c r="M59" s="233">
        <f>SUM(D59:L59)</f>
        <v>39.5</v>
      </c>
    </row>
    <row r="60" spans="1:13" s="5" customFormat="1" ht="19.5" customHeight="1" x14ac:dyDescent="0.25">
      <c r="A60" s="386">
        <v>15</v>
      </c>
      <c r="B60" s="86"/>
      <c r="C60" s="299" t="s">
        <v>175</v>
      </c>
      <c r="D60" s="97">
        <v>4</v>
      </c>
      <c r="E60" s="517" t="s">
        <v>0</v>
      </c>
      <c r="F60" s="118"/>
      <c r="G60" s="521" t="s">
        <v>0</v>
      </c>
      <c r="H60" s="118"/>
      <c r="I60" s="521" t="s">
        <v>0</v>
      </c>
      <c r="J60" s="118"/>
      <c r="K60" s="521" t="s">
        <v>0</v>
      </c>
      <c r="L60" s="118"/>
      <c r="M60" s="234"/>
    </row>
    <row r="61" spans="1:13" s="5" customFormat="1" ht="19.5" customHeight="1" thickBot="1" x14ac:dyDescent="0.3">
      <c r="A61" s="387"/>
      <c r="B61" s="388"/>
      <c r="C61" s="424" t="s">
        <v>171</v>
      </c>
      <c r="D61" s="439">
        <v>4.75</v>
      </c>
      <c r="E61" s="517"/>
      <c r="F61" s="118"/>
      <c r="G61" s="521"/>
      <c r="H61" s="118"/>
      <c r="I61" s="521"/>
      <c r="J61" s="118"/>
      <c r="K61" s="521"/>
      <c r="L61" s="118"/>
      <c r="M61" s="234"/>
    </row>
    <row r="62" spans="1:13" s="92" customFormat="1" ht="7.5" customHeight="1" thickBot="1" x14ac:dyDescent="0.3">
      <c r="A62" s="401"/>
      <c r="B62" s="6"/>
      <c r="C62" s="166"/>
      <c r="D62" s="231">
        <f>D60+D61</f>
        <v>8.75</v>
      </c>
      <c r="E62" s="166"/>
      <c r="F62" s="231">
        <f>F60+F61</f>
        <v>0</v>
      </c>
      <c r="G62" s="166"/>
      <c r="H62" s="231">
        <f>H60+H61</f>
        <v>0</v>
      </c>
      <c r="I62" s="166"/>
      <c r="J62" s="231">
        <f>J60+J61</f>
        <v>0</v>
      </c>
      <c r="K62" s="166"/>
      <c r="L62" s="231">
        <f>L60+L61</f>
        <v>0</v>
      </c>
      <c r="M62" s="233">
        <f>SUM(D62:L62)</f>
        <v>8.75</v>
      </c>
    </row>
    <row r="63" spans="1:13" s="5" customFormat="1" ht="19.5" customHeight="1" x14ac:dyDescent="0.25">
      <c r="A63" s="375">
        <v>16</v>
      </c>
      <c r="B63" s="436"/>
      <c r="C63" s="455" t="s">
        <v>197</v>
      </c>
      <c r="D63" s="452">
        <v>1.5</v>
      </c>
      <c r="E63" s="453" t="s">
        <v>189</v>
      </c>
      <c r="F63" s="452">
        <v>8.75</v>
      </c>
      <c r="G63" s="453" t="s">
        <v>189</v>
      </c>
      <c r="H63" s="452">
        <v>8.75</v>
      </c>
      <c r="I63" s="453" t="s">
        <v>168</v>
      </c>
      <c r="J63" s="452">
        <v>8.75</v>
      </c>
      <c r="K63" s="91" t="s">
        <v>168</v>
      </c>
      <c r="L63" s="452">
        <v>5.5</v>
      </c>
      <c r="M63" s="234"/>
    </row>
    <row r="64" spans="1:13" s="5" customFormat="1" ht="19.5" customHeight="1" thickBot="1" x14ac:dyDescent="0.3">
      <c r="A64" s="381"/>
      <c r="B64" s="70"/>
      <c r="C64" s="91" t="s">
        <v>182</v>
      </c>
      <c r="D64" s="97">
        <v>3.5</v>
      </c>
      <c r="E64" s="446"/>
      <c r="F64" s="290"/>
      <c r="G64" s="446"/>
      <c r="H64" s="290"/>
      <c r="I64" s="446"/>
      <c r="J64" s="290"/>
      <c r="K64" s="446"/>
      <c r="L64" s="383"/>
      <c r="M64" s="234"/>
    </row>
    <row r="65" spans="1:13" s="5" customFormat="1" ht="19.5" customHeight="1" x14ac:dyDescent="0.25">
      <c r="A65" s="12"/>
      <c r="B65" s="70"/>
      <c r="C65" s="453" t="s">
        <v>189</v>
      </c>
      <c r="D65" s="452">
        <v>3.75</v>
      </c>
      <c r="E65" s="446"/>
      <c r="F65" s="290"/>
      <c r="G65" s="446"/>
      <c r="H65" s="290"/>
      <c r="I65" s="446"/>
      <c r="J65" s="290"/>
      <c r="K65" s="446"/>
      <c r="L65" s="383"/>
      <c r="M65" s="234"/>
    </row>
    <row r="66" spans="1:13" s="14" customFormat="1" ht="8.1" customHeight="1" x14ac:dyDescent="0.25">
      <c r="A66" s="395"/>
      <c r="D66" s="438">
        <f>D63+D64+D65</f>
        <v>8.75</v>
      </c>
      <c r="F66" s="231">
        <f>F63+F64</f>
        <v>8.75</v>
      </c>
      <c r="H66" s="438">
        <f>H63+H64</f>
        <v>8.75</v>
      </c>
      <c r="I66" s="6"/>
      <c r="J66" s="438">
        <f>J63+J64</f>
        <v>8.75</v>
      </c>
      <c r="K66" s="6"/>
      <c r="L66" s="511">
        <f>L63+L64</f>
        <v>5.5</v>
      </c>
      <c r="M66" s="233">
        <f>SUM(D66:L66)</f>
        <v>40.5</v>
      </c>
    </row>
    <row r="67" spans="1:13" s="5" customFormat="1" ht="19.5" customHeight="1" x14ac:dyDescent="0.25">
      <c r="A67" s="381">
        <v>17</v>
      </c>
      <c r="B67" s="86"/>
      <c r="C67" s="91" t="s">
        <v>182</v>
      </c>
      <c r="D67" s="97">
        <v>8.25</v>
      </c>
      <c r="E67" s="91" t="s">
        <v>182</v>
      </c>
      <c r="F67" s="97">
        <v>4</v>
      </c>
      <c r="G67" s="91" t="s">
        <v>189</v>
      </c>
      <c r="H67" s="97">
        <v>8.75</v>
      </c>
      <c r="I67" s="91" t="s">
        <v>168</v>
      </c>
      <c r="J67" s="97">
        <v>6</v>
      </c>
      <c r="K67" s="91" t="s">
        <v>168</v>
      </c>
      <c r="L67" s="97">
        <v>3</v>
      </c>
      <c r="M67" s="234"/>
    </row>
    <row r="68" spans="1:13" s="5" customFormat="1" ht="19.5" customHeight="1" x14ac:dyDescent="0.25">
      <c r="A68" s="381"/>
      <c r="B68" s="72"/>
      <c r="C68" s="91"/>
      <c r="D68" s="230"/>
      <c r="E68" s="229" t="s">
        <v>189</v>
      </c>
      <c r="F68" s="230">
        <v>4.25</v>
      </c>
      <c r="G68" s="98"/>
      <c r="H68" s="290"/>
      <c r="I68" s="91" t="s">
        <v>189</v>
      </c>
      <c r="J68" s="95">
        <v>2</v>
      </c>
      <c r="K68" s="91" t="s">
        <v>189</v>
      </c>
      <c r="L68" s="97">
        <v>2</v>
      </c>
      <c r="M68" s="234"/>
    </row>
    <row r="69" spans="1:13" s="5" customFormat="1" ht="19.5" customHeight="1" x14ac:dyDescent="0.25">
      <c r="A69" s="386"/>
      <c r="B69" s="79"/>
      <c r="C69" s="573"/>
      <c r="D69" s="574"/>
      <c r="E69" s="575"/>
      <c r="F69" s="574"/>
      <c r="G69" s="576"/>
      <c r="H69" s="176"/>
      <c r="I69" s="229" t="s">
        <v>205</v>
      </c>
      <c r="J69" s="95">
        <v>0.25</v>
      </c>
      <c r="K69" s="175"/>
      <c r="L69" s="379"/>
      <c r="M69" s="234"/>
    </row>
    <row r="70" spans="1:13" s="122" customFormat="1" ht="9.75" customHeight="1" x14ac:dyDescent="0.25">
      <c r="A70" s="403"/>
      <c r="B70" s="21"/>
      <c r="C70" s="121"/>
      <c r="D70" s="438">
        <f>D67+D68</f>
        <v>8.25</v>
      </c>
      <c r="E70" s="121"/>
      <c r="F70" s="438">
        <f>F67+F68</f>
        <v>8.25</v>
      </c>
      <c r="G70" s="166"/>
      <c r="H70" s="116">
        <f>H67+H68</f>
        <v>8.75</v>
      </c>
      <c r="I70" s="368"/>
      <c r="J70" s="231">
        <f>J67+J68+J69</f>
        <v>8.25</v>
      </c>
      <c r="K70" s="6"/>
      <c r="L70" s="380">
        <f>L67+L68</f>
        <v>5</v>
      </c>
      <c r="M70" s="233">
        <f>SUM(D70:L70)</f>
        <v>38.5</v>
      </c>
    </row>
    <row r="71" spans="1:13" s="5" customFormat="1" ht="19.5" customHeight="1" x14ac:dyDescent="0.25">
      <c r="A71" s="386">
        <v>18</v>
      </c>
      <c r="B71" s="86"/>
      <c r="C71" s="91" t="s">
        <v>182</v>
      </c>
      <c r="D71" s="97">
        <v>8.25</v>
      </c>
      <c r="E71" s="91" t="s">
        <v>182</v>
      </c>
      <c r="F71" s="135">
        <v>4</v>
      </c>
      <c r="G71" s="91" t="s">
        <v>182</v>
      </c>
      <c r="H71" s="135">
        <v>0.5</v>
      </c>
      <c r="I71" s="91" t="s">
        <v>168</v>
      </c>
      <c r="J71" s="97">
        <v>6.25</v>
      </c>
      <c r="K71" s="91" t="s">
        <v>168</v>
      </c>
      <c r="L71" s="97">
        <v>3</v>
      </c>
      <c r="M71" s="234"/>
    </row>
    <row r="72" spans="1:13" s="5" customFormat="1" ht="19.5" customHeight="1" thickBot="1" x14ac:dyDescent="0.3">
      <c r="A72" s="387"/>
      <c r="B72" s="388"/>
      <c r="C72" s="501"/>
      <c r="D72" s="502"/>
      <c r="E72" s="437" t="s">
        <v>189</v>
      </c>
      <c r="F72" s="523">
        <v>4.25</v>
      </c>
      <c r="G72" s="437" t="s">
        <v>189</v>
      </c>
      <c r="H72" s="523">
        <v>7.75</v>
      </c>
      <c r="I72" s="91" t="s">
        <v>189</v>
      </c>
      <c r="J72" s="95">
        <v>2</v>
      </c>
      <c r="K72" s="91" t="s">
        <v>189</v>
      </c>
      <c r="L72" s="97">
        <v>2</v>
      </c>
      <c r="M72" s="234"/>
    </row>
    <row r="73" spans="1:13" s="122" customFormat="1" ht="10.5" customHeight="1" x14ac:dyDescent="0.25">
      <c r="A73" s="401"/>
      <c r="B73" s="6"/>
      <c r="C73" s="401"/>
      <c r="D73" s="231">
        <f>D71+D72</f>
        <v>8.25</v>
      </c>
      <c r="E73" s="532"/>
      <c r="F73" s="231">
        <f>F71+F72</f>
        <v>8.25</v>
      </c>
      <c r="G73" s="401"/>
      <c r="H73" s="231">
        <f>H71+H72</f>
        <v>8.25</v>
      </c>
      <c r="I73" s="401"/>
      <c r="J73" s="231">
        <f>J71+J72</f>
        <v>8.25</v>
      </c>
      <c r="K73" s="401"/>
      <c r="L73" s="231">
        <f>L71+L72</f>
        <v>5</v>
      </c>
      <c r="M73" s="233">
        <f>SUM(D73:L73)</f>
        <v>38</v>
      </c>
    </row>
    <row r="74" spans="1:13" s="5" customFormat="1" ht="19.5" customHeight="1" x14ac:dyDescent="0.25">
      <c r="A74" s="329">
        <v>19</v>
      </c>
      <c r="B74" s="86"/>
      <c r="C74" s="524"/>
      <c r="D74" s="525"/>
      <c r="E74" s="524"/>
      <c r="F74" s="526"/>
      <c r="G74" s="299" t="s">
        <v>129</v>
      </c>
      <c r="H74" s="97">
        <v>8.25</v>
      </c>
      <c r="I74" s="299" t="s">
        <v>129</v>
      </c>
      <c r="J74" s="97">
        <v>8.25</v>
      </c>
      <c r="K74" s="299" t="s">
        <v>129</v>
      </c>
      <c r="L74" s="472">
        <v>5</v>
      </c>
      <c r="M74" s="234"/>
    </row>
    <row r="75" spans="1:13" s="5" customFormat="1" ht="19.5" customHeight="1" x14ac:dyDescent="0.25">
      <c r="A75" s="329"/>
      <c r="B75" s="127"/>
      <c r="C75" s="527"/>
      <c r="D75" s="528"/>
      <c r="E75" s="524"/>
      <c r="F75" s="526"/>
      <c r="G75" s="329"/>
      <c r="H75" s="88"/>
      <c r="I75" s="329"/>
      <c r="J75" s="88"/>
      <c r="K75" s="329"/>
      <c r="L75" s="88"/>
      <c r="M75" s="234"/>
    </row>
    <row r="76" spans="1:13" s="92" customFormat="1" ht="8.1" customHeight="1" x14ac:dyDescent="0.25">
      <c r="A76" s="401"/>
      <c r="B76" s="14"/>
      <c r="C76" s="402"/>
      <c r="D76" s="231">
        <v>0</v>
      </c>
      <c r="E76" s="402"/>
      <c r="F76" s="231">
        <v>0</v>
      </c>
      <c r="G76" s="402"/>
      <c r="H76" s="231">
        <v>8.25</v>
      </c>
      <c r="I76" s="402"/>
      <c r="J76" s="231">
        <v>8.25</v>
      </c>
      <c r="K76" s="402"/>
      <c r="L76" s="231">
        <v>5</v>
      </c>
      <c r="M76" s="233">
        <f>SUM(D76:L76)</f>
        <v>21.5</v>
      </c>
    </row>
  </sheetData>
  <mergeCells count="6">
    <mergeCell ref="K5:L5"/>
    <mergeCell ref="E3:G3"/>
    <mergeCell ref="C5:D5"/>
    <mergeCell ref="E5:F5"/>
    <mergeCell ref="G5:H5"/>
    <mergeCell ref="I5:J5"/>
  </mergeCells>
  <printOptions horizontalCentered="1" verticalCentered="1"/>
  <pageMargins left="0" right="0" top="0.35433070866141736" bottom="0.15748031496062992" header="0.31496062992125984" footer="0.31496062992125984"/>
  <pageSetup paperSize="9"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M62"/>
  <sheetViews>
    <sheetView zoomScale="85" zoomScaleNormal="85" workbookViewId="0">
      <selection activeCell="C29" sqref="C29"/>
    </sheetView>
  </sheetViews>
  <sheetFormatPr baseColWidth="10" defaultColWidth="25.7109375" defaultRowHeight="20.100000000000001" customHeight="1" x14ac:dyDescent="0.25"/>
  <cols>
    <col min="1" max="1" width="3.85546875" style="1" customWidth="1"/>
    <col min="2" max="2" width="28.42578125" style="1" customWidth="1"/>
    <col min="3" max="3" width="36.140625" style="1" customWidth="1"/>
    <col min="4" max="4" width="5.5703125" style="5" customWidth="1"/>
    <col min="5" max="5" width="36.7109375" style="1" customWidth="1"/>
    <col min="6" max="6" width="5.28515625" style="1" customWidth="1"/>
    <col min="7" max="7" width="41.5703125" style="1" customWidth="1"/>
    <col min="8" max="8" width="7.28515625" style="1" customWidth="1"/>
    <col min="9" max="9" width="33.5703125" style="1" customWidth="1"/>
    <col min="10" max="10" width="6.5703125" style="1" bestFit="1" customWidth="1"/>
    <col min="11" max="11" width="34" style="1" customWidth="1"/>
    <col min="12" max="12" width="4.7109375" style="1" customWidth="1"/>
    <col min="13" max="13" width="17.85546875" style="234" bestFit="1" customWidth="1"/>
    <col min="14" max="14" width="28.85546875" style="1" bestFit="1" customWidth="1"/>
    <col min="15" max="258" width="25.7109375" style="1"/>
    <col min="259" max="259" width="4.7109375" style="1" customWidth="1"/>
    <col min="260" max="260" width="30.42578125" style="1" customWidth="1"/>
    <col min="261" max="261" width="40.28515625" style="1" customWidth="1"/>
    <col min="262" max="262" width="39.28515625" style="1" customWidth="1"/>
    <col min="263" max="263" width="41.7109375" style="1" customWidth="1"/>
    <col min="264" max="264" width="41" style="1" customWidth="1"/>
    <col min="265" max="265" width="37.7109375" style="1" customWidth="1"/>
    <col min="266" max="266" width="10.7109375" style="1" customWidth="1"/>
    <col min="267" max="268" width="4.7109375" style="1" bestFit="1" customWidth="1"/>
    <col min="269" max="514" width="25.7109375" style="1"/>
    <col min="515" max="515" width="4.7109375" style="1" customWidth="1"/>
    <col min="516" max="516" width="30.42578125" style="1" customWidth="1"/>
    <col min="517" max="517" width="40.28515625" style="1" customWidth="1"/>
    <col min="518" max="518" width="39.28515625" style="1" customWidth="1"/>
    <col min="519" max="519" width="41.7109375" style="1" customWidth="1"/>
    <col min="520" max="520" width="41" style="1" customWidth="1"/>
    <col min="521" max="521" width="37.7109375" style="1" customWidth="1"/>
    <col min="522" max="522" width="10.7109375" style="1" customWidth="1"/>
    <col min="523" max="524" width="4.7109375" style="1" bestFit="1" customWidth="1"/>
    <col min="525" max="770" width="25.7109375" style="1"/>
    <col min="771" max="771" width="4.7109375" style="1" customWidth="1"/>
    <col min="772" max="772" width="30.42578125" style="1" customWidth="1"/>
    <col min="773" max="773" width="40.28515625" style="1" customWidth="1"/>
    <col min="774" max="774" width="39.28515625" style="1" customWidth="1"/>
    <col min="775" max="775" width="41.7109375" style="1" customWidth="1"/>
    <col min="776" max="776" width="41" style="1" customWidth="1"/>
    <col min="777" max="777" width="37.7109375" style="1" customWidth="1"/>
    <col min="778" max="778" width="10.7109375" style="1" customWidth="1"/>
    <col min="779" max="780" width="4.7109375" style="1" bestFit="1" customWidth="1"/>
    <col min="781" max="1026" width="25.7109375" style="1"/>
    <col min="1027" max="1027" width="4.7109375" style="1" customWidth="1"/>
    <col min="1028" max="1028" width="30.42578125" style="1" customWidth="1"/>
    <col min="1029" max="1029" width="40.28515625" style="1" customWidth="1"/>
    <col min="1030" max="1030" width="39.28515625" style="1" customWidth="1"/>
    <col min="1031" max="1031" width="41.7109375" style="1" customWidth="1"/>
    <col min="1032" max="1032" width="41" style="1" customWidth="1"/>
    <col min="1033" max="1033" width="37.7109375" style="1" customWidth="1"/>
    <col min="1034" max="1034" width="10.7109375" style="1" customWidth="1"/>
    <col min="1035" max="1036" width="4.7109375" style="1" bestFit="1" customWidth="1"/>
    <col min="1037" max="1282" width="25.7109375" style="1"/>
    <col min="1283" max="1283" width="4.7109375" style="1" customWidth="1"/>
    <col min="1284" max="1284" width="30.42578125" style="1" customWidth="1"/>
    <col min="1285" max="1285" width="40.28515625" style="1" customWidth="1"/>
    <col min="1286" max="1286" width="39.28515625" style="1" customWidth="1"/>
    <col min="1287" max="1287" width="41.7109375" style="1" customWidth="1"/>
    <col min="1288" max="1288" width="41" style="1" customWidth="1"/>
    <col min="1289" max="1289" width="37.7109375" style="1" customWidth="1"/>
    <col min="1290" max="1290" width="10.7109375" style="1" customWidth="1"/>
    <col min="1291" max="1292" width="4.7109375" style="1" bestFit="1" customWidth="1"/>
    <col min="1293" max="1538" width="25.7109375" style="1"/>
    <col min="1539" max="1539" width="4.7109375" style="1" customWidth="1"/>
    <col min="1540" max="1540" width="30.42578125" style="1" customWidth="1"/>
    <col min="1541" max="1541" width="40.28515625" style="1" customWidth="1"/>
    <col min="1542" max="1542" width="39.28515625" style="1" customWidth="1"/>
    <col min="1543" max="1543" width="41.7109375" style="1" customWidth="1"/>
    <col min="1544" max="1544" width="41" style="1" customWidth="1"/>
    <col min="1545" max="1545" width="37.7109375" style="1" customWidth="1"/>
    <col min="1546" max="1546" width="10.7109375" style="1" customWidth="1"/>
    <col min="1547" max="1548" width="4.7109375" style="1" bestFit="1" customWidth="1"/>
    <col min="1549" max="1794" width="25.7109375" style="1"/>
    <col min="1795" max="1795" width="4.7109375" style="1" customWidth="1"/>
    <col min="1796" max="1796" width="30.42578125" style="1" customWidth="1"/>
    <col min="1797" max="1797" width="40.28515625" style="1" customWidth="1"/>
    <col min="1798" max="1798" width="39.28515625" style="1" customWidth="1"/>
    <col min="1799" max="1799" width="41.7109375" style="1" customWidth="1"/>
    <col min="1800" max="1800" width="41" style="1" customWidth="1"/>
    <col min="1801" max="1801" width="37.7109375" style="1" customWidth="1"/>
    <col min="1802" max="1802" width="10.7109375" style="1" customWidth="1"/>
    <col min="1803" max="1804" width="4.7109375" style="1" bestFit="1" customWidth="1"/>
    <col min="1805" max="2050" width="25.7109375" style="1"/>
    <col min="2051" max="2051" width="4.7109375" style="1" customWidth="1"/>
    <col min="2052" max="2052" width="30.42578125" style="1" customWidth="1"/>
    <col min="2053" max="2053" width="40.28515625" style="1" customWidth="1"/>
    <col min="2054" max="2054" width="39.28515625" style="1" customWidth="1"/>
    <col min="2055" max="2055" width="41.7109375" style="1" customWidth="1"/>
    <col min="2056" max="2056" width="41" style="1" customWidth="1"/>
    <col min="2057" max="2057" width="37.7109375" style="1" customWidth="1"/>
    <col min="2058" max="2058" width="10.7109375" style="1" customWidth="1"/>
    <col min="2059" max="2060" width="4.7109375" style="1" bestFit="1" customWidth="1"/>
    <col min="2061" max="2306" width="25.7109375" style="1"/>
    <col min="2307" max="2307" width="4.7109375" style="1" customWidth="1"/>
    <col min="2308" max="2308" width="30.42578125" style="1" customWidth="1"/>
    <col min="2309" max="2309" width="40.28515625" style="1" customWidth="1"/>
    <col min="2310" max="2310" width="39.28515625" style="1" customWidth="1"/>
    <col min="2311" max="2311" width="41.7109375" style="1" customWidth="1"/>
    <col min="2312" max="2312" width="41" style="1" customWidth="1"/>
    <col min="2313" max="2313" width="37.7109375" style="1" customWidth="1"/>
    <col min="2314" max="2314" width="10.7109375" style="1" customWidth="1"/>
    <col min="2315" max="2316" width="4.7109375" style="1" bestFit="1" customWidth="1"/>
    <col min="2317" max="2562" width="25.7109375" style="1"/>
    <col min="2563" max="2563" width="4.7109375" style="1" customWidth="1"/>
    <col min="2564" max="2564" width="30.42578125" style="1" customWidth="1"/>
    <col min="2565" max="2565" width="40.28515625" style="1" customWidth="1"/>
    <col min="2566" max="2566" width="39.28515625" style="1" customWidth="1"/>
    <col min="2567" max="2567" width="41.7109375" style="1" customWidth="1"/>
    <col min="2568" max="2568" width="41" style="1" customWidth="1"/>
    <col min="2569" max="2569" width="37.7109375" style="1" customWidth="1"/>
    <col min="2570" max="2570" width="10.7109375" style="1" customWidth="1"/>
    <col min="2571" max="2572" width="4.7109375" style="1" bestFit="1" customWidth="1"/>
    <col min="2573" max="2818" width="25.7109375" style="1"/>
    <col min="2819" max="2819" width="4.7109375" style="1" customWidth="1"/>
    <col min="2820" max="2820" width="30.42578125" style="1" customWidth="1"/>
    <col min="2821" max="2821" width="40.28515625" style="1" customWidth="1"/>
    <col min="2822" max="2822" width="39.28515625" style="1" customWidth="1"/>
    <col min="2823" max="2823" width="41.7109375" style="1" customWidth="1"/>
    <col min="2824" max="2824" width="41" style="1" customWidth="1"/>
    <col min="2825" max="2825" width="37.7109375" style="1" customWidth="1"/>
    <col min="2826" max="2826" width="10.7109375" style="1" customWidth="1"/>
    <col min="2827" max="2828" width="4.7109375" style="1" bestFit="1" customWidth="1"/>
    <col min="2829" max="3074" width="25.7109375" style="1"/>
    <col min="3075" max="3075" width="4.7109375" style="1" customWidth="1"/>
    <col min="3076" max="3076" width="30.42578125" style="1" customWidth="1"/>
    <col min="3077" max="3077" width="40.28515625" style="1" customWidth="1"/>
    <col min="3078" max="3078" width="39.28515625" style="1" customWidth="1"/>
    <col min="3079" max="3079" width="41.7109375" style="1" customWidth="1"/>
    <col min="3080" max="3080" width="41" style="1" customWidth="1"/>
    <col min="3081" max="3081" width="37.7109375" style="1" customWidth="1"/>
    <col min="3082" max="3082" width="10.7109375" style="1" customWidth="1"/>
    <col min="3083" max="3084" width="4.7109375" style="1" bestFit="1" customWidth="1"/>
    <col min="3085" max="3330" width="25.7109375" style="1"/>
    <col min="3331" max="3331" width="4.7109375" style="1" customWidth="1"/>
    <col min="3332" max="3332" width="30.42578125" style="1" customWidth="1"/>
    <col min="3333" max="3333" width="40.28515625" style="1" customWidth="1"/>
    <col min="3334" max="3334" width="39.28515625" style="1" customWidth="1"/>
    <col min="3335" max="3335" width="41.7109375" style="1" customWidth="1"/>
    <col min="3336" max="3336" width="41" style="1" customWidth="1"/>
    <col min="3337" max="3337" width="37.7109375" style="1" customWidth="1"/>
    <col min="3338" max="3338" width="10.7109375" style="1" customWidth="1"/>
    <col min="3339" max="3340" width="4.7109375" style="1" bestFit="1" customWidth="1"/>
    <col min="3341" max="3586" width="25.7109375" style="1"/>
    <col min="3587" max="3587" width="4.7109375" style="1" customWidth="1"/>
    <col min="3588" max="3588" width="30.42578125" style="1" customWidth="1"/>
    <col min="3589" max="3589" width="40.28515625" style="1" customWidth="1"/>
    <col min="3590" max="3590" width="39.28515625" style="1" customWidth="1"/>
    <col min="3591" max="3591" width="41.7109375" style="1" customWidth="1"/>
    <col min="3592" max="3592" width="41" style="1" customWidth="1"/>
    <col min="3593" max="3593" width="37.7109375" style="1" customWidth="1"/>
    <col min="3594" max="3594" width="10.7109375" style="1" customWidth="1"/>
    <col min="3595" max="3596" width="4.7109375" style="1" bestFit="1" customWidth="1"/>
    <col min="3597" max="3842" width="25.7109375" style="1"/>
    <col min="3843" max="3843" width="4.7109375" style="1" customWidth="1"/>
    <col min="3844" max="3844" width="30.42578125" style="1" customWidth="1"/>
    <col min="3845" max="3845" width="40.28515625" style="1" customWidth="1"/>
    <col min="3846" max="3846" width="39.28515625" style="1" customWidth="1"/>
    <col min="3847" max="3847" width="41.7109375" style="1" customWidth="1"/>
    <col min="3848" max="3848" width="41" style="1" customWidth="1"/>
    <col min="3849" max="3849" width="37.7109375" style="1" customWidth="1"/>
    <col min="3850" max="3850" width="10.7109375" style="1" customWidth="1"/>
    <col min="3851" max="3852" width="4.7109375" style="1" bestFit="1" customWidth="1"/>
    <col min="3853" max="4098" width="25.7109375" style="1"/>
    <col min="4099" max="4099" width="4.7109375" style="1" customWidth="1"/>
    <col min="4100" max="4100" width="30.42578125" style="1" customWidth="1"/>
    <col min="4101" max="4101" width="40.28515625" style="1" customWidth="1"/>
    <col min="4102" max="4102" width="39.28515625" style="1" customWidth="1"/>
    <col min="4103" max="4103" width="41.7109375" style="1" customWidth="1"/>
    <col min="4104" max="4104" width="41" style="1" customWidth="1"/>
    <col min="4105" max="4105" width="37.7109375" style="1" customWidth="1"/>
    <col min="4106" max="4106" width="10.7109375" style="1" customWidth="1"/>
    <col min="4107" max="4108" width="4.7109375" style="1" bestFit="1" customWidth="1"/>
    <col min="4109" max="4354" width="25.7109375" style="1"/>
    <col min="4355" max="4355" width="4.7109375" style="1" customWidth="1"/>
    <col min="4356" max="4356" width="30.42578125" style="1" customWidth="1"/>
    <col min="4357" max="4357" width="40.28515625" style="1" customWidth="1"/>
    <col min="4358" max="4358" width="39.28515625" style="1" customWidth="1"/>
    <col min="4359" max="4359" width="41.7109375" style="1" customWidth="1"/>
    <col min="4360" max="4360" width="41" style="1" customWidth="1"/>
    <col min="4361" max="4361" width="37.7109375" style="1" customWidth="1"/>
    <col min="4362" max="4362" width="10.7109375" style="1" customWidth="1"/>
    <col min="4363" max="4364" width="4.7109375" style="1" bestFit="1" customWidth="1"/>
    <col min="4365" max="4610" width="25.7109375" style="1"/>
    <col min="4611" max="4611" width="4.7109375" style="1" customWidth="1"/>
    <col min="4612" max="4612" width="30.42578125" style="1" customWidth="1"/>
    <col min="4613" max="4613" width="40.28515625" style="1" customWidth="1"/>
    <col min="4614" max="4614" width="39.28515625" style="1" customWidth="1"/>
    <col min="4615" max="4615" width="41.7109375" style="1" customWidth="1"/>
    <col min="4616" max="4616" width="41" style="1" customWidth="1"/>
    <col min="4617" max="4617" width="37.7109375" style="1" customWidth="1"/>
    <col min="4618" max="4618" width="10.7109375" style="1" customWidth="1"/>
    <col min="4619" max="4620" width="4.7109375" style="1" bestFit="1" customWidth="1"/>
    <col min="4621" max="4866" width="25.7109375" style="1"/>
    <col min="4867" max="4867" width="4.7109375" style="1" customWidth="1"/>
    <col min="4868" max="4868" width="30.42578125" style="1" customWidth="1"/>
    <col min="4869" max="4869" width="40.28515625" style="1" customWidth="1"/>
    <col min="4870" max="4870" width="39.28515625" style="1" customWidth="1"/>
    <col min="4871" max="4871" width="41.7109375" style="1" customWidth="1"/>
    <col min="4872" max="4872" width="41" style="1" customWidth="1"/>
    <col min="4873" max="4873" width="37.7109375" style="1" customWidth="1"/>
    <col min="4874" max="4874" width="10.7109375" style="1" customWidth="1"/>
    <col min="4875" max="4876" width="4.7109375" style="1" bestFit="1" customWidth="1"/>
    <col min="4877" max="5122" width="25.7109375" style="1"/>
    <col min="5123" max="5123" width="4.7109375" style="1" customWidth="1"/>
    <col min="5124" max="5124" width="30.42578125" style="1" customWidth="1"/>
    <col min="5125" max="5125" width="40.28515625" style="1" customWidth="1"/>
    <col min="5126" max="5126" width="39.28515625" style="1" customWidth="1"/>
    <col min="5127" max="5127" width="41.7109375" style="1" customWidth="1"/>
    <col min="5128" max="5128" width="41" style="1" customWidth="1"/>
    <col min="5129" max="5129" width="37.7109375" style="1" customWidth="1"/>
    <col min="5130" max="5130" width="10.7109375" style="1" customWidth="1"/>
    <col min="5131" max="5132" width="4.7109375" style="1" bestFit="1" customWidth="1"/>
    <col min="5133" max="5378" width="25.7109375" style="1"/>
    <col min="5379" max="5379" width="4.7109375" style="1" customWidth="1"/>
    <col min="5380" max="5380" width="30.42578125" style="1" customWidth="1"/>
    <col min="5381" max="5381" width="40.28515625" style="1" customWidth="1"/>
    <col min="5382" max="5382" width="39.28515625" style="1" customWidth="1"/>
    <col min="5383" max="5383" width="41.7109375" style="1" customWidth="1"/>
    <col min="5384" max="5384" width="41" style="1" customWidth="1"/>
    <col min="5385" max="5385" width="37.7109375" style="1" customWidth="1"/>
    <col min="5386" max="5386" width="10.7109375" style="1" customWidth="1"/>
    <col min="5387" max="5388" width="4.7109375" style="1" bestFit="1" customWidth="1"/>
    <col min="5389" max="5634" width="25.7109375" style="1"/>
    <col min="5635" max="5635" width="4.7109375" style="1" customWidth="1"/>
    <col min="5636" max="5636" width="30.42578125" style="1" customWidth="1"/>
    <col min="5637" max="5637" width="40.28515625" style="1" customWidth="1"/>
    <col min="5638" max="5638" width="39.28515625" style="1" customWidth="1"/>
    <col min="5639" max="5639" width="41.7109375" style="1" customWidth="1"/>
    <col min="5640" max="5640" width="41" style="1" customWidth="1"/>
    <col min="5641" max="5641" width="37.7109375" style="1" customWidth="1"/>
    <col min="5642" max="5642" width="10.7109375" style="1" customWidth="1"/>
    <col min="5643" max="5644" width="4.7109375" style="1" bestFit="1" customWidth="1"/>
    <col min="5645" max="5890" width="25.7109375" style="1"/>
    <col min="5891" max="5891" width="4.7109375" style="1" customWidth="1"/>
    <col min="5892" max="5892" width="30.42578125" style="1" customWidth="1"/>
    <col min="5893" max="5893" width="40.28515625" style="1" customWidth="1"/>
    <col min="5894" max="5894" width="39.28515625" style="1" customWidth="1"/>
    <col min="5895" max="5895" width="41.7109375" style="1" customWidth="1"/>
    <col min="5896" max="5896" width="41" style="1" customWidth="1"/>
    <col min="5897" max="5897" width="37.7109375" style="1" customWidth="1"/>
    <col min="5898" max="5898" width="10.7109375" style="1" customWidth="1"/>
    <col min="5899" max="5900" width="4.7109375" style="1" bestFit="1" customWidth="1"/>
    <col min="5901" max="6146" width="25.7109375" style="1"/>
    <col min="6147" max="6147" width="4.7109375" style="1" customWidth="1"/>
    <col min="6148" max="6148" width="30.42578125" style="1" customWidth="1"/>
    <col min="6149" max="6149" width="40.28515625" style="1" customWidth="1"/>
    <col min="6150" max="6150" width="39.28515625" style="1" customWidth="1"/>
    <col min="6151" max="6151" width="41.7109375" style="1" customWidth="1"/>
    <col min="6152" max="6152" width="41" style="1" customWidth="1"/>
    <col min="6153" max="6153" width="37.7109375" style="1" customWidth="1"/>
    <col min="6154" max="6154" width="10.7109375" style="1" customWidth="1"/>
    <col min="6155" max="6156" width="4.7109375" style="1" bestFit="1" customWidth="1"/>
    <col min="6157" max="6402" width="25.7109375" style="1"/>
    <col min="6403" max="6403" width="4.7109375" style="1" customWidth="1"/>
    <col min="6404" max="6404" width="30.42578125" style="1" customWidth="1"/>
    <col min="6405" max="6405" width="40.28515625" style="1" customWidth="1"/>
    <col min="6406" max="6406" width="39.28515625" style="1" customWidth="1"/>
    <col min="6407" max="6407" width="41.7109375" style="1" customWidth="1"/>
    <col min="6408" max="6408" width="41" style="1" customWidth="1"/>
    <col min="6409" max="6409" width="37.7109375" style="1" customWidth="1"/>
    <col min="6410" max="6410" width="10.7109375" style="1" customWidth="1"/>
    <col min="6411" max="6412" width="4.7109375" style="1" bestFit="1" customWidth="1"/>
    <col min="6413" max="6658" width="25.7109375" style="1"/>
    <col min="6659" max="6659" width="4.7109375" style="1" customWidth="1"/>
    <col min="6660" max="6660" width="30.42578125" style="1" customWidth="1"/>
    <col min="6661" max="6661" width="40.28515625" style="1" customWidth="1"/>
    <col min="6662" max="6662" width="39.28515625" style="1" customWidth="1"/>
    <col min="6663" max="6663" width="41.7109375" style="1" customWidth="1"/>
    <col min="6664" max="6664" width="41" style="1" customWidth="1"/>
    <col min="6665" max="6665" width="37.7109375" style="1" customWidth="1"/>
    <col min="6666" max="6666" width="10.7109375" style="1" customWidth="1"/>
    <col min="6667" max="6668" width="4.7109375" style="1" bestFit="1" customWidth="1"/>
    <col min="6669" max="6914" width="25.7109375" style="1"/>
    <col min="6915" max="6915" width="4.7109375" style="1" customWidth="1"/>
    <col min="6916" max="6916" width="30.42578125" style="1" customWidth="1"/>
    <col min="6917" max="6917" width="40.28515625" style="1" customWidth="1"/>
    <col min="6918" max="6918" width="39.28515625" style="1" customWidth="1"/>
    <col min="6919" max="6919" width="41.7109375" style="1" customWidth="1"/>
    <col min="6920" max="6920" width="41" style="1" customWidth="1"/>
    <col min="6921" max="6921" width="37.7109375" style="1" customWidth="1"/>
    <col min="6922" max="6922" width="10.7109375" style="1" customWidth="1"/>
    <col min="6923" max="6924" width="4.7109375" style="1" bestFit="1" customWidth="1"/>
    <col min="6925" max="7170" width="25.7109375" style="1"/>
    <col min="7171" max="7171" width="4.7109375" style="1" customWidth="1"/>
    <col min="7172" max="7172" width="30.42578125" style="1" customWidth="1"/>
    <col min="7173" max="7173" width="40.28515625" style="1" customWidth="1"/>
    <col min="7174" max="7174" width="39.28515625" style="1" customWidth="1"/>
    <col min="7175" max="7175" width="41.7109375" style="1" customWidth="1"/>
    <col min="7176" max="7176" width="41" style="1" customWidth="1"/>
    <col min="7177" max="7177" width="37.7109375" style="1" customWidth="1"/>
    <col min="7178" max="7178" width="10.7109375" style="1" customWidth="1"/>
    <col min="7179" max="7180" width="4.7109375" style="1" bestFit="1" customWidth="1"/>
    <col min="7181" max="7426" width="25.7109375" style="1"/>
    <col min="7427" max="7427" width="4.7109375" style="1" customWidth="1"/>
    <col min="7428" max="7428" width="30.42578125" style="1" customWidth="1"/>
    <col min="7429" max="7429" width="40.28515625" style="1" customWidth="1"/>
    <col min="7430" max="7430" width="39.28515625" style="1" customWidth="1"/>
    <col min="7431" max="7431" width="41.7109375" style="1" customWidth="1"/>
    <col min="7432" max="7432" width="41" style="1" customWidth="1"/>
    <col min="7433" max="7433" width="37.7109375" style="1" customWidth="1"/>
    <col min="7434" max="7434" width="10.7109375" style="1" customWidth="1"/>
    <col min="7435" max="7436" width="4.7109375" style="1" bestFit="1" customWidth="1"/>
    <col min="7437" max="7682" width="25.7109375" style="1"/>
    <col min="7683" max="7683" width="4.7109375" style="1" customWidth="1"/>
    <col min="7684" max="7684" width="30.42578125" style="1" customWidth="1"/>
    <col min="7685" max="7685" width="40.28515625" style="1" customWidth="1"/>
    <col min="7686" max="7686" width="39.28515625" style="1" customWidth="1"/>
    <col min="7687" max="7687" width="41.7109375" style="1" customWidth="1"/>
    <col min="7688" max="7688" width="41" style="1" customWidth="1"/>
    <col min="7689" max="7689" width="37.7109375" style="1" customWidth="1"/>
    <col min="7690" max="7690" width="10.7109375" style="1" customWidth="1"/>
    <col min="7691" max="7692" width="4.7109375" style="1" bestFit="1" customWidth="1"/>
    <col min="7693" max="7938" width="25.7109375" style="1"/>
    <col min="7939" max="7939" width="4.7109375" style="1" customWidth="1"/>
    <col min="7940" max="7940" width="30.42578125" style="1" customWidth="1"/>
    <col min="7941" max="7941" width="40.28515625" style="1" customWidth="1"/>
    <col min="7942" max="7942" width="39.28515625" style="1" customWidth="1"/>
    <col min="7943" max="7943" width="41.7109375" style="1" customWidth="1"/>
    <col min="7944" max="7944" width="41" style="1" customWidth="1"/>
    <col min="7945" max="7945" width="37.7109375" style="1" customWidth="1"/>
    <col min="7946" max="7946" width="10.7109375" style="1" customWidth="1"/>
    <col min="7947" max="7948" width="4.7109375" style="1" bestFit="1" customWidth="1"/>
    <col min="7949" max="8194" width="25.7109375" style="1"/>
    <col min="8195" max="8195" width="4.7109375" style="1" customWidth="1"/>
    <col min="8196" max="8196" width="30.42578125" style="1" customWidth="1"/>
    <col min="8197" max="8197" width="40.28515625" style="1" customWidth="1"/>
    <col min="8198" max="8198" width="39.28515625" style="1" customWidth="1"/>
    <col min="8199" max="8199" width="41.7109375" style="1" customWidth="1"/>
    <col min="8200" max="8200" width="41" style="1" customWidth="1"/>
    <col min="8201" max="8201" width="37.7109375" style="1" customWidth="1"/>
    <col min="8202" max="8202" width="10.7109375" style="1" customWidth="1"/>
    <col min="8203" max="8204" width="4.7109375" style="1" bestFit="1" customWidth="1"/>
    <col min="8205" max="8450" width="25.7109375" style="1"/>
    <col min="8451" max="8451" width="4.7109375" style="1" customWidth="1"/>
    <col min="8452" max="8452" width="30.42578125" style="1" customWidth="1"/>
    <col min="8453" max="8453" width="40.28515625" style="1" customWidth="1"/>
    <col min="8454" max="8454" width="39.28515625" style="1" customWidth="1"/>
    <col min="8455" max="8455" width="41.7109375" style="1" customWidth="1"/>
    <col min="8456" max="8456" width="41" style="1" customWidth="1"/>
    <col min="8457" max="8457" width="37.7109375" style="1" customWidth="1"/>
    <col min="8458" max="8458" width="10.7109375" style="1" customWidth="1"/>
    <col min="8459" max="8460" width="4.7109375" style="1" bestFit="1" customWidth="1"/>
    <col min="8461" max="8706" width="25.7109375" style="1"/>
    <col min="8707" max="8707" width="4.7109375" style="1" customWidth="1"/>
    <col min="8708" max="8708" width="30.42578125" style="1" customWidth="1"/>
    <col min="8709" max="8709" width="40.28515625" style="1" customWidth="1"/>
    <col min="8710" max="8710" width="39.28515625" style="1" customWidth="1"/>
    <col min="8711" max="8711" width="41.7109375" style="1" customWidth="1"/>
    <col min="8712" max="8712" width="41" style="1" customWidth="1"/>
    <col min="8713" max="8713" width="37.7109375" style="1" customWidth="1"/>
    <col min="8714" max="8714" width="10.7109375" style="1" customWidth="1"/>
    <col min="8715" max="8716" width="4.7109375" style="1" bestFit="1" customWidth="1"/>
    <col min="8717" max="8962" width="25.7109375" style="1"/>
    <col min="8963" max="8963" width="4.7109375" style="1" customWidth="1"/>
    <col min="8964" max="8964" width="30.42578125" style="1" customWidth="1"/>
    <col min="8965" max="8965" width="40.28515625" style="1" customWidth="1"/>
    <col min="8966" max="8966" width="39.28515625" style="1" customWidth="1"/>
    <col min="8967" max="8967" width="41.7109375" style="1" customWidth="1"/>
    <col min="8968" max="8968" width="41" style="1" customWidth="1"/>
    <col min="8969" max="8969" width="37.7109375" style="1" customWidth="1"/>
    <col min="8970" max="8970" width="10.7109375" style="1" customWidth="1"/>
    <col min="8971" max="8972" width="4.7109375" style="1" bestFit="1" customWidth="1"/>
    <col min="8973" max="9218" width="25.7109375" style="1"/>
    <col min="9219" max="9219" width="4.7109375" style="1" customWidth="1"/>
    <col min="9220" max="9220" width="30.42578125" style="1" customWidth="1"/>
    <col min="9221" max="9221" width="40.28515625" style="1" customWidth="1"/>
    <col min="9222" max="9222" width="39.28515625" style="1" customWidth="1"/>
    <col min="9223" max="9223" width="41.7109375" style="1" customWidth="1"/>
    <col min="9224" max="9224" width="41" style="1" customWidth="1"/>
    <col min="9225" max="9225" width="37.7109375" style="1" customWidth="1"/>
    <col min="9226" max="9226" width="10.7109375" style="1" customWidth="1"/>
    <col min="9227" max="9228" width="4.7109375" style="1" bestFit="1" customWidth="1"/>
    <col min="9229" max="9474" width="25.7109375" style="1"/>
    <col min="9475" max="9475" width="4.7109375" style="1" customWidth="1"/>
    <col min="9476" max="9476" width="30.42578125" style="1" customWidth="1"/>
    <col min="9477" max="9477" width="40.28515625" style="1" customWidth="1"/>
    <col min="9478" max="9478" width="39.28515625" style="1" customWidth="1"/>
    <col min="9479" max="9479" width="41.7109375" style="1" customWidth="1"/>
    <col min="9480" max="9480" width="41" style="1" customWidth="1"/>
    <col min="9481" max="9481" width="37.7109375" style="1" customWidth="1"/>
    <col min="9482" max="9482" width="10.7109375" style="1" customWidth="1"/>
    <col min="9483" max="9484" width="4.7109375" style="1" bestFit="1" customWidth="1"/>
    <col min="9485" max="9730" width="25.7109375" style="1"/>
    <col min="9731" max="9731" width="4.7109375" style="1" customWidth="1"/>
    <col min="9732" max="9732" width="30.42578125" style="1" customWidth="1"/>
    <col min="9733" max="9733" width="40.28515625" style="1" customWidth="1"/>
    <col min="9734" max="9734" width="39.28515625" style="1" customWidth="1"/>
    <col min="9735" max="9735" width="41.7109375" style="1" customWidth="1"/>
    <col min="9736" max="9736" width="41" style="1" customWidth="1"/>
    <col min="9737" max="9737" width="37.7109375" style="1" customWidth="1"/>
    <col min="9738" max="9738" width="10.7109375" style="1" customWidth="1"/>
    <col min="9739" max="9740" width="4.7109375" style="1" bestFit="1" customWidth="1"/>
    <col min="9741" max="9986" width="25.7109375" style="1"/>
    <col min="9987" max="9987" width="4.7109375" style="1" customWidth="1"/>
    <col min="9988" max="9988" width="30.42578125" style="1" customWidth="1"/>
    <col min="9989" max="9989" width="40.28515625" style="1" customWidth="1"/>
    <col min="9990" max="9990" width="39.28515625" style="1" customWidth="1"/>
    <col min="9991" max="9991" width="41.7109375" style="1" customWidth="1"/>
    <col min="9992" max="9992" width="41" style="1" customWidth="1"/>
    <col min="9993" max="9993" width="37.7109375" style="1" customWidth="1"/>
    <col min="9994" max="9994" width="10.7109375" style="1" customWidth="1"/>
    <col min="9995" max="9996" width="4.7109375" style="1" bestFit="1" customWidth="1"/>
    <col min="9997" max="10242" width="25.7109375" style="1"/>
    <col min="10243" max="10243" width="4.7109375" style="1" customWidth="1"/>
    <col min="10244" max="10244" width="30.42578125" style="1" customWidth="1"/>
    <col min="10245" max="10245" width="40.28515625" style="1" customWidth="1"/>
    <col min="10246" max="10246" width="39.28515625" style="1" customWidth="1"/>
    <col min="10247" max="10247" width="41.7109375" style="1" customWidth="1"/>
    <col min="10248" max="10248" width="41" style="1" customWidth="1"/>
    <col min="10249" max="10249" width="37.7109375" style="1" customWidth="1"/>
    <col min="10250" max="10250" width="10.7109375" style="1" customWidth="1"/>
    <col min="10251" max="10252" width="4.7109375" style="1" bestFit="1" customWidth="1"/>
    <col min="10253" max="10498" width="25.7109375" style="1"/>
    <col min="10499" max="10499" width="4.7109375" style="1" customWidth="1"/>
    <col min="10500" max="10500" width="30.42578125" style="1" customWidth="1"/>
    <col min="10501" max="10501" width="40.28515625" style="1" customWidth="1"/>
    <col min="10502" max="10502" width="39.28515625" style="1" customWidth="1"/>
    <col min="10503" max="10503" width="41.7109375" style="1" customWidth="1"/>
    <col min="10504" max="10504" width="41" style="1" customWidth="1"/>
    <col min="10505" max="10505" width="37.7109375" style="1" customWidth="1"/>
    <col min="10506" max="10506" width="10.7109375" style="1" customWidth="1"/>
    <col min="10507" max="10508" width="4.7109375" style="1" bestFit="1" customWidth="1"/>
    <col min="10509" max="10754" width="25.7109375" style="1"/>
    <col min="10755" max="10755" width="4.7109375" style="1" customWidth="1"/>
    <col min="10756" max="10756" width="30.42578125" style="1" customWidth="1"/>
    <col min="10757" max="10757" width="40.28515625" style="1" customWidth="1"/>
    <col min="10758" max="10758" width="39.28515625" style="1" customWidth="1"/>
    <col min="10759" max="10759" width="41.7109375" style="1" customWidth="1"/>
    <col min="10760" max="10760" width="41" style="1" customWidth="1"/>
    <col min="10761" max="10761" width="37.7109375" style="1" customWidth="1"/>
    <col min="10762" max="10762" width="10.7109375" style="1" customWidth="1"/>
    <col min="10763" max="10764" width="4.7109375" style="1" bestFit="1" customWidth="1"/>
    <col min="10765" max="11010" width="25.7109375" style="1"/>
    <col min="11011" max="11011" width="4.7109375" style="1" customWidth="1"/>
    <col min="11012" max="11012" width="30.42578125" style="1" customWidth="1"/>
    <col min="11013" max="11013" width="40.28515625" style="1" customWidth="1"/>
    <col min="11014" max="11014" width="39.28515625" style="1" customWidth="1"/>
    <col min="11015" max="11015" width="41.7109375" style="1" customWidth="1"/>
    <col min="11016" max="11016" width="41" style="1" customWidth="1"/>
    <col min="11017" max="11017" width="37.7109375" style="1" customWidth="1"/>
    <col min="11018" max="11018" width="10.7109375" style="1" customWidth="1"/>
    <col min="11019" max="11020" width="4.7109375" style="1" bestFit="1" customWidth="1"/>
    <col min="11021" max="11266" width="25.7109375" style="1"/>
    <col min="11267" max="11267" width="4.7109375" style="1" customWidth="1"/>
    <col min="11268" max="11268" width="30.42578125" style="1" customWidth="1"/>
    <col min="11269" max="11269" width="40.28515625" style="1" customWidth="1"/>
    <col min="11270" max="11270" width="39.28515625" style="1" customWidth="1"/>
    <col min="11271" max="11271" width="41.7109375" style="1" customWidth="1"/>
    <col min="11272" max="11272" width="41" style="1" customWidth="1"/>
    <col min="11273" max="11273" width="37.7109375" style="1" customWidth="1"/>
    <col min="11274" max="11274" width="10.7109375" style="1" customWidth="1"/>
    <col min="11275" max="11276" width="4.7109375" style="1" bestFit="1" customWidth="1"/>
    <col min="11277" max="11522" width="25.7109375" style="1"/>
    <col min="11523" max="11523" width="4.7109375" style="1" customWidth="1"/>
    <col min="11524" max="11524" width="30.42578125" style="1" customWidth="1"/>
    <col min="11525" max="11525" width="40.28515625" style="1" customWidth="1"/>
    <col min="11526" max="11526" width="39.28515625" style="1" customWidth="1"/>
    <col min="11527" max="11527" width="41.7109375" style="1" customWidth="1"/>
    <col min="11528" max="11528" width="41" style="1" customWidth="1"/>
    <col min="11529" max="11529" width="37.7109375" style="1" customWidth="1"/>
    <col min="11530" max="11530" width="10.7109375" style="1" customWidth="1"/>
    <col min="11531" max="11532" width="4.7109375" style="1" bestFit="1" customWidth="1"/>
    <col min="11533" max="11778" width="25.7109375" style="1"/>
    <col min="11779" max="11779" width="4.7109375" style="1" customWidth="1"/>
    <col min="11780" max="11780" width="30.42578125" style="1" customWidth="1"/>
    <col min="11781" max="11781" width="40.28515625" style="1" customWidth="1"/>
    <col min="11782" max="11782" width="39.28515625" style="1" customWidth="1"/>
    <col min="11783" max="11783" width="41.7109375" style="1" customWidth="1"/>
    <col min="11784" max="11784" width="41" style="1" customWidth="1"/>
    <col min="11785" max="11785" width="37.7109375" style="1" customWidth="1"/>
    <col min="11786" max="11786" width="10.7109375" style="1" customWidth="1"/>
    <col min="11787" max="11788" width="4.7109375" style="1" bestFit="1" customWidth="1"/>
    <col min="11789" max="12034" width="25.7109375" style="1"/>
    <col min="12035" max="12035" width="4.7109375" style="1" customWidth="1"/>
    <col min="12036" max="12036" width="30.42578125" style="1" customWidth="1"/>
    <col min="12037" max="12037" width="40.28515625" style="1" customWidth="1"/>
    <col min="12038" max="12038" width="39.28515625" style="1" customWidth="1"/>
    <col min="12039" max="12039" width="41.7109375" style="1" customWidth="1"/>
    <col min="12040" max="12040" width="41" style="1" customWidth="1"/>
    <col min="12041" max="12041" width="37.7109375" style="1" customWidth="1"/>
    <col min="12042" max="12042" width="10.7109375" style="1" customWidth="1"/>
    <col min="12043" max="12044" width="4.7109375" style="1" bestFit="1" customWidth="1"/>
    <col min="12045" max="12290" width="25.7109375" style="1"/>
    <col min="12291" max="12291" width="4.7109375" style="1" customWidth="1"/>
    <col min="12292" max="12292" width="30.42578125" style="1" customWidth="1"/>
    <col min="12293" max="12293" width="40.28515625" style="1" customWidth="1"/>
    <col min="12294" max="12294" width="39.28515625" style="1" customWidth="1"/>
    <col min="12295" max="12295" width="41.7109375" style="1" customWidth="1"/>
    <col min="12296" max="12296" width="41" style="1" customWidth="1"/>
    <col min="12297" max="12297" width="37.7109375" style="1" customWidth="1"/>
    <col min="12298" max="12298" width="10.7109375" style="1" customWidth="1"/>
    <col min="12299" max="12300" width="4.7109375" style="1" bestFit="1" customWidth="1"/>
    <col min="12301" max="12546" width="25.7109375" style="1"/>
    <col min="12547" max="12547" width="4.7109375" style="1" customWidth="1"/>
    <col min="12548" max="12548" width="30.42578125" style="1" customWidth="1"/>
    <col min="12549" max="12549" width="40.28515625" style="1" customWidth="1"/>
    <col min="12550" max="12550" width="39.28515625" style="1" customWidth="1"/>
    <col min="12551" max="12551" width="41.7109375" style="1" customWidth="1"/>
    <col min="12552" max="12552" width="41" style="1" customWidth="1"/>
    <col min="12553" max="12553" width="37.7109375" style="1" customWidth="1"/>
    <col min="12554" max="12554" width="10.7109375" style="1" customWidth="1"/>
    <col min="12555" max="12556" width="4.7109375" style="1" bestFit="1" customWidth="1"/>
    <col min="12557" max="12802" width="25.7109375" style="1"/>
    <col min="12803" max="12803" width="4.7109375" style="1" customWidth="1"/>
    <col min="12804" max="12804" width="30.42578125" style="1" customWidth="1"/>
    <col min="12805" max="12805" width="40.28515625" style="1" customWidth="1"/>
    <col min="12806" max="12806" width="39.28515625" style="1" customWidth="1"/>
    <col min="12807" max="12807" width="41.7109375" style="1" customWidth="1"/>
    <col min="12808" max="12808" width="41" style="1" customWidth="1"/>
    <col min="12809" max="12809" width="37.7109375" style="1" customWidth="1"/>
    <col min="12810" max="12810" width="10.7109375" style="1" customWidth="1"/>
    <col min="12811" max="12812" width="4.7109375" style="1" bestFit="1" customWidth="1"/>
    <col min="12813" max="13058" width="25.7109375" style="1"/>
    <col min="13059" max="13059" width="4.7109375" style="1" customWidth="1"/>
    <col min="13060" max="13060" width="30.42578125" style="1" customWidth="1"/>
    <col min="13061" max="13061" width="40.28515625" style="1" customWidth="1"/>
    <col min="13062" max="13062" width="39.28515625" style="1" customWidth="1"/>
    <col min="13063" max="13063" width="41.7109375" style="1" customWidth="1"/>
    <col min="13064" max="13064" width="41" style="1" customWidth="1"/>
    <col min="13065" max="13065" width="37.7109375" style="1" customWidth="1"/>
    <col min="13066" max="13066" width="10.7109375" style="1" customWidth="1"/>
    <col min="13067" max="13068" width="4.7109375" style="1" bestFit="1" customWidth="1"/>
    <col min="13069" max="13314" width="25.7109375" style="1"/>
    <col min="13315" max="13315" width="4.7109375" style="1" customWidth="1"/>
    <col min="13316" max="13316" width="30.42578125" style="1" customWidth="1"/>
    <col min="13317" max="13317" width="40.28515625" style="1" customWidth="1"/>
    <col min="13318" max="13318" width="39.28515625" style="1" customWidth="1"/>
    <col min="13319" max="13319" width="41.7109375" style="1" customWidth="1"/>
    <col min="13320" max="13320" width="41" style="1" customWidth="1"/>
    <col min="13321" max="13321" width="37.7109375" style="1" customWidth="1"/>
    <col min="13322" max="13322" width="10.7109375" style="1" customWidth="1"/>
    <col min="13323" max="13324" width="4.7109375" style="1" bestFit="1" customWidth="1"/>
    <col min="13325" max="13570" width="25.7109375" style="1"/>
    <col min="13571" max="13571" width="4.7109375" style="1" customWidth="1"/>
    <col min="13572" max="13572" width="30.42578125" style="1" customWidth="1"/>
    <col min="13573" max="13573" width="40.28515625" style="1" customWidth="1"/>
    <col min="13574" max="13574" width="39.28515625" style="1" customWidth="1"/>
    <col min="13575" max="13575" width="41.7109375" style="1" customWidth="1"/>
    <col min="13576" max="13576" width="41" style="1" customWidth="1"/>
    <col min="13577" max="13577" width="37.7109375" style="1" customWidth="1"/>
    <col min="13578" max="13578" width="10.7109375" style="1" customWidth="1"/>
    <col min="13579" max="13580" width="4.7109375" style="1" bestFit="1" customWidth="1"/>
    <col min="13581" max="13826" width="25.7109375" style="1"/>
    <col min="13827" max="13827" width="4.7109375" style="1" customWidth="1"/>
    <col min="13828" max="13828" width="30.42578125" style="1" customWidth="1"/>
    <col min="13829" max="13829" width="40.28515625" style="1" customWidth="1"/>
    <col min="13830" max="13830" width="39.28515625" style="1" customWidth="1"/>
    <col min="13831" max="13831" width="41.7109375" style="1" customWidth="1"/>
    <col min="13832" max="13832" width="41" style="1" customWidth="1"/>
    <col min="13833" max="13833" width="37.7109375" style="1" customWidth="1"/>
    <col min="13834" max="13834" width="10.7109375" style="1" customWidth="1"/>
    <col min="13835" max="13836" width="4.7109375" style="1" bestFit="1" customWidth="1"/>
    <col min="13837" max="14082" width="25.7109375" style="1"/>
    <col min="14083" max="14083" width="4.7109375" style="1" customWidth="1"/>
    <col min="14084" max="14084" width="30.42578125" style="1" customWidth="1"/>
    <col min="14085" max="14085" width="40.28515625" style="1" customWidth="1"/>
    <col min="14086" max="14086" width="39.28515625" style="1" customWidth="1"/>
    <col min="14087" max="14087" width="41.7109375" style="1" customWidth="1"/>
    <col min="14088" max="14088" width="41" style="1" customWidth="1"/>
    <col min="14089" max="14089" width="37.7109375" style="1" customWidth="1"/>
    <col min="14090" max="14090" width="10.7109375" style="1" customWidth="1"/>
    <col min="14091" max="14092" width="4.7109375" style="1" bestFit="1" customWidth="1"/>
    <col min="14093" max="14338" width="25.7109375" style="1"/>
    <col min="14339" max="14339" width="4.7109375" style="1" customWidth="1"/>
    <col min="14340" max="14340" width="30.42578125" style="1" customWidth="1"/>
    <col min="14341" max="14341" width="40.28515625" style="1" customWidth="1"/>
    <col min="14342" max="14342" width="39.28515625" style="1" customWidth="1"/>
    <col min="14343" max="14343" width="41.7109375" style="1" customWidth="1"/>
    <col min="14344" max="14344" width="41" style="1" customWidth="1"/>
    <col min="14345" max="14345" width="37.7109375" style="1" customWidth="1"/>
    <col min="14346" max="14346" width="10.7109375" style="1" customWidth="1"/>
    <col min="14347" max="14348" width="4.7109375" style="1" bestFit="1" customWidth="1"/>
    <col min="14349" max="14594" width="25.7109375" style="1"/>
    <col min="14595" max="14595" width="4.7109375" style="1" customWidth="1"/>
    <col min="14596" max="14596" width="30.42578125" style="1" customWidth="1"/>
    <col min="14597" max="14597" width="40.28515625" style="1" customWidth="1"/>
    <col min="14598" max="14598" width="39.28515625" style="1" customWidth="1"/>
    <col min="14599" max="14599" width="41.7109375" style="1" customWidth="1"/>
    <col min="14600" max="14600" width="41" style="1" customWidth="1"/>
    <col min="14601" max="14601" width="37.7109375" style="1" customWidth="1"/>
    <col min="14602" max="14602" width="10.7109375" style="1" customWidth="1"/>
    <col min="14603" max="14604" width="4.7109375" style="1" bestFit="1" customWidth="1"/>
    <col min="14605" max="14850" width="25.7109375" style="1"/>
    <col min="14851" max="14851" width="4.7109375" style="1" customWidth="1"/>
    <col min="14852" max="14852" width="30.42578125" style="1" customWidth="1"/>
    <col min="14853" max="14853" width="40.28515625" style="1" customWidth="1"/>
    <col min="14854" max="14854" width="39.28515625" style="1" customWidth="1"/>
    <col min="14855" max="14855" width="41.7109375" style="1" customWidth="1"/>
    <col min="14856" max="14856" width="41" style="1" customWidth="1"/>
    <col min="14857" max="14857" width="37.7109375" style="1" customWidth="1"/>
    <col min="14858" max="14858" width="10.7109375" style="1" customWidth="1"/>
    <col min="14859" max="14860" width="4.7109375" style="1" bestFit="1" customWidth="1"/>
    <col min="14861" max="15106" width="25.7109375" style="1"/>
    <col min="15107" max="15107" width="4.7109375" style="1" customWidth="1"/>
    <col min="15108" max="15108" width="30.42578125" style="1" customWidth="1"/>
    <col min="15109" max="15109" width="40.28515625" style="1" customWidth="1"/>
    <col min="15110" max="15110" width="39.28515625" style="1" customWidth="1"/>
    <col min="15111" max="15111" width="41.7109375" style="1" customWidth="1"/>
    <col min="15112" max="15112" width="41" style="1" customWidth="1"/>
    <col min="15113" max="15113" width="37.7109375" style="1" customWidth="1"/>
    <col min="15114" max="15114" width="10.7109375" style="1" customWidth="1"/>
    <col min="15115" max="15116" width="4.7109375" style="1" bestFit="1" customWidth="1"/>
    <col min="15117" max="15362" width="25.7109375" style="1"/>
    <col min="15363" max="15363" width="4.7109375" style="1" customWidth="1"/>
    <col min="15364" max="15364" width="30.42578125" style="1" customWidth="1"/>
    <col min="15365" max="15365" width="40.28515625" style="1" customWidth="1"/>
    <col min="15366" max="15366" width="39.28515625" style="1" customWidth="1"/>
    <col min="15367" max="15367" width="41.7109375" style="1" customWidth="1"/>
    <col min="15368" max="15368" width="41" style="1" customWidth="1"/>
    <col min="15369" max="15369" width="37.7109375" style="1" customWidth="1"/>
    <col min="15370" max="15370" width="10.7109375" style="1" customWidth="1"/>
    <col min="15371" max="15372" width="4.7109375" style="1" bestFit="1" customWidth="1"/>
    <col min="15373" max="15618" width="25.7109375" style="1"/>
    <col min="15619" max="15619" width="4.7109375" style="1" customWidth="1"/>
    <col min="15620" max="15620" width="30.42578125" style="1" customWidth="1"/>
    <col min="15621" max="15621" width="40.28515625" style="1" customWidth="1"/>
    <col min="15622" max="15622" width="39.28515625" style="1" customWidth="1"/>
    <col min="15623" max="15623" width="41.7109375" style="1" customWidth="1"/>
    <col min="15624" max="15624" width="41" style="1" customWidth="1"/>
    <col min="15625" max="15625" width="37.7109375" style="1" customWidth="1"/>
    <col min="15626" max="15626" width="10.7109375" style="1" customWidth="1"/>
    <col min="15627" max="15628" width="4.7109375" style="1" bestFit="1" customWidth="1"/>
    <col min="15629" max="15874" width="25.7109375" style="1"/>
    <col min="15875" max="15875" width="4.7109375" style="1" customWidth="1"/>
    <col min="15876" max="15876" width="30.42578125" style="1" customWidth="1"/>
    <col min="15877" max="15877" width="40.28515625" style="1" customWidth="1"/>
    <col min="15878" max="15878" width="39.28515625" style="1" customWidth="1"/>
    <col min="15879" max="15879" width="41.7109375" style="1" customWidth="1"/>
    <col min="15880" max="15880" width="41" style="1" customWidth="1"/>
    <col min="15881" max="15881" width="37.7109375" style="1" customWidth="1"/>
    <col min="15882" max="15882" width="10.7109375" style="1" customWidth="1"/>
    <col min="15883" max="15884" width="4.7109375" style="1" bestFit="1" customWidth="1"/>
    <col min="15885" max="16130" width="25.7109375" style="1"/>
    <col min="16131" max="16131" width="4.7109375" style="1" customWidth="1"/>
    <col min="16132" max="16132" width="30.42578125" style="1" customWidth="1"/>
    <col min="16133" max="16133" width="40.28515625" style="1" customWidth="1"/>
    <col min="16134" max="16134" width="39.28515625" style="1" customWidth="1"/>
    <col min="16135" max="16135" width="41.7109375" style="1" customWidth="1"/>
    <col min="16136" max="16136" width="41" style="1" customWidth="1"/>
    <col min="16137" max="16137" width="37.7109375" style="1" customWidth="1"/>
    <col min="16138" max="16138" width="10.7109375" style="1" customWidth="1"/>
    <col min="16139" max="16140" width="4.7109375" style="1" bestFit="1" customWidth="1"/>
    <col min="16141" max="16384" width="25.7109375" style="1"/>
  </cols>
  <sheetData>
    <row r="1" spans="1:13" ht="20.100000000000001" customHeight="1" x14ac:dyDescent="0.25">
      <c r="I1" s="2"/>
      <c r="J1" s="2"/>
    </row>
    <row r="2" spans="1:13" ht="20.100000000000001" customHeight="1" x14ac:dyDescent="0.25">
      <c r="I2" s="2"/>
      <c r="J2" s="2"/>
      <c r="K2" s="2"/>
    </row>
    <row r="3" spans="1:13" ht="20.100000000000001" customHeight="1" x14ac:dyDescent="0.25">
      <c r="E3" s="624"/>
      <c r="F3" s="624"/>
      <c r="G3" s="624"/>
      <c r="H3" s="529"/>
      <c r="I3" s="2"/>
      <c r="J3" s="2"/>
    </row>
    <row r="4" spans="1:13" ht="11.25" customHeight="1" thickBot="1" x14ac:dyDescent="0.3">
      <c r="B4" s="3"/>
      <c r="C4" s="149"/>
      <c r="D4" s="4"/>
      <c r="E4" s="4"/>
      <c r="F4" s="4"/>
      <c r="G4" s="149"/>
      <c r="H4" s="210"/>
      <c r="I4" s="199"/>
      <c r="J4" s="2"/>
      <c r="K4" s="2"/>
    </row>
    <row r="5" spans="1:13" s="5" customFormat="1" ht="20.100000000000001" customHeight="1" thickBot="1" x14ac:dyDescent="0.3">
      <c r="A5" s="235"/>
      <c r="B5" s="228" t="s">
        <v>232</v>
      </c>
      <c r="C5" s="625">
        <v>43766</v>
      </c>
      <c r="D5" s="626"/>
      <c r="E5" s="625">
        <v>43767</v>
      </c>
      <c r="F5" s="626"/>
      <c r="G5" s="625">
        <v>43768</v>
      </c>
      <c r="H5" s="626"/>
      <c r="I5" s="625">
        <v>43769</v>
      </c>
      <c r="J5" s="626"/>
      <c r="K5" s="625">
        <v>43770</v>
      </c>
      <c r="L5" s="626"/>
      <c r="M5" s="234"/>
    </row>
    <row r="6" spans="1:13" s="5" customFormat="1" ht="25.5" x14ac:dyDescent="0.25">
      <c r="A6" s="580">
        <v>1</v>
      </c>
      <c r="B6" s="581"/>
      <c r="C6" s="584" t="s">
        <v>131</v>
      </c>
      <c r="D6" s="589">
        <v>3</v>
      </c>
      <c r="E6" s="584" t="s">
        <v>233</v>
      </c>
      <c r="F6" s="589">
        <v>4.5</v>
      </c>
      <c r="G6" s="584" t="s">
        <v>22</v>
      </c>
      <c r="H6" s="583">
        <v>1</v>
      </c>
      <c r="I6" s="585" t="s">
        <v>200</v>
      </c>
      <c r="J6" s="583">
        <v>2.25</v>
      </c>
      <c r="K6" s="566" t="s">
        <v>3</v>
      </c>
      <c r="L6" s="540"/>
      <c r="M6" s="234"/>
    </row>
    <row r="7" spans="1:13" s="5" customFormat="1" ht="25.5" x14ac:dyDescent="0.25">
      <c r="A7" s="586"/>
      <c r="B7" s="587"/>
      <c r="C7" s="584" t="s">
        <v>233</v>
      </c>
      <c r="D7" s="589">
        <v>6</v>
      </c>
      <c r="E7" s="588" t="s">
        <v>200</v>
      </c>
      <c r="F7" s="589">
        <v>4.5</v>
      </c>
      <c r="G7" s="588" t="s">
        <v>199</v>
      </c>
      <c r="H7" s="583">
        <v>2.5</v>
      </c>
      <c r="I7" s="582" t="s">
        <v>204</v>
      </c>
      <c r="J7" s="583">
        <v>0.5</v>
      </c>
      <c r="K7" s="539"/>
      <c r="L7" s="541"/>
      <c r="M7" s="234"/>
    </row>
    <row r="8" spans="1:13" s="5" customFormat="1" ht="24.75" customHeight="1" x14ac:dyDescent="0.25">
      <c r="A8" s="590"/>
      <c r="B8" s="591"/>
      <c r="C8" s="592"/>
      <c r="D8" s="589"/>
      <c r="E8" s="582"/>
      <c r="F8" s="583"/>
      <c r="G8" s="585" t="s">
        <v>200</v>
      </c>
      <c r="H8" s="583">
        <v>4.75</v>
      </c>
      <c r="I8" s="593" t="s">
        <v>206</v>
      </c>
      <c r="J8" s="583">
        <v>0.5</v>
      </c>
      <c r="K8" s="542"/>
      <c r="L8" s="541"/>
      <c r="M8" s="234"/>
    </row>
    <row r="9" spans="1:13" s="5" customFormat="1" ht="18.95" customHeight="1" x14ac:dyDescent="0.25">
      <c r="A9" s="590"/>
      <c r="B9" s="591"/>
      <c r="C9" s="592"/>
      <c r="D9" s="589"/>
      <c r="E9" s="582"/>
      <c r="F9" s="583"/>
      <c r="G9" s="584"/>
      <c r="H9" s="594"/>
      <c r="I9" s="593" t="s">
        <v>227</v>
      </c>
      <c r="J9" s="583">
        <v>5</v>
      </c>
      <c r="K9" s="542"/>
      <c r="L9" s="541"/>
      <c r="M9" s="234"/>
    </row>
    <row r="10" spans="1:13" s="6" customFormat="1" ht="8.1" customHeight="1" x14ac:dyDescent="0.25">
      <c r="A10" s="104"/>
      <c r="B10" s="105"/>
      <c r="C10" s="105"/>
      <c r="D10" s="116">
        <f>D6+D7+D8</f>
        <v>9</v>
      </c>
      <c r="E10" s="105"/>
      <c r="F10" s="116">
        <f>F6+F7+F8</f>
        <v>9</v>
      </c>
      <c r="G10" s="105"/>
      <c r="H10" s="116">
        <f>H6+H7+H8+H9</f>
        <v>8.25</v>
      </c>
      <c r="I10" s="105"/>
      <c r="J10" s="116">
        <f>J6+J7+J8+J9</f>
        <v>8.25</v>
      </c>
      <c r="K10" s="105"/>
      <c r="L10" s="116">
        <f>L6+L7+L8</f>
        <v>0</v>
      </c>
      <c r="M10" s="233">
        <f>SUM(D10:L10)</f>
        <v>34.5</v>
      </c>
    </row>
    <row r="11" spans="1:13" ht="18.95" customHeight="1" x14ac:dyDescent="0.25">
      <c r="A11" s="7">
        <v>2</v>
      </c>
      <c r="B11" s="8"/>
      <c r="C11" s="306" t="s">
        <v>229</v>
      </c>
      <c r="D11" s="117">
        <v>7</v>
      </c>
      <c r="E11" s="306" t="s">
        <v>131</v>
      </c>
      <c r="F11" s="117">
        <v>3.25</v>
      </c>
      <c r="G11" s="306"/>
      <c r="H11" s="93"/>
      <c r="I11" s="296"/>
      <c r="J11" s="328"/>
      <c r="K11" s="542"/>
      <c r="L11" s="543"/>
    </row>
    <row r="12" spans="1:13" ht="18.95" customHeight="1" x14ac:dyDescent="0.25">
      <c r="A12" s="9"/>
      <c r="B12" s="120"/>
      <c r="C12" s="306" t="s">
        <v>131</v>
      </c>
      <c r="D12" s="93">
        <v>2</v>
      </c>
      <c r="E12" s="123" t="s">
        <v>233</v>
      </c>
      <c r="F12" s="93">
        <v>5</v>
      </c>
      <c r="G12" s="306"/>
      <c r="H12" s="93"/>
      <c r="I12" s="296"/>
      <c r="J12" s="328"/>
      <c r="K12" s="542"/>
      <c r="L12" s="543"/>
    </row>
    <row r="13" spans="1:13" s="6" customFormat="1" ht="8.1" customHeight="1" x14ac:dyDescent="0.25">
      <c r="A13" s="104"/>
      <c r="B13" s="105"/>
      <c r="C13" s="105"/>
      <c r="D13" s="116">
        <f>D11+D12</f>
        <v>9</v>
      </c>
      <c r="E13" s="105"/>
      <c r="F13" s="116">
        <v>8.25</v>
      </c>
      <c r="G13" s="105"/>
      <c r="H13" s="116">
        <v>8.25</v>
      </c>
      <c r="I13" s="105"/>
      <c r="J13" s="116">
        <v>8.25</v>
      </c>
      <c r="K13" s="105"/>
      <c r="L13" s="116">
        <f>L11+L12</f>
        <v>0</v>
      </c>
      <c r="M13" s="233">
        <f>SUM(D13:L13)</f>
        <v>33.75</v>
      </c>
    </row>
    <row r="14" spans="1:13" ht="19.5" customHeight="1" x14ac:dyDescent="0.25">
      <c r="A14" s="10">
        <v>3</v>
      </c>
      <c r="B14" s="369"/>
      <c r="C14" s="342" t="s">
        <v>119</v>
      </c>
      <c r="D14" s="618">
        <v>8.25</v>
      </c>
      <c r="E14" s="342" t="s">
        <v>119</v>
      </c>
      <c r="F14" s="622">
        <v>8.25</v>
      </c>
      <c r="G14" s="293"/>
      <c r="H14" s="294"/>
      <c r="I14" s="293"/>
      <c r="J14" s="294"/>
      <c r="K14" s="544"/>
      <c r="L14" s="545"/>
    </row>
    <row r="15" spans="1:13" ht="19.5" customHeight="1" x14ac:dyDescent="0.25">
      <c r="A15" s="11"/>
      <c r="B15" s="83"/>
      <c r="C15" s="307"/>
      <c r="D15" s="124"/>
      <c r="E15" s="307"/>
      <c r="F15" s="124"/>
      <c r="G15" s="307"/>
      <c r="H15" s="124"/>
      <c r="I15" s="293"/>
      <c r="J15" s="96"/>
      <c r="K15" s="544"/>
      <c r="L15" s="540"/>
    </row>
    <row r="16" spans="1:13" s="6" customFormat="1" ht="8.1" customHeight="1" x14ac:dyDescent="0.25">
      <c r="A16" s="104"/>
      <c r="B16" s="105"/>
      <c r="C16" s="232"/>
      <c r="D16" s="231">
        <f>D15+D14</f>
        <v>8.25</v>
      </c>
      <c r="E16" s="232"/>
      <c r="F16" s="231">
        <v>8.25</v>
      </c>
      <c r="G16" s="232"/>
      <c r="H16" s="231">
        <v>8.25</v>
      </c>
      <c r="I16" s="232"/>
      <c r="J16" s="231">
        <v>8.25</v>
      </c>
      <c r="K16" s="232"/>
      <c r="L16" s="231">
        <f>L15+L14</f>
        <v>0</v>
      </c>
      <c r="M16" s="233">
        <f>SUM(D16:L16)</f>
        <v>33</v>
      </c>
    </row>
    <row r="17" spans="1:13" s="5" customFormat="1" ht="19.5" customHeight="1" x14ac:dyDescent="0.25">
      <c r="A17" s="295">
        <v>4</v>
      </c>
      <c r="B17" s="15"/>
      <c r="C17" s="308" t="s">
        <v>119</v>
      </c>
      <c r="D17" s="124">
        <v>6.25</v>
      </c>
      <c r="E17" s="308" t="s">
        <v>119</v>
      </c>
      <c r="F17" s="124">
        <v>2</v>
      </c>
      <c r="G17" s="308"/>
      <c r="H17" s="124"/>
      <c r="I17" s="304"/>
      <c r="J17" s="96"/>
      <c r="K17" s="546"/>
      <c r="L17" s="540"/>
      <c r="M17" s="234"/>
    </row>
    <row r="18" spans="1:13" s="5" customFormat="1" ht="19.5" customHeight="1" x14ac:dyDescent="0.25">
      <c r="A18" s="295"/>
      <c r="B18" s="370"/>
      <c r="C18" s="307" t="s">
        <v>189</v>
      </c>
      <c r="D18" s="124">
        <v>2</v>
      </c>
      <c r="E18" s="307" t="s">
        <v>131</v>
      </c>
      <c r="F18" s="124">
        <v>6.25</v>
      </c>
      <c r="G18" s="534"/>
      <c r="H18" s="124"/>
      <c r="I18" s="535"/>
      <c r="J18" s="96"/>
      <c r="K18" s="546"/>
      <c r="L18" s="540"/>
      <c r="M18" s="234"/>
    </row>
    <row r="19" spans="1:13" s="6" customFormat="1" ht="8.1" customHeight="1" x14ac:dyDescent="0.25">
      <c r="A19" s="394"/>
      <c r="D19" s="231">
        <f>D17+D18</f>
        <v>8.25</v>
      </c>
      <c r="F19" s="231">
        <v>8.25</v>
      </c>
      <c r="H19" s="231">
        <v>8.25</v>
      </c>
      <c r="J19" s="231">
        <v>8.25</v>
      </c>
      <c r="L19" s="231">
        <f>L17+L18</f>
        <v>0</v>
      </c>
      <c r="M19" s="233">
        <f>SUM(D19:L19)</f>
        <v>33</v>
      </c>
    </row>
    <row r="20" spans="1:13" ht="19.5" customHeight="1" x14ac:dyDescent="0.25">
      <c r="A20" s="12">
        <v>5</v>
      </c>
      <c r="B20" s="20"/>
      <c r="C20" s="107" t="s">
        <v>119</v>
      </c>
      <c r="D20" s="117">
        <v>1</v>
      </c>
      <c r="E20" s="605" t="s">
        <v>234</v>
      </c>
      <c r="F20" s="623">
        <v>8.25</v>
      </c>
      <c r="G20" s="577" t="s">
        <v>234</v>
      </c>
      <c r="H20" s="578">
        <v>8.25</v>
      </c>
      <c r="I20" s="577" t="s">
        <v>234</v>
      </c>
      <c r="J20" s="578">
        <v>8.25</v>
      </c>
      <c r="K20" s="547"/>
      <c r="L20" s="562"/>
    </row>
    <row r="21" spans="1:13" ht="19.5" customHeight="1" x14ac:dyDescent="0.25">
      <c r="A21" s="381"/>
      <c r="B21" s="87"/>
      <c r="C21" s="605" t="s">
        <v>234</v>
      </c>
      <c r="D21" s="589">
        <v>4</v>
      </c>
      <c r="E21" s="582"/>
      <c r="F21" s="579"/>
      <c r="G21" s="577"/>
      <c r="H21" s="579"/>
      <c r="I21" s="577"/>
      <c r="J21" s="579"/>
      <c r="K21" s="547"/>
      <c r="L21" s="548"/>
    </row>
    <row r="22" spans="1:13" s="14" customFormat="1" ht="7.5" customHeight="1" thickBot="1" x14ac:dyDescent="0.3">
      <c r="D22" s="231">
        <f>D20+D21</f>
        <v>5</v>
      </c>
      <c r="F22" s="231">
        <f>F20+F21</f>
        <v>8.25</v>
      </c>
      <c r="H22" s="231">
        <f>H20+H21</f>
        <v>8.25</v>
      </c>
      <c r="I22" s="6"/>
      <c r="J22" s="231">
        <f>J20+J21</f>
        <v>8.25</v>
      </c>
      <c r="K22" s="6"/>
      <c r="L22" s="231">
        <f>L20+L21</f>
        <v>0</v>
      </c>
      <c r="M22" s="233">
        <f>SUM(D22:L22)</f>
        <v>29.75</v>
      </c>
    </row>
    <row r="23" spans="1:13" ht="19.5" customHeight="1" x14ac:dyDescent="0.25">
      <c r="A23" s="12">
        <v>6</v>
      </c>
      <c r="B23" s="20"/>
      <c r="C23" s="422" t="s">
        <v>198</v>
      </c>
      <c r="D23" s="537">
        <v>5</v>
      </c>
      <c r="E23" s="522" t="s">
        <v>182</v>
      </c>
      <c r="F23" s="452">
        <v>2.5</v>
      </c>
      <c r="G23" s="463" t="s">
        <v>238</v>
      </c>
      <c r="H23" s="97">
        <v>7.5</v>
      </c>
      <c r="I23" s="463" t="s">
        <v>238</v>
      </c>
      <c r="J23" s="97">
        <v>7.5</v>
      </c>
      <c r="K23" s="539"/>
      <c r="L23" s="540"/>
    </row>
    <row r="24" spans="1:13" ht="19.5" customHeight="1" x14ac:dyDescent="0.25">
      <c r="A24" s="381"/>
      <c r="B24" s="87"/>
      <c r="C24" s="91" t="s">
        <v>182</v>
      </c>
      <c r="D24" s="230">
        <v>3.75</v>
      </c>
      <c r="E24" s="299" t="s">
        <v>215</v>
      </c>
      <c r="F24" s="97">
        <v>5</v>
      </c>
      <c r="G24" s="98"/>
      <c r="H24" s="374"/>
      <c r="I24" s="98"/>
      <c r="J24" s="374"/>
      <c r="K24" s="547"/>
      <c r="L24" s="548"/>
    </row>
    <row r="25" spans="1:13" s="14" customFormat="1" ht="8.1" customHeight="1" thickBot="1" x14ac:dyDescent="0.3">
      <c r="A25" s="395"/>
      <c r="D25" s="231">
        <f>D23+D24</f>
        <v>8.75</v>
      </c>
      <c r="F25" s="231">
        <f>F23+F24</f>
        <v>7.5</v>
      </c>
      <c r="H25" s="231">
        <f>H23+H24</f>
        <v>7.5</v>
      </c>
      <c r="I25" s="6"/>
      <c r="J25" s="231">
        <f>J23+J24</f>
        <v>7.5</v>
      </c>
      <c r="K25" s="6"/>
      <c r="L25" s="231">
        <v>0</v>
      </c>
      <c r="M25" s="233">
        <f>SUM(D25:L25)</f>
        <v>31.25</v>
      </c>
    </row>
    <row r="26" spans="1:13" ht="19.5" customHeight="1" thickBot="1" x14ac:dyDescent="0.3">
      <c r="A26" s="375">
        <v>7</v>
      </c>
      <c r="B26" s="376"/>
      <c r="C26" s="614" t="s">
        <v>182</v>
      </c>
      <c r="D26" s="615">
        <v>3</v>
      </c>
      <c r="E26" s="522" t="s">
        <v>182</v>
      </c>
      <c r="F26" s="452">
        <v>3</v>
      </c>
      <c r="G26" s="538" t="s">
        <v>238</v>
      </c>
      <c r="H26" s="448">
        <v>8.25</v>
      </c>
      <c r="I26" s="538" t="s">
        <v>238</v>
      </c>
      <c r="J26" s="448">
        <v>8.25</v>
      </c>
      <c r="K26" s="549"/>
      <c r="L26" s="550"/>
    </row>
    <row r="27" spans="1:13" ht="19.5" customHeight="1" thickTop="1" x14ac:dyDescent="0.25">
      <c r="A27" s="378"/>
      <c r="B27" s="19"/>
      <c r="C27" s="301" t="s">
        <v>198</v>
      </c>
      <c r="D27" s="230">
        <v>4.5</v>
      </c>
      <c r="E27" s="299" t="s">
        <v>215</v>
      </c>
      <c r="F27" s="97">
        <v>5.75</v>
      </c>
      <c r="G27" s="310"/>
      <c r="H27" s="302"/>
      <c r="I27" s="508"/>
      <c r="J27" s="290"/>
      <c r="K27" s="547"/>
      <c r="L27" s="551"/>
    </row>
    <row r="28" spans="1:13" s="17" customFormat="1" ht="8.1" customHeight="1" x14ac:dyDescent="0.2">
      <c r="A28" s="396"/>
      <c r="B28" s="110"/>
      <c r="C28" s="114"/>
      <c r="D28" s="116">
        <f>D26+D27</f>
        <v>7.5</v>
      </c>
      <c r="E28" s="510"/>
      <c r="F28" s="116">
        <f>F26+F27</f>
        <v>8.75</v>
      </c>
      <c r="G28" s="114"/>
      <c r="H28" s="116">
        <f>H26+H27</f>
        <v>8.25</v>
      </c>
      <c r="I28" s="105"/>
      <c r="J28" s="116">
        <f>J26+J27</f>
        <v>8.25</v>
      </c>
      <c r="K28" s="105"/>
      <c r="L28" s="380">
        <f>L26+L27</f>
        <v>0</v>
      </c>
      <c r="M28" s="233">
        <f>SUM(D28:L28)</f>
        <v>32.75</v>
      </c>
    </row>
    <row r="29" spans="1:13" ht="25.5" x14ac:dyDescent="0.25">
      <c r="A29" s="381">
        <v>8</v>
      </c>
      <c r="B29" s="13"/>
      <c r="C29" s="299" t="s">
        <v>236</v>
      </c>
      <c r="D29" s="97">
        <v>6.75</v>
      </c>
      <c r="E29" s="299" t="s">
        <v>214</v>
      </c>
      <c r="F29" s="230">
        <v>6.25</v>
      </c>
      <c r="G29" s="298" t="s">
        <v>203</v>
      </c>
      <c r="H29" s="302">
        <v>1.5</v>
      </c>
      <c r="I29" s="598" t="s">
        <v>218</v>
      </c>
      <c r="J29" s="290">
        <v>8.25</v>
      </c>
      <c r="K29" s="539"/>
      <c r="L29" s="551"/>
    </row>
    <row r="30" spans="1:13" ht="19.5" customHeight="1" x14ac:dyDescent="0.25">
      <c r="A30" s="378"/>
      <c r="B30" s="19"/>
      <c r="C30" s="299" t="s">
        <v>129</v>
      </c>
      <c r="D30" s="230">
        <v>1.5</v>
      </c>
      <c r="E30" s="463" t="s">
        <v>218</v>
      </c>
      <c r="F30" s="97">
        <v>2</v>
      </c>
      <c r="G30" s="298" t="s">
        <v>214</v>
      </c>
      <c r="H30" s="290">
        <v>3</v>
      </c>
      <c r="I30" s="298"/>
      <c r="J30" s="290"/>
      <c r="K30" s="552"/>
      <c r="L30" s="553"/>
    </row>
    <row r="31" spans="1:13" s="17" customFormat="1" ht="8.1" customHeight="1" x14ac:dyDescent="0.25">
      <c r="A31" s="396"/>
      <c r="B31" s="113"/>
      <c r="C31" s="111"/>
      <c r="D31" s="116">
        <f>D30+D29</f>
        <v>8.25</v>
      </c>
      <c r="E31" s="112"/>
      <c r="F31" s="116">
        <f>F30+F29</f>
        <v>8.25</v>
      </c>
      <c r="G31" s="112"/>
      <c r="H31" s="116">
        <f>H30+H29</f>
        <v>4.5</v>
      </c>
      <c r="I31" s="105"/>
      <c r="J31" s="116">
        <f>J30+J29</f>
        <v>8.25</v>
      </c>
      <c r="K31" s="105"/>
      <c r="L31" s="380">
        <f>L30+L29</f>
        <v>0</v>
      </c>
      <c r="M31" s="233">
        <f>SUM(D31:L31)</f>
        <v>29.25</v>
      </c>
    </row>
    <row r="32" spans="1:13" ht="19.5" customHeight="1" x14ac:dyDescent="0.25">
      <c r="A32" s="397">
        <v>9</v>
      </c>
      <c r="B32" s="86"/>
      <c r="C32" s="299" t="s">
        <v>134</v>
      </c>
      <c r="D32" s="97">
        <v>8.75</v>
      </c>
      <c r="E32" s="299" t="s">
        <v>134</v>
      </c>
      <c r="F32" s="97">
        <v>8.75</v>
      </c>
      <c r="G32" s="431" t="s">
        <v>119</v>
      </c>
      <c r="H32" s="383">
        <v>8.25</v>
      </c>
      <c r="I32" s="298" t="s">
        <v>119</v>
      </c>
      <c r="J32" s="383">
        <v>8.25</v>
      </c>
      <c r="K32" s="539"/>
      <c r="L32" s="551"/>
    </row>
    <row r="33" spans="1:13" ht="19.5" customHeight="1" x14ac:dyDescent="0.25">
      <c r="A33" s="378"/>
      <c r="B33" s="19"/>
      <c r="C33" s="91"/>
      <c r="D33" s="230"/>
      <c r="E33" s="298"/>
      <c r="F33" s="290"/>
      <c r="G33" s="431"/>
      <c r="H33" s="290"/>
      <c r="I33" s="298"/>
      <c r="J33" s="103"/>
      <c r="K33" s="539"/>
      <c r="L33" s="554"/>
    </row>
    <row r="34" spans="1:13" s="115" customFormat="1" ht="8.1" customHeight="1" x14ac:dyDescent="0.25">
      <c r="A34" s="384"/>
      <c r="D34" s="116">
        <f>D33+D32</f>
        <v>8.75</v>
      </c>
      <c r="F34" s="280">
        <f>F32+F33</f>
        <v>8.75</v>
      </c>
      <c r="H34" s="116">
        <f>H32+H33</f>
        <v>8.25</v>
      </c>
      <c r="I34" s="6"/>
      <c r="J34" s="116">
        <f>J32+J33</f>
        <v>8.25</v>
      </c>
      <c r="K34" s="6"/>
      <c r="L34" s="380">
        <f>L32+L33</f>
        <v>0</v>
      </c>
      <c r="M34" s="233">
        <f>SUM(D34:L34)</f>
        <v>34</v>
      </c>
    </row>
    <row r="35" spans="1:13" s="5" customFormat="1" ht="19.5" customHeight="1" x14ac:dyDescent="0.25">
      <c r="A35" s="386">
        <v>10</v>
      </c>
      <c r="B35" s="86"/>
      <c r="C35" s="463" t="s">
        <v>134</v>
      </c>
      <c r="D35" s="443">
        <v>8.25</v>
      </c>
      <c r="E35" s="299" t="s">
        <v>134</v>
      </c>
      <c r="F35" s="97">
        <v>8.25</v>
      </c>
      <c r="G35" s="298" t="s">
        <v>119</v>
      </c>
      <c r="H35" s="383">
        <v>8.25</v>
      </c>
      <c r="I35" s="298" t="s">
        <v>119</v>
      </c>
      <c r="J35" s="383">
        <v>8.25</v>
      </c>
      <c r="K35" s="539"/>
      <c r="L35" s="551"/>
      <c r="M35" s="234"/>
    </row>
    <row r="36" spans="1:13" s="5" customFormat="1" ht="19.5" customHeight="1" thickBot="1" x14ac:dyDescent="0.3">
      <c r="A36" s="398"/>
      <c r="B36" s="388"/>
      <c r="C36" s="437"/>
      <c r="D36" s="439"/>
      <c r="E36" s="389"/>
      <c r="F36" s="390"/>
      <c r="G36" s="391"/>
      <c r="H36" s="390"/>
      <c r="I36" s="389"/>
      <c r="J36" s="399"/>
      <c r="K36" s="555"/>
      <c r="L36" s="556"/>
      <c r="M36" s="234"/>
    </row>
    <row r="37" spans="1:13" s="115" customFormat="1" ht="8.1" customHeight="1" thickBot="1" x14ac:dyDescent="0.3">
      <c r="D37" s="231">
        <f>D36+D35</f>
        <v>8.25</v>
      </c>
      <c r="F37" s="231">
        <f>F36+F35</f>
        <v>8.25</v>
      </c>
      <c r="H37" s="231">
        <f>H36+H35</f>
        <v>8.25</v>
      </c>
      <c r="I37" s="6"/>
      <c r="J37" s="231">
        <f>J36+J35</f>
        <v>8.25</v>
      </c>
      <c r="K37" s="6"/>
      <c r="L37" s="231">
        <f>L36+L35</f>
        <v>0</v>
      </c>
      <c r="M37" s="233">
        <f>SUM(D37:L37)</f>
        <v>33</v>
      </c>
    </row>
    <row r="38" spans="1:13" ht="26.25" thickBot="1" x14ac:dyDescent="0.3">
      <c r="A38" s="375">
        <v>11</v>
      </c>
      <c r="B38" s="447"/>
      <c r="C38" s="422" t="s">
        <v>229</v>
      </c>
      <c r="D38" s="423">
        <v>3.75</v>
      </c>
      <c r="E38" s="422" t="s">
        <v>229</v>
      </c>
      <c r="F38" s="423">
        <v>8.75</v>
      </c>
      <c r="G38" s="298" t="s">
        <v>233</v>
      </c>
      <c r="H38" s="290">
        <v>8.25</v>
      </c>
      <c r="I38" s="596" t="s">
        <v>199</v>
      </c>
      <c r="J38" s="448">
        <v>3.5</v>
      </c>
      <c r="K38" s="557"/>
      <c r="L38" s="550"/>
    </row>
    <row r="39" spans="1:13" ht="19.5" customHeight="1" x14ac:dyDescent="0.25">
      <c r="A39" s="378"/>
      <c r="B39" s="22"/>
      <c r="C39" s="616" t="s">
        <v>229</v>
      </c>
      <c r="D39" s="617">
        <v>5</v>
      </c>
      <c r="E39" s="298"/>
      <c r="F39" s="290"/>
      <c r="G39" s="298"/>
      <c r="H39" s="290"/>
      <c r="I39" s="298" t="s">
        <v>229</v>
      </c>
      <c r="J39" s="103">
        <v>4.75</v>
      </c>
      <c r="K39" s="539"/>
      <c r="L39" s="551"/>
    </row>
    <row r="40" spans="1:13" s="115" customFormat="1" ht="8.1" customHeight="1" thickBot="1" x14ac:dyDescent="0.3">
      <c r="A40" s="384"/>
      <c r="D40" s="231">
        <f>D38+D39</f>
        <v>8.75</v>
      </c>
      <c r="F40" s="438">
        <f>F38+F39</f>
        <v>8.75</v>
      </c>
      <c r="H40" s="438">
        <f>H38+H39</f>
        <v>8.25</v>
      </c>
      <c r="I40" s="6"/>
      <c r="J40" s="231">
        <f>J38+J39</f>
        <v>8.25</v>
      </c>
      <c r="K40" s="6"/>
      <c r="L40" s="511">
        <f>L38+L39</f>
        <v>0</v>
      </c>
      <c r="M40" s="233">
        <f>SUM(D40:L40)</f>
        <v>34</v>
      </c>
    </row>
    <row r="41" spans="1:13" ht="25.5" x14ac:dyDescent="0.25">
      <c r="A41" s="381">
        <v>12</v>
      </c>
      <c r="B41" s="86"/>
      <c r="C41" s="299" t="s">
        <v>203</v>
      </c>
      <c r="D41" s="423">
        <v>8.25</v>
      </c>
      <c r="E41" s="422" t="s">
        <v>229</v>
      </c>
      <c r="F41" s="423">
        <v>5.75</v>
      </c>
      <c r="G41" s="298" t="s">
        <v>233</v>
      </c>
      <c r="H41" s="290">
        <v>8.25</v>
      </c>
      <c r="I41" s="597" t="s">
        <v>199</v>
      </c>
      <c r="J41" s="290">
        <v>3.5</v>
      </c>
      <c r="K41" s="539"/>
      <c r="L41" s="551"/>
    </row>
    <row r="42" spans="1:13" ht="19.5" customHeight="1" x14ac:dyDescent="0.25">
      <c r="A42" s="378"/>
      <c r="B42" s="19"/>
      <c r="C42" s="299"/>
      <c r="D42" s="97"/>
      <c r="E42" s="299" t="s">
        <v>203</v>
      </c>
      <c r="F42" s="230">
        <v>3</v>
      </c>
      <c r="G42" s="298"/>
      <c r="H42" s="290"/>
      <c r="I42" s="310" t="s">
        <v>229</v>
      </c>
      <c r="J42" s="103">
        <v>4.75</v>
      </c>
      <c r="K42" s="552"/>
      <c r="L42" s="553"/>
    </row>
    <row r="43" spans="1:13" s="6" customFormat="1" ht="9" customHeight="1" thickBot="1" x14ac:dyDescent="0.3">
      <c r="A43" s="478"/>
      <c r="B43" s="90"/>
      <c r="C43" s="570"/>
      <c r="D43" s="231">
        <f>D41+D42</f>
        <v>8.25</v>
      </c>
      <c r="E43" s="479"/>
      <c r="F43" s="438">
        <f>F41+F42</f>
        <v>8.75</v>
      </c>
      <c r="G43" s="479"/>
      <c r="H43" s="438">
        <f>H41+H42</f>
        <v>8.25</v>
      </c>
      <c r="I43" s="121"/>
      <c r="J43" s="438">
        <f>J41+J42</f>
        <v>8.25</v>
      </c>
      <c r="K43" s="121"/>
      <c r="L43" s="511">
        <f>L41+L42</f>
        <v>0</v>
      </c>
      <c r="M43" s="233">
        <f>SUM(D43:L43)</f>
        <v>33.5</v>
      </c>
    </row>
    <row r="44" spans="1:13" s="5" customFormat="1" ht="25.5" x14ac:dyDescent="0.25">
      <c r="A44" s="386">
        <v>13</v>
      </c>
      <c r="B44" s="86"/>
      <c r="C44" s="299" t="s">
        <v>203</v>
      </c>
      <c r="D44" s="423">
        <v>8.25</v>
      </c>
      <c r="E44" s="422" t="s">
        <v>229</v>
      </c>
      <c r="F44" s="423">
        <v>7.75</v>
      </c>
      <c r="G44" s="298" t="s">
        <v>233</v>
      </c>
      <c r="H44" s="290">
        <v>8.25</v>
      </c>
      <c r="I44" s="597" t="s">
        <v>199</v>
      </c>
      <c r="J44" s="290">
        <v>3.5</v>
      </c>
      <c r="K44" s="547"/>
      <c r="L44" s="540"/>
      <c r="M44" s="234"/>
    </row>
    <row r="45" spans="1:13" s="5" customFormat="1" ht="19.5" customHeight="1" x14ac:dyDescent="0.25">
      <c r="A45" s="381"/>
      <c r="B45" s="127"/>
      <c r="C45" s="299"/>
      <c r="D45" s="97"/>
      <c r="E45" s="299" t="s">
        <v>203</v>
      </c>
      <c r="F45" s="230">
        <v>1</v>
      </c>
      <c r="G45" s="298"/>
      <c r="H45" s="290"/>
      <c r="I45" s="310" t="s">
        <v>229</v>
      </c>
      <c r="J45" s="303">
        <v>4.75</v>
      </c>
      <c r="K45" s="559"/>
      <c r="L45" s="558"/>
      <c r="M45" s="234"/>
    </row>
    <row r="46" spans="1:13" s="115" customFormat="1" ht="8.1" customHeight="1" thickBot="1" x14ac:dyDescent="0.3">
      <c r="A46" s="384"/>
      <c r="D46" s="231">
        <f>D44+D45</f>
        <v>8.25</v>
      </c>
      <c r="F46" s="231">
        <f>F44+F45</f>
        <v>8.75</v>
      </c>
      <c r="H46" s="231">
        <f>H44+H45</f>
        <v>8.25</v>
      </c>
      <c r="I46" s="6"/>
      <c r="J46" s="231">
        <f>J44+J45</f>
        <v>8.25</v>
      </c>
      <c r="K46" s="6"/>
      <c r="L46" s="385">
        <f>L44+L45</f>
        <v>0</v>
      </c>
      <c r="M46" s="233">
        <f>SUM(D46:L46)</f>
        <v>33.5</v>
      </c>
    </row>
    <row r="47" spans="1:13" ht="25.5" x14ac:dyDescent="0.25">
      <c r="A47" s="381">
        <v>14</v>
      </c>
      <c r="B47" s="68"/>
      <c r="C47" s="299" t="s">
        <v>203</v>
      </c>
      <c r="D47" s="423">
        <v>8.25</v>
      </c>
      <c r="E47" s="422" t="s">
        <v>229</v>
      </c>
      <c r="F47" s="423">
        <v>8.25</v>
      </c>
      <c r="G47" s="298" t="s">
        <v>233</v>
      </c>
      <c r="H47" s="290">
        <v>8.25</v>
      </c>
      <c r="I47" s="597" t="s">
        <v>199</v>
      </c>
      <c r="J47" s="290">
        <v>3.5</v>
      </c>
      <c r="K47" s="539"/>
      <c r="L47" s="551"/>
    </row>
    <row r="48" spans="1:13" ht="19.5" customHeight="1" x14ac:dyDescent="0.25">
      <c r="A48" s="378"/>
      <c r="B48" s="70"/>
      <c r="C48" s="298"/>
      <c r="D48" s="290"/>
      <c r="E48" s="298"/>
      <c r="F48" s="290"/>
      <c r="G48" s="298"/>
      <c r="H48" s="290"/>
      <c r="I48" s="310" t="s">
        <v>229</v>
      </c>
      <c r="J48" s="103">
        <v>4.75</v>
      </c>
      <c r="K48" s="552"/>
      <c r="L48" s="553"/>
    </row>
    <row r="49" spans="1:13" s="6" customFormat="1" ht="9.75" customHeight="1" thickBot="1" x14ac:dyDescent="0.3">
      <c r="A49" s="382"/>
      <c r="B49" s="105"/>
      <c r="C49" s="105"/>
      <c r="D49" s="116">
        <f>D47+D48</f>
        <v>8.25</v>
      </c>
      <c r="E49" s="105"/>
      <c r="F49" s="116">
        <f>F47+F48</f>
        <v>8.25</v>
      </c>
      <c r="G49" s="105"/>
      <c r="H49" s="116">
        <f>H47+H48</f>
        <v>8.25</v>
      </c>
      <c r="I49" s="105"/>
      <c r="J49" s="116">
        <f>J47+J48</f>
        <v>8.25</v>
      </c>
      <c r="K49" s="105"/>
      <c r="L49" s="380">
        <f>L47+L48</f>
        <v>0</v>
      </c>
      <c r="M49" s="233">
        <f>SUM(D49:L49)</f>
        <v>33</v>
      </c>
    </row>
    <row r="50" spans="1:13" s="5" customFormat="1" ht="19.5" customHeight="1" x14ac:dyDescent="0.25">
      <c r="A50" s="375">
        <v>15</v>
      </c>
      <c r="B50" s="436"/>
      <c r="C50" s="91" t="s">
        <v>168</v>
      </c>
      <c r="D50" s="423">
        <v>1.5</v>
      </c>
      <c r="E50" s="91" t="s">
        <v>118</v>
      </c>
      <c r="F50" s="423">
        <v>8.75</v>
      </c>
      <c r="G50" s="453" t="s">
        <v>119</v>
      </c>
      <c r="H50" s="448">
        <v>8.25</v>
      </c>
      <c r="I50" s="513" t="s">
        <v>119</v>
      </c>
      <c r="J50" s="448">
        <v>8.25</v>
      </c>
      <c r="K50" s="563"/>
      <c r="L50" s="550"/>
      <c r="M50" s="234"/>
    </row>
    <row r="51" spans="1:13" s="5" customFormat="1" ht="19.5" customHeight="1" thickBot="1" x14ac:dyDescent="0.3">
      <c r="A51" s="381"/>
      <c r="B51" s="70"/>
      <c r="C51" s="91" t="s">
        <v>118</v>
      </c>
      <c r="D51" s="97">
        <v>7.25</v>
      </c>
      <c r="E51" s="446"/>
      <c r="F51" s="290"/>
      <c r="G51" s="446"/>
      <c r="H51" s="290"/>
      <c r="I51" s="446"/>
      <c r="J51" s="290"/>
      <c r="K51" s="559"/>
      <c r="L51" s="551"/>
      <c r="M51" s="234"/>
    </row>
    <row r="52" spans="1:13" s="5" customFormat="1" ht="19.5" customHeight="1" x14ac:dyDescent="0.25">
      <c r="A52" s="381"/>
      <c r="B52" s="70"/>
      <c r="C52" s="453"/>
      <c r="D52" s="452"/>
      <c r="E52" s="446"/>
      <c r="F52" s="290"/>
      <c r="G52" s="446"/>
      <c r="H52" s="290"/>
      <c r="I52" s="446"/>
      <c r="J52" s="290"/>
      <c r="K52" s="559"/>
      <c r="L52" s="551"/>
      <c r="M52" s="234"/>
    </row>
    <row r="53" spans="1:13" s="14" customFormat="1" ht="8.1" customHeight="1" thickBot="1" x14ac:dyDescent="0.3">
      <c r="A53" s="395"/>
      <c r="D53" s="438">
        <f>D50+D51+D52</f>
        <v>8.75</v>
      </c>
      <c r="F53" s="231">
        <f>F50+F51</f>
        <v>8.75</v>
      </c>
      <c r="H53" s="438">
        <f>H50+H51</f>
        <v>8.25</v>
      </c>
      <c r="I53" s="6"/>
      <c r="J53" s="438">
        <f>J50+J51</f>
        <v>8.25</v>
      </c>
      <c r="K53" s="6"/>
      <c r="L53" s="511">
        <f>L50+L51</f>
        <v>0</v>
      </c>
      <c r="M53" s="233">
        <f>SUM(D53:L53)</f>
        <v>34</v>
      </c>
    </row>
    <row r="54" spans="1:13" s="5" customFormat="1" ht="19.5" customHeight="1" x14ac:dyDescent="0.25">
      <c r="A54" s="381">
        <v>16</v>
      </c>
      <c r="B54" s="86"/>
      <c r="C54" s="91" t="s">
        <v>189</v>
      </c>
      <c r="D54" s="97">
        <v>8.25</v>
      </c>
      <c r="E54" s="91" t="s">
        <v>189</v>
      </c>
      <c r="F54" s="423">
        <v>1.5</v>
      </c>
      <c r="G54" s="91" t="s">
        <v>119</v>
      </c>
      <c r="H54" s="448">
        <v>8.25</v>
      </c>
      <c r="I54" s="98" t="s">
        <v>119</v>
      </c>
      <c r="J54" s="448">
        <v>8.25</v>
      </c>
      <c r="K54" s="547"/>
      <c r="L54" s="551"/>
      <c r="M54" s="234"/>
    </row>
    <row r="55" spans="1:13" s="5" customFormat="1" ht="19.5" customHeight="1" x14ac:dyDescent="0.25">
      <c r="A55" s="381"/>
      <c r="B55" s="72"/>
      <c r="C55" s="98"/>
      <c r="D55" s="302"/>
      <c r="E55" s="229" t="s">
        <v>118</v>
      </c>
      <c r="F55" s="230">
        <v>6.75</v>
      </c>
      <c r="G55" s="98"/>
      <c r="H55" s="290"/>
      <c r="I55" s="98"/>
      <c r="J55" s="94"/>
      <c r="K55" s="552"/>
      <c r="L55" s="553"/>
      <c r="M55" s="234"/>
    </row>
    <row r="56" spans="1:13" s="122" customFormat="1" ht="9.75" customHeight="1" thickBot="1" x14ac:dyDescent="0.3">
      <c r="A56" s="403"/>
      <c r="B56" s="21"/>
      <c r="C56" s="121"/>
      <c r="D56" s="438">
        <f>D54+D55</f>
        <v>8.25</v>
      </c>
      <c r="E56" s="121"/>
      <c r="F56" s="438">
        <f>F54+F55</f>
        <v>8.25</v>
      </c>
      <c r="G56" s="166"/>
      <c r="H56" s="116">
        <f>H54+H55</f>
        <v>8.25</v>
      </c>
      <c r="I56" s="368"/>
      <c r="J56" s="438">
        <f>J54+J55</f>
        <v>8.25</v>
      </c>
      <c r="K56" s="6"/>
      <c r="L56" s="511">
        <f>L54+L55</f>
        <v>0</v>
      </c>
      <c r="M56" s="233">
        <f>SUM(D56:L56)</f>
        <v>33</v>
      </c>
    </row>
    <row r="57" spans="1:13" s="5" customFormat="1" ht="19.5" customHeight="1" x14ac:dyDescent="0.25">
      <c r="A57" s="386">
        <v>17</v>
      </c>
      <c r="B57" s="86"/>
      <c r="C57" s="91" t="s">
        <v>189</v>
      </c>
      <c r="D57" s="97">
        <v>8.25</v>
      </c>
      <c r="E57" s="91" t="s">
        <v>189</v>
      </c>
      <c r="F57" s="423">
        <v>1.5</v>
      </c>
      <c r="G57" s="91" t="s">
        <v>119</v>
      </c>
      <c r="H57" s="135"/>
      <c r="I57" s="98" t="s">
        <v>119</v>
      </c>
      <c r="J57" s="509"/>
      <c r="K57" s="547"/>
      <c r="L57" s="551"/>
      <c r="M57" s="234"/>
    </row>
    <row r="58" spans="1:13" s="5" customFormat="1" ht="19.5" customHeight="1" thickBot="1" x14ac:dyDescent="0.3">
      <c r="A58" s="387"/>
      <c r="B58" s="388"/>
      <c r="C58" s="501"/>
      <c r="D58" s="502"/>
      <c r="E58" s="437" t="s">
        <v>118</v>
      </c>
      <c r="F58" s="230">
        <v>6.75</v>
      </c>
      <c r="G58" s="437"/>
      <c r="H58" s="523"/>
      <c r="I58" s="501"/>
      <c r="J58" s="502"/>
      <c r="K58" s="560"/>
      <c r="L58" s="561"/>
      <c r="M58" s="234"/>
    </row>
    <row r="59" spans="1:13" s="122" customFormat="1" ht="10.5" customHeight="1" x14ac:dyDescent="0.25">
      <c r="A59" s="564"/>
      <c r="B59" s="6"/>
      <c r="C59" s="401"/>
      <c r="D59" s="231">
        <f>D57+D58</f>
        <v>8.25</v>
      </c>
      <c r="E59" s="532"/>
      <c r="F59" s="231">
        <v>8.25</v>
      </c>
      <c r="G59" s="401"/>
      <c r="H59" s="231">
        <v>8.25</v>
      </c>
      <c r="I59" s="401"/>
      <c r="J59" s="231">
        <v>8.25</v>
      </c>
      <c r="K59" s="401"/>
      <c r="L59" s="385">
        <f>L57+L58</f>
        <v>0</v>
      </c>
      <c r="M59" s="233">
        <f>SUM(D59:L59)</f>
        <v>33</v>
      </c>
    </row>
    <row r="60" spans="1:13" s="5" customFormat="1" ht="19.5" customHeight="1" x14ac:dyDescent="0.25">
      <c r="A60" s="386">
        <v>18</v>
      </c>
      <c r="B60" s="86"/>
      <c r="C60" s="299" t="s">
        <v>236</v>
      </c>
      <c r="D60" s="97">
        <v>6.75</v>
      </c>
      <c r="E60" s="299" t="s">
        <v>214</v>
      </c>
      <c r="F60" s="230">
        <v>6.25</v>
      </c>
      <c r="G60" s="298" t="s">
        <v>203</v>
      </c>
      <c r="H60" s="290">
        <v>1.5</v>
      </c>
      <c r="I60" s="99" t="s">
        <v>218</v>
      </c>
      <c r="J60" s="290">
        <v>8.25</v>
      </c>
      <c r="K60" s="547"/>
      <c r="L60" s="565"/>
      <c r="M60" s="234"/>
    </row>
    <row r="61" spans="1:13" s="5" customFormat="1" ht="19.5" customHeight="1" thickBot="1" x14ac:dyDescent="0.3">
      <c r="A61" s="387"/>
      <c r="B61" s="388"/>
      <c r="C61" s="299" t="s">
        <v>129</v>
      </c>
      <c r="D61" s="230">
        <v>1.5</v>
      </c>
      <c r="E61" s="463" t="s">
        <v>218</v>
      </c>
      <c r="F61" s="97">
        <v>2</v>
      </c>
      <c r="G61" s="501" t="s">
        <v>214</v>
      </c>
      <c r="H61" s="595">
        <v>3</v>
      </c>
      <c r="I61" s="501"/>
      <c r="J61" s="502"/>
      <c r="K61" s="560"/>
      <c r="L61" s="561"/>
      <c r="M61" s="234"/>
    </row>
    <row r="62" spans="1:13" s="92" customFormat="1" ht="8.1" customHeight="1" x14ac:dyDescent="0.25">
      <c r="A62" s="401"/>
      <c r="B62" s="14"/>
      <c r="C62" s="402"/>
      <c r="D62" s="231">
        <f>D60+D61</f>
        <v>8.25</v>
      </c>
      <c r="E62" s="402"/>
      <c r="F62" s="231">
        <f>F60+F61</f>
        <v>8.25</v>
      </c>
      <c r="G62" s="402"/>
      <c r="H62" s="231">
        <f>H60+H61</f>
        <v>4.5</v>
      </c>
      <c r="I62" s="402"/>
      <c r="J62" s="231">
        <f>J60+J61</f>
        <v>8.25</v>
      </c>
      <c r="K62" s="402"/>
      <c r="L62" s="231">
        <f>L60+L61</f>
        <v>0</v>
      </c>
      <c r="M62" s="233">
        <f>SUM(D62:L62)</f>
        <v>29.25</v>
      </c>
    </row>
  </sheetData>
  <mergeCells count="6">
    <mergeCell ref="K5:L5"/>
    <mergeCell ref="E3:G3"/>
    <mergeCell ref="C5:D5"/>
    <mergeCell ref="E5:F5"/>
    <mergeCell ref="G5:H5"/>
    <mergeCell ref="I5:J5"/>
  </mergeCells>
  <printOptions horizontalCentered="1" verticalCentered="1"/>
  <pageMargins left="0" right="0" top="0.35433070866141736" bottom="0.15748031496062992" header="0.31496062992125984" footer="0.31496062992125984"/>
  <pageSetup paperSize="9" scale="5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AA1073"/>
  <sheetViews>
    <sheetView showGridLines="0" tabSelected="1" zoomScale="85" zoomScaleNormal="85" workbookViewId="0">
      <pane xSplit="11" ySplit="121" topLeftCell="L122" activePane="bottomRight" state="frozen"/>
      <selection pane="topRight" activeCell="L1" sqref="L1"/>
      <selection pane="bottomLeft" activeCell="A122" sqref="A122"/>
      <selection pane="bottomRight" activeCell="L2" sqref="L1:L1048576"/>
    </sheetView>
  </sheetViews>
  <sheetFormatPr baseColWidth="10" defaultRowHeight="12.75" x14ac:dyDescent="0.2"/>
  <cols>
    <col min="1" max="1" width="11.5703125" style="23" bestFit="1" customWidth="1"/>
    <col min="2" max="2" width="27.42578125" style="23" customWidth="1"/>
    <col min="3" max="3" width="6.7109375" style="325" customWidth="1"/>
    <col min="4" max="4" width="4" style="65" customWidth="1"/>
    <col min="5" max="5" width="9.85546875" style="23" customWidth="1"/>
    <col min="6" max="6" width="10.140625" style="26" customWidth="1"/>
    <col min="7" max="7" width="23.85546875" style="23" customWidth="1"/>
    <col min="8" max="8" width="6.7109375" style="61" bestFit="1" customWidth="1"/>
    <col min="9" max="9" width="19.28515625" style="23" customWidth="1"/>
    <col min="10" max="10" width="7" style="56" bestFit="1" customWidth="1"/>
    <col min="11" max="11" width="9.42578125" style="65" customWidth="1"/>
    <col min="12" max="12" width="31" style="32" hidden="1" customWidth="1"/>
    <col min="13" max="13" width="22.42578125" style="32" hidden="1" customWidth="1"/>
    <col min="14" max="14" width="18.140625" style="32" hidden="1" customWidth="1"/>
    <col min="15" max="15" width="12.5703125" style="32" hidden="1" customWidth="1"/>
    <col min="16" max="16" width="22.85546875" style="32" hidden="1" customWidth="1"/>
    <col min="17" max="18" width="14.7109375" style="23" hidden="1" customWidth="1"/>
    <col min="19" max="19" width="1" style="23" hidden="1" customWidth="1"/>
    <col min="20" max="20" width="11.42578125" style="23" customWidth="1"/>
    <col min="21" max="21" width="25.5703125" style="23" bestFit="1" customWidth="1"/>
    <col min="22" max="22" width="15.5703125" style="23" bestFit="1" customWidth="1"/>
    <col min="23" max="24" width="11.42578125" style="23" customWidth="1"/>
    <col min="25" max="258" width="11.42578125" style="23"/>
    <col min="259" max="259" width="36.42578125" style="23" bestFit="1" customWidth="1"/>
    <col min="260" max="260" width="2.5703125" style="23" bestFit="1" customWidth="1"/>
    <col min="261" max="261" width="8" style="23" customWidth="1"/>
    <col min="262" max="262" width="8.140625" style="23" customWidth="1"/>
    <col min="263" max="263" width="11.42578125" style="23"/>
    <col min="264" max="264" width="14.28515625" style="23" bestFit="1" customWidth="1"/>
    <col min="265" max="266" width="11.42578125" style="23"/>
    <col min="267" max="267" width="9.42578125" style="23" customWidth="1"/>
    <col min="268" max="268" width="14.140625" style="23" customWidth="1"/>
    <col min="269" max="514" width="11.42578125" style="23"/>
    <col min="515" max="515" width="36.42578125" style="23" bestFit="1" customWidth="1"/>
    <col min="516" max="516" width="2.5703125" style="23" bestFit="1" customWidth="1"/>
    <col min="517" max="517" width="8" style="23" customWidth="1"/>
    <col min="518" max="518" width="8.140625" style="23" customWidth="1"/>
    <col min="519" max="519" width="11.42578125" style="23"/>
    <col min="520" max="520" width="14.28515625" style="23" bestFit="1" customWidth="1"/>
    <col min="521" max="522" width="11.42578125" style="23"/>
    <col min="523" max="523" width="9.42578125" style="23" customWidth="1"/>
    <col min="524" max="524" width="14.140625" style="23" customWidth="1"/>
    <col min="525" max="770" width="11.42578125" style="23"/>
    <col min="771" max="771" width="36.42578125" style="23" bestFit="1" customWidth="1"/>
    <col min="772" max="772" width="2.5703125" style="23" bestFit="1" customWidth="1"/>
    <col min="773" max="773" width="8" style="23" customWidth="1"/>
    <col min="774" max="774" width="8.140625" style="23" customWidth="1"/>
    <col min="775" max="775" width="11.42578125" style="23"/>
    <col min="776" max="776" width="14.28515625" style="23" bestFit="1" customWidth="1"/>
    <col min="777" max="778" width="11.42578125" style="23"/>
    <col min="779" max="779" width="9.42578125" style="23" customWidth="1"/>
    <col min="780" max="780" width="14.140625" style="23" customWidth="1"/>
    <col min="781" max="1026" width="11.42578125" style="23"/>
    <col min="1027" max="1027" width="36.42578125" style="23" bestFit="1" customWidth="1"/>
    <col min="1028" max="1028" width="2.5703125" style="23" bestFit="1" customWidth="1"/>
    <col min="1029" max="1029" width="8" style="23" customWidth="1"/>
    <col min="1030" max="1030" width="8.140625" style="23" customWidth="1"/>
    <col min="1031" max="1031" width="11.42578125" style="23"/>
    <col min="1032" max="1032" width="14.28515625" style="23" bestFit="1" customWidth="1"/>
    <col min="1033" max="1034" width="11.42578125" style="23"/>
    <col min="1035" max="1035" width="9.42578125" style="23" customWidth="1"/>
    <col min="1036" max="1036" width="14.140625" style="23" customWidth="1"/>
    <col min="1037" max="1282" width="11.42578125" style="23"/>
    <col min="1283" max="1283" width="36.42578125" style="23" bestFit="1" customWidth="1"/>
    <col min="1284" max="1284" width="2.5703125" style="23" bestFit="1" customWidth="1"/>
    <col min="1285" max="1285" width="8" style="23" customWidth="1"/>
    <col min="1286" max="1286" width="8.140625" style="23" customWidth="1"/>
    <col min="1287" max="1287" width="11.42578125" style="23"/>
    <col min="1288" max="1288" width="14.28515625" style="23" bestFit="1" customWidth="1"/>
    <col min="1289" max="1290" width="11.42578125" style="23"/>
    <col min="1291" max="1291" width="9.42578125" style="23" customWidth="1"/>
    <col min="1292" max="1292" width="14.140625" style="23" customWidth="1"/>
    <col min="1293" max="1538" width="11.42578125" style="23"/>
    <col min="1539" max="1539" width="36.42578125" style="23" bestFit="1" customWidth="1"/>
    <col min="1540" max="1540" width="2.5703125" style="23" bestFit="1" customWidth="1"/>
    <col min="1541" max="1541" width="8" style="23" customWidth="1"/>
    <col min="1542" max="1542" width="8.140625" style="23" customWidth="1"/>
    <col min="1543" max="1543" width="11.42578125" style="23"/>
    <col min="1544" max="1544" width="14.28515625" style="23" bestFit="1" customWidth="1"/>
    <col min="1545" max="1546" width="11.42578125" style="23"/>
    <col min="1547" max="1547" width="9.42578125" style="23" customWidth="1"/>
    <col min="1548" max="1548" width="14.140625" style="23" customWidth="1"/>
    <col min="1549" max="1794" width="11.42578125" style="23"/>
    <col min="1795" max="1795" width="36.42578125" style="23" bestFit="1" customWidth="1"/>
    <col min="1796" max="1796" width="2.5703125" style="23" bestFit="1" customWidth="1"/>
    <col min="1797" max="1797" width="8" style="23" customWidth="1"/>
    <col min="1798" max="1798" width="8.140625" style="23" customWidth="1"/>
    <col min="1799" max="1799" width="11.42578125" style="23"/>
    <col min="1800" max="1800" width="14.28515625" style="23" bestFit="1" customWidth="1"/>
    <col min="1801" max="1802" width="11.42578125" style="23"/>
    <col min="1803" max="1803" width="9.42578125" style="23" customWidth="1"/>
    <col min="1804" max="1804" width="14.140625" style="23" customWidth="1"/>
    <col min="1805" max="2050" width="11.42578125" style="23"/>
    <col min="2051" max="2051" width="36.42578125" style="23" bestFit="1" customWidth="1"/>
    <col min="2052" max="2052" width="2.5703125" style="23" bestFit="1" customWidth="1"/>
    <col min="2053" max="2053" width="8" style="23" customWidth="1"/>
    <col min="2054" max="2054" width="8.140625" style="23" customWidth="1"/>
    <col min="2055" max="2055" width="11.42578125" style="23"/>
    <col min="2056" max="2056" width="14.28515625" style="23" bestFit="1" customWidth="1"/>
    <col min="2057" max="2058" width="11.42578125" style="23"/>
    <col min="2059" max="2059" width="9.42578125" style="23" customWidth="1"/>
    <col min="2060" max="2060" width="14.140625" style="23" customWidth="1"/>
    <col min="2061" max="2306" width="11.42578125" style="23"/>
    <col min="2307" max="2307" width="36.42578125" style="23" bestFit="1" customWidth="1"/>
    <col min="2308" max="2308" width="2.5703125" style="23" bestFit="1" customWidth="1"/>
    <col min="2309" max="2309" width="8" style="23" customWidth="1"/>
    <col min="2310" max="2310" width="8.140625" style="23" customWidth="1"/>
    <col min="2311" max="2311" width="11.42578125" style="23"/>
    <col min="2312" max="2312" width="14.28515625" style="23" bestFit="1" customWidth="1"/>
    <col min="2313" max="2314" width="11.42578125" style="23"/>
    <col min="2315" max="2315" width="9.42578125" style="23" customWidth="1"/>
    <col min="2316" max="2316" width="14.140625" style="23" customWidth="1"/>
    <col min="2317" max="2562" width="11.42578125" style="23"/>
    <col min="2563" max="2563" width="36.42578125" style="23" bestFit="1" customWidth="1"/>
    <col min="2564" max="2564" width="2.5703125" style="23" bestFit="1" customWidth="1"/>
    <col min="2565" max="2565" width="8" style="23" customWidth="1"/>
    <col min="2566" max="2566" width="8.140625" style="23" customWidth="1"/>
    <col min="2567" max="2567" width="11.42578125" style="23"/>
    <col min="2568" max="2568" width="14.28515625" style="23" bestFit="1" customWidth="1"/>
    <col min="2569" max="2570" width="11.42578125" style="23"/>
    <col min="2571" max="2571" width="9.42578125" style="23" customWidth="1"/>
    <col min="2572" max="2572" width="14.140625" style="23" customWidth="1"/>
    <col min="2573" max="2818" width="11.42578125" style="23"/>
    <col min="2819" max="2819" width="36.42578125" style="23" bestFit="1" customWidth="1"/>
    <col min="2820" max="2820" width="2.5703125" style="23" bestFit="1" customWidth="1"/>
    <col min="2821" max="2821" width="8" style="23" customWidth="1"/>
    <col min="2822" max="2822" width="8.140625" style="23" customWidth="1"/>
    <col min="2823" max="2823" width="11.42578125" style="23"/>
    <col min="2824" max="2824" width="14.28515625" style="23" bestFit="1" customWidth="1"/>
    <col min="2825" max="2826" width="11.42578125" style="23"/>
    <col min="2827" max="2827" width="9.42578125" style="23" customWidth="1"/>
    <col min="2828" max="2828" width="14.140625" style="23" customWidth="1"/>
    <col min="2829" max="3074" width="11.42578125" style="23"/>
    <col min="3075" max="3075" width="36.42578125" style="23" bestFit="1" customWidth="1"/>
    <col min="3076" max="3076" width="2.5703125" style="23" bestFit="1" customWidth="1"/>
    <col min="3077" max="3077" width="8" style="23" customWidth="1"/>
    <col min="3078" max="3078" width="8.140625" style="23" customWidth="1"/>
    <col min="3079" max="3079" width="11.42578125" style="23"/>
    <col min="3080" max="3080" width="14.28515625" style="23" bestFit="1" customWidth="1"/>
    <col min="3081" max="3082" width="11.42578125" style="23"/>
    <col min="3083" max="3083" width="9.42578125" style="23" customWidth="1"/>
    <col min="3084" max="3084" width="14.140625" style="23" customWidth="1"/>
    <col min="3085" max="3330" width="11.42578125" style="23"/>
    <col min="3331" max="3331" width="36.42578125" style="23" bestFit="1" customWidth="1"/>
    <col min="3332" max="3332" width="2.5703125" style="23" bestFit="1" customWidth="1"/>
    <col min="3333" max="3333" width="8" style="23" customWidth="1"/>
    <col min="3334" max="3334" width="8.140625" style="23" customWidth="1"/>
    <col min="3335" max="3335" width="11.42578125" style="23"/>
    <col min="3336" max="3336" width="14.28515625" style="23" bestFit="1" customWidth="1"/>
    <col min="3337" max="3338" width="11.42578125" style="23"/>
    <col min="3339" max="3339" width="9.42578125" style="23" customWidth="1"/>
    <col min="3340" max="3340" width="14.140625" style="23" customWidth="1"/>
    <col min="3341" max="3586" width="11.42578125" style="23"/>
    <col min="3587" max="3587" width="36.42578125" style="23" bestFit="1" customWidth="1"/>
    <col min="3588" max="3588" width="2.5703125" style="23" bestFit="1" customWidth="1"/>
    <col min="3589" max="3589" width="8" style="23" customWidth="1"/>
    <col min="3590" max="3590" width="8.140625" style="23" customWidth="1"/>
    <col min="3591" max="3591" width="11.42578125" style="23"/>
    <col min="3592" max="3592" width="14.28515625" style="23" bestFit="1" customWidth="1"/>
    <col min="3593" max="3594" width="11.42578125" style="23"/>
    <col min="3595" max="3595" width="9.42578125" style="23" customWidth="1"/>
    <col min="3596" max="3596" width="14.140625" style="23" customWidth="1"/>
    <col min="3597" max="3842" width="11.42578125" style="23"/>
    <col min="3843" max="3843" width="36.42578125" style="23" bestFit="1" customWidth="1"/>
    <col min="3844" max="3844" width="2.5703125" style="23" bestFit="1" customWidth="1"/>
    <col min="3845" max="3845" width="8" style="23" customWidth="1"/>
    <col min="3846" max="3846" width="8.140625" style="23" customWidth="1"/>
    <col min="3847" max="3847" width="11.42578125" style="23"/>
    <col min="3848" max="3848" width="14.28515625" style="23" bestFit="1" customWidth="1"/>
    <col min="3849" max="3850" width="11.42578125" style="23"/>
    <col min="3851" max="3851" width="9.42578125" style="23" customWidth="1"/>
    <col min="3852" max="3852" width="14.140625" style="23" customWidth="1"/>
    <col min="3853" max="4098" width="11.42578125" style="23"/>
    <col min="4099" max="4099" width="36.42578125" style="23" bestFit="1" customWidth="1"/>
    <col min="4100" max="4100" width="2.5703125" style="23" bestFit="1" customWidth="1"/>
    <col min="4101" max="4101" width="8" style="23" customWidth="1"/>
    <col min="4102" max="4102" width="8.140625" style="23" customWidth="1"/>
    <col min="4103" max="4103" width="11.42578125" style="23"/>
    <col min="4104" max="4104" width="14.28515625" style="23" bestFit="1" customWidth="1"/>
    <col min="4105" max="4106" width="11.42578125" style="23"/>
    <col min="4107" max="4107" width="9.42578125" style="23" customWidth="1"/>
    <col min="4108" max="4108" width="14.140625" style="23" customWidth="1"/>
    <col min="4109" max="4354" width="11.42578125" style="23"/>
    <col min="4355" max="4355" width="36.42578125" style="23" bestFit="1" customWidth="1"/>
    <col min="4356" max="4356" width="2.5703125" style="23" bestFit="1" customWidth="1"/>
    <col min="4357" max="4357" width="8" style="23" customWidth="1"/>
    <col min="4358" max="4358" width="8.140625" style="23" customWidth="1"/>
    <col min="4359" max="4359" width="11.42578125" style="23"/>
    <col min="4360" max="4360" width="14.28515625" style="23" bestFit="1" customWidth="1"/>
    <col min="4361" max="4362" width="11.42578125" style="23"/>
    <col min="4363" max="4363" width="9.42578125" style="23" customWidth="1"/>
    <col min="4364" max="4364" width="14.140625" style="23" customWidth="1"/>
    <col min="4365" max="4610" width="11.42578125" style="23"/>
    <col min="4611" max="4611" width="36.42578125" style="23" bestFit="1" customWidth="1"/>
    <col min="4612" max="4612" width="2.5703125" style="23" bestFit="1" customWidth="1"/>
    <col min="4613" max="4613" width="8" style="23" customWidth="1"/>
    <col min="4614" max="4614" width="8.140625" style="23" customWidth="1"/>
    <col min="4615" max="4615" width="11.42578125" style="23"/>
    <col min="4616" max="4616" width="14.28515625" style="23" bestFit="1" customWidth="1"/>
    <col min="4617" max="4618" width="11.42578125" style="23"/>
    <col min="4619" max="4619" width="9.42578125" style="23" customWidth="1"/>
    <col min="4620" max="4620" width="14.140625" style="23" customWidth="1"/>
    <col min="4621" max="4866" width="11.42578125" style="23"/>
    <col min="4867" max="4867" width="36.42578125" style="23" bestFit="1" customWidth="1"/>
    <col min="4868" max="4868" width="2.5703125" style="23" bestFit="1" customWidth="1"/>
    <col min="4869" max="4869" width="8" style="23" customWidth="1"/>
    <col min="4870" max="4870" width="8.140625" style="23" customWidth="1"/>
    <col min="4871" max="4871" width="11.42578125" style="23"/>
    <col min="4872" max="4872" width="14.28515625" style="23" bestFit="1" customWidth="1"/>
    <col min="4873" max="4874" width="11.42578125" style="23"/>
    <col min="4875" max="4875" width="9.42578125" style="23" customWidth="1"/>
    <col min="4876" max="4876" width="14.140625" style="23" customWidth="1"/>
    <col min="4877" max="5122" width="11.42578125" style="23"/>
    <col min="5123" max="5123" width="36.42578125" style="23" bestFit="1" customWidth="1"/>
    <col min="5124" max="5124" width="2.5703125" style="23" bestFit="1" customWidth="1"/>
    <col min="5125" max="5125" width="8" style="23" customWidth="1"/>
    <col min="5126" max="5126" width="8.140625" style="23" customWidth="1"/>
    <col min="5127" max="5127" width="11.42578125" style="23"/>
    <col min="5128" max="5128" width="14.28515625" style="23" bestFit="1" customWidth="1"/>
    <col min="5129" max="5130" width="11.42578125" style="23"/>
    <col min="5131" max="5131" width="9.42578125" style="23" customWidth="1"/>
    <col min="5132" max="5132" width="14.140625" style="23" customWidth="1"/>
    <col min="5133" max="5378" width="11.42578125" style="23"/>
    <col min="5379" max="5379" width="36.42578125" style="23" bestFit="1" customWidth="1"/>
    <col min="5380" max="5380" width="2.5703125" style="23" bestFit="1" customWidth="1"/>
    <col min="5381" max="5381" width="8" style="23" customWidth="1"/>
    <col min="5382" max="5382" width="8.140625" style="23" customWidth="1"/>
    <col min="5383" max="5383" width="11.42578125" style="23"/>
    <col min="5384" max="5384" width="14.28515625" style="23" bestFit="1" customWidth="1"/>
    <col min="5385" max="5386" width="11.42578125" style="23"/>
    <col min="5387" max="5387" width="9.42578125" style="23" customWidth="1"/>
    <col min="5388" max="5388" width="14.140625" style="23" customWidth="1"/>
    <col min="5389" max="5634" width="11.42578125" style="23"/>
    <col min="5635" max="5635" width="36.42578125" style="23" bestFit="1" customWidth="1"/>
    <col min="5636" max="5636" width="2.5703125" style="23" bestFit="1" customWidth="1"/>
    <col min="5637" max="5637" width="8" style="23" customWidth="1"/>
    <col min="5638" max="5638" width="8.140625" style="23" customWidth="1"/>
    <col min="5639" max="5639" width="11.42578125" style="23"/>
    <col min="5640" max="5640" width="14.28515625" style="23" bestFit="1" customWidth="1"/>
    <col min="5641" max="5642" width="11.42578125" style="23"/>
    <col min="5643" max="5643" width="9.42578125" style="23" customWidth="1"/>
    <col min="5644" max="5644" width="14.140625" style="23" customWidth="1"/>
    <col min="5645" max="5890" width="11.42578125" style="23"/>
    <col min="5891" max="5891" width="36.42578125" style="23" bestFit="1" customWidth="1"/>
    <col min="5892" max="5892" width="2.5703125" style="23" bestFit="1" customWidth="1"/>
    <col min="5893" max="5893" width="8" style="23" customWidth="1"/>
    <col min="5894" max="5894" width="8.140625" style="23" customWidth="1"/>
    <col min="5895" max="5895" width="11.42578125" style="23"/>
    <col min="5896" max="5896" width="14.28515625" style="23" bestFit="1" customWidth="1"/>
    <col min="5897" max="5898" width="11.42578125" style="23"/>
    <col min="5899" max="5899" width="9.42578125" style="23" customWidth="1"/>
    <col min="5900" max="5900" width="14.140625" style="23" customWidth="1"/>
    <col min="5901" max="6146" width="11.42578125" style="23"/>
    <col min="6147" max="6147" width="36.42578125" style="23" bestFit="1" customWidth="1"/>
    <col min="6148" max="6148" width="2.5703125" style="23" bestFit="1" customWidth="1"/>
    <col min="6149" max="6149" width="8" style="23" customWidth="1"/>
    <col min="6150" max="6150" width="8.140625" style="23" customWidth="1"/>
    <col min="6151" max="6151" width="11.42578125" style="23"/>
    <col min="6152" max="6152" width="14.28515625" style="23" bestFit="1" customWidth="1"/>
    <col min="6153" max="6154" width="11.42578125" style="23"/>
    <col min="6155" max="6155" width="9.42578125" style="23" customWidth="1"/>
    <col min="6156" max="6156" width="14.140625" style="23" customWidth="1"/>
    <col min="6157" max="6402" width="11.42578125" style="23"/>
    <col min="6403" max="6403" width="36.42578125" style="23" bestFit="1" customWidth="1"/>
    <col min="6404" max="6404" width="2.5703125" style="23" bestFit="1" customWidth="1"/>
    <col min="6405" max="6405" width="8" style="23" customWidth="1"/>
    <col min="6406" max="6406" width="8.140625" style="23" customWidth="1"/>
    <col min="6407" max="6407" width="11.42578125" style="23"/>
    <col min="6408" max="6408" width="14.28515625" style="23" bestFit="1" customWidth="1"/>
    <col min="6409" max="6410" width="11.42578125" style="23"/>
    <col min="6411" max="6411" width="9.42578125" style="23" customWidth="1"/>
    <col min="6412" max="6412" width="14.140625" style="23" customWidth="1"/>
    <col min="6413" max="6658" width="11.42578125" style="23"/>
    <col min="6659" max="6659" width="36.42578125" style="23" bestFit="1" customWidth="1"/>
    <col min="6660" max="6660" width="2.5703125" style="23" bestFit="1" customWidth="1"/>
    <col min="6661" max="6661" width="8" style="23" customWidth="1"/>
    <col min="6662" max="6662" width="8.140625" style="23" customWidth="1"/>
    <col min="6663" max="6663" width="11.42578125" style="23"/>
    <col min="6664" max="6664" width="14.28515625" style="23" bestFit="1" customWidth="1"/>
    <col min="6665" max="6666" width="11.42578125" style="23"/>
    <col min="6667" max="6667" width="9.42578125" style="23" customWidth="1"/>
    <col min="6668" max="6668" width="14.140625" style="23" customWidth="1"/>
    <col min="6669" max="6914" width="11.42578125" style="23"/>
    <col min="6915" max="6915" width="36.42578125" style="23" bestFit="1" customWidth="1"/>
    <col min="6916" max="6916" width="2.5703125" style="23" bestFit="1" customWidth="1"/>
    <col min="6917" max="6917" width="8" style="23" customWidth="1"/>
    <col min="6918" max="6918" width="8.140625" style="23" customWidth="1"/>
    <col min="6919" max="6919" width="11.42578125" style="23"/>
    <col min="6920" max="6920" width="14.28515625" style="23" bestFit="1" customWidth="1"/>
    <col min="6921" max="6922" width="11.42578125" style="23"/>
    <col min="6923" max="6923" width="9.42578125" style="23" customWidth="1"/>
    <col min="6924" max="6924" width="14.140625" style="23" customWidth="1"/>
    <col min="6925" max="7170" width="11.42578125" style="23"/>
    <col min="7171" max="7171" width="36.42578125" style="23" bestFit="1" customWidth="1"/>
    <col min="7172" max="7172" width="2.5703125" style="23" bestFit="1" customWidth="1"/>
    <col min="7173" max="7173" width="8" style="23" customWidth="1"/>
    <col min="7174" max="7174" width="8.140625" style="23" customWidth="1"/>
    <col min="7175" max="7175" width="11.42578125" style="23"/>
    <col min="7176" max="7176" width="14.28515625" style="23" bestFit="1" customWidth="1"/>
    <col min="7177" max="7178" width="11.42578125" style="23"/>
    <col min="7179" max="7179" width="9.42578125" style="23" customWidth="1"/>
    <col min="7180" max="7180" width="14.140625" style="23" customWidth="1"/>
    <col min="7181" max="7426" width="11.42578125" style="23"/>
    <col min="7427" max="7427" width="36.42578125" style="23" bestFit="1" customWidth="1"/>
    <col min="7428" max="7428" width="2.5703125" style="23" bestFit="1" customWidth="1"/>
    <col min="7429" max="7429" width="8" style="23" customWidth="1"/>
    <col min="7430" max="7430" width="8.140625" style="23" customWidth="1"/>
    <col min="7431" max="7431" width="11.42578125" style="23"/>
    <col min="7432" max="7432" width="14.28515625" style="23" bestFit="1" customWidth="1"/>
    <col min="7433" max="7434" width="11.42578125" style="23"/>
    <col min="7435" max="7435" width="9.42578125" style="23" customWidth="1"/>
    <col min="7436" max="7436" width="14.140625" style="23" customWidth="1"/>
    <col min="7437" max="7682" width="11.42578125" style="23"/>
    <col min="7683" max="7683" width="36.42578125" style="23" bestFit="1" customWidth="1"/>
    <col min="7684" max="7684" width="2.5703125" style="23" bestFit="1" customWidth="1"/>
    <col min="7685" max="7685" width="8" style="23" customWidth="1"/>
    <col min="7686" max="7686" width="8.140625" style="23" customWidth="1"/>
    <col min="7687" max="7687" width="11.42578125" style="23"/>
    <col min="7688" max="7688" width="14.28515625" style="23" bestFit="1" customWidth="1"/>
    <col min="7689" max="7690" width="11.42578125" style="23"/>
    <col min="7691" max="7691" width="9.42578125" style="23" customWidth="1"/>
    <col min="7692" max="7692" width="14.140625" style="23" customWidth="1"/>
    <col min="7693" max="7938" width="11.42578125" style="23"/>
    <col min="7939" max="7939" width="36.42578125" style="23" bestFit="1" customWidth="1"/>
    <col min="7940" max="7940" width="2.5703125" style="23" bestFit="1" customWidth="1"/>
    <col min="7941" max="7941" width="8" style="23" customWidth="1"/>
    <col min="7942" max="7942" width="8.140625" style="23" customWidth="1"/>
    <col min="7943" max="7943" width="11.42578125" style="23"/>
    <col min="7944" max="7944" width="14.28515625" style="23" bestFit="1" customWidth="1"/>
    <col min="7945" max="7946" width="11.42578125" style="23"/>
    <col min="7947" max="7947" width="9.42578125" style="23" customWidth="1"/>
    <col min="7948" max="7948" width="14.140625" style="23" customWidth="1"/>
    <col min="7949" max="8194" width="11.42578125" style="23"/>
    <col min="8195" max="8195" width="36.42578125" style="23" bestFit="1" customWidth="1"/>
    <col min="8196" max="8196" width="2.5703125" style="23" bestFit="1" customWidth="1"/>
    <col min="8197" max="8197" width="8" style="23" customWidth="1"/>
    <col min="8198" max="8198" width="8.140625" style="23" customWidth="1"/>
    <col min="8199" max="8199" width="11.42578125" style="23"/>
    <col min="8200" max="8200" width="14.28515625" style="23" bestFit="1" customWidth="1"/>
    <col min="8201" max="8202" width="11.42578125" style="23"/>
    <col min="8203" max="8203" width="9.42578125" style="23" customWidth="1"/>
    <col min="8204" max="8204" width="14.140625" style="23" customWidth="1"/>
    <col min="8205" max="8450" width="11.42578125" style="23"/>
    <col min="8451" max="8451" width="36.42578125" style="23" bestFit="1" customWidth="1"/>
    <col min="8452" max="8452" width="2.5703125" style="23" bestFit="1" customWidth="1"/>
    <col min="8453" max="8453" width="8" style="23" customWidth="1"/>
    <col min="8454" max="8454" width="8.140625" style="23" customWidth="1"/>
    <col min="8455" max="8455" width="11.42578125" style="23"/>
    <col min="8456" max="8456" width="14.28515625" style="23" bestFit="1" customWidth="1"/>
    <col min="8457" max="8458" width="11.42578125" style="23"/>
    <col min="8459" max="8459" width="9.42578125" style="23" customWidth="1"/>
    <col min="8460" max="8460" width="14.140625" style="23" customWidth="1"/>
    <col min="8461" max="8706" width="11.42578125" style="23"/>
    <col min="8707" max="8707" width="36.42578125" style="23" bestFit="1" customWidth="1"/>
    <col min="8708" max="8708" width="2.5703125" style="23" bestFit="1" customWidth="1"/>
    <col min="8709" max="8709" width="8" style="23" customWidth="1"/>
    <col min="8710" max="8710" width="8.140625" style="23" customWidth="1"/>
    <col min="8711" max="8711" width="11.42578125" style="23"/>
    <col min="8712" max="8712" width="14.28515625" style="23" bestFit="1" customWidth="1"/>
    <col min="8713" max="8714" width="11.42578125" style="23"/>
    <col min="8715" max="8715" width="9.42578125" style="23" customWidth="1"/>
    <col min="8716" max="8716" width="14.140625" style="23" customWidth="1"/>
    <col min="8717" max="8962" width="11.42578125" style="23"/>
    <col min="8963" max="8963" width="36.42578125" style="23" bestFit="1" customWidth="1"/>
    <col min="8964" max="8964" width="2.5703125" style="23" bestFit="1" customWidth="1"/>
    <col min="8965" max="8965" width="8" style="23" customWidth="1"/>
    <col min="8966" max="8966" width="8.140625" style="23" customWidth="1"/>
    <col min="8967" max="8967" width="11.42578125" style="23"/>
    <col min="8968" max="8968" width="14.28515625" style="23" bestFit="1" customWidth="1"/>
    <col min="8969" max="8970" width="11.42578125" style="23"/>
    <col min="8971" max="8971" width="9.42578125" style="23" customWidth="1"/>
    <col min="8972" max="8972" width="14.140625" style="23" customWidth="1"/>
    <col min="8973" max="9218" width="11.42578125" style="23"/>
    <col min="9219" max="9219" width="36.42578125" style="23" bestFit="1" customWidth="1"/>
    <col min="9220" max="9220" width="2.5703125" style="23" bestFit="1" customWidth="1"/>
    <col min="9221" max="9221" width="8" style="23" customWidth="1"/>
    <col min="9222" max="9222" width="8.140625" style="23" customWidth="1"/>
    <col min="9223" max="9223" width="11.42578125" style="23"/>
    <col min="9224" max="9224" width="14.28515625" style="23" bestFit="1" customWidth="1"/>
    <col min="9225" max="9226" width="11.42578125" style="23"/>
    <col min="9227" max="9227" width="9.42578125" style="23" customWidth="1"/>
    <col min="9228" max="9228" width="14.140625" style="23" customWidth="1"/>
    <col min="9229" max="9474" width="11.42578125" style="23"/>
    <col min="9475" max="9475" width="36.42578125" style="23" bestFit="1" customWidth="1"/>
    <col min="9476" max="9476" width="2.5703125" style="23" bestFit="1" customWidth="1"/>
    <col min="9477" max="9477" width="8" style="23" customWidth="1"/>
    <col min="9478" max="9478" width="8.140625" style="23" customWidth="1"/>
    <col min="9479" max="9479" width="11.42578125" style="23"/>
    <col min="9480" max="9480" width="14.28515625" style="23" bestFit="1" customWidth="1"/>
    <col min="9481" max="9482" width="11.42578125" style="23"/>
    <col min="9483" max="9483" width="9.42578125" style="23" customWidth="1"/>
    <col min="9484" max="9484" width="14.140625" style="23" customWidth="1"/>
    <col min="9485" max="9730" width="11.42578125" style="23"/>
    <col min="9731" max="9731" width="36.42578125" style="23" bestFit="1" customWidth="1"/>
    <col min="9732" max="9732" width="2.5703125" style="23" bestFit="1" customWidth="1"/>
    <col min="9733" max="9733" width="8" style="23" customWidth="1"/>
    <col min="9734" max="9734" width="8.140625" style="23" customWidth="1"/>
    <col min="9735" max="9735" width="11.42578125" style="23"/>
    <col min="9736" max="9736" width="14.28515625" style="23" bestFit="1" customWidth="1"/>
    <col min="9737" max="9738" width="11.42578125" style="23"/>
    <col min="9739" max="9739" width="9.42578125" style="23" customWidth="1"/>
    <col min="9740" max="9740" width="14.140625" style="23" customWidth="1"/>
    <col min="9741" max="9986" width="11.42578125" style="23"/>
    <col min="9987" max="9987" width="36.42578125" style="23" bestFit="1" customWidth="1"/>
    <col min="9988" max="9988" width="2.5703125" style="23" bestFit="1" customWidth="1"/>
    <col min="9989" max="9989" width="8" style="23" customWidth="1"/>
    <col min="9990" max="9990" width="8.140625" style="23" customWidth="1"/>
    <col min="9991" max="9991" width="11.42578125" style="23"/>
    <col min="9992" max="9992" width="14.28515625" style="23" bestFit="1" customWidth="1"/>
    <col min="9993" max="9994" width="11.42578125" style="23"/>
    <col min="9995" max="9995" width="9.42578125" style="23" customWidth="1"/>
    <col min="9996" max="9996" width="14.140625" style="23" customWidth="1"/>
    <col min="9997" max="10242" width="11.42578125" style="23"/>
    <col min="10243" max="10243" width="36.42578125" style="23" bestFit="1" customWidth="1"/>
    <col min="10244" max="10244" width="2.5703125" style="23" bestFit="1" customWidth="1"/>
    <col min="10245" max="10245" width="8" style="23" customWidth="1"/>
    <col min="10246" max="10246" width="8.140625" style="23" customWidth="1"/>
    <col min="10247" max="10247" width="11.42578125" style="23"/>
    <col min="10248" max="10248" width="14.28515625" style="23" bestFit="1" customWidth="1"/>
    <col min="10249" max="10250" width="11.42578125" style="23"/>
    <col min="10251" max="10251" width="9.42578125" style="23" customWidth="1"/>
    <col min="10252" max="10252" width="14.140625" style="23" customWidth="1"/>
    <col min="10253" max="10498" width="11.42578125" style="23"/>
    <col min="10499" max="10499" width="36.42578125" style="23" bestFit="1" customWidth="1"/>
    <col min="10500" max="10500" width="2.5703125" style="23" bestFit="1" customWidth="1"/>
    <col min="10501" max="10501" width="8" style="23" customWidth="1"/>
    <col min="10502" max="10502" width="8.140625" style="23" customWidth="1"/>
    <col min="10503" max="10503" width="11.42578125" style="23"/>
    <col min="10504" max="10504" width="14.28515625" style="23" bestFit="1" customWidth="1"/>
    <col min="10505" max="10506" width="11.42578125" style="23"/>
    <col min="10507" max="10507" width="9.42578125" style="23" customWidth="1"/>
    <col min="10508" max="10508" width="14.140625" style="23" customWidth="1"/>
    <col min="10509" max="10754" width="11.42578125" style="23"/>
    <col min="10755" max="10755" width="36.42578125" style="23" bestFit="1" customWidth="1"/>
    <col min="10756" max="10756" width="2.5703125" style="23" bestFit="1" customWidth="1"/>
    <col min="10757" max="10757" width="8" style="23" customWidth="1"/>
    <col min="10758" max="10758" width="8.140625" style="23" customWidth="1"/>
    <col min="10759" max="10759" width="11.42578125" style="23"/>
    <col min="10760" max="10760" width="14.28515625" style="23" bestFit="1" customWidth="1"/>
    <col min="10761" max="10762" width="11.42578125" style="23"/>
    <col min="10763" max="10763" width="9.42578125" style="23" customWidth="1"/>
    <col min="10764" max="10764" width="14.140625" style="23" customWidth="1"/>
    <col min="10765" max="11010" width="11.42578125" style="23"/>
    <col min="11011" max="11011" width="36.42578125" style="23" bestFit="1" customWidth="1"/>
    <col min="11012" max="11012" width="2.5703125" style="23" bestFit="1" customWidth="1"/>
    <col min="11013" max="11013" width="8" style="23" customWidth="1"/>
    <col min="11014" max="11014" width="8.140625" style="23" customWidth="1"/>
    <col min="11015" max="11015" width="11.42578125" style="23"/>
    <col min="11016" max="11016" width="14.28515625" style="23" bestFit="1" customWidth="1"/>
    <col min="11017" max="11018" width="11.42578125" style="23"/>
    <col min="11019" max="11019" width="9.42578125" style="23" customWidth="1"/>
    <col min="11020" max="11020" width="14.140625" style="23" customWidth="1"/>
    <col min="11021" max="11266" width="11.42578125" style="23"/>
    <col min="11267" max="11267" width="36.42578125" style="23" bestFit="1" customWidth="1"/>
    <col min="11268" max="11268" width="2.5703125" style="23" bestFit="1" customWidth="1"/>
    <col min="11269" max="11269" width="8" style="23" customWidth="1"/>
    <col min="11270" max="11270" width="8.140625" style="23" customWidth="1"/>
    <col min="11271" max="11271" width="11.42578125" style="23"/>
    <col min="11272" max="11272" width="14.28515625" style="23" bestFit="1" customWidth="1"/>
    <col min="11273" max="11274" width="11.42578125" style="23"/>
    <col min="11275" max="11275" width="9.42578125" style="23" customWidth="1"/>
    <col min="11276" max="11276" width="14.140625" style="23" customWidth="1"/>
    <col min="11277" max="11522" width="11.42578125" style="23"/>
    <col min="11523" max="11523" width="36.42578125" style="23" bestFit="1" customWidth="1"/>
    <col min="11524" max="11524" width="2.5703125" style="23" bestFit="1" customWidth="1"/>
    <col min="11525" max="11525" width="8" style="23" customWidth="1"/>
    <col min="11526" max="11526" width="8.140625" style="23" customWidth="1"/>
    <col min="11527" max="11527" width="11.42578125" style="23"/>
    <col min="11528" max="11528" width="14.28515625" style="23" bestFit="1" customWidth="1"/>
    <col min="11529" max="11530" width="11.42578125" style="23"/>
    <col min="11531" max="11531" width="9.42578125" style="23" customWidth="1"/>
    <col min="11532" max="11532" width="14.140625" style="23" customWidth="1"/>
    <col min="11533" max="11778" width="11.42578125" style="23"/>
    <col min="11779" max="11779" width="36.42578125" style="23" bestFit="1" customWidth="1"/>
    <col min="11780" max="11780" width="2.5703125" style="23" bestFit="1" customWidth="1"/>
    <col min="11781" max="11781" width="8" style="23" customWidth="1"/>
    <col min="11782" max="11782" width="8.140625" style="23" customWidth="1"/>
    <col min="11783" max="11783" width="11.42578125" style="23"/>
    <col min="11784" max="11784" width="14.28515625" style="23" bestFit="1" customWidth="1"/>
    <col min="11785" max="11786" width="11.42578125" style="23"/>
    <col min="11787" max="11787" width="9.42578125" style="23" customWidth="1"/>
    <col min="11788" max="11788" width="14.140625" style="23" customWidth="1"/>
    <col min="11789" max="12034" width="11.42578125" style="23"/>
    <col min="12035" max="12035" width="36.42578125" style="23" bestFit="1" customWidth="1"/>
    <col min="12036" max="12036" width="2.5703125" style="23" bestFit="1" customWidth="1"/>
    <col min="12037" max="12037" width="8" style="23" customWidth="1"/>
    <col min="12038" max="12038" width="8.140625" style="23" customWidth="1"/>
    <col min="12039" max="12039" width="11.42578125" style="23"/>
    <col min="12040" max="12040" width="14.28515625" style="23" bestFit="1" customWidth="1"/>
    <col min="12041" max="12042" width="11.42578125" style="23"/>
    <col min="12043" max="12043" width="9.42578125" style="23" customWidth="1"/>
    <col min="12044" max="12044" width="14.140625" style="23" customWidth="1"/>
    <col min="12045" max="12290" width="11.42578125" style="23"/>
    <col min="12291" max="12291" width="36.42578125" style="23" bestFit="1" customWidth="1"/>
    <col min="12292" max="12292" width="2.5703125" style="23" bestFit="1" customWidth="1"/>
    <col min="12293" max="12293" width="8" style="23" customWidth="1"/>
    <col min="12294" max="12294" width="8.140625" style="23" customWidth="1"/>
    <col min="12295" max="12295" width="11.42578125" style="23"/>
    <col min="12296" max="12296" width="14.28515625" style="23" bestFit="1" customWidth="1"/>
    <col min="12297" max="12298" width="11.42578125" style="23"/>
    <col min="12299" max="12299" width="9.42578125" style="23" customWidth="1"/>
    <col min="12300" max="12300" width="14.140625" style="23" customWidth="1"/>
    <col min="12301" max="12546" width="11.42578125" style="23"/>
    <col min="12547" max="12547" width="36.42578125" style="23" bestFit="1" customWidth="1"/>
    <col min="12548" max="12548" width="2.5703125" style="23" bestFit="1" customWidth="1"/>
    <col min="12549" max="12549" width="8" style="23" customWidth="1"/>
    <col min="12550" max="12550" width="8.140625" style="23" customWidth="1"/>
    <col min="12551" max="12551" width="11.42578125" style="23"/>
    <col min="12552" max="12552" width="14.28515625" style="23" bestFit="1" customWidth="1"/>
    <col min="12553" max="12554" width="11.42578125" style="23"/>
    <col min="12555" max="12555" width="9.42578125" style="23" customWidth="1"/>
    <col min="12556" max="12556" width="14.140625" style="23" customWidth="1"/>
    <col min="12557" max="12802" width="11.42578125" style="23"/>
    <col min="12803" max="12803" width="36.42578125" style="23" bestFit="1" customWidth="1"/>
    <col min="12804" max="12804" width="2.5703125" style="23" bestFit="1" customWidth="1"/>
    <col min="12805" max="12805" width="8" style="23" customWidth="1"/>
    <col min="12806" max="12806" width="8.140625" style="23" customWidth="1"/>
    <col min="12807" max="12807" width="11.42578125" style="23"/>
    <col min="12808" max="12808" width="14.28515625" style="23" bestFit="1" customWidth="1"/>
    <col min="12809" max="12810" width="11.42578125" style="23"/>
    <col min="12811" max="12811" width="9.42578125" style="23" customWidth="1"/>
    <col min="12812" max="12812" width="14.140625" style="23" customWidth="1"/>
    <col min="12813" max="13058" width="11.42578125" style="23"/>
    <col min="13059" max="13059" width="36.42578125" style="23" bestFit="1" customWidth="1"/>
    <col min="13060" max="13060" width="2.5703125" style="23" bestFit="1" customWidth="1"/>
    <col min="13061" max="13061" width="8" style="23" customWidth="1"/>
    <col min="13062" max="13062" width="8.140625" style="23" customWidth="1"/>
    <col min="13063" max="13063" width="11.42578125" style="23"/>
    <col min="13064" max="13064" width="14.28515625" style="23" bestFit="1" customWidth="1"/>
    <col min="13065" max="13066" width="11.42578125" style="23"/>
    <col min="13067" max="13067" width="9.42578125" style="23" customWidth="1"/>
    <col min="13068" max="13068" width="14.140625" style="23" customWidth="1"/>
    <col min="13069" max="13314" width="11.42578125" style="23"/>
    <col min="13315" max="13315" width="36.42578125" style="23" bestFit="1" customWidth="1"/>
    <col min="13316" max="13316" width="2.5703125" style="23" bestFit="1" customWidth="1"/>
    <col min="13317" max="13317" width="8" style="23" customWidth="1"/>
    <col min="13318" max="13318" width="8.140625" style="23" customWidth="1"/>
    <col min="13319" max="13319" width="11.42578125" style="23"/>
    <col min="13320" max="13320" width="14.28515625" style="23" bestFit="1" customWidth="1"/>
    <col min="13321" max="13322" width="11.42578125" style="23"/>
    <col min="13323" max="13323" width="9.42578125" style="23" customWidth="1"/>
    <col min="13324" max="13324" width="14.140625" style="23" customWidth="1"/>
    <col min="13325" max="13570" width="11.42578125" style="23"/>
    <col min="13571" max="13571" width="36.42578125" style="23" bestFit="1" customWidth="1"/>
    <col min="13572" max="13572" width="2.5703125" style="23" bestFit="1" customWidth="1"/>
    <col min="13573" max="13573" width="8" style="23" customWidth="1"/>
    <col min="13574" max="13574" width="8.140625" style="23" customWidth="1"/>
    <col min="13575" max="13575" width="11.42578125" style="23"/>
    <col min="13576" max="13576" width="14.28515625" style="23" bestFit="1" customWidth="1"/>
    <col min="13577" max="13578" width="11.42578125" style="23"/>
    <col min="13579" max="13579" width="9.42578125" style="23" customWidth="1"/>
    <col min="13580" max="13580" width="14.140625" style="23" customWidth="1"/>
    <col min="13581" max="13826" width="11.42578125" style="23"/>
    <col min="13827" max="13827" width="36.42578125" style="23" bestFit="1" customWidth="1"/>
    <col min="13828" max="13828" width="2.5703125" style="23" bestFit="1" customWidth="1"/>
    <col min="13829" max="13829" width="8" style="23" customWidth="1"/>
    <col min="13830" max="13830" width="8.140625" style="23" customWidth="1"/>
    <col min="13831" max="13831" width="11.42578125" style="23"/>
    <col min="13832" max="13832" width="14.28515625" style="23" bestFit="1" customWidth="1"/>
    <col min="13833" max="13834" width="11.42578125" style="23"/>
    <col min="13835" max="13835" width="9.42578125" style="23" customWidth="1"/>
    <col min="13836" max="13836" width="14.140625" style="23" customWidth="1"/>
    <col min="13837" max="14082" width="11.42578125" style="23"/>
    <col min="14083" max="14083" width="36.42578125" style="23" bestFit="1" customWidth="1"/>
    <col min="14084" max="14084" width="2.5703125" style="23" bestFit="1" customWidth="1"/>
    <col min="14085" max="14085" width="8" style="23" customWidth="1"/>
    <col min="14086" max="14086" width="8.140625" style="23" customWidth="1"/>
    <col min="14087" max="14087" width="11.42578125" style="23"/>
    <col min="14088" max="14088" width="14.28515625" style="23" bestFit="1" customWidth="1"/>
    <col min="14089" max="14090" width="11.42578125" style="23"/>
    <col min="14091" max="14091" width="9.42578125" style="23" customWidth="1"/>
    <col min="14092" max="14092" width="14.140625" style="23" customWidth="1"/>
    <col min="14093" max="14338" width="11.42578125" style="23"/>
    <col min="14339" max="14339" width="36.42578125" style="23" bestFit="1" customWidth="1"/>
    <col min="14340" max="14340" width="2.5703125" style="23" bestFit="1" customWidth="1"/>
    <col min="14341" max="14341" width="8" style="23" customWidth="1"/>
    <col min="14342" max="14342" width="8.140625" style="23" customWidth="1"/>
    <col min="14343" max="14343" width="11.42578125" style="23"/>
    <col min="14344" max="14344" width="14.28515625" style="23" bestFit="1" customWidth="1"/>
    <col min="14345" max="14346" width="11.42578125" style="23"/>
    <col min="14347" max="14347" width="9.42578125" style="23" customWidth="1"/>
    <col min="14348" max="14348" width="14.140625" style="23" customWidth="1"/>
    <col min="14349" max="14594" width="11.42578125" style="23"/>
    <col min="14595" max="14595" width="36.42578125" style="23" bestFit="1" customWidth="1"/>
    <col min="14596" max="14596" width="2.5703125" style="23" bestFit="1" customWidth="1"/>
    <col min="14597" max="14597" width="8" style="23" customWidth="1"/>
    <col min="14598" max="14598" width="8.140625" style="23" customWidth="1"/>
    <col min="14599" max="14599" width="11.42578125" style="23"/>
    <col min="14600" max="14600" width="14.28515625" style="23" bestFit="1" customWidth="1"/>
    <col min="14601" max="14602" width="11.42578125" style="23"/>
    <col min="14603" max="14603" width="9.42578125" style="23" customWidth="1"/>
    <col min="14604" max="14604" width="14.140625" style="23" customWidth="1"/>
    <col min="14605" max="14850" width="11.42578125" style="23"/>
    <col min="14851" max="14851" width="36.42578125" style="23" bestFit="1" customWidth="1"/>
    <col min="14852" max="14852" width="2.5703125" style="23" bestFit="1" customWidth="1"/>
    <col min="14853" max="14853" width="8" style="23" customWidth="1"/>
    <col min="14854" max="14854" width="8.140625" style="23" customWidth="1"/>
    <col min="14855" max="14855" width="11.42578125" style="23"/>
    <col min="14856" max="14856" width="14.28515625" style="23" bestFit="1" customWidth="1"/>
    <col min="14857" max="14858" width="11.42578125" style="23"/>
    <col min="14859" max="14859" width="9.42578125" style="23" customWidth="1"/>
    <col min="14860" max="14860" width="14.140625" style="23" customWidth="1"/>
    <col min="14861" max="15106" width="11.42578125" style="23"/>
    <col min="15107" max="15107" width="36.42578125" style="23" bestFit="1" customWidth="1"/>
    <col min="15108" max="15108" width="2.5703125" style="23" bestFit="1" customWidth="1"/>
    <col min="15109" max="15109" width="8" style="23" customWidth="1"/>
    <col min="15110" max="15110" width="8.140625" style="23" customWidth="1"/>
    <col min="15111" max="15111" width="11.42578125" style="23"/>
    <col min="15112" max="15112" width="14.28515625" style="23" bestFit="1" customWidth="1"/>
    <col min="15113" max="15114" width="11.42578125" style="23"/>
    <col min="15115" max="15115" width="9.42578125" style="23" customWidth="1"/>
    <col min="15116" max="15116" width="14.140625" style="23" customWidth="1"/>
    <col min="15117" max="15362" width="11.42578125" style="23"/>
    <col min="15363" max="15363" width="36.42578125" style="23" bestFit="1" customWidth="1"/>
    <col min="15364" max="15364" width="2.5703125" style="23" bestFit="1" customWidth="1"/>
    <col min="15365" max="15365" width="8" style="23" customWidth="1"/>
    <col min="15366" max="15366" width="8.140625" style="23" customWidth="1"/>
    <col min="15367" max="15367" width="11.42578125" style="23"/>
    <col min="15368" max="15368" width="14.28515625" style="23" bestFit="1" customWidth="1"/>
    <col min="15369" max="15370" width="11.42578125" style="23"/>
    <col min="15371" max="15371" width="9.42578125" style="23" customWidth="1"/>
    <col min="15372" max="15372" width="14.140625" style="23" customWidth="1"/>
    <col min="15373" max="15618" width="11.42578125" style="23"/>
    <col min="15619" max="15619" width="36.42578125" style="23" bestFit="1" customWidth="1"/>
    <col min="15620" max="15620" width="2.5703125" style="23" bestFit="1" customWidth="1"/>
    <col min="15621" max="15621" width="8" style="23" customWidth="1"/>
    <col min="15622" max="15622" width="8.140625" style="23" customWidth="1"/>
    <col min="15623" max="15623" width="11.42578125" style="23"/>
    <col min="15624" max="15624" width="14.28515625" style="23" bestFit="1" customWidth="1"/>
    <col min="15625" max="15626" width="11.42578125" style="23"/>
    <col min="15627" max="15627" width="9.42578125" style="23" customWidth="1"/>
    <col min="15628" max="15628" width="14.140625" style="23" customWidth="1"/>
    <col min="15629" max="15874" width="11.42578125" style="23"/>
    <col min="15875" max="15875" width="36.42578125" style="23" bestFit="1" customWidth="1"/>
    <col min="15876" max="15876" width="2.5703125" style="23" bestFit="1" customWidth="1"/>
    <col min="15877" max="15877" width="8" style="23" customWidth="1"/>
    <col min="15878" max="15878" width="8.140625" style="23" customWidth="1"/>
    <col min="15879" max="15879" width="11.42578125" style="23"/>
    <col min="15880" max="15880" width="14.28515625" style="23" bestFit="1" customWidth="1"/>
    <col min="15881" max="15882" width="11.42578125" style="23"/>
    <col min="15883" max="15883" width="9.42578125" style="23" customWidth="1"/>
    <col min="15884" max="15884" width="14.140625" style="23" customWidth="1"/>
    <col min="15885" max="16130" width="11.42578125" style="23"/>
    <col min="16131" max="16131" width="36.42578125" style="23" bestFit="1" customWidth="1"/>
    <col min="16132" max="16132" width="2.5703125" style="23" bestFit="1" customWidth="1"/>
    <col min="16133" max="16133" width="8" style="23" customWidth="1"/>
    <col min="16134" max="16134" width="8.140625" style="23" customWidth="1"/>
    <col min="16135" max="16135" width="11.42578125" style="23"/>
    <col min="16136" max="16136" width="14.28515625" style="23" bestFit="1" customWidth="1"/>
    <col min="16137" max="16138" width="11.42578125" style="23"/>
    <col min="16139" max="16139" width="9.42578125" style="23" customWidth="1"/>
    <col min="16140" max="16140" width="14.140625" style="23" customWidth="1"/>
    <col min="16141" max="16384" width="11.42578125" style="23"/>
  </cols>
  <sheetData>
    <row r="1" spans="1:19" x14ac:dyDescent="0.2">
      <c r="B1" s="190" t="s">
        <v>4</v>
      </c>
      <c r="C1" s="251"/>
      <c r="D1" s="253"/>
      <c r="E1" s="196"/>
      <c r="G1" s="24" t="s">
        <v>5</v>
      </c>
      <c r="I1" s="62" t="s">
        <v>6</v>
      </c>
      <c r="L1" s="703" t="s">
        <v>84</v>
      </c>
      <c r="M1" s="704"/>
      <c r="N1" s="704"/>
      <c r="O1" s="705"/>
      <c r="P1" s="703" t="s">
        <v>85</v>
      </c>
      <c r="Q1" s="704"/>
      <c r="R1" s="704"/>
      <c r="S1" s="705"/>
    </row>
    <row r="2" spans="1:19" ht="24" customHeight="1" x14ac:dyDescent="0.2">
      <c r="B2" s="274" t="s">
        <v>151</v>
      </c>
      <c r="C2" s="713" t="s">
        <v>152</v>
      </c>
      <c r="D2" s="713"/>
      <c r="E2" s="713"/>
      <c r="F2" s="274" t="s">
        <v>128</v>
      </c>
      <c r="G2" s="26" t="s">
        <v>127</v>
      </c>
      <c r="H2" s="195"/>
      <c r="L2" s="194" t="s">
        <v>80</v>
      </c>
      <c r="M2" s="194" t="s">
        <v>81</v>
      </c>
      <c r="N2" s="194" t="s">
        <v>82</v>
      </c>
      <c r="O2" s="191" t="s">
        <v>76</v>
      </c>
      <c r="P2" s="191" t="s">
        <v>72</v>
      </c>
      <c r="Q2" s="191" t="s">
        <v>73</v>
      </c>
      <c r="R2" s="191" t="s">
        <v>74</v>
      </c>
      <c r="S2" s="191" t="s">
        <v>75</v>
      </c>
    </row>
    <row r="3" spans="1:19" s="25" customFormat="1" x14ac:dyDescent="0.2">
      <c r="C3" s="710" t="s">
        <v>143</v>
      </c>
      <c r="D3" s="710"/>
      <c r="E3" s="44" t="s">
        <v>144</v>
      </c>
      <c r="F3" s="246" t="s">
        <v>145</v>
      </c>
      <c r="G3" s="44" t="s">
        <v>146</v>
      </c>
      <c r="H3" s="57"/>
      <c r="J3" s="51"/>
      <c r="K3" s="65"/>
      <c r="L3" s="185"/>
      <c r="M3" s="185"/>
      <c r="N3" s="185"/>
      <c r="O3" s="185"/>
      <c r="P3" s="185"/>
      <c r="Q3" s="183"/>
      <c r="R3" s="187"/>
      <c r="S3" s="187"/>
    </row>
    <row r="4" spans="1:19" s="25" customFormat="1" ht="15" customHeight="1" x14ac:dyDescent="0.2">
      <c r="A4" s="714" t="s">
        <v>147</v>
      </c>
      <c r="B4" s="715"/>
      <c r="C4" s="709">
        <f>SUMIFS(B3:B1991,A3:A1991,"D",C3:C1991,"")</f>
        <v>209.14999999999998</v>
      </c>
      <c r="D4" s="709"/>
      <c r="E4" s="314">
        <f>SUMIFS(B3:B1991,A3:A1991,"U",C3:C1991,"")</f>
        <v>268</v>
      </c>
      <c r="F4" s="314">
        <f>SUMIFS(B3:B1991,A3:A1991,"S",C3:C1991,"")</f>
        <v>109.1</v>
      </c>
      <c r="G4" s="314">
        <f>SUMIFS(B3:B1991,A3:A1991,"M",C3:C1991,"")</f>
        <v>1866.7999999999997</v>
      </c>
      <c r="H4" s="57"/>
      <c r="J4" s="51"/>
      <c r="K4" s="65"/>
      <c r="L4" s="185"/>
      <c r="M4" s="185"/>
      <c r="N4" s="185"/>
      <c r="O4" s="185"/>
      <c r="P4" s="185"/>
      <c r="Q4" s="185"/>
      <c r="R4" s="311"/>
      <c r="S4" s="311"/>
    </row>
    <row r="5" spans="1:19" s="25" customFormat="1" x14ac:dyDescent="0.2">
      <c r="C5" s="252"/>
      <c r="D5" s="85"/>
      <c r="F5" s="278"/>
      <c r="H5" s="57"/>
      <c r="J5" s="51"/>
      <c r="K5" s="65"/>
      <c r="L5" s="185"/>
      <c r="M5" s="185"/>
      <c r="N5" s="185"/>
      <c r="O5" s="185"/>
      <c r="P5" s="185"/>
      <c r="Q5" s="185"/>
      <c r="R5" s="311"/>
      <c r="S5" s="311"/>
    </row>
    <row r="6" spans="1:19" ht="15" hidden="1" x14ac:dyDescent="0.2">
      <c r="A6" s="680" t="s">
        <v>27</v>
      </c>
      <c r="B6" s="680"/>
      <c r="C6" s="681" t="s">
        <v>141</v>
      </c>
      <c r="D6" s="242" t="s">
        <v>113</v>
      </c>
      <c r="E6" s="50" t="s">
        <v>18</v>
      </c>
      <c r="F6" s="67">
        <v>27</v>
      </c>
      <c r="G6" s="45" t="s">
        <v>16</v>
      </c>
      <c r="H6" s="58">
        <f>B13</f>
        <v>211</v>
      </c>
      <c r="I6" s="45" t="s">
        <v>17</v>
      </c>
      <c r="J6" s="63">
        <f>B13-E13</f>
        <v>-6.5</v>
      </c>
      <c r="K6" s="71">
        <f>(E13-B13)/B13</f>
        <v>3.0805687203791468E-2</v>
      </c>
      <c r="L6" s="184"/>
      <c r="M6" s="184"/>
      <c r="N6" s="184"/>
      <c r="O6" s="184"/>
      <c r="P6" s="184"/>
      <c r="Q6" s="184"/>
      <c r="R6" s="188"/>
      <c r="S6" s="188"/>
    </row>
    <row r="7" spans="1:19" hidden="1" x14ac:dyDescent="0.2">
      <c r="A7" s="680"/>
      <c r="B7" s="680"/>
      <c r="C7" s="682"/>
      <c r="D7" s="158"/>
      <c r="E7" s="47"/>
      <c r="F7" s="279"/>
      <c r="G7" s="49"/>
      <c r="H7" s="59"/>
      <c r="I7" s="48"/>
      <c r="J7" s="64"/>
      <c r="L7" s="184"/>
      <c r="M7" s="184"/>
      <c r="N7" s="184"/>
      <c r="O7" s="184"/>
      <c r="P7" s="184"/>
      <c r="Q7" s="184"/>
      <c r="R7" s="188"/>
      <c r="S7" s="188"/>
    </row>
    <row r="8" spans="1:19" ht="22.5" hidden="1" x14ac:dyDescent="0.2">
      <c r="A8" s="34"/>
      <c r="B8" s="27" t="s">
        <v>7</v>
      </c>
      <c r="C8" s="27"/>
      <c r="D8" s="27"/>
      <c r="E8" s="27" t="s">
        <v>8</v>
      </c>
      <c r="F8" s="264"/>
      <c r="G8" s="627" t="s">
        <v>14</v>
      </c>
      <c r="H8" s="627"/>
      <c r="I8" s="627"/>
      <c r="J8" s="627"/>
      <c r="L8" s="184"/>
      <c r="M8" s="184"/>
      <c r="N8" s="184"/>
      <c r="O8" s="184"/>
      <c r="P8" s="184"/>
      <c r="Q8" s="184"/>
      <c r="R8" s="188"/>
      <c r="S8" s="188"/>
    </row>
    <row r="9" spans="1:19" hidden="1" x14ac:dyDescent="0.2">
      <c r="A9" s="28" t="s">
        <v>9</v>
      </c>
      <c r="B9" s="42">
        <v>21</v>
      </c>
      <c r="C9" s="628" t="s">
        <v>43</v>
      </c>
      <c r="D9" s="629"/>
      <c r="E9" s="80">
        <f>6.75+6.25+1.75+6.75+7.25+7.25+2+1.25</f>
        <v>39.25</v>
      </c>
      <c r="F9" s="29">
        <f>(E9-B9)/B9</f>
        <v>0.86904761904761907</v>
      </c>
      <c r="G9" s="627"/>
      <c r="H9" s="627"/>
      <c r="I9" s="627"/>
      <c r="J9" s="627"/>
      <c r="L9" s="184"/>
      <c r="M9" s="184"/>
      <c r="N9" s="184"/>
      <c r="O9" s="184"/>
      <c r="P9" s="184"/>
      <c r="Q9" s="184"/>
      <c r="R9" s="188"/>
      <c r="S9" s="188"/>
    </row>
    <row r="10" spans="1:19" hidden="1" x14ac:dyDescent="0.2">
      <c r="A10" s="28" t="s">
        <v>10</v>
      </c>
      <c r="B10" s="31">
        <v>21</v>
      </c>
      <c r="C10" s="628" t="s">
        <v>43</v>
      </c>
      <c r="D10" s="629"/>
      <c r="E10" s="128">
        <f>4.5+2+8.25+2.5+3+3+1+0.5</f>
        <v>24.75</v>
      </c>
      <c r="F10" s="29">
        <f>(E10-B10)/B10</f>
        <v>0.17857142857142858</v>
      </c>
      <c r="G10" s="627"/>
      <c r="H10" s="627"/>
      <c r="I10" s="627"/>
      <c r="J10" s="627"/>
      <c r="L10" s="184"/>
      <c r="M10" s="184"/>
      <c r="N10" s="184"/>
      <c r="O10" s="184"/>
      <c r="P10" s="184"/>
      <c r="Q10" s="184"/>
      <c r="R10" s="188"/>
      <c r="S10" s="188"/>
    </row>
    <row r="11" spans="1:19" hidden="1" x14ac:dyDescent="0.2">
      <c r="A11" s="28" t="s">
        <v>11</v>
      </c>
      <c r="B11" s="42">
        <v>15</v>
      </c>
      <c r="C11" s="628" t="s">
        <v>43</v>
      </c>
      <c r="D11" s="629"/>
      <c r="E11" s="128">
        <f>5+5.25+8.25+6+1.5</f>
        <v>26</v>
      </c>
      <c r="F11" s="29">
        <f>(E11-B11)/B11</f>
        <v>0.73333333333333328</v>
      </c>
      <c r="G11" s="627"/>
      <c r="H11" s="627"/>
      <c r="I11" s="627"/>
      <c r="J11" s="627"/>
      <c r="L11" s="184"/>
      <c r="M11" s="184"/>
      <c r="N11" s="184"/>
      <c r="O11" s="184"/>
      <c r="P11" s="184"/>
      <c r="Q11" s="184"/>
      <c r="R11" s="188"/>
      <c r="S11" s="188"/>
    </row>
    <row r="12" spans="1:19" hidden="1" x14ac:dyDescent="0.2">
      <c r="A12" s="28" t="s">
        <v>12</v>
      </c>
      <c r="B12" s="128">
        <v>154</v>
      </c>
      <c r="C12" s="628" t="s">
        <v>43</v>
      </c>
      <c r="D12" s="629"/>
      <c r="E12" s="128">
        <f>2+8.25+7.75+5+5+5+8.25+8.25+8.25+0.5+8.25+8.25+8.25+4+8.25+5+5+8.25+8.25+5.25+0.5</f>
        <v>127.5</v>
      </c>
      <c r="F12" s="29">
        <f>(E12-B12)/B12</f>
        <v>-0.17207792207792208</v>
      </c>
      <c r="G12" s="692" t="s">
        <v>25</v>
      </c>
      <c r="H12" s="692"/>
      <c r="I12" s="692"/>
      <c r="J12" s="692"/>
      <c r="L12" s="184"/>
      <c r="M12" s="184"/>
      <c r="N12" s="184"/>
      <c r="O12" s="184"/>
      <c r="P12" s="184"/>
      <c r="Q12" s="184"/>
      <c r="R12" s="188"/>
      <c r="S12" s="188"/>
    </row>
    <row r="13" spans="1:19" hidden="1" x14ac:dyDescent="0.2">
      <c r="A13" s="35" t="s">
        <v>15</v>
      </c>
      <c r="B13" s="128">
        <f>SUM(B9:B12)</f>
        <v>211</v>
      </c>
      <c r="C13" s="243"/>
      <c r="D13" s="43"/>
      <c r="E13" s="43">
        <f>SUM(E9:E12)</f>
        <v>217.5</v>
      </c>
      <c r="F13" s="29">
        <f>(E13-B13)/B13</f>
        <v>3.0805687203791468E-2</v>
      </c>
      <c r="G13" s="693"/>
      <c r="H13" s="693"/>
      <c r="I13" s="693"/>
      <c r="J13" s="693"/>
      <c r="L13" s="184"/>
      <c r="M13" s="184"/>
      <c r="N13" s="184"/>
      <c r="O13" s="184"/>
      <c r="P13" s="184"/>
      <c r="Q13" s="184"/>
      <c r="R13" s="188"/>
      <c r="S13" s="188"/>
    </row>
    <row r="14" spans="1:19" hidden="1" x14ac:dyDescent="0.2">
      <c r="A14" s="39"/>
      <c r="B14" s="36"/>
      <c r="C14" s="84"/>
      <c r="D14" s="36"/>
      <c r="E14" s="36"/>
      <c r="F14" s="40"/>
      <c r="G14" s="84"/>
      <c r="H14" s="84"/>
      <c r="I14" s="84"/>
      <c r="J14" s="84"/>
      <c r="L14" s="184"/>
      <c r="M14" s="184"/>
      <c r="N14" s="184"/>
      <c r="O14" s="184"/>
      <c r="P14" s="184"/>
      <c r="Q14" s="184"/>
      <c r="R14" s="188"/>
      <c r="S14" s="188"/>
    </row>
    <row r="15" spans="1:19" ht="15" hidden="1" x14ac:dyDescent="0.2">
      <c r="A15" s="656" t="s">
        <v>34</v>
      </c>
      <c r="B15" s="656"/>
      <c r="C15" s="657" t="s">
        <v>141</v>
      </c>
      <c r="D15" s="242" t="s">
        <v>113</v>
      </c>
      <c r="E15" s="50" t="s">
        <v>18</v>
      </c>
      <c r="F15" s="67">
        <v>27</v>
      </c>
      <c r="G15" s="45" t="s">
        <v>16</v>
      </c>
      <c r="H15" s="58">
        <f>B22</f>
        <v>191</v>
      </c>
      <c r="I15" s="45" t="s">
        <v>17</v>
      </c>
      <c r="J15" s="63">
        <f>B22-E22</f>
        <v>49.5</v>
      </c>
      <c r="K15" s="71">
        <f>(E22-B22)/B22</f>
        <v>-0.25916230366492149</v>
      </c>
      <c r="L15" s="184"/>
      <c r="M15" s="184"/>
      <c r="N15" s="184"/>
      <c r="O15" s="184"/>
      <c r="P15" s="184"/>
      <c r="Q15" s="184"/>
      <c r="R15" s="188"/>
      <c r="S15" s="188"/>
    </row>
    <row r="16" spans="1:19" hidden="1" x14ac:dyDescent="0.2">
      <c r="A16" s="656"/>
      <c r="B16" s="656"/>
      <c r="C16" s="658"/>
      <c r="D16" s="236"/>
      <c r="E16" s="47"/>
      <c r="F16" s="279"/>
      <c r="G16" s="49"/>
      <c r="H16" s="59"/>
      <c r="I16" s="48"/>
      <c r="J16" s="64"/>
      <c r="L16" s="184"/>
      <c r="M16" s="184"/>
      <c r="N16" s="184"/>
      <c r="O16" s="184"/>
      <c r="P16" s="184"/>
      <c r="Q16" s="184"/>
      <c r="R16" s="188"/>
      <c r="S16" s="188"/>
    </row>
    <row r="17" spans="1:23" ht="22.5" hidden="1" x14ac:dyDescent="0.2">
      <c r="A17" s="34"/>
      <c r="B17" s="27" t="s">
        <v>7</v>
      </c>
      <c r="C17" s="27"/>
      <c r="D17" s="27"/>
      <c r="E17" s="27" t="s">
        <v>8</v>
      </c>
      <c r="F17" s="264"/>
      <c r="G17" s="627" t="s">
        <v>14</v>
      </c>
      <c r="H17" s="627"/>
      <c r="I17" s="627"/>
      <c r="J17" s="627"/>
      <c r="L17" s="184"/>
      <c r="M17" s="184"/>
      <c r="N17" s="184"/>
      <c r="O17" s="184"/>
      <c r="P17" s="184"/>
      <c r="Q17" s="184"/>
      <c r="R17" s="188"/>
      <c r="S17" s="188"/>
    </row>
    <row r="18" spans="1:23" hidden="1" x14ac:dyDescent="0.2">
      <c r="A18" s="28" t="s">
        <v>9</v>
      </c>
      <c r="B18" s="42">
        <v>11</v>
      </c>
      <c r="C18" s="628" t="s">
        <v>43</v>
      </c>
      <c r="D18" s="629"/>
      <c r="E18" s="80">
        <f>3+1.5+3.5</f>
        <v>8</v>
      </c>
      <c r="F18" s="29">
        <f>(E18-B18)/B18</f>
        <v>-0.27272727272727271</v>
      </c>
      <c r="G18" s="627"/>
      <c r="H18" s="627"/>
      <c r="I18" s="627"/>
      <c r="J18" s="627"/>
      <c r="L18" s="184"/>
      <c r="M18" s="184"/>
      <c r="N18" s="184"/>
      <c r="O18" s="184"/>
      <c r="P18" s="184"/>
      <c r="Q18" s="184"/>
      <c r="R18" s="188"/>
      <c r="S18" s="188"/>
    </row>
    <row r="19" spans="1:23" hidden="1" x14ac:dyDescent="0.2">
      <c r="A19" s="28" t="s">
        <v>10</v>
      </c>
      <c r="B19" s="31">
        <v>11</v>
      </c>
      <c r="C19" s="628" t="s">
        <v>43</v>
      </c>
      <c r="D19" s="629"/>
      <c r="E19" s="143">
        <f>2.25+8.25+2</f>
        <v>12.5</v>
      </c>
      <c r="F19" s="29">
        <f>(E19-B19)/B19</f>
        <v>0.13636363636363635</v>
      </c>
      <c r="G19" s="627"/>
      <c r="H19" s="627"/>
      <c r="I19" s="627"/>
      <c r="J19" s="627"/>
      <c r="L19" s="184"/>
      <c r="M19" s="184"/>
      <c r="N19" s="184"/>
      <c r="O19" s="184"/>
      <c r="P19" s="184"/>
      <c r="Q19" s="184"/>
      <c r="R19" s="188"/>
      <c r="S19" s="188"/>
    </row>
    <row r="20" spans="1:23" hidden="1" x14ac:dyDescent="0.2">
      <c r="A20" s="28" t="s">
        <v>11</v>
      </c>
      <c r="B20" s="42">
        <v>15</v>
      </c>
      <c r="C20" s="628" t="s">
        <v>43</v>
      </c>
      <c r="D20" s="629"/>
      <c r="E20" s="161"/>
      <c r="F20" s="29">
        <f>(E20-B20)/B20</f>
        <v>-1</v>
      </c>
      <c r="G20" s="627"/>
      <c r="H20" s="627"/>
      <c r="I20" s="627"/>
      <c r="J20" s="627"/>
      <c r="L20" s="184"/>
      <c r="M20" s="184"/>
      <c r="N20" s="184"/>
      <c r="O20" s="184"/>
      <c r="P20" s="184"/>
      <c r="Q20" s="184"/>
      <c r="R20" s="188"/>
      <c r="S20" s="188"/>
    </row>
    <row r="21" spans="1:23" hidden="1" x14ac:dyDescent="0.2">
      <c r="A21" s="28" t="s">
        <v>12</v>
      </c>
      <c r="B21" s="143">
        <v>154</v>
      </c>
      <c r="C21" s="628" t="s">
        <v>43</v>
      </c>
      <c r="D21" s="629"/>
      <c r="E21" s="143">
        <f>2.25+6.25+8.25+4.25+8.25+8.25+2.5+5+5+8.25+8.25+8.25+8.25+8.25+8.25+8.25+8.25+5</f>
        <v>121</v>
      </c>
      <c r="F21" s="29">
        <f>(E21-B21)/B21</f>
        <v>-0.21428571428571427</v>
      </c>
      <c r="G21" s="692" t="s">
        <v>25</v>
      </c>
      <c r="H21" s="692"/>
      <c r="I21" s="692"/>
      <c r="J21" s="692"/>
      <c r="L21" s="184"/>
      <c r="M21" s="184"/>
      <c r="N21" s="184"/>
      <c r="O21" s="184"/>
      <c r="P21" s="184"/>
      <c r="Q21" s="184"/>
      <c r="R21" s="188"/>
      <c r="S21" s="188"/>
    </row>
    <row r="22" spans="1:23" hidden="1" x14ac:dyDescent="0.2">
      <c r="A22" s="35" t="s">
        <v>15</v>
      </c>
      <c r="B22" s="143">
        <f>SUM(B18:B21)</f>
        <v>191</v>
      </c>
      <c r="C22" s="243"/>
      <c r="D22" s="43"/>
      <c r="E22" s="43">
        <f>SUM(E18:E21)</f>
        <v>141.5</v>
      </c>
      <c r="F22" s="29">
        <f>(E22-B22)/B22</f>
        <v>-0.25916230366492149</v>
      </c>
      <c r="G22" s="693"/>
      <c r="H22" s="693"/>
      <c r="I22" s="693"/>
      <c r="J22" s="693"/>
      <c r="L22" s="184"/>
      <c r="M22" s="184"/>
      <c r="N22" s="184"/>
      <c r="O22" s="184"/>
      <c r="P22" s="184"/>
      <c r="Q22" s="184"/>
      <c r="R22" s="188"/>
      <c r="S22" s="188"/>
    </row>
    <row r="23" spans="1:23" hidden="1" x14ac:dyDescent="0.2">
      <c r="A23" s="39"/>
      <c r="B23" s="36"/>
      <c r="C23" s="84"/>
      <c r="D23" s="36"/>
      <c r="E23" s="36"/>
      <c r="F23" s="40"/>
      <c r="G23" s="84"/>
      <c r="H23" s="84"/>
      <c r="I23" s="84"/>
      <c r="J23" s="84"/>
      <c r="L23" s="184"/>
      <c r="M23" s="184"/>
      <c r="N23" s="184"/>
      <c r="O23" s="184"/>
      <c r="P23" s="184"/>
      <c r="Q23" s="184"/>
      <c r="R23" s="188"/>
      <c r="S23" s="188"/>
    </row>
    <row r="24" spans="1:23" hidden="1" x14ac:dyDescent="0.2">
      <c r="A24" s="680" t="s">
        <v>21</v>
      </c>
      <c r="B24" s="680"/>
      <c r="C24" s="707"/>
      <c r="D24" s="273"/>
      <c r="E24" s="50" t="s">
        <v>18</v>
      </c>
      <c r="F24" s="67">
        <v>1</v>
      </c>
      <c r="G24" s="45" t="s">
        <v>16</v>
      </c>
      <c r="H24" s="58">
        <f>B31</f>
        <v>10</v>
      </c>
      <c r="I24" s="45" t="s">
        <v>17</v>
      </c>
      <c r="J24" s="63">
        <f>B31-E31</f>
        <v>4.5</v>
      </c>
      <c r="K24" s="71">
        <f>(E31-B31)/B31</f>
        <v>-0.45</v>
      </c>
      <c r="L24" s="184"/>
      <c r="M24" s="184"/>
      <c r="N24" s="184"/>
      <c r="O24" s="184"/>
      <c r="P24" s="184"/>
      <c r="Q24" s="184"/>
      <c r="R24" s="188"/>
      <c r="S24" s="227"/>
      <c r="T24" s="312"/>
      <c r="U24" s="312"/>
      <c r="V24" s="312"/>
      <c r="W24" s="312"/>
    </row>
    <row r="25" spans="1:23" hidden="1" x14ac:dyDescent="0.2">
      <c r="A25" s="680"/>
      <c r="B25" s="680"/>
      <c r="C25" s="708"/>
      <c r="D25" s="271"/>
      <c r="E25" s="38">
        <v>1</v>
      </c>
      <c r="F25" s="691">
        <f>B31</f>
        <v>10</v>
      </c>
      <c r="G25" s="691"/>
      <c r="H25" s="55"/>
      <c r="I25" s="75">
        <f>B31-E31</f>
        <v>4.5</v>
      </c>
      <c r="L25" s="184"/>
      <c r="M25" s="184"/>
      <c r="N25" s="184"/>
      <c r="O25" s="184"/>
      <c r="P25" s="184"/>
      <c r="Q25" s="184"/>
      <c r="R25" s="188"/>
      <c r="S25" s="227"/>
      <c r="T25" s="37"/>
      <c r="U25" s="37"/>
      <c r="V25" s="37"/>
      <c r="W25" s="37"/>
    </row>
    <row r="26" spans="1:23" ht="22.5" hidden="1" x14ac:dyDescent="0.2">
      <c r="A26" s="34"/>
      <c r="B26" s="27" t="s">
        <v>7</v>
      </c>
      <c r="C26" s="33"/>
      <c r="D26" s="33"/>
      <c r="E26" s="33" t="s">
        <v>8</v>
      </c>
      <c r="G26" s="74" t="s">
        <v>14</v>
      </c>
      <c r="H26" s="53"/>
      <c r="I26" s="37"/>
      <c r="L26" s="184"/>
      <c r="M26" s="184"/>
      <c r="N26" s="184"/>
      <c r="O26" s="184"/>
      <c r="P26" s="184"/>
      <c r="Q26" s="184"/>
      <c r="R26" s="188"/>
      <c r="S26" s="227"/>
      <c r="T26" s="37"/>
      <c r="U26" s="37"/>
      <c r="V26" s="37"/>
      <c r="W26" s="37"/>
    </row>
    <row r="27" spans="1:23" hidden="1" x14ac:dyDescent="0.2">
      <c r="A27" s="28" t="s">
        <v>9</v>
      </c>
      <c r="B27" s="31">
        <v>1</v>
      </c>
      <c r="C27" s="628" t="s">
        <v>43</v>
      </c>
      <c r="D27" s="629"/>
      <c r="E27" s="31">
        <v>1</v>
      </c>
      <c r="F27" s="29">
        <f>(E27-B27)/B27</f>
        <v>0</v>
      </c>
      <c r="G27" s="28"/>
      <c r="H27" s="60"/>
      <c r="I27" s="26"/>
      <c r="L27" s="184"/>
      <c r="M27" s="184"/>
      <c r="N27" s="184"/>
      <c r="O27" s="184"/>
      <c r="P27" s="184"/>
      <c r="Q27" s="184"/>
      <c r="R27" s="188"/>
      <c r="S27" s="227"/>
      <c r="T27" s="37"/>
      <c r="U27" s="37"/>
      <c r="V27" s="37"/>
      <c r="W27" s="37"/>
    </row>
    <row r="28" spans="1:23" hidden="1" x14ac:dyDescent="0.2">
      <c r="A28" s="28" t="s">
        <v>10</v>
      </c>
      <c r="B28" s="31">
        <v>1</v>
      </c>
      <c r="C28" s="628" t="s">
        <v>43</v>
      </c>
      <c r="D28" s="629"/>
      <c r="E28" s="31">
        <v>0</v>
      </c>
      <c r="F28" s="29">
        <f>(E28-B28)/B28</f>
        <v>-1</v>
      </c>
      <c r="G28" s="35"/>
      <c r="H28" s="53"/>
      <c r="I28" s="26"/>
      <c r="L28" s="184"/>
      <c r="M28" s="184"/>
      <c r="N28" s="184"/>
      <c r="O28" s="184"/>
      <c r="P28" s="184"/>
      <c r="Q28" s="184"/>
      <c r="R28" s="188"/>
      <c r="S28" s="227"/>
      <c r="T28" s="37"/>
      <c r="U28" s="37"/>
      <c r="V28" s="37"/>
      <c r="W28" s="37"/>
    </row>
    <row r="29" spans="1:23" hidden="1" x14ac:dyDescent="0.2">
      <c r="A29" s="28" t="s">
        <v>11</v>
      </c>
      <c r="B29" s="73">
        <v>0.5</v>
      </c>
      <c r="C29" s="628" t="s">
        <v>43</v>
      </c>
      <c r="D29" s="629"/>
      <c r="E29" s="73">
        <v>2.5</v>
      </c>
      <c r="F29" s="29">
        <f>(E29-B29)/B29</f>
        <v>4</v>
      </c>
      <c r="G29" s="28"/>
      <c r="H29" s="60"/>
      <c r="I29" s="26"/>
      <c r="L29" s="184"/>
      <c r="M29" s="184"/>
      <c r="N29" s="184"/>
      <c r="O29" s="184"/>
      <c r="P29" s="184"/>
      <c r="Q29" s="184"/>
      <c r="R29" s="188"/>
      <c r="S29" s="227"/>
      <c r="T29" s="37"/>
      <c r="U29" s="37"/>
      <c r="V29" s="37"/>
      <c r="W29" s="37"/>
    </row>
    <row r="30" spans="1:23" hidden="1" x14ac:dyDescent="0.2">
      <c r="A30" s="28" t="s">
        <v>12</v>
      </c>
      <c r="B30" s="73">
        <v>7.5</v>
      </c>
      <c r="C30" s="628" t="s">
        <v>43</v>
      </c>
      <c r="D30" s="629"/>
      <c r="E30" s="73">
        <f>1+1</f>
        <v>2</v>
      </c>
      <c r="F30" s="29">
        <f>(E30-B30)/B30</f>
        <v>-0.73333333333333328</v>
      </c>
      <c r="G30" s="35"/>
      <c r="H30" s="53"/>
      <c r="I30" s="26"/>
      <c r="L30" s="184"/>
      <c r="M30" s="184"/>
      <c r="N30" s="184"/>
      <c r="O30" s="184"/>
      <c r="P30" s="184"/>
      <c r="Q30" s="184"/>
      <c r="R30" s="188"/>
      <c r="S30" s="227"/>
      <c r="T30" s="37"/>
      <c r="U30" s="37"/>
      <c r="V30" s="37"/>
      <c r="W30" s="37"/>
    </row>
    <row r="31" spans="1:23" hidden="1" x14ac:dyDescent="0.2">
      <c r="A31" s="35" t="s">
        <v>15</v>
      </c>
      <c r="B31" s="73">
        <f>SUM(B27:B30)</f>
        <v>10</v>
      </c>
      <c r="C31" s="323"/>
      <c r="D31" s="272"/>
      <c r="E31" s="73">
        <f>SUM(E27:E30)</f>
        <v>5.5</v>
      </c>
      <c r="F31" s="29">
        <f>(E31-B31)/B31</f>
        <v>-0.45</v>
      </c>
      <c r="G31" s="30"/>
      <c r="H31" s="54"/>
      <c r="I31" s="36"/>
      <c r="L31" s="184"/>
      <c r="M31" s="184"/>
      <c r="N31" s="184"/>
      <c r="O31" s="184"/>
      <c r="P31" s="184"/>
      <c r="Q31" s="184"/>
      <c r="R31" s="188"/>
      <c r="S31" s="227"/>
      <c r="T31" s="37"/>
      <c r="U31" s="37"/>
      <c r="V31" s="37"/>
      <c r="W31" s="37"/>
    </row>
    <row r="32" spans="1:23" hidden="1" x14ac:dyDescent="0.2">
      <c r="L32" s="184"/>
      <c r="M32" s="184"/>
      <c r="N32" s="184"/>
      <c r="O32" s="184"/>
      <c r="P32" s="184"/>
      <c r="Q32" s="184"/>
      <c r="R32" s="188"/>
      <c r="S32" s="227"/>
      <c r="T32" s="313"/>
      <c r="U32" s="313"/>
      <c r="V32" s="313"/>
      <c r="W32" s="313"/>
    </row>
    <row r="33" spans="1:19" hidden="1" x14ac:dyDescent="0.2">
      <c r="A33" s="706" t="s">
        <v>19</v>
      </c>
      <c r="B33" s="706"/>
      <c r="C33" s="245"/>
      <c r="D33" s="159"/>
      <c r="E33" s="50" t="s">
        <v>18</v>
      </c>
      <c r="F33" s="67">
        <v>1</v>
      </c>
      <c r="G33" s="45" t="s">
        <v>16</v>
      </c>
      <c r="H33" s="58">
        <f>B40</f>
        <v>3</v>
      </c>
      <c r="I33" s="45" t="s">
        <v>17</v>
      </c>
      <c r="J33" s="63">
        <f>B40-E40</f>
        <v>-1</v>
      </c>
      <c r="K33" s="71">
        <f>(E40-B40)/B40</f>
        <v>0.33333333333333331</v>
      </c>
      <c r="L33" s="184"/>
      <c r="M33" s="184"/>
      <c r="N33" s="184"/>
      <c r="O33" s="184"/>
      <c r="P33" s="184"/>
      <c r="Q33" s="184"/>
      <c r="R33" s="188"/>
      <c r="S33" s="188"/>
    </row>
    <row r="34" spans="1:19" hidden="1" x14ac:dyDescent="0.2">
      <c r="A34" s="706"/>
      <c r="B34" s="706"/>
      <c r="C34" s="324"/>
      <c r="D34" s="270"/>
      <c r="E34" s="38">
        <v>1</v>
      </c>
      <c r="F34" s="691">
        <f>B40</f>
        <v>3</v>
      </c>
      <c r="G34" s="691"/>
      <c r="H34" s="55"/>
      <c r="I34" s="78">
        <f>B40-E40</f>
        <v>-1</v>
      </c>
      <c r="L34" s="184"/>
      <c r="M34" s="184"/>
      <c r="N34" s="184"/>
      <c r="O34" s="184"/>
      <c r="P34" s="184"/>
      <c r="Q34" s="184"/>
      <c r="R34" s="188"/>
      <c r="S34" s="188"/>
    </row>
    <row r="35" spans="1:19" ht="22.5" hidden="1" x14ac:dyDescent="0.2">
      <c r="A35" s="34"/>
      <c r="B35" s="27" t="s">
        <v>7</v>
      </c>
      <c r="C35" s="33"/>
      <c r="D35" s="33"/>
      <c r="E35" s="33" t="s">
        <v>8</v>
      </c>
      <c r="G35" s="76" t="s">
        <v>14</v>
      </c>
      <c r="H35" s="53"/>
      <c r="I35" s="37"/>
      <c r="L35" s="184"/>
      <c r="M35" s="184"/>
      <c r="N35" s="184"/>
      <c r="O35" s="184"/>
      <c r="P35" s="184"/>
      <c r="Q35" s="184"/>
      <c r="R35" s="188"/>
      <c r="S35" s="188"/>
    </row>
    <row r="36" spans="1:19" hidden="1" x14ac:dyDescent="0.2">
      <c r="A36" s="28" t="s">
        <v>9</v>
      </c>
      <c r="B36" s="31">
        <v>1</v>
      </c>
      <c r="C36" s="244"/>
      <c r="D36" s="31"/>
      <c r="E36" s="31">
        <v>0.75</v>
      </c>
      <c r="F36" s="29">
        <f>(E36-B36)/B36</f>
        <v>-0.25</v>
      </c>
      <c r="G36" s="28"/>
      <c r="H36" s="60"/>
      <c r="I36" s="26"/>
      <c r="L36" s="184"/>
      <c r="M36" s="184"/>
      <c r="N36" s="184"/>
      <c r="O36" s="184"/>
      <c r="P36" s="184"/>
      <c r="Q36" s="184"/>
      <c r="R36" s="188"/>
      <c r="S36" s="188"/>
    </row>
    <row r="37" spans="1:19" hidden="1" x14ac:dyDescent="0.2">
      <c r="A37" s="28" t="s">
        <v>10</v>
      </c>
      <c r="B37" s="31">
        <v>0.5</v>
      </c>
      <c r="C37" s="244"/>
      <c r="D37" s="31"/>
      <c r="E37" s="31">
        <v>0.5</v>
      </c>
      <c r="F37" s="29">
        <f>(E37-B37)/B37</f>
        <v>0</v>
      </c>
      <c r="G37" s="35"/>
      <c r="H37" s="53"/>
      <c r="I37" s="26"/>
      <c r="L37" s="184"/>
      <c r="M37" s="184"/>
      <c r="N37" s="184"/>
      <c r="O37" s="184"/>
      <c r="P37" s="184"/>
      <c r="Q37" s="184"/>
      <c r="R37" s="188"/>
      <c r="S37" s="188"/>
    </row>
    <row r="38" spans="1:19" hidden="1" x14ac:dyDescent="0.2">
      <c r="A38" s="28" t="s">
        <v>11</v>
      </c>
      <c r="B38" s="77">
        <v>0</v>
      </c>
      <c r="C38" s="323"/>
      <c r="D38" s="272"/>
      <c r="E38" s="77">
        <v>0</v>
      </c>
      <c r="F38" s="29">
        <v>0</v>
      </c>
      <c r="G38" s="28"/>
      <c r="H38" s="60"/>
      <c r="I38" s="26"/>
      <c r="L38" s="184"/>
      <c r="M38" s="184"/>
      <c r="N38" s="184"/>
      <c r="O38" s="184"/>
      <c r="P38" s="184"/>
      <c r="Q38" s="184"/>
      <c r="R38" s="188"/>
      <c r="S38" s="188"/>
    </row>
    <row r="39" spans="1:19" hidden="1" x14ac:dyDescent="0.2">
      <c r="A39" s="28" t="s">
        <v>12</v>
      </c>
      <c r="B39" s="77">
        <v>1.5</v>
      </c>
      <c r="C39" s="323"/>
      <c r="D39" s="272"/>
      <c r="E39" s="77">
        <v>2.75</v>
      </c>
      <c r="F39" s="29">
        <f>(E39-B39)/B39</f>
        <v>0.83333333333333337</v>
      </c>
      <c r="G39" s="35"/>
      <c r="H39" s="53"/>
      <c r="I39" s="26"/>
      <c r="L39" s="184"/>
      <c r="M39" s="184"/>
      <c r="N39" s="184"/>
      <c r="O39" s="184"/>
      <c r="P39" s="184"/>
      <c r="Q39" s="184"/>
      <c r="R39" s="188"/>
      <c r="S39" s="188"/>
    </row>
    <row r="40" spans="1:19" hidden="1" x14ac:dyDescent="0.2">
      <c r="A40" s="35" t="s">
        <v>15</v>
      </c>
      <c r="B40" s="77">
        <f>SUM(B36:B39)</f>
        <v>3</v>
      </c>
      <c r="C40" s="323"/>
      <c r="D40" s="272"/>
      <c r="E40" s="77">
        <f>SUM(E36:E39)</f>
        <v>4</v>
      </c>
      <c r="F40" s="29">
        <f>(E40-B40)/B40</f>
        <v>0.33333333333333331</v>
      </c>
      <c r="G40" s="30"/>
      <c r="H40" s="54"/>
      <c r="I40" s="36"/>
      <c r="L40" s="184"/>
      <c r="M40" s="184"/>
      <c r="N40" s="184"/>
      <c r="O40" s="184"/>
      <c r="P40" s="184"/>
      <c r="Q40" s="184"/>
      <c r="R40" s="188"/>
      <c r="S40" s="188"/>
    </row>
    <row r="41" spans="1:19" hidden="1" x14ac:dyDescent="0.2">
      <c r="L41" s="184"/>
      <c r="M41" s="184"/>
      <c r="N41" s="184"/>
      <c r="O41" s="184"/>
      <c r="P41" s="184"/>
      <c r="Q41" s="184"/>
      <c r="R41" s="188"/>
      <c r="S41" s="188"/>
    </row>
    <row r="42" spans="1:19" ht="15" hidden="1" x14ac:dyDescent="0.2">
      <c r="A42" s="656" t="s">
        <v>20</v>
      </c>
      <c r="B42" s="656"/>
      <c r="C42" s="657" t="s">
        <v>141</v>
      </c>
      <c r="D42" s="239" t="s">
        <v>113</v>
      </c>
      <c r="E42" s="50" t="s">
        <v>18</v>
      </c>
      <c r="F42" s="67">
        <v>1</v>
      </c>
      <c r="G42" s="45" t="s">
        <v>16</v>
      </c>
      <c r="H42" s="58">
        <f>B49</f>
        <v>334</v>
      </c>
      <c r="I42" s="45" t="s">
        <v>17</v>
      </c>
      <c r="J42" s="63">
        <f>B49-E49</f>
        <v>-116.75</v>
      </c>
      <c r="K42" s="71">
        <f>(E49-B49)/B49</f>
        <v>0.34955089820359281</v>
      </c>
      <c r="L42" s="184" t="s">
        <v>77</v>
      </c>
      <c r="M42" s="184"/>
      <c r="N42" s="184"/>
      <c r="O42" s="184" t="s">
        <v>62</v>
      </c>
      <c r="P42" s="184"/>
      <c r="Q42" s="184"/>
      <c r="R42" s="188"/>
      <c r="S42" s="188"/>
    </row>
    <row r="43" spans="1:19" hidden="1" x14ac:dyDescent="0.2">
      <c r="A43" s="656"/>
      <c r="B43" s="656"/>
      <c r="C43" s="658"/>
      <c r="D43" s="236"/>
      <c r="E43" s="47"/>
      <c r="F43" s="279"/>
      <c r="G43" s="49"/>
      <c r="H43" s="59"/>
      <c r="I43" s="48"/>
      <c r="J43" s="64"/>
      <c r="K43" s="66"/>
      <c r="L43" s="184"/>
      <c r="M43" s="184"/>
      <c r="N43" s="184"/>
      <c r="O43" s="184"/>
      <c r="P43" s="184"/>
      <c r="Q43" s="184"/>
      <c r="R43" s="188"/>
      <c r="S43" s="188"/>
    </row>
    <row r="44" spans="1:19" ht="22.5" hidden="1" x14ac:dyDescent="0.2">
      <c r="A44" s="34"/>
      <c r="B44" s="33" t="s">
        <v>7</v>
      </c>
      <c r="C44" s="33"/>
      <c r="D44" s="33"/>
      <c r="E44" s="27" t="s">
        <v>8</v>
      </c>
      <c r="F44" s="28"/>
      <c r="G44" s="627" t="s">
        <v>14</v>
      </c>
      <c r="H44" s="627"/>
      <c r="I44" s="627"/>
      <c r="J44" s="627"/>
      <c r="K44" s="66"/>
      <c r="L44" s="184"/>
      <c r="M44" s="184"/>
      <c r="N44" s="184"/>
      <c r="O44" s="184"/>
      <c r="P44" s="184"/>
      <c r="Q44" s="184"/>
      <c r="R44" s="188"/>
      <c r="S44" s="188"/>
    </row>
    <row r="45" spans="1:19" hidden="1" x14ac:dyDescent="0.2">
      <c r="A45" s="28" t="s">
        <v>9</v>
      </c>
      <c r="B45" s="31">
        <v>45</v>
      </c>
      <c r="C45" s="628" t="s">
        <v>43</v>
      </c>
      <c r="D45" s="629"/>
      <c r="E45" s="31">
        <f>2+7+0.5+4+5.75+0.5+0.5+1</f>
        <v>21.25</v>
      </c>
      <c r="F45" s="29">
        <f>(E45-B45)/B45</f>
        <v>-0.52777777777777779</v>
      </c>
      <c r="G45" s="630"/>
      <c r="H45" s="631"/>
      <c r="I45" s="631"/>
      <c r="J45" s="632"/>
      <c r="K45" s="66"/>
      <c r="L45" s="184"/>
      <c r="M45" s="184"/>
      <c r="N45" s="184"/>
      <c r="O45" s="184"/>
      <c r="P45" s="184"/>
      <c r="Q45" s="184"/>
      <c r="R45" s="188"/>
      <c r="S45" s="188"/>
    </row>
    <row r="46" spans="1:19" hidden="1" x14ac:dyDescent="0.2">
      <c r="A46" s="28" t="s">
        <v>10</v>
      </c>
      <c r="B46" s="31">
        <v>55</v>
      </c>
      <c r="C46" s="628" t="s">
        <v>43</v>
      </c>
      <c r="D46" s="629"/>
      <c r="E46" s="31">
        <f>4+2+1.5+2+4.25+2.5+1.25+1+5.25+1+8.25</f>
        <v>33</v>
      </c>
      <c r="F46" s="29">
        <f>(E46-B46)/B46</f>
        <v>-0.4</v>
      </c>
      <c r="G46" s="630"/>
      <c r="H46" s="631"/>
      <c r="I46" s="631"/>
      <c r="J46" s="632"/>
      <c r="K46" s="66"/>
      <c r="L46" s="184"/>
      <c r="M46" s="184"/>
      <c r="N46" s="184"/>
      <c r="O46" s="184"/>
      <c r="P46" s="184"/>
      <c r="Q46" s="184"/>
      <c r="R46" s="188"/>
      <c r="S46" s="188"/>
    </row>
    <row r="47" spans="1:19" hidden="1" x14ac:dyDescent="0.2">
      <c r="A47" s="28" t="s">
        <v>11</v>
      </c>
      <c r="B47" s="31">
        <v>30</v>
      </c>
      <c r="C47" s="628" t="s">
        <v>43</v>
      </c>
      <c r="D47" s="629"/>
      <c r="E47" s="82">
        <f>4.5+3.5+2.5+3.25+5.75+2.75+5.75+4+8.25+8.25+5+5+1.25+1.75</f>
        <v>61.5</v>
      </c>
      <c r="F47" s="29">
        <f>(E47-B47)/B47</f>
        <v>1.05</v>
      </c>
      <c r="G47" s="630"/>
      <c r="H47" s="631"/>
      <c r="I47" s="631"/>
      <c r="J47" s="632"/>
      <c r="K47" s="66"/>
      <c r="L47" s="184"/>
      <c r="M47" s="184"/>
      <c r="N47" s="184"/>
      <c r="O47" s="184"/>
      <c r="P47" s="184"/>
      <c r="Q47" s="184"/>
      <c r="R47" s="188"/>
      <c r="S47" s="188"/>
    </row>
    <row r="48" spans="1:19" hidden="1" x14ac:dyDescent="0.2">
      <c r="A48" s="28" t="s">
        <v>12</v>
      </c>
      <c r="B48" s="31">
        <v>204</v>
      </c>
      <c r="C48" s="628" t="s">
        <v>43</v>
      </c>
      <c r="D48" s="629"/>
      <c r="E48" s="81">
        <f>2.75+3.75+2.5+5+8.25+5.25+3+3+8.25+8.25+6+6+7.5+1+1+2.25+5+5+5+5.75+8.25+7+8.25+1.75+3.75+8.25+8.25+8.25+5+2+5+8.25+8.25+8.25+8.25+8.25+8.25+4.75+8.25+8.25+8.25+8.25+8.25+8.25+8.25+8.25+0.5+5+5+5+5+5+3+2.5+2+3+4.75+4.75+0.5+5.25+1.25+1.25+0.75</f>
        <v>335</v>
      </c>
      <c r="F48" s="29">
        <f>(E48-B48)/B48</f>
        <v>0.64215686274509809</v>
      </c>
      <c r="G48" s="630" t="s">
        <v>164</v>
      </c>
      <c r="H48" s="631"/>
      <c r="I48" s="631"/>
      <c r="J48" s="632"/>
      <c r="K48" s="66"/>
      <c r="L48" s="184"/>
      <c r="M48" s="184"/>
      <c r="N48" s="184"/>
      <c r="O48" s="184"/>
      <c r="P48" s="184"/>
      <c r="Q48" s="184"/>
      <c r="R48" s="188"/>
      <c r="S48" s="188"/>
    </row>
    <row r="49" spans="1:19" hidden="1" x14ac:dyDescent="0.2">
      <c r="A49" s="35" t="s">
        <v>15</v>
      </c>
      <c r="B49" s="82">
        <f>SUM(B45:B48)</f>
        <v>334</v>
      </c>
      <c r="C49" s="326"/>
      <c r="D49" s="266"/>
      <c r="E49" s="81">
        <f>SUM(E45:E48)</f>
        <v>450.75</v>
      </c>
      <c r="F49" s="29">
        <f>(E49-B49)/B49</f>
        <v>0.34955089820359281</v>
      </c>
      <c r="G49" s="630"/>
      <c r="H49" s="631"/>
      <c r="I49" s="631"/>
      <c r="J49" s="632"/>
      <c r="K49" s="66"/>
      <c r="L49" s="184"/>
      <c r="M49" s="184"/>
      <c r="N49" s="184"/>
      <c r="O49" s="184"/>
      <c r="P49" s="184"/>
      <c r="Q49" s="184"/>
      <c r="R49" s="188"/>
      <c r="S49" s="188"/>
    </row>
    <row r="50" spans="1:19" hidden="1" x14ac:dyDescent="0.2">
      <c r="A50" s="39"/>
      <c r="B50" s="36"/>
      <c r="C50" s="84"/>
      <c r="D50" s="36"/>
      <c r="E50" s="193"/>
      <c r="F50" s="40"/>
      <c r="G50" s="41"/>
      <c r="H50" s="54"/>
      <c r="I50" s="36"/>
      <c r="J50" s="52"/>
      <c r="K50" s="66"/>
      <c r="L50" s="184"/>
      <c r="M50" s="184"/>
      <c r="N50" s="184"/>
      <c r="O50" s="184"/>
      <c r="P50" s="184"/>
      <c r="Q50" s="184"/>
      <c r="R50" s="188"/>
      <c r="S50" s="188"/>
    </row>
    <row r="51" spans="1:19" ht="15" hidden="1" x14ac:dyDescent="0.2">
      <c r="A51" s="680" t="s">
        <v>23</v>
      </c>
      <c r="B51" s="680"/>
      <c r="C51" s="681" t="s">
        <v>141</v>
      </c>
      <c r="D51" s="242" t="s">
        <v>113</v>
      </c>
      <c r="E51" s="50" t="s">
        <v>18</v>
      </c>
      <c r="F51" s="67">
        <v>2</v>
      </c>
      <c r="G51" s="45" t="s">
        <v>16</v>
      </c>
      <c r="H51" s="58">
        <f>B58</f>
        <v>32</v>
      </c>
      <c r="I51" s="45" t="s">
        <v>17</v>
      </c>
      <c r="J51" s="63">
        <f>B58-E58</f>
        <v>-17.25</v>
      </c>
      <c r="K51" s="71">
        <f>(E58-B58)/B58</f>
        <v>0.5390625</v>
      </c>
      <c r="L51" s="184"/>
      <c r="M51" s="184"/>
      <c r="N51" s="184"/>
      <c r="O51" s="184"/>
      <c r="P51" s="184"/>
      <c r="Q51" s="184"/>
      <c r="R51" s="188"/>
      <c r="S51" s="188"/>
    </row>
    <row r="52" spans="1:19" hidden="1" x14ac:dyDescent="0.2">
      <c r="A52" s="680"/>
      <c r="B52" s="680"/>
      <c r="C52" s="682"/>
      <c r="D52" s="158"/>
      <c r="E52" s="47"/>
      <c r="F52" s="279"/>
      <c r="G52" s="49"/>
      <c r="H52" s="59"/>
      <c r="I52" s="48"/>
      <c r="J52" s="64"/>
      <c r="K52" s="66"/>
      <c r="L52" s="184"/>
      <c r="M52" s="184"/>
      <c r="N52" s="184"/>
      <c r="O52" s="184"/>
      <c r="P52" s="184"/>
      <c r="Q52" s="184"/>
      <c r="R52" s="188"/>
      <c r="S52" s="188"/>
    </row>
    <row r="53" spans="1:19" ht="22.5" hidden="1" x14ac:dyDescent="0.2">
      <c r="A53" s="34"/>
      <c r="B53" s="33" t="s">
        <v>7</v>
      </c>
      <c r="C53" s="33"/>
      <c r="D53" s="33"/>
      <c r="E53" s="27" t="s">
        <v>8</v>
      </c>
      <c r="F53" s="28"/>
      <c r="G53" s="627" t="s">
        <v>14</v>
      </c>
      <c r="H53" s="627"/>
      <c r="I53" s="627"/>
      <c r="J53" s="627"/>
      <c r="K53" s="66"/>
      <c r="L53" s="184"/>
      <c r="M53" s="184"/>
      <c r="N53" s="184"/>
      <c r="O53" s="184"/>
      <c r="P53" s="184"/>
      <c r="Q53" s="184"/>
      <c r="R53" s="188"/>
      <c r="S53" s="188"/>
    </row>
    <row r="54" spans="1:19" hidden="1" x14ac:dyDescent="0.2">
      <c r="A54" s="28" t="s">
        <v>9</v>
      </c>
      <c r="B54" s="31">
        <v>3.25</v>
      </c>
      <c r="C54" s="628" t="s">
        <v>43</v>
      </c>
      <c r="D54" s="629"/>
      <c r="E54" s="102">
        <f>3.75+1</f>
        <v>4.75</v>
      </c>
      <c r="F54" s="29">
        <f>(E54-B54)/B54</f>
        <v>0.46153846153846156</v>
      </c>
      <c r="G54" s="630" t="s">
        <v>186</v>
      </c>
      <c r="H54" s="631"/>
      <c r="I54" s="631"/>
      <c r="J54" s="632"/>
      <c r="K54" s="66"/>
      <c r="L54" s="184"/>
      <c r="M54" s="184"/>
      <c r="N54" s="184"/>
      <c r="O54" s="184"/>
      <c r="P54" s="184"/>
      <c r="Q54" s="184"/>
      <c r="R54" s="188"/>
      <c r="S54" s="188"/>
    </row>
    <row r="55" spans="1:19" hidden="1" x14ac:dyDescent="0.2">
      <c r="A55" s="28" t="s">
        <v>10</v>
      </c>
      <c r="B55" s="31">
        <v>4.25</v>
      </c>
      <c r="C55" s="628" t="s">
        <v>43</v>
      </c>
      <c r="D55" s="629"/>
      <c r="E55" s="102">
        <v>4</v>
      </c>
      <c r="F55" s="29">
        <f>(E55-B55)/B55</f>
        <v>-5.8823529411764705E-2</v>
      </c>
      <c r="G55" s="630"/>
      <c r="H55" s="631"/>
      <c r="I55" s="631"/>
      <c r="J55" s="632"/>
      <c r="K55" s="66"/>
      <c r="L55" s="184"/>
      <c r="M55" s="184"/>
      <c r="N55" s="184"/>
      <c r="O55" s="184"/>
      <c r="P55" s="184"/>
      <c r="Q55" s="184"/>
      <c r="R55" s="188"/>
      <c r="S55" s="188"/>
    </row>
    <row r="56" spans="1:19" hidden="1" x14ac:dyDescent="0.2">
      <c r="A56" s="28" t="s">
        <v>11</v>
      </c>
      <c r="B56" s="31">
        <v>2</v>
      </c>
      <c r="C56" s="628" t="s">
        <v>43</v>
      </c>
      <c r="D56" s="629"/>
      <c r="E56" s="102">
        <f>2.5+4.25</f>
        <v>6.75</v>
      </c>
      <c r="F56" s="29">
        <f>(E56-B56)/B56</f>
        <v>2.375</v>
      </c>
      <c r="G56" s="630"/>
      <c r="H56" s="631"/>
      <c r="I56" s="631"/>
      <c r="J56" s="632"/>
      <c r="K56" s="66"/>
      <c r="L56" s="184"/>
      <c r="M56" s="184"/>
      <c r="N56" s="184"/>
      <c r="O56" s="184"/>
      <c r="P56" s="184"/>
      <c r="Q56" s="184"/>
      <c r="R56" s="188"/>
      <c r="S56" s="188"/>
    </row>
    <row r="57" spans="1:19" hidden="1" x14ac:dyDescent="0.2">
      <c r="A57" s="28" t="s">
        <v>12</v>
      </c>
      <c r="B57" s="31">
        <v>22.5</v>
      </c>
      <c r="C57" s="628" t="s">
        <v>43</v>
      </c>
      <c r="D57" s="629"/>
      <c r="E57" s="101">
        <f>4.25+4.75+8.25+5+8+3+0.5</f>
        <v>33.75</v>
      </c>
      <c r="F57" s="29">
        <f>(E57-B57)/B57</f>
        <v>0.5</v>
      </c>
      <c r="G57" s="630"/>
      <c r="H57" s="631"/>
      <c r="I57" s="631"/>
      <c r="J57" s="632"/>
      <c r="K57" s="66"/>
      <c r="L57" s="184"/>
      <c r="M57" s="184"/>
      <c r="N57" s="184"/>
      <c r="O57" s="184"/>
      <c r="P57" s="184"/>
      <c r="Q57" s="184"/>
      <c r="R57" s="188"/>
      <c r="S57" s="188"/>
    </row>
    <row r="58" spans="1:19" hidden="1" x14ac:dyDescent="0.2">
      <c r="A58" s="35" t="s">
        <v>15</v>
      </c>
      <c r="B58" s="102">
        <f>SUM(B54:B57)</f>
        <v>32</v>
      </c>
      <c r="C58" s="326"/>
      <c r="D58" s="266"/>
      <c r="E58" s="101">
        <f>SUM(E54:E57)</f>
        <v>49.25</v>
      </c>
      <c r="F58" s="29">
        <f>(E58-B58)/B58</f>
        <v>0.5390625</v>
      </c>
      <c r="G58" s="630"/>
      <c r="H58" s="631"/>
      <c r="I58" s="631"/>
      <c r="J58" s="632"/>
      <c r="K58" s="66"/>
      <c r="L58" s="184"/>
      <c r="M58" s="184"/>
      <c r="N58" s="184"/>
      <c r="O58" s="184"/>
      <c r="P58" s="184"/>
      <c r="Q58" s="184"/>
      <c r="R58" s="188"/>
      <c r="S58" s="188"/>
    </row>
    <row r="59" spans="1:19" hidden="1" x14ac:dyDescent="0.2">
      <c r="L59" s="184"/>
      <c r="M59" s="184"/>
      <c r="N59" s="184"/>
      <c r="O59" s="184"/>
      <c r="P59" s="184"/>
      <c r="Q59" s="184"/>
      <c r="R59" s="188"/>
      <c r="S59" s="188"/>
    </row>
    <row r="60" spans="1:19" ht="15" hidden="1" x14ac:dyDescent="0.2">
      <c r="A60" s="656" t="s">
        <v>24</v>
      </c>
      <c r="B60" s="656"/>
      <c r="C60" s="657" t="s">
        <v>141</v>
      </c>
      <c r="D60" s="239" t="s">
        <v>113</v>
      </c>
      <c r="E60" s="50" t="s">
        <v>18</v>
      </c>
      <c r="F60" s="67">
        <v>2</v>
      </c>
      <c r="G60" s="45" t="s">
        <v>16</v>
      </c>
      <c r="H60" s="58">
        <f>B67</f>
        <v>12</v>
      </c>
      <c r="I60" s="45" t="s">
        <v>17</v>
      </c>
      <c r="J60" s="63">
        <f>B67-E67</f>
        <v>-9.25</v>
      </c>
      <c r="K60" s="71">
        <f>(E67-B67)/B67</f>
        <v>0.77083333333333337</v>
      </c>
      <c r="L60" s="184"/>
      <c r="M60" s="184"/>
      <c r="N60" s="184"/>
      <c r="O60" s="184"/>
      <c r="P60" s="184"/>
      <c r="Q60" s="184"/>
      <c r="R60" s="188"/>
      <c r="S60" s="188"/>
    </row>
    <row r="61" spans="1:19" hidden="1" x14ac:dyDescent="0.2">
      <c r="A61" s="656"/>
      <c r="B61" s="656"/>
      <c r="C61" s="658"/>
      <c r="D61" s="236"/>
      <c r="E61" s="47"/>
      <c r="F61" s="279"/>
      <c r="G61" s="49"/>
      <c r="H61" s="59"/>
      <c r="I61" s="48"/>
      <c r="J61" s="64"/>
      <c r="K61" s="66"/>
      <c r="L61" s="184"/>
      <c r="M61" s="184"/>
      <c r="N61" s="184"/>
      <c r="O61" s="184"/>
      <c r="P61" s="184"/>
      <c r="Q61" s="184"/>
      <c r="R61" s="188"/>
      <c r="S61" s="188"/>
    </row>
    <row r="62" spans="1:19" ht="22.5" hidden="1" x14ac:dyDescent="0.2">
      <c r="A62" s="34"/>
      <c r="B62" s="33" t="s">
        <v>7</v>
      </c>
      <c r="C62" s="33"/>
      <c r="D62" s="33"/>
      <c r="E62" s="27" t="s">
        <v>8</v>
      </c>
      <c r="F62" s="28"/>
      <c r="G62" s="627" t="s">
        <v>14</v>
      </c>
      <c r="H62" s="627"/>
      <c r="I62" s="627"/>
      <c r="J62" s="627"/>
      <c r="K62" s="66"/>
      <c r="L62" s="184"/>
      <c r="M62" s="184"/>
      <c r="N62" s="184"/>
      <c r="O62" s="184"/>
      <c r="P62" s="184"/>
      <c r="Q62" s="184"/>
      <c r="R62" s="188"/>
      <c r="S62" s="188"/>
    </row>
    <row r="63" spans="1:19" hidden="1" x14ac:dyDescent="0.2">
      <c r="A63" s="28" t="s">
        <v>9</v>
      </c>
      <c r="B63" s="31">
        <v>1.5</v>
      </c>
      <c r="C63" s="628" t="s">
        <v>43</v>
      </c>
      <c r="D63" s="629"/>
      <c r="E63" s="109">
        <v>5</v>
      </c>
      <c r="F63" s="29">
        <f>(E63-B63)/B63</f>
        <v>2.3333333333333335</v>
      </c>
      <c r="G63" s="630" t="s">
        <v>186</v>
      </c>
      <c r="H63" s="631"/>
      <c r="I63" s="631"/>
      <c r="J63" s="632"/>
      <c r="K63" s="66"/>
      <c r="L63" s="184"/>
      <c r="M63" s="184"/>
      <c r="N63" s="184"/>
      <c r="O63" s="184"/>
      <c r="P63" s="184"/>
      <c r="Q63" s="184"/>
      <c r="R63" s="188"/>
      <c r="S63" s="188"/>
    </row>
    <row r="64" spans="1:19" hidden="1" x14ac:dyDescent="0.2">
      <c r="A64" s="28" t="s">
        <v>10</v>
      </c>
      <c r="B64" s="31">
        <v>1.5</v>
      </c>
      <c r="C64" s="628" t="s">
        <v>43</v>
      </c>
      <c r="D64" s="629"/>
      <c r="E64" s="109">
        <v>1.5</v>
      </c>
      <c r="F64" s="29">
        <f>(E64-B64)/B64</f>
        <v>0</v>
      </c>
      <c r="G64" s="630"/>
      <c r="H64" s="631"/>
      <c r="I64" s="631"/>
      <c r="J64" s="632"/>
      <c r="K64" s="66"/>
      <c r="L64" s="184"/>
      <c r="M64" s="184"/>
      <c r="N64" s="184"/>
      <c r="O64" s="184"/>
      <c r="P64" s="184"/>
      <c r="Q64" s="184"/>
      <c r="R64" s="188"/>
      <c r="S64" s="188"/>
    </row>
    <row r="65" spans="1:19" hidden="1" x14ac:dyDescent="0.2">
      <c r="A65" s="28" t="s">
        <v>11</v>
      </c>
      <c r="B65" s="31">
        <v>0</v>
      </c>
      <c r="C65" s="628" t="s">
        <v>43</v>
      </c>
      <c r="D65" s="629"/>
      <c r="E65" s="109">
        <v>0</v>
      </c>
      <c r="F65" s="29">
        <v>0</v>
      </c>
      <c r="G65" s="630"/>
      <c r="H65" s="631"/>
      <c r="I65" s="631"/>
      <c r="J65" s="632"/>
      <c r="K65" s="66"/>
      <c r="L65" s="184"/>
      <c r="M65" s="184"/>
      <c r="N65" s="184"/>
      <c r="O65" s="184"/>
      <c r="P65" s="184"/>
      <c r="Q65" s="184"/>
      <c r="R65" s="188"/>
      <c r="S65" s="188"/>
    </row>
    <row r="66" spans="1:19" hidden="1" x14ac:dyDescent="0.2">
      <c r="A66" s="28" t="s">
        <v>12</v>
      </c>
      <c r="B66" s="31">
        <v>9</v>
      </c>
      <c r="C66" s="628" t="s">
        <v>43</v>
      </c>
      <c r="D66" s="629"/>
      <c r="E66" s="108">
        <f>3.25+4.75+6.75</f>
        <v>14.75</v>
      </c>
      <c r="F66" s="29">
        <f>(E66-B66)/B66</f>
        <v>0.63888888888888884</v>
      </c>
      <c r="G66" s="630"/>
      <c r="H66" s="631"/>
      <c r="I66" s="631"/>
      <c r="J66" s="632"/>
      <c r="K66" s="66"/>
      <c r="L66" s="184"/>
      <c r="M66" s="184"/>
      <c r="N66" s="184"/>
      <c r="O66" s="184"/>
      <c r="P66" s="184"/>
      <c r="Q66" s="184"/>
      <c r="R66" s="188"/>
      <c r="S66" s="188"/>
    </row>
    <row r="67" spans="1:19" hidden="1" x14ac:dyDescent="0.2">
      <c r="A67" s="35" t="s">
        <v>15</v>
      </c>
      <c r="B67" s="109">
        <f>SUM(B63:B66)</f>
        <v>12</v>
      </c>
      <c r="C67" s="326"/>
      <c r="D67" s="266"/>
      <c r="E67" s="108">
        <f>SUM(E63:E66)</f>
        <v>21.25</v>
      </c>
      <c r="F67" s="29">
        <f>(E67-B67)/B67</f>
        <v>0.77083333333333337</v>
      </c>
      <c r="G67" s="630"/>
      <c r="H67" s="631"/>
      <c r="I67" s="631"/>
      <c r="J67" s="632"/>
      <c r="K67" s="66"/>
      <c r="L67" s="184"/>
      <c r="M67" s="184"/>
      <c r="N67" s="184"/>
      <c r="O67" s="184"/>
      <c r="P67" s="184"/>
      <c r="Q67" s="184"/>
      <c r="R67" s="188"/>
      <c r="S67" s="188"/>
    </row>
    <row r="68" spans="1:19" hidden="1" x14ac:dyDescent="0.2">
      <c r="L68" s="184"/>
      <c r="M68" s="184"/>
      <c r="N68" s="184"/>
      <c r="O68" s="184"/>
      <c r="P68" s="184"/>
      <c r="Q68" s="184"/>
      <c r="R68" s="188"/>
      <c r="S68" s="188"/>
    </row>
    <row r="69" spans="1:19" ht="15" hidden="1" x14ac:dyDescent="0.2">
      <c r="A69" s="680" t="s">
        <v>28</v>
      </c>
      <c r="B69" s="680"/>
      <c r="C69" s="681" t="s">
        <v>141</v>
      </c>
      <c r="D69" s="242" t="s">
        <v>113</v>
      </c>
      <c r="E69" s="50" t="s">
        <v>18</v>
      </c>
      <c r="F69" s="67">
        <v>20</v>
      </c>
      <c r="G69" s="45" t="s">
        <v>16</v>
      </c>
      <c r="H69" s="58">
        <f>B76</f>
        <v>133</v>
      </c>
      <c r="I69" s="45" t="s">
        <v>17</v>
      </c>
      <c r="J69" s="63">
        <f>B76-E76</f>
        <v>16.75</v>
      </c>
      <c r="K69" s="71">
        <f>(E76-B76)/B76</f>
        <v>-0.12593984962406016</v>
      </c>
      <c r="L69" s="184"/>
      <c r="M69" s="184"/>
      <c r="N69" s="184"/>
      <c r="O69" s="184"/>
      <c r="P69" s="184"/>
      <c r="Q69" s="184"/>
      <c r="R69" s="188"/>
      <c r="S69" s="188"/>
    </row>
    <row r="70" spans="1:19" hidden="1" x14ac:dyDescent="0.2">
      <c r="A70" s="680"/>
      <c r="B70" s="680"/>
      <c r="C70" s="682"/>
      <c r="D70" s="158"/>
      <c r="E70" s="47"/>
      <c r="F70" s="279"/>
      <c r="G70" s="49"/>
      <c r="H70" s="59"/>
      <c r="I70" s="48"/>
      <c r="J70" s="64"/>
      <c r="K70" s="66"/>
      <c r="L70" s="184"/>
      <c r="M70" s="184"/>
      <c r="N70" s="184"/>
      <c r="O70" s="184"/>
      <c r="P70" s="184"/>
      <c r="Q70" s="184"/>
      <c r="R70" s="188"/>
      <c r="S70" s="188"/>
    </row>
    <row r="71" spans="1:19" ht="22.5" hidden="1" x14ac:dyDescent="0.2">
      <c r="A71" s="34"/>
      <c r="B71" s="33" t="s">
        <v>7</v>
      </c>
      <c r="C71" s="33"/>
      <c r="D71" s="33"/>
      <c r="E71" s="27" t="s">
        <v>8</v>
      </c>
      <c r="F71" s="28"/>
      <c r="G71" s="627" t="s">
        <v>14</v>
      </c>
      <c r="H71" s="627"/>
      <c r="I71" s="627"/>
      <c r="J71" s="627"/>
      <c r="K71" s="66"/>
      <c r="L71" s="184"/>
      <c r="M71" s="184"/>
      <c r="N71" s="184"/>
      <c r="O71" s="184"/>
      <c r="P71" s="184"/>
      <c r="Q71" s="184"/>
      <c r="R71" s="188"/>
      <c r="S71" s="188"/>
    </row>
    <row r="72" spans="1:19" hidden="1" x14ac:dyDescent="0.2">
      <c r="A72" s="28" t="s">
        <v>9</v>
      </c>
      <c r="B72" s="31">
        <v>13</v>
      </c>
      <c r="C72" s="628" t="s">
        <v>43</v>
      </c>
      <c r="D72" s="629"/>
      <c r="E72" s="126">
        <f>3.5+7.25</f>
        <v>10.75</v>
      </c>
      <c r="F72" s="29">
        <f>(E72-B72)/B72</f>
        <v>-0.17307692307692307</v>
      </c>
      <c r="G72" s="630"/>
      <c r="H72" s="631"/>
      <c r="I72" s="631"/>
      <c r="J72" s="632"/>
      <c r="K72" s="66"/>
      <c r="L72" s="184"/>
      <c r="M72" s="184"/>
      <c r="N72" s="184"/>
      <c r="O72" s="184"/>
      <c r="P72" s="184"/>
      <c r="Q72" s="184"/>
      <c r="R72" s="188"/>
      <c r="S72" s="188"/>
    </row>
    <row r="73" spans="1:19" hidden="1" x14ac:dyDescent="0.2">
      <c r="A73" s="28" t="s">
        <v>10</v>
      </c>
      <c r="B73" s="31">
        <v>13</v>
      </c>
      <c r="C73" s="628" t="s">
        <v>43</v>
      </c>
      <c r="D73" s="629"/>
      <c r="E73" s="126">
        <f>2.75+8.25+1</f>
        <v>12</v>
      </c>
      <c r="F73" s="29">
        <f>(E73-B73)/B73</f>
        <v>-7.6923076923076927E-2</v>
      </c>
      <c r="G73" s="630"/>
      <c r="H73" s="631"/>
      <c r="I73" s="631"/>
      <c r="J73" s="632"/>
      <c r="K73" s="66"/>
      <c r="L73" s="184"/>
      <c r="M73" s="184"/>
      <c r="N73" s="184"/>
      <c r="O73" s="184"/>
      <c r="P73" s="184"/>
      <c r="Q73" s="184"/>
      <c r="R73" s="188"/>
      <c r="S73" s="188"/>
    </row>
    <row r="74" spans="1:19" hidden="1" x14ac:dyDescent="0.2">
      <c r="A74" s="28" t="s">
        <v>11</v>
      </c>
      <c r="B74" s="31">
        <v>0</v>
      </c>
      <c r="C74" s="628" t="s">
        <v>43</v>
      </c>
      <c r="D74" s="629"/>
      <c r="E74" s="126">
        <v>8</v>
      </c>
      <c r="F74" s="29">
        <v>0</v>
      </c>
      <c r="G74" s="630"/>
      <c r="H74" s="631"/>
      <c r="I74" s="631"/>
      <c r="J74" s="632"/>
      <c r="K74" s="66"/>
      <c r="L74" s="184"/>
      <c r="M74" s="184"/>
      <c r="N74" s="184"/>
      <c r="O74" s="184"/>
      <c r="P74" s="184"/>
      <c r="Q74" s="184"/>
      <c r="R74" s="188"/>
      <c r="S74" s="188"/>
    </row>
    <row r="75" spans="1:19" hidden="1" x14ac:dyDescent="0.2">
      <c r="A75" s="28" t="s">
        <v>12</v>
      </c>
      <c r="B75" s="31">
        <v>107</v>
      </c>
      <c r="C75" s="628" t="s">
        <v>43</v>
      </c>
      <c r="D75" s="629"/>
      <c r="E75" s="125">
        <f>4.75+4.75+2+2+8.25+8.25+8.25+8.25+8.25+8.25+3+6.5+5+2+6</f>
        <v>85.5</v>
      </c>
      <c r="F75" s="29">
        <f>(E75-B75)/B75</f>
        <v>-0.20093457943925233</v>
      </c>
      <c r="G75" s="630"/>
      <c r="H75" s="631"/>
      <c r="I75" s="631"/>
      <c r="J75" s="632"/>
      <c r="K75" s="66"/>
      <c r="L75" s="184"/>
      <c r="M75" s="184"/>
      <c r="N75" s="184"/>
      <c r="O75" s="184"/>
      <c r="P75" s="184"/>
      <c r="Q75" s="184"/>
      <c r="R75" s="188"/>
      <c r="S75" s="188"/>
    </row>
    <row r="76" spans="1:19" hidden="1" x14ac:dyDescent="0.2">
      <c r="A76" s="35" t="s">
        <v>15</v>
      </c>
      <c r="B76" s="126">
        <f>SUM(B72:B75)</f>
        <v>133</v>
      </c>
      <c r="C76" s="326"/>
      <c r="D76" s="266"/>
      <c r="E76" s="125">
        <f>SUM(E72:E75)</f>
        <v>116.25</v>
      </c>
      <c r="F76" s="29">
        <f>(E76-B76)/B76</f>
        <v>-0.12593984962406016</v>
      </c>
      <c r="G76" s="630"/>
      <c r="H76" s="631"/>
      <c r="I76" s="631"/>
      <c r="J76" s="632"/>
      <c r="K76" s="66"/>
      <c r="L76" s="184"/>
      <c r="M76" s="184"/>
      <c r="N76" s="184"/>
      <c r="O76" s="184"/>
      <c r="P76" s="184"/>
      <c r="Q76" s="184"/>
      <c r="R76" s="188"/>
      <c r="S76" s="188"/>
    </row>
    <row r="77" spans="1:19" hidden="1" x14ac:dyDescent="0.2">
      <c r="L77" s="184"/>
      <c r="M77" s="184"/>
      <c r="N77" s="184"/>
      <c r="O77" s="184"/>
      <c r="P77" s="184"/>
      <c r="Q77" s="184"/>
      <c r="R77" s="188"/>
      <c r="S77" s="188"/>
    </row>
    <row r="78" spans="1:19" ht="15" hidden="1" x14ac:dyDescent="0.2">
      <c r="A78" s="656" t="s">
        <v>29</v>
      </c>
      <c r="B78" s="656"/>
      <c r="C78" s="657" t="s">
        <v>141</v>
      </c>
      <c r="D78" s="239" t="s">
        <v>113</v>
      </c>
      <c r="E78" s="50" t="s">
        <v>18</v>
      </c>
      <c r="F78" s="67">
        <v>18</v>
      </c>
      <c r="G78" s="45" t="s">
        <v>16</v>
      </c>
      <c r="H78" s="58">
        <f>B85</f>
        <v>88.5</v>
      </c>
      <c r="I78" s="45" t="s">
        <v>17</v>
      </c>
      <c r="J78" s="63">
        <f>B85-E85</f>
        <v>29.25</v>
      </c>
      <c r="K78" s="71">
        <f>(E85-B85)/B85</f>
        <v>-0.33050847457627119</v>
      </c>
      <c r="L78" s="184"/>
      <c r="M78" s="184"/>
      <c r="N78" s="184"/>
      <c r="O78" s="184"/>
      <c r="P78" s="184" t="s">
        <v>69</v>
      </c>
      <c r="Q78" s="184"/>
      <c r="R78" s="188"/>
      <c r="S78" s="188"/>
    </row>
    <row r="79" spans="1:19" hidden="1" x14ac:dyDescent="0.2">
      <c r="A79" s="656"/>
      <c r="B79" s="656"/>
      <c r="C79" s="658"/>
      <c r="D79" s="236"/>
      <c r="E79" s="47"/>
      <c r="F79" s="279"/>
      <c r="G79" s="49"/>
      <c r="H79" s="59"/>
      <c r="I79" s="48"/>
      <c r="J79" s="64"/>
      <c r="K79" s="66"/>
      <c r="L79" s="184"/>
      <c r="M79" s="184"/>
      <c r="N79" s="184"/>
      <c r="O79" s="184"/>
      <c r="P79" s="184"/>
      <c r="Q79" s="184"/>
      <c r="R79" s="188"/>
      <c r="S79" s="188"/>
    </row>
    <row r="80" spans="1:19" ht="22.5" hidden="1" x14ac:dyDescent="0.2">
      <c r="A80" s="34"/>
      <c r="B80" s="33" t="s">
        <v>7</v>
      </c>
      <c r="C80" s="33"/>
      <c r="D80" s="33"/>
      <c r="E80" s="27" t="s">
        <v>8</v>
      </c>
      <c r="F80" s="28"/>
      <c r="G80" s="627" t="s">
        <v>14</v>
      </c>
      <c r="H80" s="627"/>
      <c r="I80" s="627"/>
      <c r="J80" s="627"/>
      <c r="K80" s="66"/>
      <c r="L80" s="184"/>
      <c r="M80" s="184"/>
      <c r="N80" s="184"/>
      <c r="O80" s="184"/>
      <c r="P80" s="184"/>
      <c r="Q80" s="184"/>
      <c r="R80" s="188"/>
      <c r="S80" s="188"/>
    </row>
    <row r="81" spans="1:19" hidden="1" x14ac:dyDescent="0.2">
      <c r="A81" s="28" t="s">
        <v>9</v>
      </c>
      <c r="B81" s="31">
        <v>9</v>
      </c>
      <c r="C81" s="628" t="s">
        <v>43</v>
      </c>
      <c r="D81" s="629"/>
      <c r="E81" s="130">
        <f>4+0.75</f>
        <v>4.75</v>
      </c>
      <c r="F81" s="29">
        <f>(E81-B81)/B81</f>
        <v>-0.47222222222222221</v>
      </c>
      <c r="G81" s="630"/>
      <c r="H81" s="631"/>
      <c r="I81" s="631"/>
      <c r="J81" s="632"/>
      <c r="K81" s="66"/>
      <c r="L81" s="184"/>
      <c r="M81" s="184"/>
      <c r="N81" s="184"/>
      <c r="O81" s="184"/>
      <c r="P81" s="184"/>
      <c r="Q81" s="184"/>
      <c r="R81" s="188"/>
      <c r="S81" s="188"/>
    </row>
    <row r="82" spans="1:19" hidden="1" x14ac:dyDescent="0.2">
      <c r="A82" s="28" t="s">
        <v>10</v>
      </c>
      <c r="B82" s="31">
        <v>9</v>
      </c>
      <c r="C82" s="628" t="s">
        <v>43</v>
      </c>
      <c r="D82" s="629"/>
      <c r="E82" s="130">
        <f>4+0.5</f>
        <v>4.5</v>
      </c>
      <c r="F82" s="29">
        <f>(E82-B82)/B82</f>
        <v>-0.5</v>
      </c>
      <c r="G82" s="630"/>
      <c r="H82" s="631"/>
      <c r="I82" s="631"/>
      <c r="J82" s="632"/>
      <c r="K82" s="66"/>
      <c r="L82" s="184"/>
      <c r="M82" s="184"/>
      <c r="N82" s="184"/>
      <c r="O82" s="184"/>
      <c r="P82" s="184"/>
      <c r="Q82" s="184"/>
      <c r="R82" s="188"/>
      <c r="S82" s="188"/>
    </row>
    <row r="83" spans="1:19" hidden="1" x14ac:dyDescent="0.2">
      <c r="A83" s="28" t="s">
        <v>11</v>
      </c>
      <c r="B83" s="31">
        <v>7</v>
      </c>
      <c r="C83" s="628" t="s">
        <v>43</v>
      </c>
      <c r="D83" s="629"/>
      <c r="E83" s="130">
        <v>0</v>
      </c>
      <c r="F83" s="29">
        <f>(E83-B83)/B83</f>
        <v>-1</v>
      </c>
      <c r="G83" s="630"/>
      <c r="H83" s="631"/>
      <c r="I83" s="631"/>
      <c r="J83" s="632"/>
      <c r="K83" s="66"/>
      <c r="L83" s="184"/>
      <c r="M83" s="184"/>
      <c r="N83" s="184"/>
      <c r="O83" s="184"/>
      <c r="P83" s="184"/>
      <c r="Q83" s="184"/>
      <c r="R83" s="188"/>
      <c r="S83" s="188"/>
    </row>
    <row r="84" spans="1:19" hidden="1" x14ac:dyDescent="0.2">
      <c r="A84" s="28" t="s">
        <v>12</v>
      </c>
      <c r="B84" s="31">
        <v>63.5</v>
      </c>
      <c r="C84" s="628" t="s">
        <v>43</v>
      </c>
      <c r="D84" s="629"/>
      <c r="E84" s="138">
        <f>7.25+2+8.25+8.25+8.25+8.25+1.5+6.25</f>
        <v>50</v>
      </c>
      <c r="F84" s="29">
        <f>(E84-B84)/B84</f>
        <v>-0.2125984251968504</v>
      </c>
      <c r="G84" s="630"/>
      <c r="H84" s="631"/>
      <c r="I84" s="631"/>
      <c r="J84" s="632"/>
      <c r="K84" s="66"/>
      <c r="L84" s="184"/>
      <c r="M84" s="184"/>
      <c r="N84" s="184"/>
      <c r="O84" s="184"/>
      <c r="P84" s="184"/>
      <c r="Q84" s="184"/>
      <c r="R84" s="188"/>
      <c r="S84" s="188"/>
    </row>
    <row r="85" spans="1:19" hidden="1" x14ac:dyDescent="0.2">
      <c r="A85" s="35" t="s">
        <v>15</v>
      </c>
      <c r="B85" s="130">
        <f>SUM(B81:B84)</f>
        <v>88.5</v>
      </c>
      <c r="C85" s="326"/>
      <c r="D85" s="266"/>
      <c r="E85" s="129">
        <f>SUM(E81:E84)</f>
        <v>59.25</v>
      </c>
      <c r="F85" s="29">
        <f>(E85-B85)/B85</f>
        <v>-0.33050847457627119</v>
      </c>
      <c r="G85" s="630"/>
      <c r="H85" s="631"/>
      <c r="I85" s="631"/>
      <c r="J85" s="632"/>
      <c r="K85" s="66"/>
      <c r="L85" s="184"/>
      <c r="M85" s="184"/>
      <c r="N85" s="184"/>
      <c r="O85" s="184"/>
      <c r="P85" s="184"/>
      <c r="Q85" s="184"/>
      <c r="R85" s="188"/>
      <c r="S85" s="188"/>
    </row>
    <row r="86" spans="1:19" hidden="1" x14ac:dyDescent="0.2">
      <c r="L86" s="184"/>
      <c r="M86" s="184"/>
      <c r="N86" s="184"/>
      <c r="O86" s="184"/>
      <c r="P86" s="184"/>
      <c r="Q86" s="184"/>
      <c r="R86" s="188"/>
      <c r="S86" s="188"/>
    </row>
    <row r="87" spans="1:19" ht="15" hidden="1" x14ac:dyDescent="0.2">
      <c r="A87" s="680" t="s">
        <v>30</v>
      </c>
      <c r="B87" s="680"/>
      <c r="C87" s="681" t="s">
        <v>141</v>
      </c>
      <c r="D87" s="242" t="s">
        <v>113</v>
      </c>
      <c r="E87" s="50" t="s">
        <v>18</v>
      </c>
      <c r="F87" s="67">
        <v>4</v>
      </c>
      <c r="G87" s="45" t="s">
        <v>16</v>
      </c>
      <c r="H87" s="58">
        <f>B94</f>
        <v>85</v>
      </c>
      <c r="I87" s="45" t="s">
        <v>17</v>
      </c>
      <c r="J87" s="63">
        <f>B94-E94</f>
        <v>1.25</v>
      </c>
      <c r="K87" s="71">
        <f>(E94-B94)/B94</f>
        <v>-1.4705882352941176E-2</v>
      </c>
      <c r="L87" s="184"/>
      <c r="M87" s="184"/>
      <c r="N87" s="184"/>
      <c r="O87" s="184"/>
      <c r="P87" s="184"/>
      <c r="Q87" s="184"/>
      <c r="R87" s="188"/>
      <c r="S87" s="188"/>
    </row>
    <row r="88" spans="1:19" hidden="1" x14ac:dyDescent="0.2">
      <c r="A88" s="680"/>
      <c r="B88" s="680"/>
      <c r="C88" s="682"/>
      <c r="D88" s="158"/>
      <c r="E88" s="47"/>
      <c r="F88" s="279"/>
      <c r="G88" s="49"/>
      <c r="H88" s="59"/>
      <c r="I88" s="48"/>
      <c r="J88" s="64"/>
      <c r="K88" s="66"/>
      <c r="L88" s="184"/>
      <c r="M88" s="184"/>
      <c r="N88" s="184"/>
      <c r="O88" s="184"/>
      <c r="P88" s="184"/>
      <c r="Q88" s="184"/>
      <c r="R88" s="188"/>
      <c r="S88" s="188"/>
    </row>
    <row r="89" spans="1:19" ht="22.5" hidden="1" x14ac:dyDescent="0.2">
      <c r="A89" s="34"/>
      <c r="B89" s="33" t="s">
        <v>7</v>
      </c>
      <c r="C89" s="33"/>
      <c r="D89" s="33"/>
      <c r="E89" s="27" t="s">
        <v>8</v>
      </c>
      <c r="F89" s="28"/>
      <c r="G89" s="627" t="s">
        <v>14</v>
      </c>
      <c r="H89" s="627"/>
      <c r="I89" s="627"/>
      <c r="J89" s="627"/>
      <c r="K89" s="66"/>
      <c r="L89" s="184"/>
      <c r="M89" s="184"/>
      <c r="N89" s="184"/>
      <c r="O89" s="184"/>
      <c r="P89" s="184"/>
      <c r="Q89" s="184"/>
      <c r="R89" s="188"/>
      <c r="S89" s="188"/>
    </row>
    <row r="90" spans="1:19" hidden="1" x14ac:dyDescent="0.2">
      <c r="A90" s="28" t="s">
        <v>9</v>
      </c>
      <c r="B90" s="31">
        <v>8</v>
      </c>
      <c r="C90" s="628" t="s">
        <v>43</v>
      </c>
      <c r="D90" s="629"/>
      <c r="E90" s="132">
        <f>4+4</f>
        <v>8</v>
      </c>
      <c r="F90" s="29">
        <f>(E90-B90)/B90</f>
        <v>0</v>
      </c>
      <c r="G90" s="630" t="s">
        <v>33</v>
      </c>
      <c r="H90" s="631"/>
      <c r="I90" s="631"/>
      <c r="J90" s="632"/>
      <c r="K90" s="66"/>
      <c r="L90" s="184"/>
      <c r="M90" s="184"/>
      <c r="N90" s="184"/>
      <c r="O90" s="184"/>
      <c r="P90" s="184"/>
      <c r="Q90" s="184"/>
      <c r="R90" s="188"/>
      <c r="S90" s="188"/>
    </row>
    <row r="91" spans="1:19" hidden="1" x14ac:dyDescent="0.2">
      <c r="A91" s="28" t="s">
        <v>10</v>
      </c>
      <c r="B91" s="31">
        <v>8</v>
      </c>
      <c r="C91" s="628" t="s">
        <v>43</v>
      </c>
      <c r="D91" s="629"/>
      <c r="E91" s="132">
        <v>6.75</v>
      </c>
      <c r="F91" s="29">
        <f>(E91-B91)/B91</f>
        <v>-0.15625</v>
      </c>
      <c r="G91" s="630"/>
      <c r="H91" s="631"/>
      <c r="I91" s="631"/>
      <c r="J91" s="632"/>
      <c r="K91" s="66"/>
      <c r="L91" s="184"/>
      <c r="M91" s="184"/>
      <c r="N91" s="184"/>
      <c r="O91" s="184"/>
      <c r="P91" s="184"/>
      <c r="Q91" s="184"/>
      <c r="R91" s="188"/>
      <c r="S91" s="188"/>
    </row>
    <row r="92" spans="1:19" hidden="1" x14ac:dyDescent="0.2">
      <c r="A92" s="28" t="s">
        <v>11</v>
      </c>
      <c r="B92" s="31">
        <v>0</v>
      </c>
      <c r="C92" s="628" t="s">
        <v>43</v>
      </c>
      <c r="D92" s="629"/>
      <c r="E92" s="132">
        <v>0</v>
      </c>
      <c r="F92" s="29">
        <v>0</v>
      </c>
      <c r="G92" s="630"/>
      <c r="H92" s="631"/>
      <c r="I92" s="631"/>
      <c r="J92" s="632"/>
      <c r="K92" s="66"/>
      <c r="L92" s="184"/>
      <c r="M92" s="184"/>
      <c r="N92" s="184"/>
      <c r="O92" s="184"/>
      <c r="P92" s="184"/>
      <c r="Q92" s="184"/>
      <c r="R92" s="188"/>
      <c r="S92" s="188"/>
    </row>
    <row r="93" spans="1:19" hidden="1" x14ac:dyDescent="0.2">
      <c r="A93" s="28" t="s">
        <v>12</v>
      </c>
      <c r="B93" s="31">
        <v>69</v>
      </c>
      <c r="C93" s="628" t="s">
        <v>43</v>
      </c>
      <c r="D93" s="629"/>
      <c r="E93" s="131">
        <f>5+7.5+8.25+8.25+7.5+8.25+7.5+8.25+2.5+5+1</f>
        <v>69</v>
      </c>
      <c r="F93" s="29">
        <f>(E93-B93)/B93</f>
        <v>0</v>
      </c>
      <c r="G93" s="630"/>
      <c r="H93" s="631"/>
      <c r="I93" s="631"/>
      <c r="J93" s="632"/>
      <c r="K93" s="66"/>
      <c r="L93" s="184"/>
      <c r="M93" s="184"/>
      <c r="N93" s="184"/>
      <c r="O93" s="184"/>
      <c r="P93" s="184"/>
      <c r="Q93" s="184"/>
      <c r="R93" s="188"/>
      <c r="S93" s="188"/>
    </row>
    <row r="94" spans="1:19" hidden="1" x14ac:dyDescent="0.2">
      <c r="A94" s="35" t="s">
        <v>15</v>
      </c>
      <c r="B94" s="132">
        <f>SUM(B90:B93)</f>
        <v>85</v>
      </c>
      <c r="C94" s="326"/>
      <c r="D94" s="266"/>
      <c r="E94" s="131">
        <f>SUM(E90:E93)</f>
        <v>83.75</v>
      </c>
      <c r="F94" s="29">
        <f>(E94-B94)/B94</f>
        <v>-1.4705882352941176E-2</v>
      </c>
      <c r="G94" s="630"/>
      <c r="H94" s="631"/>
      <c r="I94" s="631"/>
      <c r="J94" s="632"/>
      <c r="K94" s="66"/>
      <c r="L94" s="184"/>
      <c r="M94" s="184"/>
      <c r="N94" s="184"/>
      <c r="O94" s="184"/>
      <c r="P94" s="184"/>
      <c r="Q94" s="184"/>
      <c r="R94" s="188"/>
      <c r="S94" s="188"/>
    </row>
    <row r="95" spans="1:19" hidden="1" x14ac:dyDescent="0.2">
      <c r="A95" s="39"/>
      <c r="B95" s="36"/>
      <c r="C95" s="84"/>
      <c r="D95" s="36"/>
      <c r="E95" s="36"/>
      <c r="F95" s="40"/>
      <c r="G95" s="36"/>
      <c r="H95" s="36"/>
      <c r="I95" s="36"/>
      <c r="J95" s="36"/>
      <c r="K95" s="66"/>
      <c r="L95" s="184"/>
      <c r="M95" s="184"/>
      <c r="N95" s="184"/>
      <c r="O95" s="184"/>
      <c r="P95" s="184"/>
      <c r="Q95" s="184"/>
      <c r="R95" s="188"/>
      <c r="S95" s="188"/>
    </row>
    <row r="96" spans="1:19" ht="15" hidden="1" x14ac:dyDescent="0.2">
      <c r="A96" s="656" t="s">
        <v>31</v>
      </c>
      <c r="B96" s="656"/>
      <c r="C96" s="657" t="s">
        <v>141</v>
      </c>
      <c r="D96" s="239" t="s">
        <v>113</v>
      </c>
      <c r="E96" s="50" t="s">
        <v>18</v>
      </c>
      <c r="F96" s="67">
        <v>6</v>
      </c>
      <c r="G96" s="45" t="s">
        <v>16</v>
      </c>
      <c r="H96" s="58">
        <f>B103</f>
        <v>41</v>
      </c>
      <c r="I96" s="45" t="s">
        <v>17</v>
      </c>
      <c r="J96" s="63">
        <f>B103-E103</f>
        <v>-48.75</v>
      </c>
      <c r="K96" s="71">
        <f>(E103-B103)/B103</f>
        <v>1.1890243902439024</v>
      </c>
      <c r="L96" s="184"/>
      <c r="M96" s="184"/>
      <c r="N96" s="184"/>
      <c r="O96" s="184"/>
      <c r="P96" s="184"/>
      <c r="Q96" s="184"/>
      <c r="R96" s="188"/>
      <c r="S96" s="188"/>
    </row>
    <row r="97" spans="1:19" hidden="1" x14ac:dyDescent="0.2">
      <c r="A97" s="656"/>
      <c r="B97" s="656"/>
      <c r="C97" s="658"/>
      <c r="D97" s="236"/>
      <c r="E97" s="47"/>
      <c r="F97" s="279"/>
      <c r="G97" s="49"/>
      <c r="H97" s="59"/>
      <c r="I97" s="48"/>
      <c r="J97" s="64"/>
      <c r="K97" s="66"/>
      <c r="L97" s="184"/>
      <c r="M97" s="184"/>
      <c r="N97" s="184"/>
      <c r="O97" s="184"/>
      <c r="P97" s="184"/>
      <c r="Q97" s="184"/>
      <c r="R97" s="188"/>
      <c r="S97" s="188"/>
    </row>
    <row r="98" spans="1:19" ht="22.5" hidden="1" x14ac:dyDescent="0.2">
      <c r="A98" s="34"/>
      <c r="B98" s="33" t="s">
        <v>7</v>
      </c>
      <c r="C98" s="33"/>
      <c r="D98" s="33"/>
      <c r="E98" s="27" t="s">
        <v>8</v>
      </c>
      <c r="F98" s="28"/>
      <c r="G98" s="627" t="s">
        <v>14</v>
      </c>
      <c r="H98" s="627"/>
      <c r="I98" s="627"/>
      <c r="J98" s="627"/>
      <c r="K98" s="66"/>
      <c r="L98" s="184"/>
      <c r="M98" s="184"/>
      <c r="N98" s="184"/>
      <c r="O98" s="184"/>
      <c r="P98" s="184"/>
      <c r="Q98" s="184"/>
      <c r="R98" s="188"/>
      <c r="S98" s="188"/>
    </row>
    <row r="99" spans="1:19" hidden="1" x14ac:dyDescent="0.2">
      <c r="A99" s="28" t="s">
        <v>9</v>
      </c>
      <c r="B99" s="31">
        <v>3.5</v>
      </c>
      <c r="C99" s="628" t="s">
        <v>43</v>
      </c>
      <c r="D99" s="629"/>
      <c r="E99" s="134">
        <v>4</v>
      </c>
      <c r="F99" s="29">
        <f>(E99-B99)/B99</f>
        <v>0.14285714285714285</v>
      </c>
      <c r="G99" s="630"/>
      <c r="H99" s="631"/>
      <c r="I99" s="631"/>
      <c r="J99" s="632"/>
      <c r="K99" s="66"/>
      <c r="L99" s="184"/>
      <c r="M99" s="184"/>
      <c r="N99" s="184"/>
      <c r="O99" s="184"/>
      <c r="P99" s="184"/>
      <c r="Q99" s="184"/>
      <c r="R99" s="188"/>
      <c r="S99" s="188"/>
    </row>
    <row r="100" spans="1:19" hidden="1" x14ac:dyDescent="0.2">
      <c r="A100" s="28" t="s">
        <v>10</v>
      </c>
      <c r="B100" s="31">
        <v>3.5</v>
      </c>
      <c r="C100" s="628" t="s">
        <v>43</v>
      </c>
      <c r="D100" s="629"/>
      <c r="E100" s="134">
        <v>3.5</v>
      </c>
      <c r="F100" s="29">
        <f t="shared" ref="F100:F101" si="0">(E100-B100)/B100</f>
        <v>0</v>
      </c>
      <c r="G100" s="630"/>
      <c r="H100" s="631"/>
      <c r="I100" s="631"/>
      <c r="J100" s="632"/>
      <c r="K100" s="66"/>
      <c r="L100" s="184"/>
      <c r="M100" s="184"/>
      <c r="N100" s="184"/>
      <c r="O100" s="184"/>
      <c r="P100" s="184"/>
      <c r="Q100" s="184"/>
      <c r="R100" s="188"/>
      <c r="S100" s="188"/>
    </row>
    <row r="101" spans="1:19" hidden="1" x14ac:dyDescent="0.2">
      <c r="A101" s="28" t="s">
        <v>11</v>
      </c>
      <c r="B101" s="31">
        <v>5</v>
      </c>
      <c r="C101" s="628" t="s">
        <v>43</v>
      </c>
      <c r="D101" s="629"/>
      <c r="E101" s="134">
        <f>1.75+3.5</f>
        <v>5.25</v>
      </c>
      <c r="F101" s="29">
        <f t="shared" si="0"/>
        <v>0.05</v>
      </c>
      <c r="G101" s="630"/>
      <c r="H101" s="631"/>
      <c r="I101" s="631"/>
      <c r="J101" s="632"/>
      <c r="K101" s="66"/>
      <c r="L101" s="184"/>
      <c r="M101" s="184"/>
      <c r="N101" s="184"/>
      <c r="O101" s="184"/>
      <c r="P101" s="184"/>
      <c r="Q101" s="184"/>
      <c r="R101" s="188"/>
      <c r="S101" s="188"/>
    </row>
    <row r="102" spans="1:19" hidden="1" x14ac:dyDescent="0.2">
      <c r="A102" s="28" t="s">
        <v>12</v>
      </c>
      <c r="B102" s="31">
        <v>29</v>
      </c>
      <c r="C102" s="628" t="s">
        <v>43</v>
      </c>
      <c r="D102" s="629"/>
      <c r="E102" s="133">
        <f>8.25+8.25+2.25+8+4.25+4.25+2.25+5+5+5+8.25+8.25+8</f>
        <v>77</v>
      </c>
      <c r="F102" s="29">
        <f>(E102-B102)/B102</f>
        <v>1.6551724137931034</v>
      </c>
      <c r="G102" s="630"/>
      <c r="H102" s="631"/>
      <c r="I102" s="631"/>
      <c r="J102" s="632"/>
      <c r="K102" s="66"/>
      <c r="L102" s="184"/>
      <c r="M102" s="184"/>
      <c r="N102" s="184"/>
      <c r="O102" s="184"/>
      <c r="P102" s="184"/>
      <c r="Q102" s="184"/>
      <c r="R102" s="188"/>
      <c r="S102" s="188"/>
    </row>
    <row r="103" spans="1:19" hidden="1" x14ac:dyDescent="0.2">
      <c r="A103" s="35" t="s">
        <v>15</v>
      </c>
      <c r="B103" s="134">
        <f>SUM(B99:B102)</f>
        <v>41</v>
      </c>
      <c r="C103" s="326"/>
      <c r="D103" s="266"/>
      <c r="E103" s="133">
        <f>SUM(E99:E102)</f>
        <v>89.75</v>
      </c>
      <c r="F103" s="29">
        <f>(E103-B103)/B103</f>
        <v>1.1890243902439024</v>
      </c>
      <c r="G103" s="630"/>
      <c r="H103" s="631"/>
      <c r="I103" s="631"/>
      <c r="J103" s="632"/>
      <c r="K103" s="66"/>
      <c r="L103" s="184"/>
      <c r="M103" s="184"/>
      <c r="N103" s="184"/>
      <c r="O103" s="184"/>
      <c r="P103" s="184"/>
      <c r="Q103" s="184"/>
      <c r="R103" s="188"/>
      <c r="S103" s="188"/>
    </row>
    <row r="104" spans="1:19" hidden="1" x14ac:dyDescent="0.2">
      <c r="A104" s="39"/>
      <c r="B104" s="36"/>
      <c r="C104" s="84"/>
      <c r="D104" s="36"/>
      <c r="E104" s="36"/>
      <c r="F104" s="40"/>
      <c r="G104" s="36"/>
      <c r="H104" s="36"/>
      <c r="I104" s="36"/>
      <c r="J104" s="36"/>
      <c r="K104" s="66"/>
      <c r="L104" s="184"/>
      <c r="M104" s="184"/>
      <c r="N104" s="184"/>
      <c r="O104" s="184"/>
      <c r="P104" s="184"/>
      <c r="Q104" s="184"/>
      <c r="R104" s="188"/>
      <c r="S104" s="188"/>
    </row>
    <row r="105" spans="1:19" ht="15" hidden="1" x14ac:dyDescent="0.2">
      <c r="A105" s="656" t="s">
        <v>57</v>
      </c>
      <c r="B105" s="656"/>
      <c r="C105" s="657" t="s">
        <v>141</v>
      </c>
      <c r="D105" s="239" t="s">
        <v>113</v>
      </c>
      <c r="E105" s="50" t="s">
        <v>18</v>
      </c>
      <c r="F105" s="67">
        <v>1</v>
      </c>
      <c r="G105" s="45" t="s">
        <v>16</v>
      </c>
      <c r="H105" s="58">
        <f>B112</f>
        <v>10</v>
      </c>
      <c r="I105" s="45" t="s">
        <v>17</v>
      </c>
      <c r="J105" s="63">
        <f>B112-E112</f>
        <v>-5.5</v>
      </c>
      <c r="K105" s="71">
        <f>(E112-B112)/B112</f>
        <v>0.55000000000000004</v>
      </c>
      <c r="L105" s="184" t="s">
        <v>65</v>
      </c>
      <c r="M105" s="184"/>
      <c r="N105" s="184"/>
      <c r="O105" s="184"/>
      <c r="P105" s="184"/>
      <c r="Q105" s="184"/>
      <c r="R105" s="188"/>
      <c r="S105" s="188"/>
    </row>
    <row r="106" spans="1:19" hidden="1" x14ac:dyDescent="0.2">
      <c r="A106" s="656"/>
      <c r="B106" s="656"/>
      <c r="C106" s="658"/>
      <c r="D106" s="236"/>
      <c r="E106" s="47"/>
      <c r="F106" s="279"/>
      <c r="G106" s="49"/>
      <c r="H106" s="59"/>
      <c r="I106" s="48"/>
      <c r="J106" s="64"/>
      <c r="K106" s="66"/>
      <c r="L106" s="184"/>
      <c r="M106" s="184"/>
      <c r="N106" s="184"/>
      <c r="O106" s="184"/>
      <c r="P106" s="184"/>
      <c r="Q106" s="184"/>
      <c r="R106" s="188"/>
      <c r="S106" s="188"/>
    </row>
    <row r="107" spans="1:19" ht="22.5" hidden="1" x14ac:dyDescent="0.2">
      <c r="A107" s="34"/>
      <c r="B107" s="33" t="s">
        <v>7</v>
      </c>
      <c r="C107" s="33"/>
      <c r="D107" s="33"/>
      <c r="E107" s="27" t="s">
        <v>8</v>
      </c>
      <c r="F107" s="28"/>
      <c r="G107" s="627" t="s">
        <v>14</v>
      </c>
      <c r="H107" s="627"/>
      <c r="I107" s="627"/>
      <c r="J107" s="627"/>
      <c r="K107" s="66"/>
      <c r="L107" s="184"/>
      <c r="M107" s="184"/>
      <c r="N107" s="184"/>
      <c r="O107" s="184"/>
      <c r="P107" s="184"/>
      <c r="Q107" s="184"/>
      <c r="R107" s="188"/>
      <c r="S107" s="188"/>
    </row>
    <row r="108" spans="1:19" hidden="1" x14ac:dyDescent="0.2">
      <c r="A108" s="28" t="s">
        <v>9</v>
      </c>
      <c r="B108" s="31">
        <v>1</v>
      </c>
      <c r="C108" s="628" t="s">
        <v>43</v>
      </c>
      <c r="D108" s="629"/>
      <c r="E108" s="172">
        <v>1.5</v>
      </c>
      <c r="F108" s="29">
        <f>(E108-B108)/B108</f>
        <v>0.5</v>
      </c>
      <c r="G108" s="630"/>
      <c r="H108" s="631"/>
      <c r="I108" s="631"/>
      <c r="J108" s="632"/>
      <c r="K108" s="66"/>
      <c r="L108" s="184"/>
      <c r="M108" s="184"/>
      <c r="N108" s="184"/>
      <c r="O108" s="184"/>
      <c r="P108" s="184"/>
      <c r="Q108" s="184"/>
      <c r="R108" s="188"/>
      <c r="S108" s="188"/>
    </row>
    <row r="109" spans="1:19" hidden="1" x14ac:dyDescent="0.2">
      <c r="A109" s="28" t="s">
        <v>10</v>
      </c>
      <c r="B109" s="31">
        <v>1</v>
      </c>
      <c r="C109" s="628" t="s">
        <v>43</v>
      </c>
      <c r="D109" s="629"/>
      <c r="E109" s="172">
        <v>1</v>
      </c>
      <c r="F109" s="29">
        <f>(E109-B109)/B109</f>
        <v>0</v>
      </c>
      <c r="G109" s="630"/>
      <c r="H109" s="631"/>
      <c r="I109" s="631"/>
      <c r="J109" s="632"/>
      <c r="K109" s="66"/>
      <c r="L109" s="184"/>
      <c r="M109" s="184"/>
      <c r="N109" s="184"/>
      <c r="O109" s="184"/>
      <c r="P109" s="184"/>
      <c r="Q109" s="184"/>
      <c r="R109" s="188"/>
      <c r="S109" s="188"/>
    </row>
    <row r="110" spans="1:19" hidden="1" x14ac:dyDescent="0.2">
      <c r="A110" s="28" t="s">
        <v>11</v>
      </c>
      <c r="B110" s="31">
        <v>0</v>
      </c>
      <c r="C110" s="628" t="s">
        <v>43</v>
      </c>
      <c r="D110" s="629"/>
      <c r="E110" s="172">
        <v>0</v>
      </c>
      <c r="F110" s="29">
        <v>0</v>
      </c>
      <c r="G110" s="630"/>
      <c r="H110" s="631"/>
      <c r="I110" s="631"/>
      <c r="J110" s="632"/>
      <c r="K110" s="66"/>
      <c r="L110" s="184"/>
      <c r="M110" s="184"/>
      <c r="N110" s="184"/>
      <c r="O110" s="184"/>
      <c r="P110" s="184"/>
      <c r="Q110" s="184"/>
      <c r="R110" s="188"/>
      <c r="S110" s="188"/>
    </row>
    <row r="111" spans="1:19" hidden="1" x14ac:dyDescent="0.2">
      <c r="A111" s="28" t="s">
        <v>12</v>
      </c>
      <c r="B111" s="31">
        <v>8</v>
      </c>
      <c r="C111" s="628" t="s">
        <v>43</v>
      </c>
      <c r="D111" s="629"/>
      <c r="E111" s="171">
        <f>2.75+8.75+1.5</f>
        <v>13</v>
      </c>
      <c r="F111" s="29">
        <f>(E111-B111)/B111</f>
        <v>0.625</v>
      </c>
      <c r="G111" s="630" t="s">
        <v>154</v>
      </c>
      <c r="H111" s="631"/>
      <c r="I111" s="631"/>
      <c r="J111" s="632"/>
      <c r="K111" s="66"/>
      <c r="L111" s="184"/>
      <c r="M111" s="184"/>
      <c r="N111" s="184"/>
      <c r="O111" s="184"/>
      <c r="P111" s="184"/>
      <c r="Q111" s="184"/>
      <c r="R111" s="188"/>
      <c r="S111" s="188"/>
    </row>
    <row r="112" spans="1:19" hidden="1" x14ac:dyDescent="0.2">
      <c r="A112" s="35" t="s">
        <v>15</v>
      </c>
      <c r="B112" s="172">
        <f>SUM(B108:B111)</f>
        <v>10</v>
      </c>
      <c r="C112" s="326"/>
      <c r="D112" s="266"/>
      <c r="E112" s="171">
        <f>SUM(E108:E111)</f>
        <v>15.5</v>
      </c>
      <c r="F112" s="29">
        <f>(E112-B112)/B112</f>
        <v>0.55000000000000004</v>
      </c>
      <c r="G112" s="630"/>
      <c r="H112" s="631"/>
      <c r="I112" s="631"/>
      <c r="J112" s="632"/>
      <c r="K112" s="66"/>
      <c r="L112" s="184"/>
      <c r="M112" s="184"/>
      <c r="N112" s="184"/>
      <c r="O112" s="184"/>
      <c r="P112" s="184"/>
      <c r="Q112" s="184"/>
      <c r="R112" s="188"/>
      <c r="S112" s="188"/>
    </row>
    <row r="113" spans="1:19" x14ac:dyDescent="0.2">
      <c r="A113" s="39"/>
      <c r="B113" s="36"/>
      <c r="C113" s="84"/>
      <c r="D113" s="36"/>
      <c r="E113" s="36"/>
      <c r="F113" s="40"/>
      <c r="G113" s="36"/>
      <c r="H113" s="36"/>
      <c r="I113" s="36"/>
      <c r="J113" s="36"/>
      <c r="K113" s="66"/>
      <c r="L113" s="184"/>
      <c r="M113" s="184"/>
      <c r="N113" s="184"/>
      <c r="O113" s="184"/>
      <c r="P113" s="184"/>
      <c r="Q113" s="184"/>
      <c r="R113" s="188"/>
      <c r="S113" s="188"/>
    </row>
    <row r="114" spans="1:19" ht="15" hidden="1" x14ac:dyDescent="0.2">
      <c r="A114" s="656" t="s">
        <v>102</v>
      </c>
      <c r="B114" s="656"/>
      <c r="C114" s="657" t="s">
        <v>141</v>
      </c>
      <c r="D114" s="239" t="s">
        <v>113</v>
      </c>
      <c r="E114" s="50" t="s">
        <v>18</v>
      </c>
      <c r="F114" s="67">
        <v>3</v>
      </c>
      <c r="G114" s="45" t="s">
        <v>16</v>
      </c>
      <c r="H114" s="58">
        <f>B121</f>
        <v>6</v>
      </c>
      <c r="I114" s="45" t="s">
        <v>17</v>
      </c>
      <c r="J114" s="63">
        <f>B121-E121</f>
        <v>6</v>
      </c>
      <c r="K114" s="71">
        <f>(E121-B121)/B121</f>
        <v>-1</v>
      </c>
      <c r="L114" s="198"/>
      <c r="M114" s="198"/>
      <c r="N114" s="198"/>
      <c r="O114" s="198"/>
      <c r="P114" s="198"/>
      <c r="Q114" s="198"/>
      <c r="R114" s="34"/>
      <c r="S114" s="34"/>
    </row>
    <row r="115" spans="1:19" hidden="1" x14ac:dyDescent="0.2">
      <c r="A115" s="656"/>
      <c r="B115" s="656"/>
      <c r="C115" s="658"/>
      <c r="D115" s="236"/>
      <c r="E115" s="47"/>
      <c r="F115" s="279"/>
      <c r="G115" s="49"/>
      <c r="H115" s="59"/>
      <c r="I115" s="48"/>
      <c r="J115" s="64"/>
      <c r="K115" s="66"/>
    </row>
    <row r="116" spans="1:19" ht="22.5" hidden="1" x14ac:dyDescent="0.2">
      <c r="A116" s="34"/>
      <c r="B116" s="33" t="s">
        <v>7</v>
      </c>
      <c r="C116" s="33"/>
      <c r="D116" s="33"/>
      <c r="E116" s="27" t="s">
        <v>8</v>
      </c>
      <c r="F116" s="28"/>
      <c r="G116" s="627" t="s">
        <v>14</v>
      </c>
      <c r="H116" s="627"/>
      <c r="I116" s="627"/>
      <c r="J116" s="627"/>
      <c r="K116" s="66"/>
    </row>
    <row r="117" spans="1:19" hidden="1" x14ac:dyDescent="0.2">
      <c r="A117" s="28" t="s">
        <v>9</v>
      </c>
      <c r="B117" s="31">
        <v>4</v>
      </c>
      <c r="C117" s="628" t="s">
        <v>43</v>
      </c>
      <c r="D117" s="629"/>
      <c r="E117" s="201">
        <v>0</v>
      </c>
      <c r="F117" s="29">
        <f>(E117-B117)/B117</f>
        <v>-1</v>
      </c>
      <c r="G117" s="694" t="s">
        <v>161</v>
      </c>
      <c r="H117" s="695"/>
      <c r="I117" s="695"/>
      <c r="J117" s="696"/>
      <c r="K117" s="66"/>
    </row>
    <row r="118" spans="1:19" hidden="1" x14ac:dyDescent="0.2">
      <c r="A118" s="28" t="s">
        <v>10</v>
      </c>
      <c r="B118" s="31">
        <v>2</v>
      </c>
      <c r="C118" s="628" t="s">
        <v>43</v>
      </c>
      <c r="D118" s="629"/>
      <c r="E118" s="201">
        <v>0</v>
      </c>
      <c r="F118" s="29">
        <f>(E118-B118)/B118</f>
        <v>-1</v>
      </c>
      <c r="G118" s="697"/>
      <c r="H118" s="698"/>
      <c r="I118" s="698"/>
      <c r="J118" s="699"/>
      <c r="K118" s="66"/>
    </row>
    <row r="119" spans="1:19" hidden="1" x14ac:dyDescent="0.2">
      <c r="A119" s="28" t="s">
        <v>11</v>
      </c>
      <c r="B119" s="31">
        <v>0</v>
      </c>
      <c r="C119" s="628" t="s">
        <v>43</v>
      </c>
      <c r="D119" s="629"/>
      <c r="E119" s="201">
        <v>0</v>
      </c>
      <c r="F119" s="29">
        <v>0</v>
      </c>
      <c r="G119" s="697"/>
      <c r="H119" s="698"/>
      <c r="I119" s="698"/>
      <c r="J119" s="699"/>
      <c r="K119" s="66"/>
    </row>
    <row r="120" spans="1:19" hidden="1" x14ac:dyDescent="0.2">
      <c r="A120" s="28" t="s">
        <v>12</v>
      </c>
      <c r="B120" s="31">
        <v>0</v>
      </c>
      <c r="C120" s="628" t="s">
        <v>43</v>
      </c>
      <c r="D120" s="629"/>
      <c r="E120" s="200">
        <v>0</v>
      </c>
      <c r="F120" s="29">
        <v>0</v>
      </c>
      <c r="G120" s="700"/>
      <c r="H120" s="701"/>
      <c r="I120" s="701"/>
      <c r="J120" s="702"/>
      <c r="K120" s="66"/>
    </row>
    <row r="121" spans="1:19" hidden="1" x14ac:dyDescent="0.2">
      <c r="A121" s="35" t="s">
        <v>15</v>
      </c>
      <c r="B121" s="201">
        <f>SUM(B117:B120)</f>
        <v>6</v>
      </c>
      <c r="C121" s="326"/>
      <c r="D121" s="266"/>
      <c r="E121" s="200">
        <f>SUM(E117:E120)</f>
        <v>0</v>
      </c>
      <c r="F121" s="29">
        <f>(E121-B121)/B121</f>
        <v>-1</v>
      </c>
      <c r="G121" s="630"/>
      <c r="H121" s="631"/>
      <c r="I121" s="631"/>
      <c r="J121" s="632"/>
      <c r="K121" s="66"/>
    </row>
    <row r="123" spans="1:19" ht="15" hidden="1" x14ac:dyDescent="0.2">
      <c r="A123" s="680" t="s">
        <v>32</v>
      </c>
      <c r="B123" s="680"/>
      <c r="C123" s="681" t="s">
        <v>141</v>
      </c>
      <c r="D123" s="242" t="s">
        <v>113</v>
      </c>
      <c r="E123" s="50" t="s">
        <v>18</v>
      </c>
      <c r="F123" s="67">
        <v>1</v>
      </c>
      <c r="G123" s="45" t="s">
        <v>16</v>
      </c>
      <c r="H123" s="58">
        <f>B130</f>
        <v>4.5999999999999996</v>
      </c>
      <c r="I123" s="45" t="s">
        <v>17</v>
      </c>
      <c r="J123" s="63">
        <f>B130-E130</f>
        <v>-1.6500000000000004</v>
      </c>
      <c r="K123" s="71">
        <f>(E130-B130)/B130</f>
        <v>0.35869565217391314</v>
      </c>
      <c r="L123" s="356"/>
      <c r="M123" s="184"/>
      <c r="N123" s="184"/>
      <c r="O123" s="184"/>
      <c r="P123" s="184"/>
      <c r="Q123" s="184"/>
      <c r="R123" s="188"/>
      <c r="S123" s="188"/>
    </row>
    <row r="124" spans="1:19" hidden="1" x14ac:dyDescent="0.2">
      <c r="A124" s="680"/>
      <c r="B124" s="680"/>
      <c r="C124" s="682"/>
      <c r="D124" s="158"/>
      <c r="E124" s="47"/>
      <c r="F124" s="279"/>
      <c r="G124" s="49"/>
      <c r="H124" s="59"/>
      <c r="I124" s="48"/>
      <c r="J124" s="64"/>
      <c r="K124" s="66"/>
      <c r="L124" s="184"/>
      <c r="M124" s="184"/>
      <c r="N124" s="184"/>
      <c r="O124" s="184"/>
      <c r="P124" s="184"/>
      <c r="Q124" s="184"/>
      <c r="R124" s="188"/>
      <c r="S124" s="188"/>
    </row>
    <row r="125" spans="1:19" ht="22.5" hidden="1" x14ac:dyDescent="0.2">
      <c r="A125" s="34"/>
      <c r="B125" s="33" t="s">
        <v>7</v>
      </c>
      <c r="C125" s="33"/>
      <c r="D125" s="33"/>
      <c r="E125" s="27" t="s">
        <v>8</v>
      </c>
      <c r="F125" s="28"/>
      <c r="G125" s="627" t="s">
        <v>14</v>
      </c>
      <c r="H125" s="627"/>
      <c r="I125" s="627"/>
      <c r="J125" s="627"/>
      <c r="K125" s="66"/>
      <c r="L125" s="184"/>
      <c r="M125" s="184"/>
      <c r="N125" s="184"/>
      <c r="O125" s="184"/>
      <c r="P125" s="184"/>
      <c r="Q125" s="184"/>
      <c r="R125" s="188"/>
      <c r="S125" s="188"/>
    </row>
    <row r="126" spans="1:19" hidden="1" x14ac:dyDescent="0.2">
      <c r="A126" s="28" t="s">
        <v>9</v>
      </c>
      <c r="B126" s="31">
        <v>0.4</v>
      </c>
      <c r="C126" s="628" t="s">
        <v>43</v>
      </c>
      <c r="D126" s="629"/>
      <c r="E126" s="140">
        <v>2.5</v>
      </c>
      <c r="F126" s="29">
        <f>(E126-B126)/B126</f>
        <v>5.25</v>
      </c>
      <c r="G126" s="630" t="s">
        <v>50</v>
      </c>
      <c r="H126" s="631"/>
      <c r="I126" s="631"/>
      <c r="J126" s="632"/>
      <c r="K126" s="66"/>
      <c r="L126" s="184"/>
      <c r="M126" s="184"/>
      <c r="N126" s="184"/>
      <c r="O126" s="184"/>
      <c r="P126" s="184"/>
      <c r="Q126" s="184"/>
      <c r="R126" s="188"/>
      <c r="S126" s="188"/>
    </row>
    <row r="127" spans="1:19" hidden="1" x14ac:dyDescent="0.2">
      <c r="A127" s="28" t="s">
        <v>10</v>
      </c>
      <c r="B127" s="31">
        <v>0.4</v>
      </c>
      <c r="C127" s="628" t="s">
        <v>43</v>
      </c>
      <c r="D127" s="629"/>
      <c r="E127" s="140">
        <v>0.5</v>
      </c>
      <c r="F127" s="29">
        <f>(E127-B127)/B127</f>
        <v>0.24999999999999994</v>
      </c>
      <c r="G127" s="630"/>
      <c r="H127" s="631"/>
      <c r="I127" s="631"/>
      <c r="J127" s="632"/>
      <c r="K127" s="66"/>
      <c r="L127" s="184"/>
      <c r="M127" s="184"/>
      <c r="N127" s="184"/>
      <c r="O127" s="184"/>
      <c r="P127" s="184"/>
      <c r="Q127" s="184"/>
      <c r="R127" s="188"/>
      <c r="S127" s="188"/>
    </row>
    <row r="128" spans="1:19" hidden="1" x14ac:dyDescent="0.2">
      <c r="A128" s="28" t="s">
        <v>11</v>
      </c>
      <c r="B128" s="31">
        <v>0</v>
      </c>
      <c r="C128" s="628" t="s">
        <v>43</v>
      </c>
      <c r="D128" s="629"/>
      <c r="E128" s="140">
        <v>0</v>
      </c>
      <c r="F128" s="29">
        <v>0</v>
      </c>
      <c r="G128" s="630"/>
      <c r="H128" s="631"/>
      <c r="I128" s="631"/>
      <c r="J128" s="632"/>
      <c r="K128" s="66"/>
      <c r="L128" s="184"/>
      <c r="M128" s="184"/>
      <c r="N128" s="184"/>
      <c r="O128" s="184"/>
      <c r="P128" s="184"/>
      <c r="Q128" s="184"/>
      <c r="R128" s="188"/>
      <c r="S128" s="188"/>
    </row>
    <row r="129" spans="1:19" hidden="1" x14ac:dyDescent="0.2">
      <c r="A129" s="28" t="s">
        <v>12</v>
      </c>
      <c r="B129" s="31">
        <v>3.8</v>
      </c>
      <c r="C129" s="628" t="s">
        <v>43</v>
      </c>
      <c r="D129" s="629"/>
      <c r="E129" s="139">
        <f>0.75+1+1.5</f>
        <v>3.25</v>
      </c>
      <c r="F129" s="29">
        <f>(E129-B129)/B129</f>
        <v>-0.14473684210526311</v>
      </c>
      <c r="G129" s="630"/>
      <c r="H129" s="631"/>
      <c r="I129" s="631"/>
      <c r="J129" s="632"/>
      <c r="K129" s="66"/>
      <c r="L129" s="184"/>
      <c r="M129" s="184"/>
      <c r="N129" s="184"/>
      <c r="O129" s="184"/>
      <c r="P129" s="184"/>
      <c r="Q129" s="184"/>
      <c r="R129" s="188"/>
      <c r="S129" s="188"/>
    </row>
    <row r="130" spans="1:19" hidden="1" x14ac:dyDescent="0.2">
      <c r="A130" s="35" t="s">
        <v>15</v>
      </c>
      <c r="B130" s="140">
        <f>SUM(B126:B129)</f>
        <v>4.5999999999999996</v>
      </c>
      <c r="C130" s="326"/>
      <c r="D130" s="266"/>
      <c r="E130" s="139">
        <f>SUM(E126:E129)</f>
        <v>6.25</v>
      </c>
      <c r="F130" s="29">
        <f>(E130-B130)/B130</f>
        <v>0.35869565217391314</v>
      </c>
      <c r="G130" s="630"/>
      <c r="H130" s="631"/>
      <c r="I130" s="631"/>
      <c r="J130" s="632"/>
      <c r="K130" s="66"/>
      <c r="L130" s="184"/>
      <c r="M130" s="184"/>
      <c r="N130" s="184"/>
      <c r="O130" s="184"/>
      <c r="P130" s="184"/>
      <c r="Q130" s="184"/>
      <c r="R130" s="188"/>
      <c r="S130" s="188"/>
    </row>
    <row r="131" spans="1:19" hidden="1" x14ac:dyDescent="0.2">
      <c r="A131" s="39"/>
      <c r="B131" s="36"/>
      <c r="C131" s="84"/>
      <c r="D131" s="36"/>
      <c r="E131" s="36"/>
      <c r="F131" s="40"/>
      <c r="G131" s="36"/>
      <c r="H131" s="36"/>
      <c r="I131" s="36"/>
      <c r="J131" s="36"/>
      <c r="K131" s="66"/>
      <c r="L131" s="184"/>
      <c r="M131" s="184"/>
      <c r="N131" s="184"/>
      <c r="O131" s="184"/>
      <c r="P131" s="184"/>
      <c r="Q131" s="184"/>
      <c r="R131" s="188"/>
      <c r="S131" s="188"/>
    </row>
    <row r="132" spans="1:19" ht="15" hidden="1" x14ac:dyDescent="0.2">
      <c r="A132" s="656" t="s">
        <v>36</v>
      </c>
      <c r="B132" s="656"/>
      <c r="C132" s="657" t="s">
        <v>141</v>
      </c>
      <c r="D132" s="239" t="s">
        <v>113</v>
      </c>
      <c r="E132" s="50" t="s">
        <v>18</v>
      </c>
      <c r="F132" s="67">
        <v>3</v>
      </c>
      <c r="G132" s="45" t="s">
        <v>16</v>
      </c>
      <c r="H132" s="58">
        <f>B139</f>
        <v>36.5</v>
      </c>
      <c r="I132" s="45" t="s">
        <v>17</v>
      </c>
      <c r="J132" s="63">
        <f>B139-E139</f>
        <v>-30.75</v>
      </c>
      <c r="K132" s="71">
        <f>(E139-B139)/B139</f>
        <v>0.84246575342465757</v>
      </c>
      <c r="L132" s="356"/>
      <c r="M132" s="184"/>
      <c r="N132" s="184"/>
      <c r="O132" s="184"/>
      <c r="P132" s="184"/>
      <c r="Q132" s="184"/>
      <c r="R132" s="188"/>
      <c r="S132" s="188"/>
    </row>
    <row r="133" spans="1:19" hidden="1" x14ac:dyDescent="0.2">
      <c r="A133" s="656"/>
      <c r="B133" s="656"/>
      <c r="C133" s="658"/>
      <c r="D133" s="236"/>
      <c r="E133" s="47"/>
      <c r="F133" s="279"/>
      <c r="G133" s="49"/>
      <c r="H133" s="59"/>
      <c r="I133" s="48"/>
      <c r="J133" s="64"/>
      <c r="K133" s="66"/>
      <c r="L133" s="184"/>
      <c r="M133" s="184"/>
      <c r="N133" s="184"/>
      <c r="O133" s="184"/>
      <c r="P133" s="184"/>
      <c r="Q133" s="184"/>
      <c r="R133" s="188"/>
      <c r="S133" s="188"/>
    </row>
    <row r="134" spans="1:19" ht="22.5" hidden="1" x14ac:dyDescent="0.2">
      <c r="A134" s="34"/>
      <c r="B134" s="33" t="s">
        <v>7</v>
      </c>
      <c r="C134" s="33"/>
      <c r="D134" s="33"/>
      <c r="E134" s="27" t="s">
        <v>8</v>
      </c>
      <c r="F134" s="28"/>
      <c r="G134" s="627" t="s">
        <v>14</v>
      </c>
      <c r="H134" s="627"/>
      <c r="I134" s="627"/>
      <c r="J134" s="627"/>
      <c r="K134" s="66"/>
      <c r="L134" s="184"/>
      <c r="M134" s="184"/>
      <c r="N134" s="184"/>
      <c r="O134" s="184"/>
      <c r="P134" s="184"/>
      <c r="Q134" s="184"/>
      <c r="R134" s="188"/>
      <c r="S134" s="188"/>
    </row>
    <row r="135" spans="1:19" hidden="1" x14ac:dyDescent="0.2">
      <c r="A135" s="28" t="s">
        <v>9</v>
      </c>
      <c r="B135" s="31">
        <v>4.1500000000000004</v>
      </c>
      <c r="C135" s="244" t="s">
        <v>43</v>
      </c>
      <c r="D135" s="31"/>
      <c r="E135" s="148">
        <f>3.25+1.5</f>
        <v>4.75</v>
      </c>
      <c r="F135" s="29">
        <f>(E135-B135)/B135</f>
        <v>0.14457831325301196</v>
      </c>
      <c r="G135" s="630"/>
      <c r="H135" s="631"/>
      <c r="I135" s="631"/>
      <c r="J135" s="632"/>
      <c r="K135" s="66"/>
      <c r="L135" s="184"/>
      <c r="M135" s="184"/>
      <c r="N135" s="184"/>
      <c r="O135" s="184"/>
      <c r="P135" s="184"/>
      <c r="Q135" s="184"/>
      <c r="R135" s="188"/>
      <c r="S135" s="188"/>
    </row>
    <row r="136" spans="1:19" hidden="1" x14ac:dyDescent="0.2">
      <c r="A136" s="28" t="s">
        <v>10</v>
      </c>
      <c r="B136" s="31">
        <v>7.15</v>
      </c>
      <c r="C136" s="244" t="s">
        <v>43</v>
      </c>
      <c r="D136" s="31"/>
      <c r="E136" s="148">
        <v>4</v>
      </c>
      <c r="F136" s="29">
        <f>(E136-B136)/B136</f>
        <v>-0.44055944055944057</v>
      </c>
      <c r="G136" s="630"/>
      <c r="H136" s="631"/>
      <c r="I136" s="631"/>
      <c r="J136" s="632"/>
      <c r="K136" s="66"/>
      <c r="L136" s="184"/>
      <c r="M136" s="184"/>
      <c r="N136" s="184"/>
      <c r="O136" s="184"/>
      <c r="P136" s="184"/>
      <c r="Q136" s="184"/>
      <c r="R136" s="188"/>
      <c r="S136" s="188"/>
    </row>
    <row r="137" spans="1:19" hidden="1" x14ac:dyDescent="0.2">
      <c r="A137" s="28" t="s">
        <v>11</v>
      </c>
      <c r="B137" s="31">
        <v>0.15</v>
      </c>
      <c r="C137" s="244" t="s">
        <v>43</v>
      </c>
      <c r="D137" s="31"/>
      <c r="E137" s="148">
        <v>0</v>
      </c>
      <c r="F137" s="29">
        <f>(E137-B137)/B137</f>
        <v>-1</v>
      </c>
      <c r="G137" s="630"/>
      <c r="H137" s="631"/>
      <c r="I137" s="631"/>
      <c r="J137" s="632"/>
      <c r="K137" s="66"/>
      <c r="L137" s="184"/>
      <c r="M137" s="184"/>
      <c r="N137" s="184"/>
      <c r="O137" s="184"/>
      <c r="P137" s="184"/>
      <c r="Q137" s="184"/>
      <c r="R137" s="188"/>
      <c r="S137" s="188"/>
    </row>
    <row r="138" spans="1:19" hidden="1" x14ac:dyDescent="0.2">
      <c r="A138" s="28" t="s">
        <v>12</v>
      </c>
      <c r="B138" s="31">
        <v>25.05</v>
      </c>
      <c r="C138" s="244" t="s">
        <v>43</v>
      </c>
      <c r="D138" s="160"/>
      <c r="E138" s="147">
        <f>6.75+2.25+8.25+2+8.25+8.25+8.25+1+4.5+4+1.5+3+0.5</f>
        <v>58.5</v>
      </c>
      <c r="F138" s="29">
        <f>(E138-B138)/B138</f>
        <v>1.3353293413173652</v>
      </c>
      <c r="G138" s="630" t="s">
        <v>58</v>
      </c>
      <c r="H138" s="631"/>
      <c r="I138" s="631"/>
      <c r="J138" s="632"/>
      <c r="K138" s="66"/>
      <c r="L138" s="184"/>
      <c r="M138" s="184"/>
      <c r="N138" s="184"/>
      <c r="O138" s="184"/>
      <c r="P138" s="184"/>
      <c r="Q138" s="184"/>
      <c r="R138" s="188"/>
      <c r="S138" s="188"/>
    </row>
    <row r="139" spans="1:19" hidden="1" x14ac:dyDescent="0.2">
      <c r="A139" s="35" t="s">
        <v>15</v>
      </c>
      <c r="B139" s="148">
        <f>SUM(B135:B138)</f>
        <v>36.5</v>
      </c>
      <c r="C139" s="326"/>
      <c r="D139" s="266"/>
      <c r="E139" s="147">
        <f>SUM(E135:E138)</f>
        <v>67.25</v>
      </c>
      <c r="F139" s="29">
        <f>(E139-B139)/B139</f>
        <v>0.84246575342465757</v>
      </c>
      <c r="G139" s="630"/>
      <c r="H139" s="631"/>
      <c r="I139" s="631"/>
      <c r="J139" s="632"/>
      <c r="K139" s="66"/>
      <c r="L139" s="184"/>
      <c r="M139" s="184"/>
      <c r="N139" s="184"/>
      <c r="O139" s="184"/>
      <c r="P139" s="184"/>
      <c r="Q139" s="184"/>
      <c r="R139" s="188"/>
      <c r="S139" s="188"/>
    </row>
    <row r="140" spans="1:19" hidden="1" x14ac:dyDescent="0.2">
      <c r="A140" s="39"/>
      <c r="B140" s="36"/>
      <c r="C140" s="84"/>
      <c r="D140" s="36"/>
      <c r="E140" s="36"/>
      <c r="F140" s="40"/>
      <c r="G140" s="36"/>
      <c r="H140" s="36"/>
      <c r="I140" s="36"/>
      <c r="J140" s="36"/>
      <c r="K140" s="66"/>
      <c r="L140" s="184"/>
      <c r="M140" s="184"/>
      <c r="N140" s="184"/>
      <c r="O140" s="184"/>
      <c r="P140" s="184"/>
      <c r="Q140" s="184"/>
      <c r="R140" s="188"/>
      <c r="S140" s="188"/>
    </row>
    <row r="141" spans="1:19" ht="15" hidden="1" x14ac:dyDescent="0.2">
      <c r="A141" s="680" t="s">
        <v>49</v>
      </c>
      <c r="B141" s="680"/>
      <c r="C141" s="681" t="s">
        <v>141</v>
      </c>
      <c r="D141" s="242" t="s">
        <v>113</v>
      </c>
      <c r="E141" s="50" t="s">
        <v>18</v>
      </c>
      <c r="F141" s="67">
        <v>7</v>
      </c>
      <c r="G141" s="45" t="s">
        <v>16</v>
      </c>
      <c r="H141" s="58">
        <f>B148</f>
        <v>32.5</v>
      </c>
      <c r="I141" s="45" t="s">
        <v>17</v>
      </c>
      <c r="J141" s="63">
        <f>B148-E148</f>
        <v>-19.75</v>
      </c>
      <c r="K141" s="71">
        <f>(E148-B148)/B148</f>
        <v>0.60769230769230764</v>
      </c>
      <c r="L141" s="356"/>
      <c r="M141" s="184"/>
      <c r="N141" s="184"/>
      <c r="O141" s="184"/>
      <c r="P141" s="184"/>
      <c r="Q141" s="184"/>
      <c r="R141" s="188"/>
      <c r="S141" s="188"/>
    </row>
    <row r="142" spans="1:19" hidden="1" x14ac:dyDescent="0.2">
      <c r="A142" s="680"/>
      <c r="B142" s="680"/>
      <c r="C142" s="682"/>
      <c r="D142" s="158"/>
      <c r="E142" s="47"/>
      <c r="F142" s="279"/>
      <c r="G142" s="49"/>
      <c r="H142" s="59"/>
      <c r="I142" s="48"/>
      <c r="J142" s="64"/>
      <c r="K142" s="66"/>
      <c r="L142" s="184"/>
      <c r="M142" s="184"/>
      <c r="N142" s="184"/>
      <c r="O142" s="184"/>
      <c r="P142" s="184"/>
      <c r="Q142" s="184"/>
      <c r="R142" s="188"/>
      <c r="S142" s="188"/>
    </row>
    <row r="143" spans="1:19" ht="22.5" hidden="1" x14ac:dyDescent="0.2">
      <c r="A143" s="34"/>
      <c r="B143" s="33" t="s">
        <v>7</v>
      </c>
      <c r="C143" s="33"/>
      <c r="D143" s="33"/>
      <c r="E143" s="27" t="s">
        <v>8</v>
      </c>
      <c r="F143" s="28"/>
      <c r="G143" s="627" t="s">
        <v>14</v>
      </c>
      <c r="H143" s="627"/>
      <c r="I143" s="627"/>
      <c r="J143" s="627"/>
      <c r="K143" s="66"/>
      <c r="L143" s="184"/>
      <c r="M143" s="184"/>
      <c r="N143" s="184"/>
      <c r="O143" s="184"/>
      <c r="P143" s="184"/>
      <c r="Q143" s="184"/>
      <c r="R143" s="188"/>
      <c r="S143" s="188"/>
    </row>
    <row r="144" spans="1:19" hidden="1" x14ac:dyDescent="0.2">
      <c r="A144" s="28" t="s">
        <v>9</v>
      </c>
      <c r="B144" s="31">
        <v>3.25</v>
      </c>
      <c r="C144" s="244" t="s">
        <v>43</v>
      </c>
      <c r="D144" s="31"/>
      <c r="E144" s="142">
        <v>4</v>
      </c>
      <c r="F144" s="29">
        <f>(E144-B144)/B144</f>
        <v>0.23076923076923078</v>
      </c>
      <c r="G144" s="630" t="s">
        <v>50</v>
      </c>
      <c r="H144" s="631"/>
      <c r="I144" s="631"/>
      <c r="J144" s="632"/>
      <c r="K144" s="66"/>
      <c r="L144" s="184"/>
      <c r="M144" s="184"/>
      <c r="N144" s="184"/>
      <c r="O144" s="184"/>
      <c r="P144" s="184"/>
      <c r="Q144" s="184"/>
      <c r="R144" s="188"/>
      <c r="S144" s="188"/>
    </row>
    <row r="145" spans="1:19" hidden="1" x14ac:dyDescent="0.2">
      <c r="A145" s="28" t="s">
        <v>10</v>
      </c>
      <c r="B145" s="31">
        <v>3.25</v>
      </c>
      <c r="C145" s="244" t="s">
        <v>43</v>
      </c>
      <c r="D145" s="31"/>
      <c r="E145" s="142">
        <v>2.5</v>
      </c>
      <c r="F145" s="29">
        <f>(E145-B145)/B145</f>
        <v>-0.23076923076923078</v>
      </c>
      <c r="G145" s="630"/>
      <c r="H145" s="631"/>
      <c r="I145" s="631"/>
      <c r="J145" s="632"/>
      <c r="K145" s="66"/>
      <c r="L145" s="184"/>
      <c r="M145" s="184"/>
      <c r="N145" s="184"/>
      <c r="O145" s="184"/>
      <c r="P145" s="184"/>
      <c r="Q145" s="184"/>
      <c r="R145" s="188"/>
      <c r="S145" s="188"/>
    </row>
    <row r="146" spans="1:19" hidden="1" x14ac:dyDescent="0.2">
      <c r="A146" s="28" t="s">
        <v>11</v>
      </c>
      <c r="B146" s="31">
        <v>0</v>
      </c>
      <c r="C146" s="244" t="s">
        <v>43</v>
      </c>
      <c r="D146" s="31"/>
      <c r="E146" s="142">
        <v>0</v>
      </c>
      <c r="F146" s="29">
        <v>0</v>
      </c>
      <c r="G146" s="630"/>
      <c r="H146" s="631"/>
      <c r="I146" s="631"/>
      <c r="J146" s="632"/>
      <c r="K146" s="66"/>
      <c r="L146" s="184"/>
      <c r="M146" s="184"/>
      <c r="N146" s="184"/>
      <c r="O146" s="184"/>
      <c r="P146" s="184"/>
      <c r="Q146" s="184"/>
      <c r="R146" s="188"/>
      <c r="S146" s="188"/>
    </row>
    <row r="147" spans="1:19" hidden="1" x14ac:dyDescent="0.2">
      <c r="A147" s="28" t="s">
        <v>12</v>
      </c>
      <c r="B147" s="31">
        <v>26</v>
      </c>
      <c r="C147" s="244" t="s">
        <v>43</v>
      </c>
      <c r="D147" s="160"/>
      <c r="E147" s="141">
        <f>6.75+2+7.75+7+5+5+7.25+5</f>
        <v>45.75</v>
      </c>
      <c r="F147" s="29">
        <f>(E147-B147)/B147</f>
        <v>0.75961538461538458</v>
      </c>
      <c r="G147" s="630" t="s">
        <v>98</v>
      </c>
      <c r="H147" s="631"/>
      <c r="I147" s="631"/>
      <c r="J147" s="632"/>
      <c r="K147" s="66"/>
      <c r="L147" s="184"/>
      <c r="M147" s="184"/>
      <c r="N147" s="184"/>
      <c r="O147" s="184"/>
      <c r="P147" s="184"/>
      <c r="Q147" s="184"/>
      <c r="R147" s="188"/>
      <c r="S147" s="188"/>
    </row>
    <row r="148" spans="1:19" hidden="1" x14ac:dyDescent="0.2">
      <c r="A148" s="35" t="s">
        <v>15</v>
      </c>
      <c r="B148" s="142">
        <f>SUM(B144:B147)</f>
        <v>32.5</v>
      </c>
      <c r="C148" s="326"/>
      <c r="D148" s="266"/>
      <c r="E148" s="141">
        <f>SUM(E144:E147)</f>
        <v>52.25</v>
      </c>
      <c r="F148" s="29">
        <f>(E148-B148)/B148</f>
        <v>0.60769230769230764</v>
      </c>
      <c r="G148" s="630"/>
      <c r="H148" s="631"/>
      <c r="I148" s="631"/>
      <c r="J148" s="632"/>
      <c r="K148" s="66"/>
      <c r="L148" s="184"/>
      <c r="M148" s="184"/>
      <c r="N148" s="184"/>
      <c r="O148" s="184"/>
      <c r="P148" s="184"/>
      <c r="Q148" s="184"/>
      <c r="R148" s="188"/>
      <c r="S148" s="188"/>
    </row>
    <row r="149" spans="1:19" hidden="1" x14ac:dyDescent="0.2">
      <c r="L149" s="184"/>
      <c r="M149" s="184"/>
      <c r="N149" s="184"/>
      <c r="O149" s="184"/>
      <c r="P149" s="184"/>
      <c r="Q149" s="184"/>
      <c r="R149" s="188"/>
      <c r="S149" s="188"/>
    </row>
    <row r="150" spans="1:19" ht="15" hidden="1" x14ac:dyDescent="0.2">
      <c r="A150" s="680" t="s">
        <v>162</v>
      </c>
      <c r="B150" s="680"/>
      <c r="C150" s="681" t="s">
        <v>141</v>
      </c>
      <c r="D150" s="242" t="s">
        <v>113</v>
      </c>
      <c r="E150" s="50" t="s">
        <v>18</v>
      </c>
      <c r="F150" s="67">
        <v>6</v>
      </c>
      <c r="G150" s="45" t="s">
        <v>16</v>
      </c>
      <c r="H150" s="58">
        <f>B157</f>
        <v>42</v>
      </c>
      <c r="I150" s="45" t="s">
        <v>17</v>
      </c>
      <c r="J150" s="63">
        <f>B157-E157</f>
        <v>3.75</v>
      </c>
      <c r="K150" s="71">
        <f>(E157-B157)/B157</f>
        <v>-8.9285714285714288E-2</v>
      </c>
      <c r="L150" s="356"/>
      <c r="M150" s="184"/>
      <c r="N150" s="184"/>
      <c r="O150" s="184"/>
      <c r="P150" s="184"/>
      <c r="Q150" s="184"/>
      <c r="R150" s="188"/>
      <c r="S150" s="188"/>
    </row>
    <row r="151" spans="1:19" hidden="1" x14ac:dyDescent="0.2">
      <c r="A151" s="680"/>
      <c r="B151" s="680"/>
      <c r="C151" s="682"/>
      <c r="D151" s="158"/>
      <c r="E151" s="47"/>
      <c r="F151" s="279"/>
      <c r="G151" s="49"/>
      <c r="H151" s="59"/>
      <c r="I151" s="48"/>
      <c r="J151" s="64"/>
      <c r="K151" s="66"/>
      <c r="L151" s="184"/>
      <c r="M151" s="184"/>
      <c r="N151" s="184"/>
      <c r="O151" s="184"/>
      <c r="P151" s="184"/>
      <c r="Q151" s="184"/>
      <c r="R151" s="188"/>
      <c r="S151" s="188"/>
    </row>
    <row r="152" spans="1:19" ht="22.5" hidden="1" x14ac:dyDescent="0.2">
      <c r="A152" s="34"/>
      <c r="B152" s="33" t="s">
        <v>7</v>
      </c>
      <c r="C152" s="33"/>
      <c r="D152" s="33"/>
      <c r="E152" s="27" t="s">
        <v>8</v>
      </c>
      <c r="F152" s="28"/>
      <c r="G152" s="627" t="s">
        <v>14</v>
      </c>
      <c r="H152" s="627"/>
      <c r="I152" s="627"/>
      <c r="J152" s="627"/>
      <c r="K152" s="66"/>
      <c r="L152" s="184"/>
      <c r="M152" s="184"/>
      <c r="N152" s="184"/>
      <c r="O152" s="184"/>
      <c r="P152" s="184"/>
      <c r="Q152" s="184"/>
      <c r="R152" s="188"/>
      <c r="S152" s="188"/>
    </row>
    <row r="153" spans="1:19" hidden="1" x14ac:dyDescent="0.2">
      <c r="A153" s="28" t="s">
        <v>9</v>
      </c>
      <c r="B153" s="338">
        <v>3.8</v>
      </c>
      <c r="C153" s="628" t="s">
        <v>43</v>
      </c>
      <c r="D153" s="629"/>
      <c r="E153" s="340">
        <v>3</v>
      </c>
      <c r="F153" s="29">
        <f>(E153-B153)/B153</f>
        <v>-0.21052631578947364</v>
      </c>
      <c r="G153" s="630"/>
      <c r="H153" s="631"/>
      <c r="I153" s="631"/>
      <c r="J153" s="632"/>
      <c r="K153" s="66"/>
      <c r="L153" s="184"/>
      <c r="M153" s="184"/>
      <c r="N153" s="184"/>
      <c r="O153" s="184"/>
      <c r="P153" s="184"/>
      <c r="Q153" s="184"/>
      <c r="R153" s="188"/>
      <c r="S153" s="188"/>
    </row>
    <row r="154" spans="1:19" hidden="1" x14ac:dyDescent="0.2">
      <c r="A154" s="28" t="s">
        <v>10</v>
      </c>
      <c r="B154" s="338">
        <v>4.8</v>
      </c>
      <c r="C154" s="649" t="s">
        <v>43</v>
      </c>
      <c r="D154" s="650"/>
      <c r="E154" s="340">
        <f>1.5</f>
        <v>1.5</v>
      </c>
      <c r="F154" s="29">
        <f>(E154-B154)/B154</f>
        <v>-0.6875</v>
      </c>
      <c r="G154" s="630"/>
      <c r="H154" s="631"/>
      <c r="I154" s="631"/>
      <c r="J154" s="632"/>
      <c r="K154" s="66"/>
      <c r="L154" s="184"/>
      <c r="M154" s="184"/>
      <c r="N154" s="184"/>
      <c r="O154" s="184"/>
      <c r="P154" s="184"/>
      <c r="Q154" s="184"/>
      <c r="R154" s="188"/>
      <c r="S154" s="188"/>
    </row>
    <row r="155" spans="1:19" hidden="1" x14ac:dyDescent="0.2">
      <c r="A155" s="28" t="s">
        <v>11</v>
      </c>
      <c r="B155" s="338">
        <v>0</v>
      </c>
      <c r="C155" s="628" t="s">
        <v>43</v>
      </c>
      <c r="D155" s="629"/>
      <c r="E155" s="340"/>
      <c r="F155" s="29">
        <v>0</v>
      </c>
      <c r="G155" s="630"/>
      <c r="H155" s="631"/>
      <c r="I155" s="631"/>
      <c r="J155" s="632"/>
      <c r="K155" s="66"/>
      <c r="L155" s="184"/>
      <c r="M155" s="184"/>
      <c r="N155" s="184"/>
      <c r="O155" s="184"/>
      <c r="P155" s="184"/>
      <c r="Q155" s="184"/>
      <c r="R155" s="188"/>
      <c r="S155" s="188"/>
    </row>
    <row r="156" spans="1:19" hidden="1" x14ac:dyDescent="0.2">
      <c r="A156" s="28" t="s">
        <v>12</v>
      </c>
      <c r="B156" s="338">
        <v>33.4</v>
      </c>
      <c r="C156" s="649" t="s">
        <v>44</v>
      </c>
      <c r="D156" s="650"/>
      <c r="E156" s="337">
        <f>7.75+4.75+6.75+5+4.5+5</f>
        <v>33.75</v>
      </c>
      <c r="F156" s="29">
        <f>(E156-B156)/B156</f>
        <v>1.0479041916167707E-2</v>
      </c>
      <c r="G156" s="630"/>
      <c r="H156" s="631"/>
      <c r="I156" s="631"/>
      <c r="J156" s="632"/>
      <c r="K156" s="66"/>
      <c r="L156" s="184"/>
      <c r="M156" s="184"/>
      <c r="N156" s="184"/>
      <c r="O156" s="184"/>
      <c r="P156" s="184"/>
      <c r="Q156" s="184"/>
      <c r="R156" s="188"/>
      <c r="S156" s="188"/>
    </row>
    <row r="157" spans="1:19" hidden="1" x14ac:dyDescent="0.2">
      <c r="A157" s="35" t="s">
        <v>15</v>
      </c>
      <c r="B157" s="340">
        <f>SUM(B153:B156)</f>
        <v>42</v>
      </c>
      <c r="C157" s="687"/>
      <c r="D157" s="688"/>
      <c r="E157" s="337">
        <f>SUM(E153:E156)</f>
        <v>38.25</v>
      </c>
      <c r="F157" s="29">
        <f>(E157-B157)/B157</f>
        <v>-8.9285714285714288E-2</v>
      </c>
      <c r="G157" s="630"/>
      <c r="H157" s="631"/>
      <c r="I157" s="631"/>
      <c r="J157" s="632"/>
      <c r="K157" s="66"/>
      <c r="L157" s="184"/>
      <c r="M157" s="184"/>
      <c r="N157" s="184"/>
      <c r="O157" s="184"/>
      <c r="P157" s="184"/>
      <c r="Q157" s="184"/>
      <c r="R157" s="188"/>
      <c r="S157" s="188"/>
    </row>
    <row r="158" spans="1:19" hidden="1" x14ac:dyDescent="0.2">
      <c r="C158" s="339"/>
      <c r="L158" s="184"/>
      <c r="M158" s="184"/>
      <c r="N158" s="184"/>
      <c r="O158" s="184"/>
      <c r="P158" s="184"/>
      <c r="Q158" s="184"/>
      <c r="R158" s="188"/>
      <c r="S158" s="188"/>
    </row>
    <row r="159" spans="1:19" ht="15" customHeight="1" x14ac:dyDescent="0.2">
      <c r="A159" s="680" t="s">
        <v>168</v>
      </c>
      <c r="B159" s="680"/>
      <c r="C159" s="681" t="s">
        <v>141</v>
      </c>
      <c r="D159" s="685" t="s">
        <v>113</v>
      </c>
      <c r="E159" s="50" t="s">
        <v>18</v>
      </c>
      <c r="F159" s="67">
        <v>7</v>
      </c>
      <c r="G159" s="45" t="s">
        <v>16</v>
      </c>
      <c r="H159" s="58">
        <f>B166</f>
        <v>65</v>
      </c>
      <c r="I159" s="45" t="s">
        <v>17</v>
      </c>
      <c r="J159" s="63">
        <f>B166-E166</f>
        <v>-33.5</v>
      </c>
      <c r="K159" s="71">
        <f>(E166-B166)/B166</f>
        <v>0.51538461538461533</v>
      </c>
      <c r="L159" s="356"/>
      <c r="M159" s="184"/>
      <c r="N159" s="184"/>
      <c r="O159" s="184"/>
      <c r="P159" s="184"/>
      <c r="Q159" s="184"/>
      <c r="R159" s="188"/>
      <c r="S159" s="188"/>
    </row>
    <row r="160" spans="1:19" hidden="1" x14ac:dyDescent="0.2">
      <c r="A160" s="680"/>
      <c r="B160" s="680"/>
      <c r="C160" s="682"/>
      <c r="D160" s="686"/>
      <c r="E160" s="47"/>
      <c r="F160" s="279"/>
      <c r="G160" s="49"/>
      <c r="H160" s="59"/>
      <c r="I160" s="48"/>
      <c r="J160" s="64"/>
      <c r="K160" s="66"/>
      <c r="L160" s="184"/>
      <c r="M160" s="184"/>
      <c r="N160" s="184"/>
      <c r="O160" s="184"/>
      <c r="P160" s="184"/>
      <c r="Q160" s="184"/>
      <c r="R160" s="188"/>
      <c r="S160" s="188"/>
    </row>
    <row r="161" spans="1:19" ht="22.5" hidden="1" x14ac:dyDescent="0.2">
      <c r="A161" s="34"/>
      <c r="B161" s="33" t="s">
        <v>7</v>
      </c>
      <c r="C161" s="33"/>
      <c r="D161" s="33"/>
      <c r="E161" s="27" t="s">
        <v>8</v>
      </c>
      <c r="F161" s="28"/>
      <c r="G161" s="627" t="s">
        <v>14</v>
      </c>
      <c r="H161" s="627"/>
      <c r="I161" s="627"/>
      <c r="J161" s="627"/>
      <c r="K161" s="66"/>
      <c r="L161" s="184"/>
      <c r="M161" s="184"/>
      <c r="N161" s="184"/>
      <c r="O161" s="184"/>
      <c r="P161" s="184"/>
      <c r="Q161" s="184"/>
      <c r="R161" s="188"/>
      <c r="S161" s="188"/>
    </row>
    <row r="162" spans="1:19" hidden="1" x14ac:dyDescent="0.2">
      <c r="A162" s="28" t="s">
        <v>9</v>
      </c>
      <c r="B162" s="351">
        <v>6.1</v>
      </c>
      <c r="C162" s="628" t="s">
        <v>43</v>
      </c>
      <c r="D162" s="629"/>
      <c r="E162" s="417">
        <f>3+2+0.75</f>
        <v>5.75</v>
      </c>
      <c r="F162" s="29">
        <f>(E162-B162)/B162</f>
        <v>-5.7377049180327815E-2</v>
      </c>
      <c r="G162" s="630"/>
      <c r="H162" s="631"/>
      <c r="I162" s="631"/>
      <c r="J162" s="632"/>
      <c r="K162" s="66"/>
      <c r="L162" s="184"/>
      <c r="M162" s="184"/>
      <c r="N162" s="184"/>
      <c r="O162" s="184"/>
      <c r="P162" s="184"/>
      <c r="Q162" s="184"/>
      <c r="R162" s="188"/>
      <c r="S162" s="188"/>
    </row>
    <row r="163" spans="1:19" hidden="1" x14ac:dyDescent="0.2">
      <c r="A163" s="28" t="s">
        <v>10</v>
      </c>
      <c r="B163" s="351">
        <v>7.1</v>
      </c>
      <c r="C163" s="649" t="s">
        <v>43</v>
      </c>
      <c r="D163" s="650"/>
      <c r="E163" s="417">
        <f>4+3+1</f>
        <v>8</v>
      </c>
      <c r="F163" s="29">
        <f>(E163-B163)/B163</f>
        <v>0.12676056338028174</v>
      </c>
      <c r="G163" s="630"/>
      <c r="H163" s="631"/>
      <c r="I163" s="631"/>
      <c r="J163" s="632"/>
      <c r="K163" s="66"/>
      <c r="L163" s="184"/>
      <c r="M163" s="184"/>
      <c r="N163" s="184"/>
      <c r="O163" s="184"/>
      <c r="P163" s="184"/>
      <c r="Q163" s="184"/>
      <c r="R163" s="188"/>
      <c r="S163" s="188"/>
    </row>
    <row r="164" spans="1:19" hidden="1" x14ac:dyDescent="0.2">
      <c r="A164" s="28" t="s">
        <v>11</v>
      </c>
      <c r="B164" s="351">
        <v>5.3</v>
      </c>
      <c r="C164" s="689" t="s">
        <v>43</v>
      </c>
      <c r="D164" s="690"/>
      <c r="E164" s="417">
        <v>5.75</v>
      </c>
      <c r="F164" s="29">
        <v>0</v>
      </c>
      <c r="G164" s="630"/>
      <c r="H164" s="631"/>
      <c r="I164" s="631"/>
      <c r="J164" s="632"/>
      <c r="K164" s="66"/>
      <c r="L164" s="184"/>
      <c r="M164" s="184"/>
      <c r="N164" s="184"/>
      <c r="O164" s="184"/>
      <c r="P164" s="184"/>
      <c r="Q164" s="184"/>
      <c r="R164" s="188"/>
      <c r="S164" s="188"/>
    </row>
    <row r="165" spans="1:19" hidden="1" x14ac:dyDescent="0.2">
      <c r="A165" s="28" t="s">
        <v>12</v>
      </c>
      <c r="B165" s="351">
        <v>46.5</v>
      </c>
      <c r="C165" s="689" t="s">
        <v>43</v>
      </c>
      <c r="D165" s="690"/>
      <c r="E165" s="415">
        <f>77.5+1.5</f>
        <v>79</v>
      </c>
      <c r="F165" s="29">
        <f>(E165-B165)/B165</f>
        <v>0.69892473118279574</v>
      </c>
      <c r="G165" s="630" t="s">
        <v>195</v>
      </c>
      <c r="H165" s="631"/>
      <c r="I165" s="631"/>
      <c r="J165" s="632"/>
      <c r="K165" s="66"/>
      <c r="L165" s="184"/>
      <c r="M165" s="184"/>
      <c r="N165" s="184"/>
      <c r="O165" s="184"/>
      <c r="P165" s="184"/>
      <c r="Q165" s="184"/>
      <c r="R165" s="188"/>
      <c r="S165" s="188"/>
    </row>
    <row r="166" spans="1:19" hidden="1" x14ac:dyDescent="0.2">
      <c r="A166" s="35" t="s">
        <v>15</v>
      </c>
      <c r="B166" s="417">
        <f>SUM(B162:B165)</f>
        <v>65</v>
      </c>
      <c r="C166" s="687"/>
      <c r="D166" s="688"/>
      <c r="E166" s="415">
        <f>SUM(E162:E165)</f>
        <v>98.5</v>
      </c>
      <c r="F166" s="29">
        <f>(E166-B166)/B166</f>
        <v>0.51538461538461533</v>
      </c>
      <c r="G166" s="630"/>
      <c r="H166" s="631"/>
      <c r="I166" s="631"/>
      <c r="J166" s="632"/>
      <c r="K166" s="66"/>
      <c r="L166" s="184"/>
      <c r="M166" s="184"/>
      <c r="N166" s="184"/>
      <c r="O166" s="184"/>
      <c r="P166" s="184"/>
      <c r="Q166" s="184"/>
      <c r="R166" s="188"/>
      <c r="S166" s="188"/>
    </row>
    <row r="167" spans="1:19" x14ac:dyDescent="0.2">
      <c r="C167" s="416"/>
      <c r="L167" s="184"/>
      <c r="M167" s="184"/>
      <c r="N167" s="184"/>
      <c r="O167" s="184"/>
      <c r="P167" s="184"/>
      <c r="Q167" s="184"/>
      <c r="R167" s="188"/>
      <c r="S167" s="188"/>
    </row>
    <row r="168" spans="1:19" ht="15" hidden="1" x14ac:dyDescent="0.2">
      <c r="A168" s="656" t="s">
        <v>35</v>
      </c>
      <c r="B168" s="656"/>
      <c r="C168" s="657" t="s">
        <v>141</v>
      </c>
      <c r="D168" s="239" t="s">
        <v>113</v>
      </c>
      <c r="E168" s="50" t="s">
        <v>18</v>
      </c>
      <c r="F168" s="67">
        <v>7</v>
      </c>
      <c r="G168" s="45" t="s">
        <v>16</v>
      </c>
      <c r="H168" s="58">
        <f>B175</f>
        <v>7.5</v>
      </c>
      <c r="I168" s="45" t="s">
        <v>17</v>
      </c>
      <c r="J168" s="63">
        <f>B175-E175</f>
        <v>-1</v>
      </c>
      <c r="K168" s="71">
        <f>(E175-B175)/B175</f>
        <v>0.13333333333333333</v>
      </c>
      <c r="L168" s="356"/>
      <c r="M168" s="184"/>
      <c r="N168" s="184"/>
      <c r="O168" s="184"/>
      <c r="P168" s="184"/>
      <c r="Q168" s="184"/>
      <c r="R168" s="188"/>
      <c r="S168" s="188"/>
    </row>
    <row r="169" spans="1:19" hidden="1" x14ac:dyDescent="0.2">
      <c r="A169" s="656"/>
      <c r="B169" s="656"/>
      <c r="C169" s="658"/>
      <c r="D169" s="236"/>
      <c r="E169" s="47"/>
      <c r="F169" s="279"/>
      <c r="G169" s="49"/>
      <c r="H169" s="59"/>
      <c r="I169" s="48"/>
      <c r="J169" s="64"/>
      <c r="K169" s="66"/>
      <c r="L169" s="184"/>
      <c r="M169" s="184"/>
      <c r="N169" s="184"/>
      <c r="O169" s="184"/>
      <c r="P169" s="184"/>
      <c r="Q169" s="184"/>
      <c r="R169" s="188"/>
      <c r="S169" s="188"/>
    </row>
    <row r="170" spans="1:19" ht="22.5" hidden="1" x14ac:dyDescent="0.2">
      <c r="A170" s="34"/>
      <c r="B170" s="33" t="s">
        <v>7</v>
      </c>
      <c r="C170" s="33"/>
      <c r="D170" s="33"/>
      <c r="E170" s="27" t="s">
        <v>8</v>
      </c>
      <c r="F170" s="28"/>
      <c r="G170" s="627" t="s">
        <v>14</v>
      </c>
      <c r="H170" s="627"/>
      <c r="I170" s="627"/>
      <c r="J170" s="627"/>
      <c r="K170" s="66"/>
      <c r="L170" s="184"/>
      <c r="M170" s="184"/>
      <c r="N170" s="184"/>
      <c r="O170" s="184"/>
      <c r="P170" s="184"/>
      <c r="Q170" s="184"/>
      <c r="R170" s="188"/>
      <c r="S170" s="188"/>
    </row>
    <row r="171" spans="1:19" hidden="1" x14ac:dyDescent="0.2">
      <c r="A171" s="28" t="s">
        <v>9</v>
      </c>
      <c r="B171" s="31">
        <v>0.75</v>
      </c>
      <c r="C171" s="628" t="s">
        <v>43</v>
      </c>
      <c r="D171" s="629"/>
      <c r="E171" s="145">
        <v>1.25</v>
      </c>
      <c r="F171" s="29">
        <f>(E171-B171)/B171</f>
        <v>0.66666666666666663</v>
      </c>
      <c r="G171" s="630" t="s">
        <v>50</v>
      </c>
      <c r="H171" s="631"/>
      <c r="I171" s="631"/>
      <c r="J171" s="632"/>
      <c r="K171" s="66"/>
      <c r="L171" s="184"/>
      <c r="M171" s="184"/>
      <c r="N171" s="184"/>
      <c r="O171" s="184"/>
      <c r="P171" s="184"/>
      <c r="Q171" s="184"/>
      <c r="R171" s="188"/>
      <c r="S171" s="188"/>
    </row>
    <row r="172" spans="1:19" hidden="1" x14ac:dyDescent="0.2">
      <c r="A172" s="28" t="s">
        <v>10</v>
      </c>
      <c r="B172" s="31">
        <v>0.75</v>
      </c>
      <c r="C172" s="628" t="s">
        <v>43</v>
      </c>
      <c r="D172" s="629"/>
      <c r="E172" s="145">
        <v>0.75</v>
      </c>
      <c r="F172" s="29">
        <f>(E172-B172)/B172</f>
        <v>0</v>
      </c>
      <c r="G172" s="630"/>
      <c r="H172" s="631"/>
      <c r="I172" s="631"/>
      <c r="J172" s="632"/>
      <c r="K172" s="66"/>
      <c r="L172" s="184"/>
      <c r="M172" s="184"/>
      <c r="N172" s="184"/>
      <c r="O172" s="184"/>
      <c r="P172" s="184"/>
      <c r="Q172" s="184"/>
      <c r="R172" s="188"/>
      <c r="S172" s="188"/>
    </row>
    <row r="173" spans="1:19" hidden="1" x14ac:dyDescent="0.2">
      <c r="A173" s="28" t="s">
        <v>11</v>
      </c>
      <c r="B173" s="31">
        <v>0</v>
      </c>
      <c r="C173" s="628" t="s">
        <v>43</v>
      </c>
      <c r="D173" s="629"/>
      <c r="E173" s="145">
        <v>0</v>
      </c>
      <c r="F173" s="29">
        <v>0</v>
      </c>
      <c r="G173" s="630"/>
      <c r="H173" s="631"/>
      <c r="I173" s="631"/>
      <c r="J173" s="632"/>
      <c r="K173" s="66"/>
      <c r="L173" s="184"/>
      <c r="M173" s="184"/>
      <c r="N173" s="184"/>
      <c r="O173" s="184"/>
      <c r="P173" s="184"/>
      <c r="Q173" s="184"/>
      <c r="R173" s="188"/>
      <c r="S173" s="188"/>
    </row>
    <row r="174" spans="1:19" hidden="1" x14ac:dyDescent="0.2">
      <c r="A174" s="28" t="s">
        <v>12</v>
      </c>
      <c r="B174" s="31">
        <v>6</v>
      </c>
      <c r="C174" s="628" t="s">
        <v>43</v>
      </c>
      <c r="D174" s="629"/>
      <c r="E174" s="144">
        <f>1+5.5</f>
        <v>6.5</v>
      </c>
      <c r="F174" s="29">
        <f>(E174-B174)/B174</f>
        <v>8.3333333333333329E-2</v>
      </c>
      <c r="G174" s="630" t="s">
        <v>160</v>
      </c>
      <c r="H174" s="631"/>
      <c r="I174" s="631"/>
      <c r="J174" s="632"/>
      <c r="K174" s="66"/>
      <c r="L174" s="184"/>
      <c r="M174" s="184"/>
      <c r="N174" s="184"/>
      <c r="O174" s="184"/>
      <c r="P174" s="184"/>
      <c r="Q174" s="184"/>
      <c r="R174" s="188"/>
      <c r="S174" s="188"/>
    </row>
    <row r="175" spans="1:19" hidden="1" x14ac:dyDescent="0.2">
      <c r="A175" s="35" t="s">
        <v>15</v>
      </c>
      <c r="B175" s="145">
        <f>SUM(B171:B174)</f>
        <v>7.5</v>
      </c>
      <c r="C175" s="326"/>
      <c r="D175" s="266"/>
      <c r="E175" s="144">
        <f>SUM(E171:E174)</f>
        <v>8.5</v>
      </c>
      <c r="F175" s="29">
        <f>(E175-B175)/B175</f>
        <v>0.13333333333333333</v>
      </c>
      <c r="G175" s="630"/>
      <c r="H175" s="631"/>
      <c r="I175" s="631"/>
      <c r="J175" s="632"/>
      <c r="K175" s="66"/>
      <c r="L175" s="184"/>
      <c r="M175" s="184"/>
      <c r="N175" s="184"/>
      <c r="O175" s="184"/>
      <c r="P175" s="184"/>
      <c r="Q175" s="184"/>
      <c r="R175" s="188"/>
      <c r="S175" s="188"/>
    </row>
    <row r="176" spans="1:19" hidden="1" x14ac:dyDescent="0.2">
      <c r="A176" s="39"/>
      <c r="B176" s="36"/>
      <c r="C176" s="84"/>
      <c r="D176" s="36"/>
      <c r="E176" s="36"/>
      <c r="F176" s="40"/>
      <c r="G176" s="36"/>
      <c r="H176" s="36"/>
      <c r="I176" s="36"/>
      <c r="J176" s="36"/>
      <c r="K176" s="66"/>
      <c r="L176" s="184"/>
      <c r="M176" s="184"/>
      <c r="N176" s="184"/>
      <c r="O176" s="184"/>
      <c r="P176" s="184"/>
      <c r="Q176" s="184"/>
      <c r="R176" s="188"/>
      <c r="S176" s="188"/>
    </row>
    <row r="177" spans="1:19" ht="15" customHeight="1" x14ac:dyDescent="0.2">
      <c r="A177" s="680" t="s">
        <v>38</v>
      </c>
      <c r="B177" s="680"/>
      <c r="C177" s="681" t="s">
        <v>141</v>
      </c>
      <c r="D177" s="685" t="s">
        <v>113</v>
      </c>
      <c r="E177" s="50" t="s">
        <v>18</v>
      </c>
      <c r="F177" s="67">
        <v>23</v>
      </c>
      <c r="G177" s="45" t="s">
        <v>16</v>
      </c>
      <c r="H177" s="58">
        <f>B184</f>
        <v>124</v>
      </c>
      <c r="I177" s="45" t="s">
        <v>17</v>
      </c>
      <c r="J177" s="63">
        <f>B184-E184</f>
        <v>17.5</v>
      </c>
      <c r="K177" s="71">
        <f>(E184-B184)/B184</f>
        <v>-0.14112903225806453</v>
      </c>
      <c r="L177" s="356" t="s">
        <v>86</v>
      </c>
      <c r="M177" s="184" t="s">
        <v>65</v>
      </c>
      <c r="N177" s="184" t="s">
        <v>79</v>
      </c>
      <c r="O177" s="184"/>
      <c r="P177" s="184" t="s">
        <v>97</v>
      </c>
      <c r="Q177" s="184" t="s">
        <v>71</v>
      </c>
      <c r="R177" s="184"/>
      <c r="S177" s="184"/>
    </row>
    <row r="178" spans="1:19" hidden="1" x14ac:dyDescent="0.2">
      <c r="A178" s="680"/>
      <c r="B178" s="680"/>
      <c r="C178" s="682"/>
      <c r="D178" s="686"/>
      <c r="E178" s="47"/>
      <c r="F178" s="279"/>
      <c r="G178" s="49"/>
      <c r="H178" s="59"/>
      <c r="I178" s="48"/>
      <c r="J178" s="64"/>
      <c r="K178" s="66"/>
      <c r="L178" s="184"/>
      <c r="M178" s="184"/>
      <c r="N178" s="184"/>
      <c r="O178" s="184"/>
      <c r="P178" s="184"/>
      <c r="Q178" s="184"/>
      <c r="R178" s="188"/>
      <c r="S178" s="188"/>
    </row>
    <row r="179" spans="1:19" ht="22.5" hidden="1" x14ac:dyDescent="0.2">
      <c r="A179" s="34"/>
      <c r="B179" s="33" t="s">
        <v>7</v>
      </c>
      <c r="C179" s="33"/>
      <c r="D179" s="33"/>
      <c r="E179" s="27" t="s">
        <v>8</v>
      </c>
      <c r="F179" s="28"/>
      <c r="G179" s="627" t="s">
        <v>14</v>
      </c>
      <c r="H179" s="627"/>
      <c r="I179" s="627"/>
      <c r="J179" s="627"/>
      <c r="K179" s="66"/>
      <c r="L179" s="184"/>
      <c r="M179" s="184"/>
      <c r="N179" s="184"/>
      <c r="O179" s="184"/>
      <c r="P179" s="184"/>
      <c r="Q179" s="184"/>
      <c r="R179" s="188"/>
      <c r="S179" s="188"/>
    </row>
    <row r="180" spans="1:19" hidden="1" x14ac:dyDescent="0.2">
      <c r="A180" s="28" t="s">
        <v>9</v>
      </c>
      <c r="B180" s="31">
        <v>12.4</v>
      </c>
      <c r="C180" s="628" t="s">
        <v>43</v>
      </c>
      <c r="D180" s="629"/>
      <c r="E180" s="151">
        <f>2.5+4</f>
        <v>6.5</v>
      </c>
      <c r="F180" s="29">
        <f>(E180-B180)/B180</f>
        <v>-0.47580645161290325</v>
      </c>
      <c r="G180" s="630"/>
      <c r="H180" s="631"/>
      <c r="I180" s="631"/>
      <c r="J180" s="632"/>
      <c r="K180" s="66"/>
      <c r="L180" s="184"/>
      <c r="M180" s="184"/>
      <c r="N180" s="184"/>
      <c r="O180" s="184"/>
      <c r="P180" s="184"/>
      <c r="Q180" s="184"/>
      <c r="R180" s="188"/>
      <c r="S180" s="188"/>
    </row>
    <row r="181" spans="1:19" hidden="1" x14ac:dyDescent="0.2">
      <c r="A181" s="28" t="s">
        <v>10</v>
      </c>
      <c r="B181" s="31">
        <v>12.4</v>
      </c>
      <c r="C181" s="628" t="s">
        <v>43</v>
      </c>
      <c r="D181" s="629"/>
      <c r="E181" s="151">
        <f>8.25</f>
        <v>8.25</v>
      </c>
      <c r="F181" s="29">
        <f>(E181-B181)/B181</f>
        <v>-0.33467741935483875</v>
      </c>
      <c r="G181" s="630"/>
      <c r="H181" s="631"/>
      <c r="I181" s="631"/>
      <c r="J181" s="632"/>
      <c r="K181" s="66"/>
      <c r="L181" s="184"/>
      <c r="M181" s="184"/>
      <c r="N181" s="184"/>
      <c r="O181" s="184"/>
      <c r="P181" s="184"/>
      <c r="Q181" s="184"/>
      <c r="R181" s="188"/>
      <c r="S181" s="188"/>
    </row>
    <row r="182" spans="1:19" hidden="1" x14ac:dyDescent="0.2">
      <c r="A182" s="28" t="s">
        <v>11</v>
      </c>
      <c r="B182" s="31">
        <v>0</v>
      </c>
      <c r="C182" s="628" t="s">
        <v>43</v>
      </c>
      <c r="D182" s="629"/>
      <c r="E182" s="151">
        <v>0</v>
      </c>
      <c r="F182" s="29">
        <v>0</v>
      </c>
      <c r="G182" s="630"/>
      <c r="H182" s="631"/>
      <c r="I182" s="631"/>
      <c r="J182" s="632"/>
      <c r="K182" s="66"/>
      <c r="L182" s="184"/>
      <c r="M182" s="184"/>
      <c r="N182" s="184"/>
      <c r="O182" s="184"/>
      <c r="P182" s="184"/>
      <c r="Q182" s="184"/>
      <c r="R182" s="188"/>
      <c r="S182" s="188"/>
    </row>
    <row r="183" spans="1:19" hidden="1" x14ac:dyDescent="0.2">
      <c r="A183" s="28" t="s">
        <v>12</v>
      </c>
      <c r="B183" s="31">
        <v>99.2</v>
      </c>
      <c r="C183" s="628" t="s">
        <v>43</v>
      </c>
      <c r="D183" s="629"/>
      <c r="E183" s="150">
        <f>3.25+1.25+8.25+8.25+4.75+1+8.25+4.5+2.5+6+8.75+7.25+7.25+5+8.25+7.25</f>
        <v>91.75</v>
      </c>
      <c r="F183" s="29">
        <f>(E183-B183)/B183</f>
        <v>-7.5100806451612934E-2</v>
      </c>
      <c r="G183" s="630"/>
      <c r="H183" s="631"/>
      <c r="I183" s="631"/>
      <c r="J183" s="632"/>
      <c r="K183" s="66"/>
      <c r="L183" s="184"/>
      <c r="M183" s="184"/>
      <c r="N183" s="184"/>
      <c r="O183" s="184"/>
      <c r="P183" s="184"/>
      <c r="Q183" s="184"/>
      <c r="R183" s="188"/>
      <c r="S183" s="188"/>
    </row>
    <row r="184" spans="1:19" hidden="1" x14ac:dyDescent="0.2">
      <c r="A184" s="35" t="s">
        <v>15</v>
      </c>
      <c r="B184" s="151">
        <f>SUM(B180:B183)</f>
        <v>124</v>
      </c>
      <c r="C184" s="326"/>
      <c r="D184" s="266"/>
      <c r="E184" s="150">
        <f>SUM(E180:E183)</f>
        <v>106.5</v>
      </c>
      <c r="F184" s="29">
        <f>(E184-B184)/B184</f>
        <v>-0.14112903225806453</v>
      </c>
      <c r="G184" s="630"/>
      <c r="H184" s="631"/>
      <c r="I184" s="631"/>
      <c r="J184" s="632"/>
      <c r="K184" s="66"/>
      <c r="L184" s="184"/>
      <c r="M184" s="184"/>
      <c r="N184" s="184"/>
      <c r="O184" s="184"/>
      <c r="P184" s="184"/>
      <c r="Q184" s="184"/>
      <c r="R184" s="188"/>
      <c r="S184" s="188"/>
    </row>
    <row r="185" spans="1:19" x14ac:dyDescent="0.2">
      <c r="A185" s="39"/>
      <c r="B185" s="36"/>
      <c r="C185" s="84"/>
      <c r="D185" s="36"/>
      <c r="E185" s="36"/>
      <c r="F185" s="40"/>
      <c r="G185" s="36"/>
      <c r="H185" s="36"/>
      <c r="I185" s="36"/>
      <c r="J185" s="36"/>
      <c r="K185" s="66"/>
      <c r="L185" s="184"/>
      <c r="M185" s="184"/>
      <c r="N185" s="184"/>
      <c r="O185" s="184"/>
      <c r="P185" s="184"/>
      <c r="Q185" s="184"/>
      <c r="R185" s="188"/>
      <c r="S185" s="188"/>
    </row>
    <row r="186" spans="1:19" ht="15" x14ac:dyDescent="0.2">
      <c r="A186" s="656" t="s">
        <v>37</v>
      </c>
      <c r="B186" s="656"/>
      <c r="C186" s="657" t="s">
        <v>141</v>
      </c>
      <c r="D186" s="239" t="s">
        <v>113</v>
      </c>
      <c r="E186" s="50" t="s">
        <v>18</v>
      </c>
      <c r="F186" s="67">
        <v>21</v>
      </c>
      <c r="G186" s="45" t="s">
        <v>16</v>
      </c>
      <c r="H186" s="58">
        <f>B193</f>
        <v>143</v>
      </c>
      <c r="I186" s="45" t="s">
        <v>17</v>
      </c>
      <c r="J186" s="63">
        <f>B193-E193</f>
        <v>-33.75</v>
      </c>
      <c r="K186" s="71">
        <f>(E193-B193)/B193</f>
        <v>0.23601398601398602</v>
      </c>
      <c r="L186" s="356" t="s">
        <v>86</v>
      </c>
      <c r="M186" s="184" t="s">
        <v>65</v>
      </c>
      <c r="N186" s="184" t="s">
        <v>79</v>
      </c>
      <c r="O186" s="184"/>
      <c r="P186" s="184" t="s">
        <v>78</v>
      </c>
      <c r="Q186" s="184" t="s">
        <v>71</v>
      </c>
      <c r="R186" s="188"/>
      <c r="S186" s="188"/>
    </row>
    <row r="187" spans="1:19" hidden="1" x14ac:dyDescent="0.2">
      <c r="A187" s="656"/>
      <c r="B187" s="656"/>
      <c r="C187" s="658"/>
      <c r="D187" s="236"/>
      <c r="E187" s="47"/>
      <c r="F187" s="279"/>
      <c r="G187" s="49"/>
      <c r="H187" s="59"/>
      <c r="I187" s="48"/>
      <c r="J187" s="64"/>
      <c r="K187" s="66"/>
      <c r="L187" s="184"/>
      <c r="M187" s="184"/>
      <c r="N187" s="184"/>
      <c r="O187" s="184"/>
      <c r="P187" s="184"/>
      <c r="Q187" s="184"/>
      <c r="R187" s="188"/>
      <c r="S187" s="188"/>
    </row>
    <row r="188" spans="1:19" ht="22.5" hidden="1" x14ac:dyDescent="0.2">
      <c r="A188" s="34"/>
      <c r="B188" s="33" t="s">
        <v>7</v>
      </c>
      <c r="C188" s="33"/>
      <c r="D188" s="33"/>
      <c r="E188" s="27" t="s">
        <v>8</v>
      </c>
      <c r="F188" s="28"/>
      <c r="G188" s="627" t="s">
        <v>14</v>
      </c>
      <c r="H188" s="627"/>
      <c r="I188" s="627"/>
      <c r="J188" s="627"/>
      <c r="K188" s="66"/>
      <c r="L188" s="184"/>
      <c r="M188" s="184"/>
      <c r="N188" s="184"/>
      <c r="O188" s="184"/>
      <c r="P188" s="184"/>
      <c r="Q188" s="184"/>
      <c r="R188" s="188"/>
      <c r="S188" s="188"/>
    </row>
    <row r="189" spans="1:19" hidden="1" x14ac:dyDescent="0.2">
      <c r="A189" s="28" t="s">
        <v>9</v>
      </c>
      <c r="B189" s="31">
        <v>14.3</v>
      </c>
      <c r="C189" s="628" t="s">
        <v>43</v>
      </c>
      <c r="D189" s="629"/>
      <c r="E189" s="151">
        <f>2.75+4.5</f>
        <v>7.25</v>
      </c>
      <c r="F189" s="29">
        <f>(E189-B189)/B189</f>
        <v>-0.49300699300699302</v>
      </c>
      <c r="G189" s="630"/>
      <c r="H189" s="631"/>
      <c r="I189" s="631"/>
      <c r="J189" s="632"/>
      <c r="K189" s="66"/>
      <c r="L189" s="184"/>
      <c r="M189" s="184"/>
      <c r="N189" s="184"/>
      <c r="O189" s="184"/>
      <c r="P189" s="184"/>
      <c r="Q189" s="184"/>
      <c r="R189" s="188"/>
      <c r="S189" s="188"/>
    </row>
    <row r="190" spans="1:19" hidden="1" x14ac:dyDescent="0.2">
      <c r="A190" s="28" t="s">
        <v>10</v>
      </c>
      <c r="B190" s="31">
        <v>14.3</v>
      </c>
      <c r="C190" s="628" t="s">
        <v>43</v>
      </c>
      <c r="D190" s="629"/>
      <c r="E190" s="151">
        <v>8.25</v>
      </c>
      <c r="F190" s="29">
        <f>(E190-B190)/B190</f>
        <v>-0.42307692307692313</v>
      </c>
      <c r="G190" s="630"/>
      <c r="H190" s="631"/>
      <c r="I190" s="631"/>
      <c r="J190" s="632"/>
      <c r="K190" s="66"/>
      <c r="L190" s="184"/>
      <c r="M190" s="184"/>
      <c r="N190" s="184"/>
      <c r="O190" s="184"/>
      <c r="P190" s="184"/>
      <c r="Q190" s="184"/>
      <c r="R190" s="188"/>
      <c r="S190" s="188"/>
    </row>
    <row r="191" spans="1:19" hidden="1" x14ac:dyDescent="0.2">
      <c r="A191" s="28" t="s">
        <v>11</v>
      </c>
      <c r="B191" s="31">
        <v>0</v>
      </c>
      <c r="C191" s="628" t="s">
        <v>43</v>
      </c>
      <c r="D191" s="629"/>
      <c r="E191" s="151">
        <f>1.75</f>
        <v>1.75</v>
      </c>
      <c r="F191" s="29">
        <v>0</v>
      </c>
      <c r="G191" s="630"/>
      <c r="H191" s="631"/>
      <c r="I191" s="631"/>
      <c r="J191" s="632"/>
      <c r="K191" s="66"/>
      <c r="L191" s="184"/>
      <c r="M191" s="184"/>
      <c r="N191" s="184"/>
      <c r="O191" s="184"/>
      <c r="P191" s="184"/>
      <c r="Q191" s="184"/>
      <c r="R191" s="188"/>
      <c r="S191" s="188"/>
    </row>
    <row r="192" spans="1:19" hidden="1" x14ac:dyDescent="0.2">
      <c r="A192" s="28" t="s">
        <v>12</v>
      </c>
      <c r="B192" s="31">
        <v>114.4</v>
      </c>
      <c r="C192" s="628" t="s">
        <v>43</v>
      </c>
      <c r="D192" s="629"/>
      <c r="E192" s="150">
        <f>5+5+8.25+2.75+8.25+4.5+4+8.25+6+4.5+8.25+8.75+6+8.75+8.25+8.25+5+8.75+8.25+8.75+8.25+8.25+2.5+2.5+2.5</f>
        <v>159.5</v>
      </c>
      <c r="F192" s="29">
        <f>(E192-B192)/B192</f>
        <v>0.39423076923076916</v>
      </c>
      <c r="G192" s="630" t="s">
        <v>153</v>
      </c>
      <c r="H192" s="631"/>
      <c r="I192" s="631"/>
      <c r="J192" s="632"/>
      <c r="K192" s="66"/>
      <c r="L192" s="184"/>
      <c r="M192" s="184"/>
      <c r="N192" s="184"/>
      <c r="O192" s="184"/>
      <c r="P192" s="184"/>
      <c r="Q192" s="184"/>
      <c r="R192" s="188"/>
      <c r="S192" s="188"/>
    </row>
    <row r="193" spans="1:19" hidden="1" x14ac:dyDescent="0.2">
      <c r="A193" s="35" t="s">
        <v>15</v>
      </c>
      <c r="B193" s="151">
        <f>SUM(B189:B192)</f>
        <v>143</v>
      </c>
      <c r="C193" s="326"/>
      <c r="D193" s="266"/>
      <c r="E193" s="150">
        <f>SUM(E189:E192)</f>
        <v>176.75</v>
      </c>
      <c r="F193" s="29">
        <f>(E193-B193)/B193</f>
        <v>0.23601398601398602</v>
      </c>
      <c r="G193" s="630"/>
      <c r="H193" s="631"/>
      <c r="I193" s="631"/>
      <c r="J193" s="632"/>
      <c r="K193" s="66"/>
      <c r="L193" s="184"/>
      <c r="M193" s="184"/>
      <c r="N193" s="184"/>
      <c r="O193" s="184"/>
      <c r="P193" s="184"/>
      <c r="Q193" s="184"/>
      <c r="R193" s="188"/>
      <c r="S193" s="188"/>
    </row>
    <row r="194" spans="1:19" x14ac:dyDescent="0.2">
      <c r="A194" s="39"/>
      <c r="B194" s="36"/>
      <c r="C194" s="84"/>
      <c r="D194" s="36"/>
      <c r="E194" s="36"/>
      <c r="F194" s="40"/>
      <c r="G194" s="36"/>
      <c r="H194" s="36"/>
      <c r="I194" s="36"/>
      <c r="J194" s="36"/>
      <c r="K194" s="66"/>
      <c r="L194" s="184"/>
      <c r="M194" s="184"/>
      <c r="N194" s="184"/>
      <c r="O194" s="184"/>
      <c r="P194" s="184"/>
      <c r="Q194" s="184"/>
      <c r="R194" s="188"/>
      <c r="S194" s="188"/>
    </row>
    <row r="195" spans="1:19" ht="15" hidden="1" x14ac:dyDescent="0.2">
      <c r="A195" s="680" t="s">
        <v>39</v>
      </c>
      <c r="B195" s="680"/>
      <c r="C195" s="681" t="s">
        <v>141</v>
      </c>
      <c r="D195" s="242" t="s">
        <v>113</v>
      </c>
      <c r="E195" s="50" t="s">
        <v>18</v>
      </c>
      <c r="F195" s="67">
        <v>23</v>
      </c>
      <c r="G195" s="45" t="s">
        <v>16</v>
      </c>
      <c r="H195" s="58">
        <f>B202</f>
        <v>108</v>
      </c>
      <c r="I195" s="45" t="s">
        <v>17</v>
      </c>
      <c r="J195" s="63">
        <f>B202-E202</f>
        <v>-15.75</v>
      </c>
      <c r="K195" s="71">
        <f>(E202-B202)/B202</f>
        <v>0.14583333333333334</v>
      </c>
      <c r="L195" s="356" t="s">
        <v>86</v>
      </c>
      <c r="M195" s="184" t="s">
        <v>65</v>
      </c>
      <c r="N195" s="184" t="s">
        <v>79</v>
      </c>
      <c r="O195" s="184"/>
      <c r="P195" s="184" t="s">
        <v>96</v>
      </c>
      <c r="Q195" s="184"/>
      <c r="R195" s="188"/>
      <c r="S195" s="188"/>
    </row>
    <row r="196" spans="1:19" hidden="1" x14ac:dyDescent="0.2">
      <c r="A196" s="680"/>
      <c r="B196" s="680"/>
      <c r="C196" s="682"/>
      <c r="D196" s="158"/>
      <c r="E196" s="47"/>
      <c r="F196" s="279"/>
      <c r="G196" s="49"/>
      <c r="H196" s="59"/>
      <c r="I196" s="48"/>
      <c r="J196" s="64"/>
      <c r="K196" s="66"/>
      <c r="L196" s="184"/>
      <c r="M196" s="184"/>
      <c r="N196" s="184"/>
      <c r="O196" s="184"/>
      <c r="P196" s="184"/>
      <c r="Q196" s="184"/>
      <c r="R196" s="188"/>
      <c r="S196" s="188"/>
    </row>
    <row r="197" spans="1:19" ht="22.5" hidden="1" x14ac:dyDescent="0.2">
      <c r="A197" s="34"/>
      <c r="B197" s="33" t="s">
        <v>7</v>
      </c>
      <c r="C197" s="33"/>
      <c r="D197" s="33"/>
      <c r="E197" s="27" t="s">
        <v>8</v>
      </c>
      <c r="F197" s="28"/>
      <c r="G197" s="627" t="s">
        <v>14</v>
      </c>
      <c r="H197" s="627"/>
      <c r="I197" s="627"/>
      <c r="J197" s="627"/>
      <c r="K197" s="66"/>
      <c r="L197" s="184"/>
      <c r="M197" s="184"/>
      <c r="N197" s="184"/>
      <c r="O197" s="184"/>
      <c r="P197" s="184"/>
      <c r="Q197" s="184"/>
      <c r="R197" s="188"/>
      <c r="S197" s="188"/>
    </row>
    <row r="198" spans="1:19" hidden="1" x14ac:dyDescent="0.2">
      <c r="A198" s="28" t="s">
        <v>9</v>
      </c>
      <c r="B198" s="31">
        <v>10.8</v>
      </c>
      <c r="C198" s="628" t="s">
        <v>43</v>
      </c>
      <c r="D198" s="629"/>
      <c r="E198" s="155">
        <f>5.25+2</f>
        <v>7.25</v>
      </c>
      <c r="F198" s="29">
        <f>(E198-B198)/B198</f>
        <v>-0.32870370370370372</v>
      </c>
      <c r="G198" s="630"/>
      <c r="H198" s="631"/>
      <c r="I198" s="631"/>
      <c r="J198" s="632"/>
      <c r="K198" s="66"/>
      <c r="L198" s="184"/>
      <c r="M198" s="184"/>
      <c r="N198" s="184"/>
      <c r="O198" s="184"/>
      <c r="P198" s="184"/>
      <c r="Q198" s="184"/>
      <c r="R198" s="188"/>
      <c r="S198" s="188"/>
    </row>
    <row r="199" spans="1:19" hidden="1" x14ac:dyDescent="0.2">
      <c r="A199" s="28" t="s">
        <v>10</v>
      </c>
      <c r="B199" s="31">
        <v>10.8</v>
      </c>
      <c r="C199" s="628" t="s">
        <v>43</v>
      </c>
      <c r="D199" s="629"/>
      <c r="E199" s="155">
        <v>6.25</v>
      </c>
      <c r="F199" s="29">
        <f>(E199-B199)/B199</f>
        <v>-0.42129629629629634</v>
      </c>
      <c r="G199" s="630"/>
      <c r="H199" s="631"/>
      <c r="I199" s="631"/>
      <c r="J199" s="632"/>
      <c r="K199" s="66"/>
      <c r="L199" s="184"/>
      <c r="M199" s="184"/>
      <c r="N199" s="184"/>
      <c r="O199" s="184"/>
      <c r="P199" s="184"/>
      <c r="Q199" s="184"/>
      <c r="R199" s="188"/>
      <c r="S199" s="188"/>
    </row>
    <row r="200" spans="1:19" hidden="1" x14ac:dyDescent="0.2">
      <c r="A200" s="28" t="s">
        <v>11</v>
      </c>
      <c r="B200" s="31">
        <v>0</v>
      </c>
      <c r="C200" s="628" t="s">
        <v>43</v>
      </c>
      <c r="D200" s="629"/>
      <c r="E200" s="155">
        <f>2.75+8.25+8.25+6.25+6.25</f>
        <v>31.75</v>
      </c>
      <c r="F200" s="29">
        <v>0</v>
      </c>
      <c r="G200" s="630"/>
      <c r="H200" s="631"/>
      <c r="I200" s="631"/>
      <c r="J200" s="632"/>
      <c r="K200" s="66"/>
      <c r="L200" s="184"/>
      <c r="M200" s="184"/>
      <c r="N200" s="184"/>
      <c r="O200" s="184"/>
      <c r="P200" s="184"/>
      <c r="Q200" s="184"/>
      <c r="R200" s="188"/>
      <c r="S200" s="188"/>
    </row>
    <row r="201" spans="1:19" hidden="1" x14ac:dyDescent="0.2">
      <c r="A201" s="28" t="s">
        <v>12</v>
      </c>
      <c r="B201" s="31">
        <v>86.4</v>
      </c>
      <c r="C201" s="628" t="s">
        <v>43</v>
      </c>
      <c r="D201" s="629"/>
      <c r="E201" s="154">
        <f>7.25+4.25+8.25+8.25+7.25+1+8.25+4+5+3.5+5+8.25+8.25</f>
        <v>78.5</v>
      </c>
      <c r="F201" s="29">
        <f>(E201-B201)/B201</f>
        <v>-9.1435185185185244E-2</v>
      </c>
      <c r="G201" s="630" t="s">
        <v>108</v>
      </c>
      <c r="H201" s="631"/>
      <c r="I201" s="631"/>
      <c r="J201" s="632"/>
      <c r="K201" s="66"/>
      <c r="L201" s="184"/>
      <c r="M201" s="184"/>
      <c r="N201" s="184"/>
      <c r="O201" s="184"/>
      <c r="P201" s="184"/>
      <c r="Q201" s="184"/>
      <c r="R201" s="188"/>
      <c r="S201" s="188"/>
    </row>
    <row r="202" spans="1:19" hidden="1" x14ac:dyDescent="0.2">
      <c r="A202" s="35" t="s">
        <v>15</v>
      </c>
      <c r="B202" s="155">
        <f>SUM(B198:B201)</f>
        <v>108</v>
      </c>
      <c r="C202" s="326"/>
      <c r="D202" s="266"/>
      <c r="E202" s="154">
        <f>SUM(E198:E201)</f>
        <v>123.75</v>
      </c>
      <c r="F202" s="29">
        <f>(E202-B202)/B202</f>
        <v>0.14583333333333334</v>
      </c>
      <c r="G202" s="630"/>
      <c r="H202" s="631"/>
      <c r="I202" s="631"/>
      <c r="J202" s="632"/>
      <c r="K202" s="66"/>
      <c r="L202" s="184"/>
      <c r="M202" s="184"/>
      <c r="N202" s="184"/>
      <c r="O202" s="184"/>
      <c r="P202" s="184"/>
      <c r="Q202" s="184"/>
      <c r="R202" s="188"/>
      <c r="S202" s="188"/>
    </row>
    <row r="203" spans="1:19" hidden="1" x14ac:dyDescent="0.2">
      <c r="A203" s="39"/>
      <c r="B203" s="36"/>
      <c r="C203" s="84"/>
      <c r="D203" s="36"/>
      <c r="E203" s="36"/>
      <c r="F203" s="40"/>
      <c r="G203" s="36"/>
      <c r="H203" s="36"/>
      <c r="I203" s="36"/>
      <c r="J203" s="36"/>
      <c r="K203" s="66"/>
      <c r="L203" s="184"/>
      <c r="M203" s="184"/>
      <c r="N203" s="184"/>
      <c r="O203" s="184"/>
      <c r="P203" s="184"/>
      <c r="Q203" s="184"/>
      <c r="R203" s="188"/>
      <c r="S203" s="188"/>
    </row>
    <row r="204" spans="1:19" ht="15" hidden="1" x14ac:dyDescent="0.2">
      <c r="A204" s="656" t="s">
        <v>40</v>
      </c>
      <c r="B204" s="656"/>
      <c r="C204" s="657" t="s">
        <v>141</v>
      </c>
      <c r="D204" s="239" t="s">
        <v>113</v>
      </c>
      <c r="E204" s="50" t="s">
        <v>18</v>
      </c>
      <c r="F204" s="67">
        <v>23</v>
      </c>
      <c r="G204" s="45" t="s">
        <v>16</v>
      </c>
      <c r="H204" s="58">
        <f>B211</f>
        <v>130</v>
      </c>
      <c r="I204" s="45" t="s">
        <v>17</v>
      </c>
      <c r="J204" s="63">
        <f>B211-E211</f>
        <v>-25</v>
      </c>
      <c r="K204" s="71">
        <f>(E211-B211)/B211</f>
        <v>0.19230769230769232</v>
      </c>
      <c r="L204" s="356" t="s">
        <v>86</v>
      </c>
      <c r="M204" s="184" t="s">
        <v>65</v>
      </c>
      <c r="N204" s="184" t="s">
        <v>79</v>
      </c>
      <c r="O204" s="184"/>
      <c r="P204" s="184" t="s">
        <v>96</v>
      </c>
      <c r="Q204" s="184"/>
      <c r="R204" s="188"/>
      <c r="S204" s="188"/>
    </row>
    <row r="205" spans="1:19" hidden="1" x14ac:dyDescent="0.2">
      <c r="A205" s="656"/>
      <c r="B205" s="656"/>
      <c r="C205" s="658"/>
      <c r="D205" s="236"/>
      <c r="E205" s="47"/>
      <c r="F205" s="279"/>
      <c r="G205" s="49"/>
      <c r="H205" s="59"/>
      <c r="I205" s="48"/>
      <c r="J205" s="64"/>
      <c r="K205" s="66"/>
      <c r="L205" s="184"/>
      <c r="M205" s="184"/>
      <c r="N205" s="184"/>
      <c r="O205" s="184"/>
      <c r="P205" s="184"/>
      <c r="Q205" s="184"/>
      <c r="R205" s="188"/>
      <c r="S205" s="188"/>
    </row>
    <row r="206" spans="1:19" ht="22.5" hidden="1" x14ac:dyDescent="0.2">
      <c r="A206" s="34"/>
      <c r="B206" s="33" t="s">
        <v>7</v>
      </c>
      <c r="C206" s="33"/>
      <c r="D206" s="33"/>
      <c r="E206" s="27" t="s">
        <v>8</v>
      </c>
      <c r="F206" s="28"/>
      <c r="G206" s="627" t="s">
        <v>14</v>
      </c>
      <c r="H206" s="627"/>
      <c r="I206" s="627"/>
      <c r="J206" s="627"/>
      <c r="K206" s="66"/>
      <c r="L206" s="184"/>
      <c r="M206" s="184"/>
      <c r="N206" s="184"/>
      <c r="O206" s="184"/>
      <c r="P206" s="184"/>
      <c r="Q206" s="184"/>
      <c r="R206" s="188"/>
      <c r="S206" s="188"/>
    </row>
    <row r="207" spans="1:19" hidden="1" x14ac:dyDescent="0.2">
      <c r="A207" s="28" t="s">
        <v>9</v>
      </c>
      <c r="B207" s="31">
        <v>13</v>
      </c>
      <c r="C207" s="628" t="s">
        <v>43</v>
      </c>
      <c r="D207" s="629"/>
      <c r="E207" s="226">
        <f>4+3.5+0.75</f>
        <v>8.25</v>
      </c>
      <c r="F207" s="29">
        <f>(E207-B207)/B207</f>
        <v>-0.36538461538461536</v>
      </c>
      <c r="G207" s="630"/>
      <c r="H207" s="631"/>
      <c r="I207" s="631"/>
      <c r="J207" s="632"/>
      <c r="K207" s="66"/>
      <c r="L207" s="184"/>
      <c r="M207" s="184"/>
      <c r="N207" s="184"/>
      <c r="O207" s="184"/>
      <c r="P207" s="184"/>
      <c r="Q207" s="184"/>
      <c r="R207" s="188"/>
      <c r="S207" s="188"/>
    </row>
    <row r="208" spans="1:19" hidden="1" x14ac:dyDescent="0.2">
      <c r="A208" s="28" t="s">
        <v>10</v>
      </c>
      <c r="B208" s="31">
        <v>13</v>
      </c>
      <c r="C208" s="628" t="s">
        <v>43</v>
      </c>
      <c r="D208" s="629"/>
      <c r="E208" s="226">
        <f>6.75</f>
        <v>6.75</v>
      </c>
      <c r="F208" s="29">
        <f>(E208-B208)/B208</f>
        <v>-0.48076923076923078</v>
      </c>
      <c r="G208" s="630"/>
      <c r="H208" s="631"/>
      <c r="I208" s="631"/>
      <c r="J208" s="632"/>
      <c r="K208" s="66"/>
      <c r="L208" s="184"/>
      <c r="M208" s="184"/>
      <c r="N208" s="184"/>
      <c r="O208" s="184"/>
      <c r="P208" s="184"/>
      <c r="Q208" s="184"/>
      <c r="R208" s="188"/>
      <c r="S208" s="188"/>
    </row>
    <row r="209" spans="1:26" hidden="1" x14ac:dyDescent="0.2">
      <c r="A209" s="28" t="s">
        <v>11</v>
      </c>
      <c r="B209" s="31">
        <v>0</v>
      </c>
      <c r="C209" s="628" t="s">
        <v>43</v>
      </c>
      <c r="D209" s="629"/>
      <c r="E209" s="226">
        <f>2.25+2.25+8.5+8.25+8.25+8+2+8.25+8.75+8.25</f>
        <v>64.75</v>
      </c>
      <c r="F209" s="29">
        <v>0</v>
      </c>
      <c r="G209" s="630"/>
      <c r="H209" s="631"/>
      <c r="I209" s="631"/>
      <c r="J209" s="632"/>
      <c r="K209" s="66"/>
      <c r="L209" s="184"/>
      <c r="M209" s="184"/>
      <c r="N209" s="184"/>
      <c r="O209" s="184"/>
      <c r="P209" s="184"/>
      <c r="Q209" s="184"/>
      <c r="R209" s="188"/>
      <c r="S209" s="188"/>
    </row>
    <row r="210" spans="1:26" hidden="1" x14ac:dyDescent="0.2">
      <c r="A210" s="28" t="s">
        <v>12</v>
      </c>
      <c r="B210" s="31">
        <v>104</v>
      </c>
      <c r="C210" s="628" t="s">
        <v>43</v>
      </c>
      <c r="D210" s="629"/>
      <c r="E210" s="225">
        <f>6+8.25+8.25+8.75+8.25+8.75+8.25+8.25+5+5.5</f>
        <v>75.25</v>
      </c>
      <c r="F210" s="29">
        <f>(E210-B210)/B210</f>
        <v>-0.27644230769230771</v>
      </c>
      <c r="G210" s="630"/>
      <c r="H210" s="631"/>
      <c r="I210" s="631"/>
      <c r="J210" s="632"/>
      <c r="K210" s="66"/>
      <c r="L210" s="184"/>
      <c r="M210" s="184"/>
      <c r="N210" s="184"/>
      <c r="O210" s="184"/>
      <c r="P210" s="184"/>
      <c r="Q210" s="184"/>
      <c r="R210" s="188"/>
      <c r="S210" s="188"/>
    </row>
    <row r="211" spans="1:26" hidden="1" x14ac:dyDescent="0.2">
      <c r="A211" s="35" t="s">
        <v>15</v>
      </c>
      <c r="B211" s="226">
        <f>SUM(B207:B210)</f>
        <v>130</v>
      </c>
      <c r="C211" s="326"/>
      <c r="D211" s="266"/>
      <c r="E211" s="225">
        <f>SUM(E207:E210)</f>
        <v>155</v>
      </c>
      <c r="F211" s="29">
        <f>(E211-B211)/B211</f>
        <v>0.19230769230769232</v>
      </c>
      <c r="G211" s="630"/>
      <c r="H211" s="631"/>
      <c r="I211" s="631"/>
      <c r="J211" s="632"/>
      <c r="K211" s="66"/>
      <c r="L211" s="184"/>
      <c r="M211" s="184"/>
      <c r="N211" s="184"/>
      <c r="O211" s="184"/>
      <c r="P211" s="184"/>
      <c r="Q211" s="184"/>
      <c r="R211" s="188"/>
      <c r="S211" s="188"/>
    </row>
    <row r="212" spans="1:26" hidden="1" x14ac:dyDescent="0.2">
      <c r="A212" s="39"/>
      <c r="B212" s="36"/>
      <c r="C212" s="84"/>
      <c r="D212" s="36"/>
      <c r="E212" s="36"/>
      <c r="F212" s="40"/>
      <c r="G212" s="36"/>
      <c r="H212" s="36"/>
      <c r="I212" s="36"/>
      <c r="J212" s="36"/>
      <c r="K212" s="66"/>
      <c r="L212" s="184"/>
      <c r="M212" s="184"/>
      <c r="N212" s="184"/>
      <c r="O212" s="184"/>
      <c r="P212" s="184"/>
      <c r="Q212" s="184"/>
      <c r="R212" s="188"/>
      <c r="S212" s="188"/>
    </row>
    <row r="213" spans="1:26" ht="15" hidden="1" x14ac:dyDescent="0.2">
      <c r="A213" s="680" t="s">
        <v>41</v>
      </c>
      <c r="B213" s="680"/>
      <c r="C213" s="681" t="s">
        <v>141</v>
      </c>
      <c r="D213" s="242" t="s">
        <v>113</v>
      </c>
      <c r="E213" s="50" t="s">
        <v>18</v>
      </c>
      <c r="F213" s="67">
        <v>21</v>
      </c>
      <c r="G213" s="45" t="s">
        <v>16</v>
      </c>
      <c r="H213" s="58">
        <f>B220</f>
        <v>104.5</v>
      </c>
      <c r="I213" s="45" t="s">
        <v>17</v>
      </c>
      <c r="J213" s="63">
        <f>B220-E220</f>
        <v>-18.75</v>
      </c>
      <c r="K213" s="71">
        <f>(E220-B220)/B220</f>
        <v>0.17942583732057416</v>
      </c>
      <c r="L213" s="357" t="s">
        <v>87</v>
      </c>
      <c r="M213" s="281" t="s">
        <v>88</v>
      </c>
      <c r="N213" s="281" t="s">
        <v>89</v>
      </c>
      <c r="O213" s="281"/>
      <c r="P213" s="281" t="s">
        <v>95</v>
      </c>
      <c r="Q213" s="281"/>
      <c r="R213" s="282"/>
      <c r="S213" s="282"/>
      <c r="T213" s="197"/>
      <c r="U213" s="197"/>
      <c r="V213" s="197"/>
      <c r="W213" s="197"/>
      <c r="X213" s="197"/>
      <c r="Y213" s="197"/>
      <c r="Z213" s="197"/>
    </row>
    <row r="214" spans="1:26" hidden="1" x14ac:dyDescent="0.2">
      <c r="A214" s="680"/>
      <c r="B214" s="680"/>
      <c r="C214" s="682"/>
      <c r="D214" s="158"/>
      <c r="E214" s="47"/>
      <c r="F214" s="279"/>
      <c r="G214" s="49"/>
      <c r="H214" s="59"/>
      <c r="I214" s="48"/>
      <c r="J214" s="64"/>
      <c r="K214" s="66"/>
      <c r="L214" s="184"/>
      <c r="M214" s="184"/>
      <c r="N214" s="184"/>
      <c r="O214" s="184"/>
      <c r="P214" s="184"/>
      <c r="Q214" s="184"/>
      <c r="R214" s="188"/>
      <c r="S214" s="188"/>
      <c r="T214" s="197"/>
      <c r="U214" s="197"/>
      <c r="V214" s="197"/>
      <c r="W214" s="197"/>
      <c r="X214" s="197"/>
      <c r="Y214" s="197"/>
      <c r="Z214" s="197"/>
    </row>
    <row r="215" spans="1:26" ht="22.5" hidden="1" x14ac:dyDescent="0.2">
      <c r="A215" s="34"/>
      <c r="B215" s="33" t="s">
        <v>7</v>
      </c>
      <c r="C215" s="33"/>
      <c r="D215" s="33"/>
      <c r="E215" s="27" t="s">
        <v>8</v>
      </c>
      <c r="F215" s="28"/>
      <c r="G215" s="627" t="s">
        <v>14</v>
      </c>
      <c r="H215" s="627"/>
      <c r="I215" s="627"/>
      <c r="J215" s="627"/>
      <c r="K215" s="66"/>
      <c r="L215" s="184"/>
      <c r="M215" s="184"/>
      <c r="N215" s="184"/>
      <c r="O215" s="184"/>
      <c r="P215" s="184"/>
      <c r="Q215" s="184"/>
      <c r="R215" s="188"/>
      <c r="S215" s="188"/>
    </row>
    <row r="216" spans="1:26" hidden="1" x14ac:dyDescent="0.2">
      <c r="A216" s="28" t="s">
        <v>9</v>
      </c>
      <c r="B216" s="31">
        <v>10.45</v>
      </c>
      <c r="C216" s="628" t="s">
        <v>43</v>
      </c>
      <c r="D216" s="629"/>
      <c r="E216" s="155">
        <v>5.75</v>
      </c>
      <c r="F216" s="29">
        <f>(E216-B216)/B216</f>
        <v>-0.44976076555023919</v>
      </c>
      <c r="G216" s="630"/>
      <c r="H216" s="631"/>
      <c r="I216" s="631"/>
      <c r="J216" s="632"/>
      <c r="K216" s="66"/>
      <c r="L216" s="184"/>
      <c r="M216" s="184"/>
      <c r="N216" s="184"/>
      <c r="O216" s="184"/>
      <c r="P216" s="184"/>
      <c r="Q216" s="184"/>
      <c r="R216" s="188"/>
      <c r="S216" s="188"/>
    </row>
    <row r="217" spans="1:26" hidden="1" x14ac:dyDescent="0.2">
      <c r="A217" s="28" t="s">
        <v>10</v>
      </c>
      <c r="B217" s="31">
        <v>10.45</v>
      </c>
      <c r="C217" s="628" t="s">
        <v>43</v>
      </c>
      <c r="D217" s="629"/>
      <c r="E217" s="155">
        <f>2.25+2.25</f>
        <v>4.5</v>
      </c>
      <c r="F217" s="29">
        <f>(E217-B217)/B217</f>
        <v>-0.56937799043062198</v>
      </c>
      <c r="G217" s="630"/>
      <c r="H217" s="631"/>
      <c r="I217" s="631"/>
      <c r="J217" s="632"/>
      <c r="K217" s="66"/>
      <c r="L217" s="184"/>
      <c r="M217" s="184"/>
      <c r="N217" s="184"/>
      <c r="O217" s="184"/>
      <c r="P217" s="184"/>
      <c r="Q217" s="184"/>
      <c r="R217" s="188"/>
      <c r="S217" s="188"/>
    </row>
    <row r="218" spans="1:26" hidden="1" x14ac:dyDescent="0.2">
      <c r="A218" s="28" t="s">
        <v>11</v>
      </c>
      <c r="B218" s="31">
        <v>0</v>
      </c>
      <c r="C218" s="628" t="s">
        <v>43</v>
      </c>
      <c r="D218" s="629"/>
      <c r="E218" s="155">
        <f>8.25+8.25+5</f>
        <v>21.5</v>
      </c>
      <c r="F218" s="29">
        <v>0</v>
      </c>
      <c r="G218" s="630"/>
      <c r="H218" s="631"/>
      <c r="I218" s="631"/>
      <c r="J218" s="632"/>
      <c r="K218" s="66"/>
      <c r="L218" s="184"/>
      <c r="M218" s="184"/>
      <c r="N218" s="184"/>
      <c r="O218" s="184"/>
      <c r="P218" s="184"/>
      <c r="Q218" s="184"/>
      <c r="R218" s="188"/>
      <c r="S218" s="188"/>
    </row>
    <row r="219" spans="1:26" hidden="1" x14ac:dyDescent="0.2">
      <c r="A219" s="28" t="s">
        <v>12</v>
      </c>
      <c r="B219" s="31">
        <v>83.6</v>
      </c>
      <c r="C219" s="628" t="s">
        <v>43</v>
      </c>
      <c r="D219" s="629"/>
      <c r="E219" s="154">
        <f>3.25+3.75+8.25+4.75+7.5+8.25+2+8.25+8.25+4.5+4.5+5+8.25+6.75+3+3+2.25</f>
        <v>91.5</v>
      </c>
      <c r="F219" s="29">
        <f>(E219-B219)/B219</f>
        <v>9.4497607655502469E-2</v>
      </c>
      <c r="G219" s="630" t="s">
        <v>166</v>
      </c>
      <c r="H219" s="631"/>
      <c r="I219" s="631"/>
      <c r="J219" s="632"/>
      <c r="K219" s="66"/>
      <c r="L219" s="184"/>
      <c r="M219" s="184"/>
      <c r="N219" s="184"/>
      <c r="O219" s="184"/>
      <c r="P219" s="184"/>
      <c r="Q219" s="184"/>
      <c r="R219" s="188"/>
      <c r="S219" s="188"/>
    </row>
    <row r="220" spans="1:26" hidden="1" x14ac:dyDescent="0.2">
      <c r="A220" s="35" t="s">
        <v>15</v>
      </c>
      <c r="B220" s="155">
        <f>SUM(B216:B219)</f>
        <v>104.5</v>
      </c>
      <c r="C220" s="326"/>
      <c r="D220" s="266"/>
      <c r="E220" s="154">
        <f>SUM(E216:E219)</f>
        <v>123.25</v>
      </c>
      <c r="F220" s="29">
        <f>(E220-B220)/B220</f>
        <v>0.17942583732057416</v>
      </c>
      <c r="G220" s="630"/>
      <c r="H220" s="631"/>
      <c r="I220" s="631"/>
      <c r="J220" s="632"/>
      <c r="K220" s="66"/>
      <c r="L220" s="184"/>
      <c r="M220" s="184"/>
      <c r="N220" s="184"/>
      <c r="O220" s="184"/>
      <c r="P220" s="184"/>
      <c r="Q220" s="184"/>
      <c r="R220" s="188"/>
      <c r="S220" s="188"/>
    </row>
    <row r="221" spans="1:26" hidden="1" x14ac:dyDescent="0.2">
      <c r="A221" s="39"/>
      <c r="B221" s="36"/>
      <c r="C221" s="84"/>
      <c r="D221" s="36"/>
      <c r="E221" s="36"/>
      <c r="F221" s="40"/>
      <c r="G221" s="36"/>
      <c r="H221" s="36"/>
      <c r="I221" s="36"/>
      <c r="J221" s="36"/>
      <c r="K221" s="66"/>
      <c r="L221" s="184"/>
      <c r="M221" s="184"/>
      <c r="N221" s="184"/>
      <c r="O221" s="184"/>
      <c r="P221" s="184"/>
      <c r="Q221" s="184"/>
      <c r="R221" s="188"/>
      <c r="S221" s="188"/>
    </row>
    <row r="222" spans="1:26" ht="15" hidden="1" customHeight="1" x14ac:dyDescent="0.2">
      <c r="A222" s="680" t="s">
        <v>42</v>
      </c>
      <c r="B222" s="680"/>
      <c r="C222" s="657" t="s">
        <v>141</v>
      </c>
      <c r="D222" s="659" t="s">
        <v>113</v>
      </c>
      <c r="E222" s="50" t="s">
        <v>18</v>
      </c>
      <c r="F222" s="67">
        <v>29</v>
      </c>
      <c r="G222" s="45" t="s">
        <v>16</v>
      </c>
      <c r="H222" s="58">
        <f>B229</f>
        <v>144.5</v>
      </c>
      <c r="I222" s="45" t="s">
        <v>17</v>
      </c>
      <c r="J222" s="63">
        <f>B229-E229</f>
        <v>3.5</v>
      </c>
      <c r="K222" s="71">
        <f>(E229-B229)/B229</f>
        <v>-2.4221453287197232E-2</v>
      </c>
      <c r="L222" s="356" t="s">
        <v>86</v>
      </c>
      <c r="M222" s="184" t="s">
        <v>65</v>
      </c>
      <c r="N222" s="184" t="s">
        <v>79</v>
      </c>
      <c r="O222" s="184"/>
      <c r="P222" s="184" t="s">
        <v>94</v>
      </c>
      <c r="Q222" s="184"/>
      <c r="R222" s="188"/>
      <c r="S222" s="188"/>
    </row>
    <row r="223" spans="1:26" ht="12.75" hidden="1" customHeight="1" x14ac:dyDescent="0.2">
      <c r="A223" s="680"/>
      <c r="B223" s="680"/>
      <c r="C223" s="658"/>
      <c r="D223" s="660"/>
      <c r="E223" s="47"/>
      <c r="F223" s="279"/>
      <c r="G223" s="49"/>
      <c r="H223" s="59"/>
      <c r="I223" s="48"/>
      <c r="J223" s="64"/>
      <c r="K223" s="66"/>
      <c r="L223" s="184"/>
      <c r="M223" s="184"/>
      <c r="N223" s="184"/>
      <c r="O223" s="184"/>
      <c r="P223" s="184"/>
      <c r="Q223" s="184"/>
      <c r="R223" s="188"/>
      <c r="S223" s="188"/>
    </row>
    <row r="224" spans="1:26" ht="22.5" hidden="1" x14ac:dyDescent="0.2">
      <c r="A224" s="34"/>
      <c r="B224" s="33" t="s">
        <v>7</v>
      </c>
      <c r="C224" s="33"/>
      <c r="D224" s="33"/>
      <c r="E224" s="27" t="s">
        <v>8</v>
      </c>
      <c r="F224" s="28"/>
      <c r="G224" s="627" t="s">
        <v>14</v>
      </c>
      <c r="H224" s="627"/>
      <c r="I224" s="627"/>
      <c r="J224" s="627"/>
      <c r="K224" s="66"/>
      <c r="L224" s="184"/>
      <c r="M224" s="184"/>
      <c r="N224" s="184"/>
      <c r="O224" s="184"/>
      <c r="P224" s="184"/>
      <c r="Q224" s="184"/>
      <c r="R224" s="188"/>
      <c r="S224" s="188"/>
    </row>
    <row r="225" spans="1:19" hidden="1" x14ac:dyDescent="0.2">
      <c r="A225" s="28" t="s">
        <v>9</v>
      </c>
      <c r="B225" s="31">
        <v>14.75</v>
      </c>
      <c r="C225" s="628" t="s">
        <v>43</v>
      </c>
      <c r="D225" s="629"/>
      <c r="E225" s="155">
        <v>8.5</v>
      </c>
      <c r="F225" s="29">
        <f>(E225-B225)/B225</f>
        <v>-0.42372881355932202</v>
      </c>
      <c r="G225" s="630"/>
      <c r="H225" s="631"/>
      <c r="I225" s="631"/>
      <c r="J225" s="632"/>
      <c r="K225" s="66"/>
      <c r="L225" s="184"/>
      <c r="M225" s="184"/>
      <c r="N225" s="184"/>
      <c r="O225" s="184"/>
      <c r="P225" s="184"/>
      <c r="Q225" s="184"/>
      <c r="R225" s="188"/>
      <c r="S225" s="188"/>
    </row>
    <row r="226" spans="1:19" hidden="1" x14ac:dyDescent="0.2">
      <c r="A226" s="28" t="s">
        <v>10</v>
      </c>
      <c r="B226" s="31">
        <v>11.75</v>
      </c>
      <c r="C226" s="628" t="s">
        <v>43</v>
      </c>
      <c r="D226" s="629"/>
      <c r="E226" s="155">
        <f>9</f>
        <v>9</v>
      </c>
      <c r="F226" s="29">
        <f>(E226-B226)/B226</f>
        <v>-0.23404255319148937</v>
      </c>
      <c r="G226" s="630"/>
      <c r="H226" s="631"/>
      <c r="I226" s="631"/>
      <c r="J226" s="632"/>
      <c r="K226" s="66"/>
      <c r="L226" s="184"/>
      <c r="M226" s="184"/>
      <c r="N226" s="184"/>
      <c r="O226" s="184"/>
      <c r="P226" s="184"/>
      <c r="Q226" s="184"/>
      <c r="R226" s="188"/>
      <c r="S226" s="188"/>
    </row>
    <row r="227" spans="1:19" hidden="1" x14ac:dyDescent="0.2">
      <c r="A227" s="28" t="s">
        <v>11</v>
      </c>
      <c r="B227" s="31">
        <v>0</v>
      </c>
      <c r="C227" s="628" t="s">
        <v>43</v>
      </c>
      <c r="D227" s="629"/>
      <c r="E227" s="155">
        <f>8+5+5+4.25+0.25</f>
        <v>22.5</v>
      </c>
      <c r="F227" s="29">
        <v>0</v>
      </c>
      <c r="G227" s="630"/>
      <c r="H227" s="631"/>
      <c r="I227" s="631"/>
      <c r="J227" s="632"/>
      <c r="K227" s="66"/>
      <c r="L227" s="184"/>
      <c r="M227" s="184"/>
      <c r="N227" s="184"/>
      <c r="O227" s="184"/>
      <c r="P227" s="184"/>
      <c r="Q227" s="184"/>
      <c r="R227" s="188"/>
      <c r="S227" s="188"/>
    </row>
    <row r="228" spans="1:19" hidden="1" x14ac:dyDescent="0.2">
      <c r="A228" s="28" t="s">
        <v>12</v>
      </c>
      <c r="B228" s="31">
        <v>118</v>
      </c>
      <c r="C228" s="628" t="s">
        <v>43</v>
      </c>
      <c r="D228" s="629"/>
      <c r="E228" s="154">
        <f>8.75+8.75+8+8.75+8.25+6.75+8.75+8.75+8.25+3+8.25+8.75+6</f>
        <v>101</v>
      </c>
      <c r="F228" s="29">
        <f>(E228-B228)/B228</f>
        <v>-0.1440677966101695</v>
      </c>
      <c r="G228" s="630"/>
      <c r="H228" s="631"/>
      <c r="I228" s="631"/>
      <c r="J228" s="632"/>
      <c r="K228" s="66"/>
      <c r="L228" s="184"/>
      <c r="M228" s="184"/>
      <c r="N228" s="184"/>
      <c r="O228" s="184"/>
      <c r="P228" s="184"/>
      <c r="Q228" s="184"/>
      <c r="R228" s="188"/>
      <c r="S228" s="188"/>
    </row>
    <row r="229" spans="1:19" hidden="1" x14ac:dyDescent="0.2">
      <c r="A229" s="35" t="s">
        <v>15</v>
      </c>
      <c r="B229" s="155">
        <f>SUM(B225:B228)</f>
        <v>144.5</v>
      </c>
      <c r="C229" s="628"/>
      <c r="D229" s="629"/>
      <c r="E229" s="154">
        <f>SUM(E225:E228)</f>
        <v>141</v>
      </c>
      <c r="F229" s="29">
        <f>(E229-B229)/B229</f>
        <v>-2.4221453287197232E-2</v>
      </c>
      <c r="G229" s="630"/>
      <c r="H229" s="631"/>
      <c r="I229" s="631"/>
      <c r="J229" s="632"/>
      <c r="K229" s="66"/>
      <c r="L229" s="184"/>
      <c r="M229" s="184"/>
      <c r="N229" s="184"/>
      <c r="O229" s="184"/>
      <c r="P229" s="184"/>
      <c r="Q229" s="184"/>
      <c r="R229" s="188"/>
      <c r="S229" s="188"/>
    </row>
    <row r="230" spans="1:19" hidden="1" x14ac:dyDescent="0.2">
      <c r="A230" s="39"/>
      <c r="B230" s="36"/>
      <c r="C230" s="84"/>
      <c r="D230" s="36"/>
      <c r="E230" s="36"/>
      <c r="F230" s="40"/>
      <c r="G230" s="36"/>
      <c r="H230" s="36"/>
      <c r="I230" s="36"/>
      <c r="J230" s="36"/>
      <c r="K230" s="66"/>
      <c r="L230" s="184"/>
      <c r="M230" s="184"/>
      <c r="N230" s="184"/>
      <c r="O230" s="184"/>
      <c r="P230" s="184"/>
      <c r="Q230" s="184"/>
      <c r="R230" s="188"/>
      <c r="S230" s="188"/>
    </row>
    <row r="231" spans="1:19" ht="15" hidden="1" x14ac:dyDescent="0.2">
      <c r="A231" s="680" t="s">
        <v>45</v>
      </c>
      <c r="B231" s="680"/>
      <c r="C231" s="681" t="s">
        <v>141</v>
      </c>
      <c r="D231" s="242" t="s">
        <v>113</v>
      </c>
      <c r="E231" s="50" t="s">
        <v>18</v>
      </c>
      <c r="F231" s="67">
        <v>34</v>
      </c>
      <c r="G231" s="45" t="s">
        <v>16</v>
      </c>
      <c r="H231" s="58">
        <f>B238</f>
        <v>168</v>
      </c>
      <c r="I231" s="45" t="s">
        <v>17</v>
      </c>
      <c r="J231" s="63">
        <f>B238-E238</f>
        <v>-5.25</v>
      </c>
      <c r="K231" s="71">
        <f>(E238-B238)/B238</f>
        <v>3.125E-2</v>
      </c>
      <c r="L231" s="356" t="s">
        <v>86</v>
      </c>
      <c r="M231" s="184" t="s">
        <v>65</v>
      </c>
      <c r="N231" s="184" t="s">
        <v>79</v>
      </c>
      <c r="O231" s="184"/>
      <c r="P231" s="184" t="s">
        <v>93</v>
      </c>
      <c r="Q231" s="184"/>
      <c r="R231" s="188"/>
      <c r="S231" s="188"/>
    </row>
    <row r="232" spans="1:19" hidden="1" x14ac:dyDescent="0.2">
      <c r="A232" s="680"/>
      <c r="B232" s="680"/>
      <c r="C232" s="682"/>
      <c r="D232" s="158"/>
      <c r="E232" s="47"/>
      <c r="F232" s="279"/>
      <c r="G232" s="49"/>
      <c r="H232" s="59"/>
      <c r="I232" s="48"/>
      <c r="J232" s="64"/>
      <c r="K232" s="66"/>
      <c r="L232" s="184"/>
      <c r="M232" s="184"/>
      <c r="N232" s="184"/>
      <c r="O232" s="184"/>
      <c r="P232" s="184"/>
      <c r="Q232" s="184"/>
      <c r="R232" s="188"/>
      <c r="S232" s="188"/>
    </row>
    <row r="233" spans="1:19" ht="22.5" hidden="1" x14ac:dyDescent="0.2">
      <c r="A233" s="34"/>
      <c r="B233" s="33" t="s">
        <v>7</v>
      </c>
      <c r="C233" s="33"/>
      <c r="D233" s="33"/>
      <c r="E233" s="27" t="s">
        <v>8</v>
      </c>
      <c r="F233" s="28"/>
      <c r="G233" s="627" t="s">
        <v>14</v>
      </c>
      <c r="H233" s="627"/>
      <c r="I233" s="627"/>
      <c r="J233" s="627"/>
      <c r="K233" s="66"/>
      <c r="L233" s="184"/>
      <c r="M233" s="184"/>
      <c r="N233" s="184"/>
      <c r="O233" s="184"/>
      <c r="P233" s="184"/>
      <c r="Q233" s="184"/>
      <c r="R233" s="188"/>
      <c r="S233" s="188"/>
    </row>
    <row r="234" spans="1:19" hidden="1" x14ac:dyDescent="0.2">
      <c r="A234" s="28" t="s">
        <v>9</v>
      </c>
      <c r="B234" s="31">
        <v>16.8</v>
      </c>
      <c r="C234" s="628" t="s">
        <v>43</v>
      </c>
      <c r="D234" s="629"/>
      <c r="E234" s="157">
        <f>7+1.5</f>
        <v>8.5</v>
      </c>
      <c r="F234" s="29">
        <f>(E234-B234)/B234</f>
        <v>-0.49404761904761907</v>
      </c>
      <c r="G234" s="630"/>
      <c r="H234" s="631"/>
      <c r="I234" s="631"/>
      <c r="J234" s="632"/>
      <c r="K234" s="66"/>
      <c r="L234" s="184"/>
      <c r="M234" s="184"/>
      <c r="N234" s="184"/>
      <c r="O234" s="184"/>
      <c r="P234" s="184"/>
      <c r="Q234" s="184"/>
      <c r="R234" s="188"/>
      <c r="S234" s="188"/>
    </row>
    <row r="235" spans="1:19" hidden="1" x14ac:dyDescent="0.2">
      <c r="A235" s="28" t="s">
        <v>10</v>
      </c>
      <c r="B235" s="31">
        <v>16.8</v>
      </c>
      <c r="C235" s="628" t="s">
        <v>43</v>
      </c>
      <c r="D235" s="629"/>
      <c r="E235" s="157">
        <v>9</v>
      </c>
      <c r="F235" s="29">
        <f>(E235-B235)/B235</f>
        <v>-0.4642857142857143</v>
      </c>
      <c r="G235" s="630"/>
      <c r="H235" s="631"/>
      <c r="I235" s="631"/>
      <c r="J235" s="632"/>
      <c r="K235" s="66"/>
      <c r="L235" s="184"/>
      <c r="M235" s="184"/>
      <c r="N235" s="184"/>
      <c r="O235" s="184"/>
      <c r="P235" s="184"/>
      <c r="Q235" s="184"/>
      <c r="R235" s="188"/>
      <c r="S235" s="188"/>
    </row>
    <row r="236" spans="1:19" hidden="1" x14ac:dyDescent="0.2">
      <c r="A236" s="28" t="s">
        <v>11</v>
      </c>
      <c r="B236" s="31">
        <v>0</v>
      </c>
      <c r="C236" s="628" t="s">
        <v>43</v>
      </c>
      <c r="D236" s="629"/>
      <c r="E236" s="157">
        <f>4+4+8.25+8.25+8.25+8.25+5+8.25+8.25</f>
        <v>62.5</v>
      </c>
      <c r="F236" s="29">
        <v>0</v>
      </c>
      <c r="G236" s="630"/>
      <c r="H236" s="631"/>
      <c r="I236" s="631"/>
      <c r="J236" s="632"/>
      <c r="K236" s="66"/>
      <c r="L236" s="184"/>
      <c r="M236" s="184"/>
      <c r="N236" s="184"/>
      <c r="O236" s="184"/>
      <c r="P236" s="184"/>
      <c r="Q236" s="184"/>
      <c r="R236" s="188"/>
      <c r="S236" s="188"/>
    </row>
    <row r="237" spans="1:19" hidden="1" x14ac:dyDescent="0.2">
      <c r="A237" s="28" t="s">
        <v>12</v>
      </c>
      <c r="B237" s="31">
        <v>134.4</v>
      </c>
      <c r="C237" s="628" t="s">
        <v>44</v>
      </c>
      <c r="D237" s="629"/>
      <c r="E237" s="156">
        <f>2.75+8.75+8.25+8.25+8.75+8.75+8+7.75+8.75+8.25+3+3+3+3+3</f>
        <v>93.25</v>
      </c>
      <c r="F237" s="29">
        <f>(E237-B237)/B237</f>
        <v>-0.30617559523809529</v>
      </c>
      <c r="G237" s="630"/>
      <c r="H237" s="631"/>
      <c r="I237" s="631"/>
      <c r="J237" s="632"/>
      <c r="K237" s="66"/>
      <c r="L237" s="184"/>
      <c r="M237" s="184"/>
      <c r="N237" s="184"/>
      <c r="O237" s="184"/>
      <c r="P237" s="184"/>
      <c r="Q237" s="184"/>
      <c r="R237" s="188"/>
      <c r="S237" s="188"/>
    </row>
    <row r="238" spans="1:19" hidden="1" x14ac:dyDescent="0.2">
      <c r="A238" s="35" t="s">
        <v>15</v>
      </c>
      <c r="B238" s="157">
        <f>SUM(B234:B237)</f>
        <v>168</v>
      </c>
      <c r="C238" s="628"/>
      <c r="D238" s="629"/>
      <c r="E238" s="156">
        <f>SUM(E234:E237)</f>
        <v>173.25</v>
      </c>
      <c r="F238" s="29">
        <f>(E238-B238)/B238</f>
        <v>3.125E-2</v>
      </c>
      <c r="G238" s="630"/>
      <c r="H238" s="631"/>
      <c r="I238" s="631"/>
      <c r="J238" s="632"/>
      <c r="K238" s="66"/>
      <c r="L238" s="184"/>
      <c r="M238" s="184"/>
      <c r="N238" s="184"/>
      <c r="O238" s="184"/>
      <c r="P238" s="184"/>
      <c r="Q238" s="184"/>
      <c r="R238" s="188"/>
      <c r="S238" s="188"/>
    </row>
    <row r="239" spans="1:19" hidden="1" x14ac:dyDescent="0.2">
      <c r="A239" s="39"/>
      <c r="B239" s="36"/>
      <c r="C239" s="84"/>
      <c r="D239" s="36"/>
      <c r="E239" s="36"/>
      <c r="F239" s="40"/>
      <c r="G239" s="36"/>
      <c r="H239" s="36"/>
      <c r="I239" s="36"/>
      <c r="J239" s="36"/>
      <c r="K239" s="66"/>
      <c r="L239" s="184"/>
      <c r="M239" s="184"/>
      <c r="N239" s="184"/>
      <c r="O239" s="184"/>
      <c r="P239" s="184"/>
      <c r="Q239" s="184"/>
      <c r="R239" s="188"/>
      <c r="S239" s="188"/>
    </row>
    <row r="240" spans="1:19" ht="15" hidden="1" customHeight="1" x14ac:dyDescent="0.2">
      <c r="A240" s="656" t="s">
        <v>46</v>
      </c>
      <c r="B240" s="656"/>
      <c r="C240" s="659" t="s">
        <v>141</v>
      </c>
      <c r="D240" s="683" t="s">
        <v>113</v>
      </c>
      <c r="E240" s="50" t="s">
        <v>18</v>
      </c>
      <c r="F240" s="67">
        <v>17</v>
      </c>
      <c r="G240" s="45" t="s">
        <v>16</v>
      </c>
      <c r="H240" s="58">
        <f>B247</f>
        <v>84.5</v>
      </c>
      <c r="I240" s="45" t="s">
        <v>17</v>
      </c>
      <c r="J240" s="63">
        <f>B247-E247</f>
        <v>7.25</v>
      </c>
      <c r="K240" s="71">
        <f>(E247-B247)/B247</f>
        <v>-8.5798816568047331E-2</v>
      </c>
      <c r="L240" s="356" t="s">
        <v>86</v>
      </c>
      <c r="M240" s="184" t="s">
        <v>65</v>
      </c>
      <c r="N240" s="184" t="s">
        <v>79</v>
      </c>
      <c r="O240" s="184"/>
      <c r="P240" s="184" t="s">
        <v>91</v>
      </c>
      <c r="Q240" s="184" t="s">
        <v>90</v>
      </c>
      <c r="R240" s="188"/>
      <c r="S240" s="188"/>
    </row>
    <row r="241" spans="1:19" hidden="1" x14ac:dyDescent="0.2">
      <c r="A241" s="656"/>
      <c r="B241" s="656"/>
      <c r="C241" s="660"/>
      <c r="D241" s="684"/>
      <c r="E241" s="47"/>
      <c r="F241" s="279"/>
      <c r="G241" s="49"/>
      <c r="H241" s="59"/>
      <c r="I241" s="48"/>
      <c r="J241" s="64"/>
      <c r="K241" s="66"/>
      <c r="L241" s="184"/>
      <c r="M241" s="184"/>
      <c r="N241" s="184"/>
      <c r="O241" s="184"/>
      <c r="P241" s="184"/>
      <c r="Q241" s="184"/>
      <c r="R241" s="188"/>
      <c r="S241" s="188"/>
    </row>
    <row r="242" spans="1:19" ht="22.5" hidden="1" x14ac:dyDescent="0.2">
      <c r="A242" s="34"/>
      <c r="B242" s="33" t="s">
        <v>7</v>
      </c>
      <c r="C242" s="33"/>
      <c r="D242" s="33"/>
      <c r="E242" s="27" t="s">
        <v>8</v>
      </c>
      <c r="F242" s="28"/>
      <c r="G242" s="627" t="s">
        <v>14</v>
      </c>
      <c r="H242" s="627"/>
      <c r="I242" s="627"/>
      <c r="J242" s="627"/>
      <c r="K242" s="66"/>
      <c r="L242" s="184"/>
      <c r="M242" s="184"/>
      <c r="N242" s="184"/>
      <c r="O242" s="184"/>
      <c r="P242" s="184"/>
      <c r="Q242" s="184"/>
      <c r="R242" s="188"/>
      <c r="S242" s="188"/>
    </row>
    <row r="243" spans="1:19" hidden="1" x14ac:dyDescent="0.2">
      <c r="A243" s="28" t="s">
        <v>9</v>
      </c>
      <c r="B243" s="31">
        <v>8.4499999999999993</v>
      </c>
      <c r="C243" s="678" t="s">
        <v>43</v>
      </c>
      <c r="D243" s="679"/>
      <c r="E243" s="163">
        <f>1.25+4</f>
        <v>5.25</v>
      </c>
      <c r="F243" s="29">
        <f>(E243-B243)/B243</f>
        <v>-0.37869822485207094</v>
      </c>
      <c r="G243" s="630"/>
      <c r="H243" s="631"/>
      <c r="I243" s="631"/>
      <c r="J243" s="632"/>
      <c r="K243" s="66"/>
      <c r="L243" s="184"/>
      <c r="M243" s="184"/>
      <c r="N243" s="184"/>
      <c r="O243" s="184"/>
      <c r="P243" s="184"/>
      <c r="Q243" s="184"/>
      <c r="R243" s="188"/>
      <c r="S243" s="188"/>
    </row>
    <row r="244" spans="1:19" hidden="1" x14ac:dyDescent="0.2">
      <c r="A244" s="28" t="s">
        <v>10</v>
      </c>
      <c r="B244" s="31">
        <v>8.4499999999999993</v>
      </c>
      <c r="C244" s="678" t="s">
        <v>43</v>
      </c>
      <c r="D244" s="679"/>
      <c r="E244" s="163">
        <f>7.5+4</f>
        <v>11.5</v>
      </c>
      <c r="F244" s="29">
        <f>(E244-B244)/B244</f>
        <v>0.3609467455621303</v>
      </c>
      <c r="G244" s="630"/>
      <c r="H244" s="631"/>
      <c r="I244" s="631"/>
      <c r="J244" s="632"/>
      <c r="K244" s="66"/>
      <c r="L244" s="184"/>
      <c r="M244" s="184"/>
      <c r="N244" s="184"/>
      <c r="O244" s="184"/>
      <c r="P244" s="184"/>
      <c r="Q244" s="184"/>
      <c r="R244" s="188"/>
      <c r="S244" s="188"/>
    </row>
    <row r="245" spans="1:19" hidden="1" x14ac:dyDescent="0.2">
      <c r="A245" s="28" t="s">
        <v>11</v>
      </c>
      <c r="B245" s="31">
        <v>0</v>
      </c>
      <c r="C245" s="678" t="s">
        <v>43</v>
      </c>
      <c r="D245" s="679"/>
      <c r="E245" s="163">
        <f>7.25</f>
        <v>7.25</v>
      </c>
      <c r="F245" s="29">
        <v>0</v>
      </c>
      <c r="G245" s="630"/>
      <c r="H245" s="631"/>
      <c r="I245" s="631"/>
      <c r="J245" s="632"/>
      <c r="K245" s="66"/>
      <c r="L245" s="184"/>
      <c r="M245" s="184"/>
      <c r="N245" s="184"/>
      <c r="O245" s="184"/>
      <c r="P245" s="184"/>
      <c r="Q245" s="184"/>
      <c r="R245" s="188"/>
      <c r="S245" s="188"/>
    </row>
    <row r="246" spans="1:19" hidden="1" x14ac:dyDescent="0.2">
      <c r="A246" s="28" t="s">
        <v>12</v>
      </c>
      <c r="B246" s="31">
        <v>67.599999999999994</v>
      </c>
      <c r="C246" s="678" t="s">
        <v>43</v>
      </c>
      <c r="D246" s="679"/>
      <c r="E246" s="162">
        <f>5.75+5.75+5.75+8.75+5.25+3+3+3+3+5+5</f>
        <v>53.25</v>
      </c>
      <c r="F246" s="29">
        <f>(E246-B246)/B246</f>
        <v>-0.21227810650887569</v>
      </c>
      <c r="G246" s="630" t="s">
        <v>190</v>
      </c>
      <c r="H246" s="631"/>
      <c r="I246" s="631"/>
      <c r="J246" s="632"/>
      <c r="K246" s="66"/>
      <c r="L246" s="184"/>
      <c r="M246" s="184"/>
      <c r="N246" s="184"/>
      <c r="O246" s="184"/>
      <c r="P246" s="184"/>
      <c r="Q246" s="184"/>
      <c r="R246" s="188"/>
      <c r="S246" s="188"/>
    </row>
    <row r="247" spans="1:19" hidden="1" x14ac:dyDescent="0.2">
      <c r="A247" s="35" t="s">
        <v>15</v>
      </c>
      <c r="B247" s="163">
        <f>SUM(B243:B246)</f>
        <v>84.5</v>
      </c>
      <c r="C247" s="628"/>
      <c r="D247" s="629"/>
      <c r="E247" s="162">
        <f>SUM(E243:E246)</f>
        <v>77.25</v>
      </c>
      <c r="F247" s="29">
        <f>(E247-B247)/B247</f>
        <v>-8.5798816568047331E-2</v>
      </c>
      <c r="G247" s="630"/>
      <c r="H247" s="631"/>
      <c r="I247" s="631"/>
      <c r="J247" s="632"/>
      <c r="K247" s="66"/>
      <c r="L247" s="184"/>
      <c r="M247" s="184"/>
      <c r="N247" s="184"/>
      <c r="O247" s="184"/>
      <c r="P247" s="184"/>
      <c r="Q247" s="184"/>
      <c r="R247" s="188"/>
      <c r="S247" s="188"/>
    </row>
    <row r="248" spans="1:19" hidden="1" x14ac:dyDescent="0.2">
      <c r="A248" s="39"/>
      <c r="B248" s="36"/>
      <c r="C248" s="84"/>
      <c r="D248" s="36"/>
      <c r="E248" s="36"/>
      <c r="F248" s="40"/>
      <c r="G248" s="36"/>
      <c r="H248" s="36"/>
      <c r="I248" s="36"/>
      <c r="J248" s="36"/>
      <c r="K248" s="66"/>
      <c r="L248" s="184"/>
      <c r="M248" s="184"/>
      <c r="N248" s="184"/>
      <c r="O248" s="184"/>
      <c r="P248" s="184"/>
      <c r="Q248" s="184"/>
      <c r="R248" s="188"/>
      <c r="S248" s="188"/>
    </row>
    <row r="249" spans="1:19" ht="15" hidden="1" x14ac:dyDescent="0.2">
      <c r="A249" s="680" t="s">
        <v>47</v>
      </c>
      <c r="B249" s="680"/>
      <c r="C249" s="681" t="s">
        <v>141</v>
      </c>
      <c r="D249" s="242" t="s">
        <v>113</v>
      </c>
      <c r="E249" s="50" t="s">
        <v>18</v>
      </c>
      <c r="F249" s="67">
        <v>36</v>
      </c>
      <c r="G249" s="45" t="s">
        <v>16</v>
      </c>
      <c r="H249" s="58">
        <f>B256</f>
        <v>127.5</v>
      </c>
      <c r="I249" s="45" t="s">
        <v>17</v>
      </c>
      <c r="J249" s="63">
        <f>B256-E256</f>
        <v>122</v>
      </c>
      <c r="K249" s="71">
        <f>(E256-B256)/B256</f>
        <v>-0.95686274509803926</v>
      </c>
      <c r="L249" s="356" t="s">
        <v>86</v>
      </c>
      <c r="M249" s="184" t="s">
        <v>65</v>
      </c>
      <c r="N249" s="184" t="s">
        <v>79</v>
      </c>
      <c r="O249" s="184"/>
      <c r="P249" s="184" t="s">
        <v>83</v>
      </c>
      <c r="Q249" s="184" t="s">
        <v>79</v>
      </c>
      <c r="R249" s="188"/>
      <c r="S249" s="188"/>
    </row>
    <row r="250" spans="1:19" hidden="1" x14ac:dyDescent="0.2">
      <c r="A250" s="680"/>
      <c r="B250" s="680"/>
      <c r="C250" s="682"/>
      <c r="D250" s="158"/>
      <c r="E250" s="47"/>
      <c r="F250" s="279"/>
      <c r="G250" s="49"/>
      <c r="H250" s="59"/>
      <c r="I250" s="48"/>
      <c r="J250" s="64"/>
      <c r="K250" s="66"/>
      <c r="L250" s="184"/>
      <c r="M250" s="184"/>
      <c r="N250" s="184"/>
      <c r="O250" s="184"/>
      <c r="P250" s="184"/>
      <c r="Q250" s="184"/>
      <c r="R250" s="188"/>
      <c r="S250" s="188"/>
    </row>
    <row r="251" spans="1:19" ht="22.5" hidden="1" x14ac:dyDescent="0.2">
      <c r="A251" s="34"/>
      <c r="B251" s="33" t="s">
        <v>7</v>
      </c>
      <c r="C251" s="33"/>
      <c r="D251" s="33"/>
      <c r="E251" s="27" t="s">
        <v>8</v>
      </c>
      <c r="F251" s="28"/>
      <c r="G251" s="627" t="s">
        <v>14</v>
      </c>
      <c r="H251" s="627"/>
      <c r="I251" s="627"/>
      <c r="J251" s="627"/>
      <c r="K251" s="66"/>
      <c r="L251" s="184"/>
      <c r="M251" s="184"/>
      <c r="N251" s="184"/>
      <c r="O251" s="184"/>
      <c r="P251" s="184"/>
      <c r="Q251" s="184"/>
      <c r="R251" s="188"/>
      <c r="S251" s="188"/>
    </row>
    <row r="252" spans="1:19" hidden="1" x14ac:dyDescent="0.2">
      <c r="A252" s="28" t="s">
        <v>9</v>
      </c>
      <c r="B252" s="31">
        <v>12.75</v>
      </c>
      <c r="C252" s="628" t="s">
        <v>43</v>
      </c>
      <c r="D252" s="629"/>
      <c r="E252" s="163">
        <f>0.5</f>
        <v>0.5</v>
      </c>
      <c r="F252" s="29">
        <f>(E252-B252)/B252</f>
        <v>-0.96078431372549022</v>
      </c>
      <c r="G252" s="630"/>
      <c r="H252" s="631"/>
      <c r="I252" s="631"/>
      <c r="J252" s="632"/>
      <c r="K252" s="66"/>
      <c r="L252" s="184"/>
      <c r="M252" s="184"/>
      <c r="N252" s="184"/>
      <c r="O252" s="184"/>
      <c r="P252" s="184"/>
      <c r="Q252" s="184"/>
      <c r="R252" s="188"/>
      <c r="S252" s="188"/>
    </row>
    <row r="253" spans="1:19" hidden="1" x14ac:dyDescent="0.2">
      <c r="A253" s="28" t="s">
        <v>10</v>
      </c>
      <c r="B253" s="31">
        <v>12.75</v>
      </c>
      <c r="C253" s="649" t="s">
        <v>43</v>
      </c>
      <c r="D253" s="650"/>
      <c r="E253" s="163">
        <f>1+4</f>
        <v>5</v>
      </c>
      <c r="F253" s="29">
        <f>(E253-B253)/B253</f>
        <v>-0.60784313725490191</v>
      </c>
      <c r="G253" s="630"/>
      <c r="H253" s="631"/>
      <c r="I253" s="631"/>
      <c r="J253" s="632"/>
      <c r="K253" s="66"/>
      <c r="L253" s="184"/>
      <c r="M253" s="184"/>
      <c r="N253" s="184"/>
      <c r="O253" s="184"/>
      <c r="P253" s="184"/>
      <c r="Q253" s="184"/>
      <c r="R253" s="188"/>
      <c r="S253" s="188"/>
    </row>
    <row r="254" spans="1:19" hidden="1" x14ac:dyDescent="0.2">
      <c r="A254" s="28" t="s">
        <v>11</v>
      </c>
      <c r="B254" s="31">
        <v>0</v>
      </c>
      <c r="C254" s="628" t="s">
        <v>43</v>
      </c>
      <c r="D254" s="629"/>
      <c r="E254" s="163">
        <f>2.5+8.25+5+5</f>
        <v>20.75</v>
      </c>
      <c r="F254" s="29">
        <v>0</v>
      </c>
      <c r="G254" s="630"/>
      <c r="H254" s="631"/>
      <c r="I254" s="631"/>
      <c r="J254" s="632"/>
      <c r="K254" s="66"/>
      <c r="L254" s="184"/>
      <c r="M254" s="184"/>
      <c r="N254" s="184"/>
      <c r="O254" s="184"/>
      <c r="P254" s="184"/>
      <c r="Q254" s="184"/>
      <c r="R254" s="188"/>
      <c r="S254" s="188"/>
    </row>
    <row r="255" spans="1:19" hidden="1" x14ac:dyDescent="0.2">
      <c r="A255" s="28" t="s">
        <v>12</v>
      </c>
      <c r="B255" s="31">
        <v>102</v>
      </c>
      <c r="C255" s="649" t="s">
        <v>43</v>
      </c>
      <c r="D255" s="650"/>
      <c r="E255" s="162">
        <f>2.75+3.75+5.25+5.75+5.75+5.5+5.5+8.25+8.75+3.75+4.25+8.75+8.25</f>
        <v>76.25</v>
      </c>
      <c r="F255" s="29">
        <f>(E255-B255)/B255</f>
        <v>-0.25245098039215685</v>
      </c>
      <c r="G255" s="630"/>
      <c r="H255" s="631"/>
      <c r="I255" s="631"/>
      <c r="J255" s="632"/>
      <c r="K255" s="66"/>
      <c r="L255" s="184"/>
      <c r="M255" s="184"/>
      <c r="N255" s="184"/>
      <c r="O255" s="184"/>
      <c r="P255" s="184"/>
      <c r="Q255" s="184"/>
      <c r="R255" s="188"/>
      <c r="S255" s="188"/>
    </row>
    <row r="256" spans="1:19" hidden="1" x14ac:dyDescent="0.2">
      <c r="A256" s="35" t="s">
        <v>15</v>
      </c>
      <c r="B256" s="163">
        <f>SUM(B252:B255)</f>
        <v>127.5</v>
      </c>
      <c r="C256" s="326"/>
      <c r="D256" s="266"/>
      <c r="E256" s="162">
        <v>5.5</v>
      </c>
      <c r="F256" s="29">
        <f>(E256-B256)/B256</f>
        <v>-0.95686274509803926</v>
      </c>
      <c r="G256" s="630"/>
      <c r="H256" s="631"/>
      <c r="I256" s="631"/>
      <c r="J256" s="632"/>
      <c r="K256" s="66"/>
      <c r="L256" s="184"/>
      <c r="M256" s="184"/>
      <c r="N256" s="184"/>
      <c r="O256" s="184"/>
      <c r="P256" s="184"/>
      <c r="Q256" s="184"/>
      <c r="R256" s="188"/>
      <c r="S256" s="188"/>
    </row>
    <row r="257" spans="1:19" hidden="1" x14ac:dyDescent="0.2">
      <c r="A257" s="39"/>
      <c r="B257" s="36"/>
      <c r="C257" s="84"/>
      <c r="D257" s="36"/>
      <c r="E257" s="36">
        <v>5.5</v>
      </c>
      <c r="F257" s="40"/>
      <c r="G257" s="36"/>
      <c r="H257" s="36"/>
      <c r="I257" s="36"/>
      <c r="J257" s="36"/>
      <c r="K257" s="66"/>
      <c r="L257" s="184"/>
      <c r="M257" s="184"/>
      <c r="N257" s="184"/>
      <c r="O257" s="184"/>
      <c r="P257" s="184"/>
      <c r="Q257" s="184"/>
      <c r="R257" s="188"/>
      <c r="S257" s="188"/>
    </row>
    <row r="258" spans="1:19" ht="15" customHeight="1" x14ac:dyDescent="0.2">
      <c r="A258" s="656" t="s">
        <v>48</v>
      </c>
      <c r="B258" s="656"/>
      <c r="C258" s="657" t="s">
        <v>141</v>
      </c>
      <c r="D258" s="711" t="s">
        <v>113</v>
      </c>
      <c r="E258" s="50" t="s">
        <v>18</v>
      </c>
      <c r="F258" s="67">
        <v>35</v>
      </c>
      <c r="G258" s="45" t="s">
        <v>16</v>
      </c>
      <c r="H258" s="58">
        <f>B265</f>
        <v>157.6</v>
      </c>
      <c r="I258" s="45" t="s">
        <v>17</v>
      </c>
      <c r="J258" s="63">
        <f>B265-E265</f>
        <v>26.650000000000006</v>
      </c>
      <c r="K258" s="71">
        <f>(E265-B265)/B265</f>
        <v>-0.16909898477157365</v>
      </c>
      <c r="L258" s="356" t="s">
        <v>86</v>
      </c>
      <c r="M258" s="184" t="s">
        <v>65</v>
      </c>
      <c r="N258" s="184" t="s">
        <v>79</v>
      </c>
      <c r="O258" s="184"/>
      <c r="P258" s="184" t="s">
        <v>92</v>
      </c>
      <c r="Q258" s="184" t="s">
        <v>79</v>
      </c>
      <c r="R258" s="188"/>
      <c r="S258" s="188"/>
    </row>
    <row r="259" spans="1:19" hidden="1" x14ac:dyDescent="0.2">
      <c r="A259" s="656"/>
      <c r="B259" s="656"/>
      <c r="C259" s="658"/>
      <c r="D259" s="712"/>
      <c r="E259" s="47"/>
      <c r="F259" s="279"/>
      <c r="G259" s="49"/>
      <c r="H259" s="59"/>
      <c r="I259" s="48"/>
      <c r="J259" s="64"/>
      <c r="K259" s="66"/>
      <c r="L259" s="184"/>
      <c r="M259" s="184"/>
      <c r="N259" s="184"/>
      <c r="O259" s="184"/>
      <c r="P259" s="184"/>
      <c r="Q259" s="184"/>
      <c r="R259" s="188"/>
      <c r="S259" s="188"/>
    </row>
    <row r="260" spans="1:19" ht="22.5" hidden="1" x14ac:dyDescent="0.2">
      <c r="A260" s="34"/>
      <c r="B260" s="33" t="s">
        <v>7</v>
      </c>
      <c r="C260" s="33"/>
      <c r="D260" s="33"/>
      <c r="E260" s="27" t="s">
        <v>8</v>
      </c>
      <c r="F260" s="28"/>
      <c r="G260" s="627" t="s">
        <v>14</v>
      </c>
      <c r="H260" s="627"/>
      <c r="I260" s="627"/>
      <c r="J260" s="627"/>
      <c r="K260" s="66"/>
      <c r="L260" s="184"/>
      <c r="M260" s="184"/>
      <c r="N260" s="184"/>
      <c r="O260" s="184"/>
      <c r="P260" s="184"/>
      <c r="Q260" s="184"/>
      <c r="R260" s="188"/>
      <c r="S260" s="188"/>
    </row>
    <row r="261" spans="1:19" hidden="1" x14ac:dyDescent="0.2">
      <c r="A261" s="28" t="s">
        <v>9</v>
      </c>
      <c r="B261" s="31">
        <v>15.8</v>
      </c>
      <c r="C261" s="678" t="s">
        <v>43</v>
      </c>
      <c r="D261" s="679"/>
      <c r="E261" s="163">
        <v>21.5</v>
      </c>
      <c r="F261" s="29">
        <f>(E261-B261)/B261</f>
        <v>0.360759493670886</v>
      </c>
      <c r="G261" s="630" t="s">
        <v>181</v>
      </c>
      <c r="H261" s="631"/>
      <c r="I261" s="631"/>
      <c r="J261" s="632"/>
      <c r="K261" s="66"/>
      <c r="L261" s="184"/>
      <c r="M261" s="184"/>
      <c r="N261" s="184"/>
      <c r="O261" s="184"/>
      <c r="P261" s="184"/>
      <c r="Q261" s="184"/>
      <c r="R261" s="188"/>
      <c r="S261" s="188"/>
    </row>
    <row r="262" spans="1:19" hidden="1" x14ac:dyDescent="0.2">
      <c r="A262" s="28" t="s">
        <v>10</v>
      </c>
      <c r="B262" s="31">
        <v>15.8</v>
      </c>
      <c r="C262" s="678" t="s">
        <v>43</v>
      </c>
      <c r="D262" s="679"/>
      <c r="E262" s="163">
        <v>10</v>
      </c>
      <c r="F262" s="29">
        <f>(E262-B262)/B262</f>
        <v>-0.36708860759493672</v>
      </c>
      <c r="G262" s="630"/>
      <c r="H262" s="631"/>
      <c r="I262" s="631"/>
      <c r="J262" s="632"/>
      <c r="K262" s="66"/>
      <c r="L262" s="184"/>
      <c r="M262" s="184"/>
      <c r="N262" s="184"/>
      <c r="O262" s="184"/>
      <c r="P262" s="184"/>
      <c r="Q262" s="184"/>
      <c r="R262" s="188"/>
      <c r="S262" s="188"/>
    </row>
    <row r="263" spans="1:19" hidden="1" x14ac:dyDescent="0.2">
      <c r="A263" s="28" t="s">
        <v>11</v>
      </c>
      <c r="B263" s="31">
        <v>0</v>
      </c>
      <c r="C263" s="678" t="s">
        <v>43</v>
      </c>
      <c r="D263" s="679"/>
      <c r="E263" s="163">
        <v>32.5</v>
      </c>
      <c r="F263" s="29">
        <v>0</v>
      </c>
      <c r="G263" s="630"/>
      <c r="H263" s="631"/>
      <c r="I263" s="631"/>
      <c r="J263" s="632"/>
      <c r="K263" s="66"/>
      <c r="L263" s="184"/>
      <c r="M263" s="184"/>
      <c r="N263" s="184"/>
      <c r="O263" s="184"/>
      <c r="P263" s="184"/>
      <c r="Q263" s="184"/>
      <c r="R263" s="188"/>
      <c r="S263" s="188"/>
    </row>
    <row r="264" spans="1:19" hidden="1" x14ac:dyDescent="0.2">
      <c r="A264" s="28" t="s">
        <v>12</v>
      </c>
      <c r="B264" s="31">
        <v>126</v>
      </c>
      <c r="C264" s="678" t="s">
        <v>43</v>
      </c>
      <c r="D264" s="679"/>
      <c r="E264" s="162">
        <v>66.95</v>
      </c>
      <c r="F264" s="29">
        <f>(E264-B264)/B264</f>
        <v>-0.46865079365079365</v>
      </c>
      <c r="G264" s="630"/>
      <c r="H264" s="631"/>
      <c r="I264" s="631"/>
      <c r="J264" s="632"/>
      <c r="K264" s="66"/>
      <c r="L264" s="184"/>
      <c r="M264" s="184"/>
      <c r="N264" s="184"/>
      <c r="O264" s="184"/>
      <c r="P264" s="184"/>
      <c r="Q264" s="184"/>
      <c r="R264" s="188"/>
      <c r="S264" s="188"/>
    </row>
    <row r="265" spans="1:19" hidden="1" x14ac:dyDescent="0.2">
      <c r="A265" s="35" t="s">
        <v>15</v>
      </c>
      <c r="B265" s="163">
        <f>SUM(B261:B264)</f>
        <v>157.6</v>
      </c>
      <c r="C265" s="326"/>
      <c r="D265" s="266"/>
      <c r="E265" s="162">
        <f>SUM(E261:E264)</f>
        <v>130.94999999999999</v>
      </c>
      <c r="F265" s="29">
        <f>(E265-B265)/B265</f>
        <v>-0.16909898477157365</v>
      </c>
      <c r="G265" s="630"/>
      <c r="H265" s="631"/>
      <c r="I265" s="631"/>
      <c r="J265" s="632"/>
      <c r="K265" s="66"/>
      <c r="L265" s="184"/>
      <c r="M265" s="184"/>
      <c r="N265" s="184"/>
      <c r="O265" s="184"/>
      <c r="P265" s="184"/>
      <c r="Q265" s="184"/>
      <c r="R265" s="188"/>
      <c r="S265" s="188"/>
    </row>
    <row r="266" spans="1:19" x14ac:dyDescent="0.2">
      <c r="A266" s="39"/>
      <c r="B266" s="36"/>
      <c r="C266" s="84"/>
      <c r="D266" s="36"/>
      <c r="E266" s="36"/>
      <c r="F266" s="40"/>
      <c r="G266" s="36"/>
      <c r="H266" s="36"/>
      <c r="I266" s="36"/>
      <c r="J266" s="36"/>
      <c r="K266" s="66"/>
      <c r="L266" s="184"/>
      <c r="M266" s="184"/>
      <c r="N266" s="184"/>
      <c r="O266" s="184"/>
      <c r="P266" s="184"/>
      <c r="Q266" s="184"/>
      <c r="R266" s="188"/>
      <c r="S266" s="188"/>
    </row>
    <row r="267" spans="1:19" ht="15" customHeight="1" x14ac:dyDescent="0.2">
      <c r="A267" s="665" t="s">
        <v>140</v>
      </c>
      <c r="B267" s="665"/>
      <c r="C267" s="672" t="s">
        <v>141</v>
      </c>
      <c r="D267" s="672" t="s">
        <v>113</v>
      </c>
      <c r="E267" s="50" t="s">
        <v>18</v>
      </c>
      <c r="F267" s="67">
        <v>51</v>
      </c>
      <c r="G267" s="45" t="s">
        <v>16</v>
      </c>
      <c r="H267" s="58">
        <f>B274</f>
        <v>178.5</v>
      </c>
      <c r="I267" s="45" t="s">
        <v>17</v>
      </c>
      <c r="J267" s="63">
        <f>B274-E274</f>
        <v>-5.5</v>
      </c>
      <c r="K267" s="71">
        <f>(E274-B274)/B274</f>
        <v>3.081232492997199E-2</v>
      </c>
      <c r="L267" s="356" t="s">
        <v>86</v>
      </c>
      <c r="M267" s="184" t="s">
        <v>65</v>
      </c>
      <c r="N267" s="184" t="s">
        <v>79</v>
      </c>
      <c r="O267" s="184"/>
      <c r="P267" s="184" t="s">
        <v>92</v>
      </c>
      <c r="Q267" s="184" t="s">
        <v>79</v>
      </c>
      <c r="R267" s="188"/>
      <c r="S267" s="188"/>
    </row>
    <row r="268" spans="1:19" hidden="1" x14ac:dyDescent="0.2">
      <c r="A268" s="665"/>
      <c r="B268" s="665"/>
      <c r="C268" s="673"/>
      <c r="D268" s="673"/>
      <c r="E268" s="47"/>
      <c r="F268" s="279"/>
      <c r="G268" s="49"/>
      <c r="H268" s="59"/>
      <c r="I268" s="48"/>
      <c r="J268" s="64"/>
      <c r="K268" s="66"/>
      <c r="L268" s="184"/>
      <c r="M268" s="184"/>
      <c r="N268" s="184"/>
      <c r="O268" s="184"/>
      <c r="P268" s="184"/>
      <c r="Q268" s="184"/>
      <c r="R268" s="188"/>
      <c r="S268" s="188"/>
    </row>
    <row r="269" spans="1:19" ht="22.5" hidden="1" x14ac:dyDescent="0.2">
      <c r="A269" s="34"/>
      <c r="B269" s="33" t="s">
        <v>7</v>
      </c>
      <c r="C269" s="33"/>
      <c r="D269" s="33"/>
      <c r="E269" s="27" t="s">
        <v>8</v>
      </c>
      <c r="F269" s="28"/>
      <c r="G269" s="627" t="s">
        <v>14</v>
      </c>
      <c r="H269" s="627"/>
      <c r="I269" s="627"/>
      <c r="J269" s="627"/>
      <c r="K269" s="66"/>
      <c r="L269" s="184"/>
      <c r="M269" s="184"/>
      <c r="N269" s="184"/>
      <c r="O269" s="184"/>
      <c r="P269" s="184"/>
      <c r="Q269" s="184"/>
      <c r="R269" s="188"/>
      <c r="S269" s="188"/>
    </row>
    <row r="270" spans="1:19" hidden="1" x14ac:dyDescent="0.2">
      <c r="A270" s="28" t="s">
        <v>9</v>
      </c>
      <c r="B270" s="31">
        <v>17.850000000000001</v>
      </c>
      <c r="C270" s="628" t="s">
        <v>43</v>
      </c>
      <c r="D270" s="629"/>
      <c r="E270" s="292">
        <f>4.5+5.5+2</f>
        <v>12</v>
      </c>
      <c r="F270" s="29">
        <f>(E270-B270)/B270</f>
        <v>-0.32773109243697485</v>
      </c>
      <c r="G270" s="630"/>
      <c r="H270" s="631"/>
      <c r="I270" s="631"/>
      <c r="J270" s="632"/>
      <c r="K270" s="66"/>
      <c r="L270" s="184"/>
      <c r="M270" s="184"/>
      <c r="N270" s="184"/>
      <c r="O270" s="184"/>
      <c r="P270" s="184"/>
      <c r="Q270" s="184"/>
      <c r="R270" s="188"/>
      <c r="S270" s="188"/>
    </row>
    <row r="271" spans="1:19" hidden="1" x14ac:dyDescent="0.2">
      <c r="A271" s="28" t="s">
        <v>10</v>
      </c>
      <c r="B271" s="31">
        <v>17.850000000000001</v>
      </c>
      <c r="C271" s="649" t="s">
        <v>43</v>
      </c>
      <c r="D271" s="650"/>
      <c r="E271" s="292">
        <f>3.25+3+3.25</f>
        <v>9.5</v>
      </c>
      <c r="F271" s="29">
        <f>(E271-B271)/B271</f>
        <v>-0.46778711484593843</v>
      </c>
      <c r="G271" s="630"/>
      <c r="H271" s="631"/>
      <c r="I271" s="631"/>
      <c r="J271" s="632"/>
      <c r="K271" s="66"/>
      <c r="L271" s="184"/>
      <c r="M271" s="184"/>
      <c r="N271" s="184"/>
      <c r="O271" s="184"/>
      <c r="P271" s="184"/>
      <c r="Q271" s="184"/>
      <c r="R271" s="188"/>
      <c r="S271" s="188"/>
    </row>
    <row r="272" spans="1:19" hidden="1" x14ac:dyDescent="0.2">
      <c r="A272" s="28" t="s">
        <v>11</v>
      </c>
      <c r="B272" s="31">
        <v>17.850000000000001</v>
      </c>
      <c r="C272" s="649" t="s">
        <v>43</v>
      </c>
      <c r="D272" s="650"/>
      <c r="E272" s="292">
        <f>8.25+8.25+8.25+10.25+8.25</f>
        <v>43.25</v>
      </c>
      <c r="F272" s="29">
        <v>0</v>
      </c>
      <c r="G272" s="630"/>
      <c r="H272" s="631"/>
      <c r="I272" s="631"/>
      <c r="J272" s="632"/>
      <c r="K272" s="66"/>
      <c r="L272" s="184"/>
      <c r="M272" s="184"/>
      <c r="N272" s="184"/>
      <c r="O272" s="184"/>
      <c r="P272" s="184"/>
      <c r="Q272" s="184"/>
      <c r="R272" s="188"/>
      <c r="S272" s="188"/>
    </row>
    <row r="273" spans="1:19" hidden="1" x14ac:dyDescent="0.2">
      <c r="A273" s="28" t="s">
        <v>12</v>
      </c>
      <c r="B273" s="31">
        <v>124.95</v>
      </c>
      <c r="C273" s="649" t="s">
        <v>43</v>
      </c>
      <c r="D273" s="650"/>
      <c r="E273" s="291">
        <f>5.75+6.25+5.75+8+8.75+8.75+8+8.75+8.75+4.5+4+4+3.25+3.75+6.25+6.25+4.5+5+4.5+4.5</f>
        <v>119.25</v>
      </c>
      <c r="F273" s="29">
        <f>(E273-B273)/B273</f>
        <v>-4.5618247298919591E-2</v>
      </c>
      <c r="G273" s="630"/>
      <c r="H273" s="631"/>
      <c r="I273" s="631"/>
      <c r="J273" s="632"/>
      <c r="K273" s="66"/>
      <c r="L273" s="184"/>
      <c r="M273" s="184"/>
      <c r="N273" s="184"/>
      <c r="O273" s="184"/>
      <c r="P273" s="184"/>
      <c r="Q273" s="184"/>
      <c r="R273" s="188"/>
      <c r="S273" s="188"/>
    </row>
    <row r="274" spans="1:19" hidden="1" x14ac:dyDescent="0.2">
      <c r="A274" s="35" t="s">
        <v>15</v>
      </c>
      <c r="B274" s="292">
        <f>SUM(B270:B273)</f>
        <v>178.5</v>
      </c>
      <c r="C274" s="326"/>
      <c r="D274" s="291"/>
      <c r="E274" s="291">
        <f>SUM(E270:E273)</f>
        <v>184</v>
      </c>
      <c r="F274" s="29">
        <f>(E274-B274)/B274</f>
        <v>3.081232492997199E-2</v>
      </c>
      <c r="G274" s="630"/>
      <c r="H274" s="631"/>
      <c r="I274" s="631"/>
      <c r="J274" s="632"/>
      <c r="K274" s="66"/>
      <c r="L274" s="184"/>
      <c r="M274" s="184"/>
      <c r="N274" s="184"/>
      <c r="O274" s="184"/>
      <c r="P274" s="184"/>
      <c r="Q274" s="184"/>
      <c r="R274" s="188"/>
      <c r="S274" s="188"/>
    </row>
    <row r="275" spans="1:19" x14ac:dyDescent="0.2">
      <c r="A275" s="39"/>
      <c r="B275" s="36"/>
      <c r="C275" s="84"/>
      <c r="D275" s="36"/>
      <c r="E275" s="36"/>
      <c r="F275" s="40"/>
      <c r="G275" s="36"/>
      <c r="H275" s="36"/>
      <c r="I275" s="36"/>
      <c r="J275" s="36"/>
      <c r="K275" s="66"/>
      <c r="L275" s="184"/>
      <c r="M275" s="184"/>
      <c r="N275" s="184"/>
      <c r="O275" s="184"/>
      <c r="P275" s="184"/>
      <c r="Q275" s="184"/>
      <c r="R275" s="188"/>
      <c r="S275" s="188"/>
    </row>
    <row r="276" spans="1:19" ht="15" customHeight="1" x14ac:dyDescent="0.2">
      <c r="A276" s="665" t="s">
        <v>167</v>
      </c>
      <c r="B276" s="665"/>
      <c r="C276" s="672" t="s">
        <v>141</v>
      </c>
      <c r="D276" s="672" t="s">
        <v>113</v>
      </c>
      <c r="E276" s="50" t="s">
        <v>18</v>
      </c>
      <c r="F276" s="67">
        <v>2</v>
      </c>
      <c r="G276" s="45" t="s">
        <v>16</v>
      </c>
      <c r="H276" s="58">
        <f>B283</f>
        <v>180</v>
      </c>
      <c r="I276" s="45" t="s">
        <v>17</v>
      </c>
      <c r="J276" s="63">
        <f>B283-E283</f>
        <v>45.25</v>
      </c>
      <c r="K276" s="71">
        <f>(E283-B283)/B283</f>
        <v>-0.25138888888888888</v>
      </c>
      <c r="L276" s="356" t="s">
        <v>86</v>
      </c>
      <c r="M276" s="184" t="s">
        <v>65</v>
      </c>
      <c r="N276" s="184" t="s">
        <v>79</v>
      </c>
      <c r="O276" s="184"/>
      <c r="P276" s="184" t="s">
        <v>92</v>
      </c>
      <c r="Q276" s="184" t="s">
        <v>79</v>
      </c>
      <c r="R276" s="188"/>
      <c r="S276" s="188"/>
    </row>
    <row r="277" spans="1:19" hidden="1" x14ac:dyDescent="0.2">
      <c r="A277" s="665"/>
      <c r="B277" s="665"/>
      <c r="C277" s="673"/>
      <c r="D277" s="673"/>
      <c r="E277" s="47"/>
      <c r="F277" s="279"/>
      <c r="G277" s="49"/>
      <c r="H277" s="59"/>
      <c r="I277" s="48"/>
      <c r="J277" s="64"/>
      <c r="K277" s="66"/>
      <c r="L277" s="184"/>
      <c r="M277" s="184"/>
      <c r="N277" s="184"/>
      <c r="O277" s="184"/>
      <c r="P277" s="184"/>
      <c r="Q277" s="184"/>
      <c r="R277" s="188"/>
      <c r="S277" s="188"/>
    </row>
    <row r="278" spans="1:19" ht="22.5" hidden="1" x14ac:dyDescent="0.2">
      <c r="A278" s="34"/>
      <c r="B278" s="33" t="s">
        <v>7</v>
      </c>
      <c r="C278" s="33"/>
      <c r="D278" s="33"/>
      <c r="E278" s="27" t="s">
        <v>8</v>
      </c>
      <c r="F278" s="28"/>
      <c r="G278" s="627" t="s">
        <v>14</v>
      </c>
      <c r="H278" s="627"/>
      <c r="I278" s="627"/>
      <c r="J278" s="627"/>
      <c r="K278" s="66"/>
      <c r="L278" s="184"/>
      <c r="M278" s="184"/>
      <c r="N278" s="184"/>
      <c r="O278" s="184"/>
      <c r="P278" s="184"/>
      <c r="Q278" s="184"/>
      <c r="R278" s="188"/>
      <c r="S278" s="188"/>
    </row>
    <row r="279" spans="1:19" hidden="1" x14ac:dyDescent="0.2">
      <c r="A279" s="28" t="s">
        <v>9</v>
      </c>
      <c r="B279" s="348">
        <v>32</v>
      </c>
      <c r="C279" s="678" t="s">
        <v>43</v>
      </c>
      <c r="D279" s="679"/>
      <c r="E279" s="349">
        <f>7.5+7.5+5.75+2.5+5</f>
        <v>28.25</v>
      </c>
      <c r="F279" s="29">
        <f>(E279-B279)/B279</f>
        <v>-0.1171875</v>
      </c>
      <c r="G279" s="630"/>
      <c r="H279" s="631"/>
      <c r="I279" s="631"/>
      <c r="J279" s="632"/>
      <c r="K279" s="66"/>
      <c r="L279" s="184"/>
      <c r="M279" s="184"/>
      <c r="N279" s="184"/>
      <c r="O279" s="184"/>
      <c r="P279" s="184"/>
      <c r="Q279" s="184"/>
      <c r="R279" s="188"/>
      <c r="S279" s="188"/>
    </row>
    <row r="280" spans="1:19" hidden="1" x14ac:dyDescent="0.2">
      <c r="A280" s="28" t="s">
        <v>10</v>
      </c>
      <c r="B280" s="348">
        <v>60</v>
      </c>
      <c r="C280" s="649" t="s">
        <v>44</v>
      </c>
      <c r="D280" s="650"/>
      <c r="E280" s="349">
        <f>6+5+3.5+5.25+4</f>
        <v>23.75</v>
      </c>
      <c r="F280" s="29">
        <f>(E280-B280)/B280</f>
        <v>-0.60416666666666663</v>
      </c>
      <c r="G280" s="630"/>
      <c r="H280" s="631"/>
      <c r="I280" s="631"/>
      <c r="J280" s="632"/>
      <c r="K280" s="66"/>
      <c r="L280" s="184"/>
      <c r="M280" s="184"/>
      <c r="N280" s="184"/>
      <c r="O280" s="184"/>
      <c r="P280" s="184"/>
      <c r="Q280" s="184"/>
      <c r="R280" s="188"/>
      <c r="S280" s="188"/>
    </row>
    <row r="281" spans="1:19" hidden="1" x14ac:dyDescent="0.2">
      <c r="A281" s="28" t="s">
        <v>11</v>
      </c>
      <c r="B281" s="348">
        <v>0</v>
      </c>
      <c r="C281" s="678" t="s">
        <v>43</v>
      </c>
      <c r="D281" s="679"/>
      <c r="E281" s="349">
        <v>0</v>
      </c>
      <c r="F281" s="29">
        <v>0</v>
      </c>
      <c r="G281" s="630"/>
      <c r="H281" s="631"/>
      <c r="I281" s="631"/>
      <c r="J281" s="632"/>
      <c r="K281" s="66"/>
      <c r="L281" s="184"/>
      <c r="M281" s="184"/>
      <c r="N281" s="184"/>
      <c r="O281" s="184"/>
      <c r="P281" s="184"/>
      <c r="Q281" s="184"/>
      <c r="R281" s="188"/>
      <c r="S281" s="188"/>
    </row>
    <row r="282" spans="1:19" hidden="1" x14ac:dyDescent="0.2">
      <c r="A282" s="28" t="s">
        <v>12</v>
      </c>
      <c r="B282" s="348">
        <v>88</v>
      </c>
      <c r="C282" s="649" t="s">
        <v>44</v>
      </c>
      <c r="D282" s="650"/>
      <c r="E282" s="346">
        <f>2.5+4.75+5.25+5.25+4.25+8.75+8.75+8.75+8.75+8.75+8.25+8.75</f>
        <v>82.75</v>
      </c>
      <c r="F282" s="29">
        <f>(E282-B282)/B282</f>
        <v>-5.9659090909090912E-2</v>
      </c>
      <c r="G282" s="630" t="s">
        <v>188</v>
      </c>
      <c r="H282" s="631"/>
      <c r="I282" s="631"/>
      <c r="J282" s="632"/>
      <c r="K282" s="66"/>
      <c r="L282" s="184"/>
      <c r="M282" s="184"/>
      <c r="N282" s="184"/>
      <c r="O282" s="184"/>
      <c r="P282" s="184"/>
      <c r="Q282" s="184"/>
      <c r="R282" s="188"/>
      <c r="S282" s="188"/>
    </row>
    <row r="283" spans="1:19" hidden="1" x14ac:dyDescent="0.2">
      <c r="A283" s="35" t="s">
        <v>15</v>
      </c>
      <c r="B283" s="349">
        <f>SUM(B279:B282)</f>
        <v>180</v>
      </c>
      <c r="C283" s="345"/>
      <c r="D283" s="346"/>
      <c r="E283" s="346">
        <f>SUM(E279:E282)</f>
        <v>134.75</v>
      </c>
      <c r="F283" s="29">
        <f>(E283-B283)/B283</f>
        <v>-0.25138888888888888</v>
      </c>
      <c r="G283" s="630"/>
      <c r="H283" s="631"/>
      <c r="I283" s="631"/>
      <c r="J283" s="632"/>
      <c r="K283" s="66"/>
      <c r="L283" s="184"/>
      <c r="M283" s="184"/>
      <c r="N283" s="184"/>
      <c r="O283" s="184"/>
      <c r="P283" s="184"/>
      <c r="Q283" s="184"/>
      <c r="R283" s="188"/>
      <c r="S283" s="188"/>
    </row>
    <row r="284" spans="1:19" x14ac:dyDescent="0.2">
      <c r="A284" s="39"/>
      <c r="B284" s="347"/>
      <c r="C284" s="84"/>
      <c r="D284" s="347"/>
      <c r="E284" s="347"/>
      <c r="F284" s="40"/>
      <c r="G284" s="347"/>
      <c r="H284" s="347"/>
      <c r="I284" s="347"/>
      <c r="J284" s="347"/>
      <c r="K284" s="66"/>
      <c r="L284" s="184"/>
      <c r="M284" s="184"/>
      <c r="N284" s="184"/>
      <c r="O284" s="184"/>
      <c r="P284" s="184"/>
      <c r="Q284" s="184"/>
      <c r="R284" s="188"/>
      <c r="S284" s="188"/>
    </row>
    <row r="285" spans="1:19" ht="15" customHeight="1" x14ac:dyDescent="0.2">
      <c r="A285" s="665" t="s">
        <v>171</v>
      </c>
      <c r="B285" s="665"/>
      <c r="C285" s="672" t="s">
        <v>141</v>
      </c>
      <c r="D285" s="672" t="s">
        <v>113</v>
      </c>
      <c r="E285" s="50" t="s">
        <v>18</v>
      </c>
      <c r="F285" s="67">
        <v>3</v>
      </c>
      <c r="G285" s="45" t="s">
        <v>16</v>
      </c>
      <c r="H285" s="58">
        <f>B292</f>
        <v>177</v>
      </c>
      <c r="I285" s="45" t="s">
        <v>17</v>
      </c>
      <c r="J285" s="63">
        <f>B292-E292</f>
        <v>71.25</v>
      </c>
      <c r="K285" s="71">
        <f>(E292-B292)/B292</f>
        <v>-0.40254237288135591</v>
      </c>
      <c r="L285" s="356" t="s">
        <v>86</v>
      </c>
      <c r="M285" s="184" t="s">
        <v>65</v>
      </c>
      <c r="N285" s="184" t="s">
        <v>79</v>
      </c>
      <c r="O285" s="184"/>
      <c r="P285" s="184" t="s">
        <v>92</v>
      </c>
      <c r="Q285" s="184" t="s">
        <v>79</v>
      </c>
      <c r="R285" s="188"/>
      <c r="S285" s="188"/>
    </row>
    <row r="286" spans="1:19" hidden="1" x14ac:dyDescent="0.2">
      <c r="A286" s="665"/>
      <c r="B286" s="665"/>
      <c r="C286" s="673"/>
      <c r="D286" s="673"/>
      <c r="E286" s="47"/>
      <c r="F286" s="279"/>
      <c r="G286" s="49"/>
      <c r="H286" s="59"/>
      <c r="I286" s="48"/>
      <c r="J286" s="64"/>
      <c r="K286" s="66"/>
      <c r="L286" s="184"/>
      <c r="M286" s="184"/>
      <c r="N286" s="184"/>
      <c r="O286" s="184"/>
      <c r="P286" s="184"/>
      <c r="Q286" s="184"/>
      <c r="R286" s="188"/>
      <c r="S286" s="188"/>
    </row>
    <row r="287" spans="1:19" ht="22.5" hidden="1" x14ac:dyDescent="0.2">
      <c r="A287" s="34"/>
      <c r="B287" s="33" t="s">
        <v>7</v>
      </c>
      <c r="C287" s="33"/>
      <c r="D287" s="33"/>
      <c r="E287" s="27" t="s">
        <v>8</v>
      </c>
      <c r="F287" s="28"/>
      <c r="G287" s="627" t="s">
        <v>14</v>
      </c>
      <c r="H287" s="627"/>
      <c r="I287" s="627"/>
      <c r="J287" s="627"/>
      <c r="K287" s="66"/>
      <c r="L287" s="184"/>
      <c r="M287" s="184"/>
      <c r="N287" s="184"/>
      <c r="O287" s="184"/>
      <c r="P287" s="184"/>
      <c r="Q287" s="184"/>
      <c r="R287" s="188"/>
      <c r="S287" s="188"/>
    </row>
    <row r="288" spans="1:19" hidden="1" x14ac:dyDescent="0.2">
      <c r="A288" s="28" t="s">
        <v>9</v>
      </c>
      <c r="B288" s="351">
        <v>30</v>
      </c>
      <c r="C288" s="649" t="s">
        <v>43</v>
      </c>
      <c r="D288" s="650"/>
      <c r="E288" s="351">
        <f>2.5+7.5+5.5</f>
        <v>15.5</v>
      </c>
      <c r="F288" s="29">
        <f>(E288-B288)/B288</f>
        <v>-0.48333333333333334</v>
      </c>
      <c r="G288" s="630" t="s">
        <v>217</v>
      </c>
      <c r="H288" s="631"/>
      <c r="I288" s="631"/>
      <c r="J288" s="632"/>
      <c r="K288" s="66"/>
      <c r="L288" s="184"/>
      <c r="M288" s="184"/>
      <c r="N288" s="184"/>
      <c r="O288" s="184"/>
      <c r="P288" s="184"/>
      <c r="Q288" s="184"/>
      <c r="R288" s="188"/>
      <c r="S288" s="188"/>
    </row>
    <row r="289" spans="1:19" hidden="1" x14ac:dyDescent="0.2">
      <c r="A289" s="28" t="s">
        <v>10</v>
      </c>
      <c r="B289" s="351">
        <v>50</v>
      </c>
      <c r="C289" s="674" t="s">
        <v>43</v>
      </c>
      <c r="D289" s="675"/>
      <c r="E289" s="367">
        <f>9+5+6</f>
        <v>20</v>
      </c>
      <c r="F289" s="29">
        <f>(E289-B289)/B289</f>
        <v>-0.6</v>
      </c>
      <c r="G289" s="630"/>
      <c r="H289" s="631"/>
      <c r="I289" s="631"/>
      <c r="J289" s="632"/>
      <c r="K289" s="66"/>
      <c r="L289" s="184"/>
      <c r="M289" s="184"/>
      <c r="N289" s="184"/>
      <c r="O289" s="184"/>
      <c r="P289" s="184"/>
      <c r="Q289" s="184"/>
      <c r="R289" s="188"/>
      <c r="S289" s="188"/>
    </row>
    <row r="290" spans="1:19" hidden="1" x14ac:dyDescent="0.2">
      <c r="A290" s="28" t="s">
        <v>11</v>
      </c>
      <c r="B290" s="351">
        <v>0</v>
      </c>
      <c r="C290" s="674" t="s">
        <v>43</v>
      </c>
      <c r="D290" s="675"/>
      <c r="E290" s="367">
        <v>0</v>
      </c>
      <c r="F290" s="29">
        <v>0</v>
      </c>
      <c r="G290" s="630"/>
      <c r="H290" s="631"/>
      <c r="I290" s="631"/>
      <c r="J290" s="632"/>
      <c r="K290" s="66"/>
      <c r="L290" s="184"/>
      <c r="M290" s="184"/>
      <c r="N290" s="184"/>
      <c r="O290" s="184"/>
      <c r="P290" s="184"/>
      <c r="Q290" s="184"/>
      <c r="R290" s="188"/>
      <c r="S290" s="188"/>
    </row>
    <row r="291" spans="1:19" hidden="1" x14ac:dyDescent="0.2">
      <c r="A291" s="28" t="s">
        <v>12</v>
      </c>
      <c r="B291" s="351">
        <v>97</v>
      </c>
      <c r="C291" s="628" t="s">
        <v>44</v>
      </c>
      <c r="D291" s="629"/>
      <c r="E291" s="364">
        <f>4.5+4.5+4.25+4.5+8.75+8.75+8.75+8.75+8.75+8.75</f>
        <v>70.25</v>
      </c>
      <c r="F291" s="29">
        <f>(E291-B291)/B291</f>
        <v>-0.27577319587628868</v>
      </c>
      <c r="G291" s="630"/>
      <c r="H291" s="631"/>
      <c r="I291" s="631"/>
      <c r="J291" s="632"/>
      <c r="K291" s="66"/>
      <c r="L291" s="184"/>
      <c r="M291" s="184"/>
      <c r="N291" s="184"/>
      <c r="O291" s="184"/>
      <c r="P291" s="184"/>
      <c r="Q291" s="184"/>
      <c r="R291" s="188"/>
      <c r="S291" s="188"/>
    </row>
    <row r="292" spans="1:19" hidden="1" x14ac:dyDescent="0.2">
      <c r="A292" s="35" t="s">
        <v>15</v>
      </c>
      <c r="B292" s="367">
        <f>SUM(B288:B291)</f>
        <v>177</v>
      </c>
      <c r="C292" s="365"/>
      <c r="D292" s="364"/>
      <c r="E292" s="364">
        <f>SUM(E288:E291)</f>
        <v>105.75</v>
      </c>
      <c r="F292" s="29">
        <f>(E292-B292)/B292</f>
        <v>-0.40254237288135591</v>
      </c>
      <c r="G292" s="630"/>
      <c r="H292" s="631"/>
      <c r="I292" s="631"/>
      <c r="J292" s="632"/>
      <c r="K292" s="66"/>
      <c r="L292" s="184"/>
      <c r="M292" s="184"/>
      <c r="N292" s="184"/>
      <c r="O292" s="184"/>
      <c r="P292" s="184"/>
      <c r="Q292" s="184"/>
      <c r="R292" s="188"/>
      <c r="S292" s="188"/>
    </row>
    <row r="293" spans="1:19" x14ac:dyDescent="0.2">
      <c r="A293" s="39"/>
      <c r="B293" s="366"/>
      <c r="C293" s="84"/>
      <c r="D293" s="366"/>
      <c r="E293" s="366"/>
      <c r="F293" s="40"/>
      <c r="G293" s="366"/>
      <c r="H293" s="366"/>
      <c r="I293" s="366"/>
      <c r="J293" s="366"/>
      <c r="K293" s="66"/>
      <c r="L293" s="184"/>
      <c r="M293" s="184"/>
      <c r="N293" s="184"/>
      <c r="O293" s="184"/>
      <c r="P293" s="184"/>
      <c r="Q293" s="184"/>
      <c r="R293" s="188"/>
      <c r="S293" s="188"/>
    </row>
    <row r="294" spans="1:19" ht="15" customHeight="1" x14ac:dyDescent="0.2">
      <c r="A294" s="665" t="s">
        <v>176</v>
      </c>
      <c r="B294" s="665"/>
      <c r="C294" s="672" t="s">
        <v>141</v>
      </c>
      <c r="D294" s="672" t="s">
        <v>113</v>
      </c>
      <c r="E294" s="50" t="s">
        <v>18</v>
      </c>
      <c r="F294" s="67">
        <v>2</v>
      </c>
      <c r="G294" s="45" t="s">
        <v>16</v>
      </c>
      <c r="H294" s="58">
        <f>B301</f>
        <v>118</v>
      </c>
      <c r="I294" s="45" t="s">
        <v>17</v>
      </c>
      <c r="J294" s="63">
        <f>B301-E301</f>
        <v>41.5</v>
      </c>
      <c r="K294" s="71">
        <f>(E301-B301)/B301</f>
        <v>-0.35169491525423729</v>
      </c>
      <c r="L294" s="356" t="s">
        <v>86</v>
      </c>
      <c r="M294" s="184" t="s">
        <v>65</v>
      </c>
      <c r="N294" s="184" t="s">
        <v>79</v>
      </c>
      <c r="O294" s="184"/>
      <c r="P294" s="184" t="s">
        <v>92</v>
      </c>
      <c r="Q294" s="184" t="s">
        <v>79</v>
      </c>
      <c r="R294" s="188"/>
      <c r="S294" s="188"/>
    </row>
    <row r="295" spans="1:19" hidden="1" x14ac:dyDescent="0.2">
      <c r="A295" s="665"/>
      <c r="B295" s="665"/>
      <c r="C295" s="673"/>
      <c r="D295" s="673"/>
      <c r="E295" s="47"/>
      <c r="F295" s="279"/>
      <c r="G295" s="49"/>
      <c r="H295" s="59"/>
      <c r="I295" s="48"/>
      <c r="J295" s="64"/>
      <c r="K295" s="66"/>
      <c r="L295" s="184"/>
      <c r="M295" s="184"/>
      <c r="N295" s="184"/>
      <c r="O295" s="184"/>
      <c r="P295" s="184"/>
      <c r="Q295" s="184"/>
      <c r="R295" s="188"/>
      <c r="S295" s="188"/>
    </row>
    <row r="296" spans="1:19" ht="22.5" hidden="1" x14ac:dyDescent="0.2">
      <c r="A296" s="34"/>
      <c r="B296" s="33" t="s">
        <v>7</v>
      </c>
      <c r="C296" s="33"/>
      <c r="D296" s="33"/>
      <c r="E296" s="27" t="s">
        <v>8</v>
      </c>
      <c r="F296" s="28"/>
      <c r="G296" s="627" t="s">
        <v>14</v>
      </c>
      <c r="H296" s="627"/>
      <c r="I296" s="627"/>
      <c r="J296" s="627"/>
      <c r="K296" s="66"/>
      <c r="L296" s="184"/>
      <c r="M296" s="184"/>
      <c r="N296" s="184"/>
      <c r="O296" s="184"/>
      <c r="P296" s="184"/>
      <c r="Q296" s="184"/>
      <c r="R296" s="188"/>
      <c r="S296" s="188"/>
    </row>
    <row r="297" spans="1:19" hidden="1" x14ac:dyDescent="0.2">
      <c r="A297" s="28" t="s">
        <v>9</v>
      </c>
      <c r="B297" s="351">
        <v>20</v>
      </c>
      <c r="C297" s="674" t="s">
        <v>43</v>
      </c>
      <c r="D297" s="675"/>
      <c r="E297" s="413">
        <f>4+6+1.5</f>
        <v>11.5</v>
      </c>
      <c r="F297" s="29">
        <f>(E297-B297)/B297</f>
        <v>-0.42499999999999999</v>
      </c>
      <c r="G297" s="630"/>
      <c r="H297" s="631"/>
      <c r="I297" s="631"/>
      <c r="J297" s="632"/>
      <c r="K297" s="66"/>
      <c r="L297" s="184"/>
      <c r="M297" s="184"/>
      <c r="N297" s="184"/>
      <c r="O297" s="184"/>
      <c r="P297" s="184"/>
      <c r="Q297" s="184"/>
      <c r="R297" s="188"/>
      <c r="S297" s="188"/>
    </row>
    <row r="298" spans="1:19" hidden="1" x14ac:dyDescent="0.2">
      <c r="A298" s="28" t="s">
        <v>10</v>
      </c>
      <c r="B298" s="351">
        <v>36</v>
      </c>
      <c r="C298" s="674" t="s">
        <v>43</v>
      </c>
      <c r="D298" s="675"/>
      <c r="E298" s="413">
        <v>24.25</v>
      </c>
      <c r="F298" s="29">
        <f>(E298-B298)/B298</f>
        <v>-0.3263888888888889</v>
      </c>
      <c r="G298" s="630"/>
      <c r="H298" s="631"/>
      <c r="I298" s="631"/>
      <c r="J298" s="632"/>
      <c r="K298" s="66"/>
      <c r="L298" s="184"/>
      <c r="M298" s="184"/>
      <c r="N298" s="184"/>
      <c r="O298" s="184"/>
      <c r="P298" s="184"/>
      <c r="Q298" s="184"/>
      <c r="R298" s="188"/>
      <c r="S298" s="188"/>
    </row>
    <row r="299" spans="1:19" hidden="1" x14ac:dyDescent="0.2">
      <c r="A299" s="28" t="s">
        <v>11</v>
      </c>
      <c r="B299" s="351">
        <v>0</v>
      </c>
      <c r="C299" s="674" t="s">
        <v>43</v>
      </c>
      <c r="D299" s="675"/>
      <c r="E299" s="413">
        <v>0</v>
      </c>
      <c r="F299" s="29">
        <v>0</v>
      </c>
      <c r="G299" s="630"/>
      <c r="H299" s="631"/>
      <c r="I299" s="631"/>
      <c r="J299" s="632"/>
      <c r="K299" s="66"/>
      <c r="L299" s="184"/>
      <c r="M299" s="184"/>
      <c r="N299" s="184"/>
      <c r="O299" s="184"/>
      <c r="P299" s="184"/>
      <c r="Q299" s="184"/>
      <c r="R299" s="188"/>
      <c r="S299" s="188"/>
    </row>
    <row r="300" spans="1:19" hidden="1" x14ac:dyDescent="0.2">
      <c r="A300" s="28" t="s">
        <v>12</v>
      </c>
      <c r="B300" s="351">
        <v>62</v>
      </c>
      <c r="C300" s="674" t="s">
        <v>43</v>
      </c>
      <c r="D300" s="675"/>
      <c r="E300" s="407">
        <v>40.75</v>
      </c>
      <c r="F300" s="29">
        <f>(E300-B300)/B300</f>
        <v>-0.34274193548387094</v>
      </c>
      <c r="G300" s="630"/>
      <c r="H300" s="631"/>
      <c r="I300" s="631"/>
      <c r="J300" s="632"/>
      <c r="K300" s="66"/>
      <c r="L300" s="184"/>
      <c r="M300" s="184"/>
      <c r="N300" s="184"/>
      <c r="O300" s="184"/>
      <c r="P300" s="184"/>
      <c r="Q300" s="184"/>
      <c r="R300" s="188"/>
      <c r="S300" s="188"/>
    </row>
    <row r="301" spans="1:19" hidden="1" x14ac:dyDescent="0.2">
      <c r="A301" s="35" t="s">
        <v>15</v>
      </c>
      <c r="B301" s="413">
        <f>SUM(B297:B300)</f>
        <v>118</v>
      </c>
      <c r="C301" s="409"/>
      <c r="D301" s="407"/>
      <c r="E301" s="407">
        <f>SUM(E297:E300)</f>
        <v>76.5</v>
      </c>
      <c r="F301" s="29">
        <f>(E301-B301)/B301</f>
        <v>-0.35169491525423729</v>
      </c>
      <c r="G301" s="630"/>
      <c r="H301" s="631"/>
      <c r="I301" s="631"/>
      <c r="J301" s="632"/>
      <c r="K301" s="66"/>
      <c r="L301" s="184"/>
      <c r="M301" s="184"/>
      <c r="N301" s="184"/>
      <c r="O301" s="184"/>
      <c r="P301" s="184"/>
      <c r="Q301" s="184"/>
      <c r="R301" s="188"/>
      <c r="S301" s="188"/>
    </row>
    <row r="302" spans="1:19" x14ac:dyDescent="0.2">
      <c r="A302" s="39"/>
      <c r="B302" s="411"/>
      <c r="C302" s="84"/>
      <c r="D302" s="411"/>
      <c r="E302" s="411"/>
      <c r="F302" s="40"/>
      <c r="G302" s="411"/>
      <c r="H302" s="411"/>
      <c r="I302" s="411"/>
      <c r="J302" s="411"/>
      <c r="K302" s="66"/>
      <c r="L302" s="184"/>
      <c r="M302" s="184"/>
      <c r="N302" s="184"/>
      <c r="O302" s="184"/>
      <c r="P302" s="184"/>
      <c r="Q302" s="184"/>
      <c r="R302" s="188"/>
      <c r="S302" s="188"/>
    </row>
    <row r="303" spans="1:19" ht="15" hidden="1" x14ac:dyDescent="0.2">
      <c r="A303" s="680" t="s">
        <v>51</v>
      </c>
      <c r="B303" s="680"/>
      <c r="C303" s="676" t="s">
        <v>141</v>
      </c>
      <c r="D303" s="242" t="s">
        <v>113</v>
      </c>
      <c r="E303" s="50" t="s">
        <v>18</v>
      </c>
      <c r="F303" s="67">
        <v>11</v>
      </c>
      <c r="G303" s="45" t="s">
        <v>16</v>
      </c>
      <c r="H303" s="58">
        <f>B310</f>
        <v>100.5</v>
      </c>
      <c r="I303" s="45" t="s">
        <v>17</v>
      </c>
      <c r="J303" s="63">
        <f>B310-E310</f>
        <v>0</v>
      </c>
      <c r="K303" s="71">
        <f>(E310-B310)/B310</f>
        <v>0</v>
      </c>
      <c r="L303" s="356"/>
      <c r="M303" s="184"/>
      <c r="N303" s="184"/>
      <c r="O303" s="184"/>
      <c r="P303" s="184"/>
      <c r="Q303" s="184"/>
      <c r="R303" s="188"/>
      <c r="S303" s="188"/>
    </row>
    <row r="304" spans="1:19" hidden="1" x14ac:dyDescent="0.2">
      <c r="A304" s="680"/>
      <c r="B304" s="680"/>
      <c r="C304" s="677"/>
      <c r="D304" s="237"/>
      <c r="E304" s="47"/>
      <c r="F304" s="279"/>
      <c r="G304" s="49"/>
      <c r="H304" s="59"/>
      <c r="I304" s="48"/>
      <c r="J304" s="64"/>
      <c r="K304" s="66"/>
      <c r="L304" s="184"/>
      <c r="M304" s="184"/>
      <c r="N304" s="184"/>
      <c r="O304" s="184"/>
      <c r="P304" s="184"/>
      <c r="Q304" s="184"/>
      <c r="R304" s="188"/>
      <c r="S304" s="188"/>
    </row>
    <row r="305" spans="1:19" ht="22.5" hidden="1" x14ac:dyDescent="0.2">
      <c r="A305" s="34"/>
      <c r="B305" s="33" t="s">
        <v>7</v>
      </c>
      <c r="C305" s="33"/>
      <c r="D305" s="33"/>
      <c r="E305" s="27" t="s">
        <v>8</v>
      </c>
      <c r="F305" s="28"/>
      <c r="G305" s="627" t="s">
        <v>14</v>
      </c>
      <c r="H305" s="627"/>
      <c r="I305" s="627"/>
      <c r="J305" s="627"/>
      <c r="K305" s="66"/>
      <c r="L305" s="184"/>
      <c r="M305" s="184"/>
      <c r="N305" s="184"/>
      <c r="O305" s="184"/>
      <c r="P305" s="184"/>
      <c r="Q305" s="184"/>
      <c r="R305" s="188"/>
      <c r="S305" s="188"/>
    </row>
    <row r="306" spans="1:19" hidden="1" x14ac:dyDescent="0.2">
      <c r="A306" s="28" t="s">
        <v>9</v>
      </c>
      <c r="B306" s="31">
        <v>10</v>
      </c>
      <c r="C306" s="628" t="s">
        <v>43</v>
      </c>
      <c r="D306" s="629"/>
      <c r="E306" s="153">
        <f>6+2.5</f>
        <v>8.5</v>
      </c>
      <c r="F306" s="29">
        <f>(E306-B306)/B306</f>
        <v>-0.15</v>
      </c>
      <c r="G306" s="630"/>
      <c r="H306" s="631"/>
      <c r="I306" s="631"/>
      <c r="J306" s="632"/>
      <c r="K306" s="66"/>
      <c r="L306" s="184"/>
      <c r="M306" s="184"/>
      <c r="N306" s="184"/>
      <c r="O306" s="184"/>
      <c r="P306" s="184"/>
      <c r="Q306" s="184"/>
      <c r="R306" s="188"/>
      <c r="S306" s="188"/>
    </row>
    <row r="307" spans="1:19" hidden="1" x14ac:dyDescent="0.2">
      <c r="A307" s="28" t="s">
        <v>10</v>
      </c>
      <c r="B307" s="31">
        <v>10</v>
      </c>
      <c r="C307" s="628" t="s">
        <v>43</v>
      </c>
      <c r="D307" s="629"/>
      <c r="E307" s="153">
        <f>4.25+2.5</f>
        <v>6.75</v>
      </c>
      <c r="F307" s="29">
        <f>(E307-B307)/B307</f>
        <v>-0.32500000000000001</v>
      </c>
      <c r="G307" s="630"/>
      <c r="H307" s="631"/>
      <c r="I307" s="631"/>
      <c r="J307" s="632"/>
      <c r="K307" s="66"/>
      <c r="L307" s="184"/>
      <c r="M307" s="184"/>
      <c r="N307" s="184"/>
      <c r="O307" s="184"/>
      <c r="P307" s="184"/>
      <c r="Q307" s="184"/>
      <c r="R307" s="188"/>
      <c r="S307" s="188"/>
    </row>
    <row r="308" spans="1:19" hidden="1" x14ac:dyDescent="0.2">
      <c r="A308" s="28" t="s">
        <v>11</v>
      </c>
      <c r="B308" s="31">
        <v>8</v>
      </c>
      <c r="C308" s="628" t="s">
        <v>43</v>
      </c>
      <c r="D308" s="629"/>
      <c r="E308" s="153">
        <f>8.5</f>
        <v>8.5</v>
      </c>
      <c r="F308" s="29">
        <f>(E308-B308)/B308</f>
        <v>6.25E-2</v>
      </c>
      <c r="G308" s="630"/>
      <c r="H308" s="631"/>
      <c r="I308" s="631"/>
      <c r="J308" s="632"/>
      <c r="K308" s="66"/>
      <c r="L308" s="184"/>
      <c r="M308" s="184"/>
      <c r="N308" s="184"/>
      <c r="O308" s="184"/>
      <c r="P308" s="184"/>
      <c r="Q308" s="184"/>
      <c r="R308" s="188"/>
      <c r="S308" s="188"/>
    </row>
    <row r="309" spans="1:19" hidden="1" x14ac:dyDescent="0.2">
      <c r="A309" s="28" t="s">
        <v>12</v>
      </c>
      <c r="B309" s="31">
        <v>72.5</v>
      </c>
      <c r="C309" s="628" t="s">
        <v>43</v>
      </c>
      <c r="D309" s="629"/>
      <c r="E309" s="152">
        <f>6.25+8.25+8.25+3+7.75+2.25+8.25+2.25+8.25+8.25+8.25+1+4+0.75</f>
        <v>76.75</v>
      </c>
      <c r="F309" s="29">
        <f>(E309-B309)/B309</f>
        <v>5.8620689655172413E-2</v>
      </c>
      <c r="G309" s="630" t="s">
        <v>187</v>
      </c>
      <c r="H309" s="631"/>
      <c r="I309" s="631"/>
      <c r="J309" s="632"/>
      <c r="K309" s="66"/>
      <c r="L309" s="184"/>
      <c r="M309" s="184"/>
      <c r="N309" s="184"/>
      <c r="O309" s="184"/>
      <c r="P309" s="184"/>
      <c r="Q309" s="184"/>
      <c r="R309" s="188"/>
      <c r="S309" s="188"/>
    </row>
    <row r="310" spans="1:19" hidden="1" x14ac:dyDescent="0.2">
      <c r="A310" s="35" t="s">
        <v>15</v>
      </c>
      <c r="B310" s="153">
        <f>SUM(B306:B309)</f>
        <v>100.5</v>
      </c>
      <c r="C310" s="326"/>
      <c r="D310" s="266"/>
      <c r="E310" s="152">
        <f>SUM(E306:E309)</f>
        <v>100.5</v>
      </c>
      <c r="F310" s="29">
        <f>(E310-B310)/B310</f>
        <v>0</v>
      </c>
      <c r="G310" s="630"/>
      <c r="H310" s="631"/>
      <c r="I310" s="631"/>
      <c r="J310" s="632"/>
      <c r="K310" s="66"/>
      <c r="L310" s="184"/>
      <c r="M310" s="184"/>
      <c r="N310" s="184"/>
      <c r="O310" s="184"/>
      <c r="P310" s="184"/>
      <c r="Q310" s="184"/>
      <c r="R310" s="188"/>
      <c r="S310" s="188"/>
    </row>
    <row r="311" spans="1:19" hidden="1" x14ac:dyDescent="0.2">
      <c r="A311" s="39"/>
      <c r="B311" s="36"/>
      <c r="C311" s="84"/>
      <c r="D311" s="36"/>
      <c r="E311" s="36"/>
      <c r="F311" s="40"/>
      <c r="G311" s="36"/>
      <c r="H311" s="36"/>
      <c r="I311" s="36"/>
      <c r="J311" s="36"/>
      <c r="K311" s="66"/>
      <c r="L311" s="184"/>
      <c r="M311" s="184"/>
      <c r="N311" s="184"/>
      <c r="O311" s="184"/>
      <c r="P311" s="184"/>
      <c r="Q311" s="184"/>
      <c r="R311" s="188"/>
      <c r="S311" s="188"/>
    </row>
    <row r="312" spans="1:19" ht="12.75" hidden="1" customHeight="1" x14ac:dyDescent="0.2">
      <c r="A312" s="656" t="s">
        <v>51</v>
      </c>
      <c r="B312" s="656"/>
      <c r="C312" s="666" t="s">
        <v>141</v>
      </c>
      <c r="D312" s="239" t="s">
        <v>113</v>
      </c>
      <c r="E312" s="50" t="s">
        <v>18</v>
      </c>
      <c r="F312" s="67">
        <v>3</v>
      </c>
      <c r="G312" s="45" t="s">
        <v>16</v>
      </c>
      <c r="H312" s="58">
        <f>B319</f>
        <v>15</v>
      </c>
      <c r="I312" s="45" t="s">
        <v>17</v>
      </c>
      <c r="J312" s="63">
        <f>B319-E319</f>
        <v>-1.5</v>
      </c>
      <c r="K312" s="71">
        <f>(E319-B319)/B319</f>
        <v>0.1</v>
      </c>
      <c r="L312" s="356"/>
      <c r="M312" s="184"/>
      <c r="N312" s="184"/>
      <c r="O312" s="184"/>
      <c r="P312" s="184"/>
      <c r="Q312" s="184"/>
      <c r="R312" s="188"/>
      <c r="S312" s="188"/>
    </row>
    <row r="313" spans="1:19" ht="12.75" hidden="1" customHeight="1" x14ac:dyDescent="0.2">
      <c r="A313" s="656"/>
      <c r="B313" s="656"/>
      <c r="C313" s="667"/>
      <c r="D313" s="236"/>
      <c r="E313" s="47"/>
      <c r="F313" s="279"/>
      <c r="G313" s="49"/>
      <c r="H313" s="59"/>
      <c r="I313" s="48"/>
      <c r="J313" s="64"/>
      <c r="K313" s="66"/>
      <c r="L313" s="184"/>
      <c r="M313" s="184"/>
      <c r="N313" s="184"/>
      <c r="O313" s="184"/>
      <c r="P313" s="184"/>
      <c r="Q313" s="184"/>
      <c r="R313" s="188"/>
      <c r="S313" s="188"/>
    </row>
    <row r="314" spans="1:19" ht="22.5" hidden="1" x14ac:dyDescent="0.2">
      <c r="A314" s="34"/>
      <c r="B314" s="33" t="s">
        <v>7</v>
      </c>
      <c r="C314" s="33"/>
      <c r="D314" s="33"/>
      <c r="E314" s="27" t="s">
        <v>8</v>
      </c>
      <c r="F314" s="28"/>
      <c r="G314" s="627" t="s">
        <v>14</v>
      </c>
      <c r="H314" s="627"/>
      <c r="I314" s="627"/>
      <c r="J314" s="627"/>
      <c r="K314" s="66"/>
      <c r="L314" s="184"/>
      <c r="M314" s="184"/>
      <c r="N314" s="184"/>
      <c r="O314" s="184"/>
      <c r="P314" s="184"/>
      <c r="Q314" s="184"/>
      <c r="R314" s="188"/>
      <c r="S314" s="188"/>
    </row>
    <row r="315" spans="1:19" hidden="1" x14ac:dyDescent="0.2">
      <c r="A315" s="28" t="s">
        <v>9</v>
      </c>
      <c r="B315" s="31">
        <v>1.5</v>
      </c>
      <c r="C315" s="628" t="s">
        <v>43</v>
      </c>
      <c r="D315" s="629"/>
      <c r="E315" s="165">
        <v>0.5</v>
      </c>
      <c r="F315" s="29">
        <f>(E315-B315)/B315</f>
        <v>-0.66666666666666663</v>
      </c>
      <c r="G315" s="630"/>
      <c r="H315" s="631"/>
      <c r="I315" s="631"/>
      <c r="J315" s="632"/>
      <c r="K315" s="66"/>
      <c r="L315" s="184"/>
      <c r="M315" s="184"/>
      <c r="N315" s="184"/>
      <c r="O315" s="184"/>
      <c r="P315" s="184"/>
      <c r="Q315" s="184"/>
      <c r="R315" s="188"/>
      <c r="S315" s="188"/>
    </row>
    <row r="316" spans="1:19" hidden="1" x14ac:dyDescent="0.2">
      <c r="A316" s="28" t="s">
        <v>10</v>
      </c>
      <c r="B316" s="31">
        <v>1.5</v>
      </c>
      <c r="C316" s="628" t="s">
        <v>43</v>
      </c>
      <c r="D316" s="629"/>
      <c r="E316" s="165">
        <v>2</v>
      </c>
      <c r="F316" s="29">
        <f>(E316-B316)/B316</f>
        <v>0.33333333333333331</v>
      </c>
      <c r="G316" s="630"/>
      <c r="H316" s="631"/>
      <c r="I316" s="631"/>
      <c r="J316" s="632"/>
      <c r="K316" s="66"/>
      <c r="L316" s="184"/>
      <c r="M316" s="184"/>
      <c r="N316" s="184"/>
      <c r="O316" s="184"/>
      <c r="P316" s="184"/>
      <c r="Q316" s="184"/>
      <c r="R316" s="188"/>
      <c r="S316" s="188"/>
    </row>
    <row r="317" spans="1:19" hidden="1" x14ac:dyDescent="0.2">
      <c r="A317" s="28" t="s">
        <v>11</v>
      </c>
      <c r="B317" s="31">
        <v>1</v>
      </c>
      <c r="C317" s="628" t="s">
        <v>43</v>
      </c>
      <c r="D317" s="629"/>
      <c r="E317" s="165">
        <v>0</v>
      </c>
      <c r="F317" s="29">
        <f>(E317-B317)/B317</f>
        <v>-1</v>
      </c>
      <c r="G317" s="630"/>
      <c r="H317" s="631"/>
      <c r="I317" s="631"/>
      <c r="J317" s="632"/>
      <c r="K317" s="66"/>
      <c r="L317" s="184"/>
      <c r="M317" s="184"/>
      <c r="N317" s="184"/>
      <c r="O317" s="184"/>
      <c r="P317" s="184"/>
      <c r="Q317" s="184"/>
      <c r="R317" s="188"/>
      <c r="S317" s="188"/>
    </row>
    <row r="318" spans="1:19" hidden="1" x14ac:dyDescent="0.2">
      <c r="A318" s="28" t="s">
        <v>12</v>
      </c>
      <c r="B318" s="31">
        <v>11</v>
      </c>
      <c r="C318" s="628" t="s">
        <v>43</v>
      </c>
      <c r="D318" s="629"/>
      <c r="E318" s="164">
        <f>5+8+1</f>
        <v>14</v>
      </c>
      <c r="F318" s="29">
        <f>(E318-B318)/B318</f>
        <v>0.27272727272727271</v>
      </c>
      <c r="G318" s="630"/>
      <c r="H318" s="631"/>
      <c r="I318" s="631"/>
      <c r="J318" s="632"/>
      <c r="K318" s="66"/>
      <c r="L318" s="184"/>
      <c r="M318" s="184"/>
      <c r="N318" s="184"/>
      <c r="O318" s="184"/>
      <c r="P318" s="184"/>
      <c r="Q318" s="184"/>
      <c r="R318" s="188"/>
      <c r="S318" s="188"/>
    </row>
    <row r="319" spans="1:19" hidden="1" x14ac:dyDescent="0.2">
      <c r="A319" s="35" t="s">
        <v>15</v>
      </c>
      <c r="B319" s="165">
        <f>SUM(B315:B318)</f>
        <v>15</v>
      </c>
      <c r="C319" s="326"/>
      <c r="D319" s="266"/>
      <c r="E319" s="164">
        <f>SUM(E315:E318)</f>
        <v>16.5</v>
      </c>
      <c r="F319" s="29">
        <f>(E319-B319)/B319</f>
        <v>0.1</v>
      </c>
      <c r="G319" s="630"/>
      <c r="H319" s="631"/>
      <c r="I319" s="631"/>
      <c r="J319" s="632"/>
      <c r="K319" s="66"/>
      <c r="L319" s="184"/>
      <c r="M319" s="184"/>
      <c r="N319" s="184"/>
      <c r="O319" s="184"/>
      <c r="P319" s="184"/>
      <c r="Q319" s="184"/>
      <c r="R319" s="188"/>
      <c r="S319" s="188"/>
    </row>
    <row r="320" spans="1:19" hidden="1" x14ac:dyDescent="0.2">
      <c r="A320" s="39"/>
      <c r="B320" s="36"/>
      <c r="C320" s="84"/>
      <c r="D320" s="36"/>
      <c r="E320" s="36"/>
      <c r="F320" s="40"/>
      <c r="G320" s="36"/>
      <c r="H320" s="36"/>
      <c r="I320" s="36"/>
      <c r="J320" s="36"/>
      <c r="K320" s="66"/>
      <c r="L320" s="184"/>
      <c r="M320" s="184"/>
      <c r="N320" s="184"/>
      <c r="O320" s="184"/>
      <c r="P320" s="184"/>
      <c r="Q320" s="184"/>
      <c r="R320" s="188"/>
      <c r="S320" s="188"/>
    </row>
    <row r="321" spans="1:19" ht="12.75" hidden="1" customHeight="1" x14ac:dyDescent="0.2">
      <c r="A321" s="680" t="s">
        <v>53</v>
      </c>
      <c r="B321" s="680"/>
      <c r="C321" s="676" t="s">
        <v>141</v>
      </c>
      <c r="D321" s="242" t="s">
        <v>113</v>
      </c>
      <c r="E321" s="50" t="s">
        <v>18</v>
      </c>
      <c r="F321" s="67">
        <v>19</v>
      </c>
      <c r="G321" s="45" t="s">
        <v>16</v>
      </c>
      <c r="H321" s="58">
        <f>B328</f>
        <v>202</v>
      </c>
      <c r="I321" s="45" t="s">
        <v>17</v>
      </c>
      <c r="J321" s="63">
        <f>B328-E328</f>
        <v>-98</v>
      </c>
      <c r="K321" s="71">
        <f>(E328-B328)/B328</f>
        <v>0.48514851485148514</v>
      </c>
      <c r="L321" s="356"/>
      <c r="M321" s="184"/>
      <c r="N321" s="184"/>
      <c r="O321" s="184"/>
      <c r="P321" s="184"/>
      <c r="Q321" s="184"/>
      <c r="R321" s="188"/>
      <c r="S321" s="188"/>
    </row>
    <row r="322" spans="1:19" ht="12.75" hidden="1" customHeight="1" x14ac:dyDescent="0.2">
      <c r="A322" s="680"/>
      <c r="B322" s="680"/>
      <c r="C322" s="677"/>
      <c r="D322" s="158"/>
      <c r="E322" s="47"/>
      <c r="F322" s="279"/>
      <c r="G322" s="49"/>
      <c r="H322" s="59"/>
      <c r="I322" s="48"/>
      <c r="J322" s="64"/>
      <c r="K322" s="66"/>
      <c r="L322" s="184"/>
      <c r="M322" s="184"/>
      <c r="N322" s="184"/>
      <c r="O322" s="184"/>
      <c r="P322" s="184"/>
      <c r="Q322" s="184"/>
      <c r="R322" s="188"/>
      <c r="S322" s="188"/>
    </row>
    <row r="323" spans="1:19" ht="22.5" hidden="1" x14ac:dyDescent="0.2">
      <c r="A323" s="34"/>
      <c r="B323" s="33" t="s">
        <v>7</v>
      </c>
      <c r="C323" s="33"/>
      <c r="D323" s="33"/>
      <c r="E323" s="27" t="s">
        <v>8</v>
      </c>
      <c r="F323" s="28"/>
      <c r="G323" s="627" t="s">
        <v>14</v>
      </c>
      <c r="H323" s="627"/>
      <c r="I323" s="627"/>
      <c r="J323" s="627"/>
      <c r="K323" s="66"/>
      <c r="L323" s="184"/>
      <c r="M323" s="184"/>
      <c r="N323" s="184"/>
      <c r="O323" s="184"/>
      <c r="P323" s="184"/>
      <c r="Q323" s="184"/>
      <c r="R323" s="188"/>
      <c r="S323" s="188"/>
    </row>
    <row r="324" spans="1:19" hidden="1" x14ac:dyDescent="0.2">
      <c r="A324" s="28" t="s">
        <v>9</v>
      </c>
      <c r="B324" s="31">
        <v>20</v>
      </c>
      <c r="C324" s="628" t="s">
        <v>43</v>
      </c>
      <c r="D324" s="629"/>
      <c r="E324" s="168">
        <f>0.5+4.25+5+4</f>
        <v>13.75</v>
      </c>
      <c r="F324" s="29">
        <f>(E324-B324)/B324</f>
        <v>-0.3125</v>
      </c>
      <c r="G324" s="630"/>
      <c r="H324" s="631"/>
      <c r="I324" s="631"/>
      <c r="J324" s="632"/>
      <c r="K324" s="66"/>
      <c r="L324" s="184"/>
      <c r="M324" s="184"/>
      <c r="N324" s="184"/>
      <c r="O324" s="184"/>
      <c r="P324" s="184"/>
      <c r="Q324" s="184"/>
      <c r="R324" s="188"/>
      <c r="S324" s="188"/>
    </row>
    <row r="325" spans="1:19" hidden="1" x14ac:dyDescent="0.2">
      <c r="A325" s="28" t="s">
        <v>10</v>
      </c>
      <c r="B325" s="31">
        <v>20</v>
      </c>
      <c r="C325" s="628" t="s">
        <v>43</v>
      </c>
      <c r="D325" s="629"/>
      <c r="E325" s="168">
        <f>1.5+3+2+6.25+8.25</f>
        <v>21</v>
      </c>
      <c r="F325" s="29">
        <f>(E325-B325)/B325</f>
        <v>0.05</v>
      </c>
      <c r="G325" s="630"/>
      <c r="H325" s="631"/>
      <c r="I325" s="631"/>
      <c r="J325" s="632"/>
      <c r="K325" s="66"/>
      <c r="L325" s="184"/>
      <c r="M325" s="184"/>
      <c r="N325" s="184"/>
      <c r="O325" s="184"/>
      <c r="P325" s="184"/>
      <c r="Q325" s="184"/>
      <c r="R325" s="188"/>
      <c r="S325" s="188"/>
    </row>
    <row r="326" spans="1:19" hidden="1" x14ac:dyDescent="0.2">
      <c r="A326" s="28" t="s">
        <v>11</v>
      </c>
      <c r="B326" s="31">
        <v>16</v>
      </c>
      <c r="C326" s="628" t="s">
        <v>43</v>
      </c>
      <c r="D326" s="629"/>
      <c r="E326" s="168">
        <f>2+2+8.25+8.25+5.25+3.25+5+5+5+8.25+8.25+8.25+1.25+1+2.5</f>
        <v>73.5</v>
      </c>
      <c r="F326" s="29">
        <f>(E326-B326)/B326</f>
        <v>3.59375</v>
      </c>
      <c r="G326" s="630"/>
      <c r="H326" s="631"/>
      <c r="I326" s="631"/>
      <c r="J326" s="632"/>
      <c r="K326" s="66"/>
      <c r="L326" s="184"/>
      <c r="M326" s="184"/>
      <c r="N326" s="184"/>
      <c r="O326" s="184"/>
      <c r="P326" s="184"/>
      <c r="Q326" s="184"/>
      <c r="R326" s="188"/>
      <c r="S326" s="188"/>
    </row>
    <row r="327" spans="1:19" hidden="1" x14ac:dyDescent="0.2">
      <c r="A327" s="28" t="s">
        <v>12</v>
      </c>
      <c r="B327" s="31">
        <v>146</v>
      </c>
      <c r="C327" s="628" t="s">
        <v>43</v>
      </c>
      <c r="D327" s="629"/>
      <c r="E327" s="167">
        <f>4.75+3.25+5.25+2+5+5+5+5+5+7.25+7.25+5.5+8.25+8.25+7.75+8.25+7.5+8.25+8.25+7.5+8.25+8.25+5+4.5+4.75+7.25+8.25+4.5+8.25+8.5</f>
        <v>191.75</v>
      </c>
      <c r="F327" s="29">
        <f>(E327-B327)/B327</f>
        <v>0.31335616438356162</v>
      </c>
      <c r="G327" s="630" t="s">
        <v>158</v>
      </c>
      <c r="H327" s="631"/>
      <c r="I327" s="631"/>
      <c r="J327" s="632"/>
      <c r="K327" s="66"/>
      <c r="L327" s="184"/>
      <c r="M327" s="184"/>
      <c r="N327" s="184"/>
      <c r="O327" s="184"/>
      <c r="P327" s="184"/>
      <c r="Q327" s="184"/>
      <c r="R327" s="188"/>
      <c r="S327" s="188"/>
    </row>
    <row r="328" spans="1:19" hidden="1" x14ac:dyDescent="0.2">
      <c r="A328" s="35" t="s">
        <v>15</v>
      </c>
      <c r="B328" s="168">
        <f>SUM(B324:B327)</f>
        <v>202</v>
      </c>
      <c r="C328" s="326"/>
      <c r="D328" s="266"/>
      <c r="E328" s="167">
        <f>SUM(E324:E327)</f>
        <v>300</v>
      </c>
      <c r="F328" s="29">
        <f>(E328-B328)/B328</f>
        <v>0.48514851485148514</v>
      </c>
      <c r="G328" s="630"/>
      <c r="H328" s="631"/>
      <c r="I328" s="631"/>
      <c r="J328" s="632"/>
      <c r="K328" s="66"/>
      <c r="L328" s="184"/>
      <c r="M328" s="184"/>
      <c r="N328" s="184"/>
      <c r="O328" s="184"/>
      <c r="P328" s="184"/>
      <c r="Q328" s="184"/>
      <c r="R328" s="188"/>
      <c r="S328" s="188"/>
    </row>
    <row r="329" spans="1:19" hidden="1" x14ac:dyDescent="0.2">
      <c r="A329" s="39"/>
      <c r="B329" s="36"/>
      <c r="C329" s="84"/>
      <c r="D329" s="36"/>
      <c r="E329" s="36"/>
      <c r="F329" s="40"/>
      <c r="G329" s="36"/>
      <c r="H329" s="36"/>
      <c r="I329" s="36"/>
      <c r="J329" s="36"/>
      <c r="K329" s="66"/>
      <c r="L329" s="184"/>
      <c r="M329" s="184"/>
      <c r="N329" s="184"/>
      <c r="O329" s="184"/>
      <c r="P329" s="184"/>
      <c r="Q329" s="184"/>
      <c r="R329" s="188"/>
      <c r="S329" s="188"/>
    </row>
    <row r="330" spans="1:19" ht="12.75" hidden="1" customHeight="1" x14ac:dyDescent="0.2">
      <c r="A330" s="656" t="s">
        <v>54</v>
      </c>
      <c r="B330" s="656"/>
      <c r="C330" s="666" t="s">
        <v>141</v>
      </c>
      <c r="D330" s="239" t="s">
        <v>113</v>
      </c>
      <c r="E330" s="50" t="s">
        <v>18</v>
      </c>
      <c r="F330" s="67">
        <v>19</v>
      </c>
      <c r="G330" s="45" t="s">
        <v>16</v>
      </c>
      <c r="H330" s="58">
        <f>B337</f>
        <v>206.4</v>
      </c>
      <c r="I330" s="45" t="s">
        <v>17</v>
      </c>
      <c r="J330" s="63">
        <f>B337-E337</f>
        <v>19.150000000000006</v>
      </c>
      <c r="K330" s="71">
        <f>(E337-B337)/B337</f>
        <v>-9.2781007751938011E-2</v>
      </c>
      <c r="L330" s="356"/>
      <c r="M330" s="184"/>
      <c r="N330" s="184"/>
      <c r="O330" s="184"/>
      <c r="P330" s="184"/>
      <c r="Q330" s="184"/>
      <c r="R330" s="188"/>
      <c r="S330" s="188"/>
    </row>
    <row r="331" spans="1:19" ht="12.75" hidden="1" customHeight="1" x14ac:dyDescent="0.2">
      <c r="A331" s="656"/>
      <c r="B331" s="656"/>
      <c r="C331" s="667"/>
      <c r="D331" s="236"/>
      <c r="E331" s="47"/>
      <c r="F331" s="279"/>
      <c r="G331" s="49"/>
      <c r="H331" s="59"/>
      <c r="I331" s="48"/>
      <c r="J331" s="64"/>
      <c r="K331" s="66"/>
      <c r="L331" s="184"/>
      <c r="M331" s="184"/>
      <c r="N331" s="184"/>
      <c r="O331" s="184"/>
      <c r="P331" s="184"/>
      <c r="Q331" s="184"/>
      <c r="R331" s="188"/>
      <c r="S331" s="188"/>
    </row>
    <row r="332" spans="1:19" ht="22.5" hidden="1" x14ac:dyDescent="0.2">
      <c r="A332" s="34"/>
      <c r="B332" s="33" t="s">
        <v>7</v>
      </c>
      <c r="C332" s="33"/>
      <c r="D332" s="33"/>
      <c r="E332" s="27" t="s">
        <v>8</v>
      </c>
      <c r="F332" s="28"/>
      <c r="G332" s="627" t="s">
        <v>14</v>
      </c>
      <c r="H332" s="627"/>
      <c r="I332" s="627"/>
      <c r="J332" s="627"/>
      <c r="K332" s="66"/>
      <c r="L332" s="184"/>
      <c r="M332" s="184"/>
      <c r="N332" s="184"/>
      <c r="O332" s="184"/>
      <c r="P332" s="184"/>
      <c r="Q332" s="184"/>
      <c r="R332" s="188"/>
      <c r="S332" s="188"/>
    </row>
    <row r="333" spans="1:19" hidden="1" x14ac:dyDescent="0.2">
      <c r="A333" s="28" t="s">
        <v>9</v>
      </c>
      <c r="B333" s="31">
        <v>21.6</v>
      </c>
      <c r="C333" s="628" t="s">
        <v>43</v>
      </c>
      <c r="D333" s="629"/>
      <c r="E333" s="168">
        <f>0.5+6.25+7.75+2</f>
        <v>16.5</v>
      </c>
      <c r="F333" s="29">
        <f>(E333-B333)/B333</f>
        <v>-0.23611111111111116</v>
      </c>
      <c r="G333" s="630"/>
      <c r="H333" s="631"/>
      <c r="I333" s="631"/>
      <c r="J333" s="632"/>
      <c r="K333" s="66"/>
      <c r="L333" s="184"/>
      <c r="M333" s="184"/>
      <c r="N333" s="184"/>
      <c r="O333" s="184"/>
      <c r="P333" s="184"/>
      <c r="Q333" s="184"/>
      <c r="R333" s="188"/>
      <c r="S333" s="188"/>
    </row>
    <row r="334" spans="1:19" hidden="1" x14ac:dyDescent="0.2">
      <c r="A334" s="28" t="s">
        <v>10</v>
      </c>
      <c r="B334" s="31">
        <v>21.6</v>
      </c>
      <c r="C334" s="628" t="s">
        <v>43</v>
      </c>
      <c r="D334" s="629"/>
      <c r="E334" s="168">
        <f>2+1+5</f>
        <v>8</v>
      </c>
      <c r="F334" s="29">
        <f>(E334-B334)/B334</f>
        <v>-0.62962962962962965</v>
      </c>
      <c r="G334" s="630"/>
      <c r="H334" s="631"/>
      <c r="I334" s="631"/>
      <c r="J334" s="632"/>
      <c r="K334" s="66"/>
      <c r="L334" s="184"/>
      <c r="M334" s="184"/>
      <c r="N334" s="184"/>
      <c r="O334" s="184"/>
      <c r="P334" s="184"/>
      <c r="Q334" s="184"/>
      <c r="R334" s="188"/>
      <c r="S334" s="188"/>
    </row>
    <row r="335" spans="1:19" hidden="1" x14ac:dyDescent="0.2">
      <c r="A335" s="28" t="s">
        <v>11</v>
      </c>
      <c r="B335" s="31">
        <v>17.2</v>
      </c>
      <c r="C335" s="628" t="s">
        <v>43</v>
      </c>
      <c r="D335" s="629"/>
      <c r="E335" s="168">
        <f>1+8.25+8.25+8.25+8.25+8.25+5+2</f>
        <v>49.25</v>
      </c>
      <c r="F335" s="29">
        <f>(E335-B335)/B335</f>
        <v>1.8633720930232558</v>
      </c>
      <c r="G335" s="630"/>
      <c r="H335" s="631"/>
      <c r="I335" s="631"/>
      <c r="J335" s="632"/>
      <c r="K335" s="66"/>
      <c r="L335" s="184"/>
      <c r="M335" s="184"/>
      <c r="N335" s="184"/>
      <c r="O335" s="184"/>
      <c r="P335" s="184"/>
      <c r="Q335" s="184"/>
      <c r="R335" s="188"/>
      <c r="S335" s="188"/>
    </row>
    <row r="336" spans="1:19" hidden="1" x14ac:dyDescent="0.2">
      <c r="A336" s="28" t="s">
        <v>12</v>
      </c>
      <c r="B336" s="31">
        <v>146</v>
      </c>
      <c r="C336" s="628" t="s">
        <v>43</v>
      </c>
      <c r="D336" s="629"/>
      <c r="E336" s="167">
        <f>8.25+2.25+2+5+9.25+1+8.25+9.25+8.25+7.75+5.75+6.25+5.25+5.75+6+8.75+8.75+4+0.75+1</f>
        <v>113.5</v>
      </c>
      <c r="F336" s="29">
        <f>(E336-B336)/B336</f>
        <v>-0.2226027397260274</v>
      </c>
      <c r="G336" s="630"/>
      <c r="H336" s="631"/>
      <c r="I336" s="631"/>
      <c r="J336" s="632"/>
      <c r="K336" s="66"/>
      <c r="L336" s="184"/>
      <c r="M336" s="184"/>
      <c r="N336" s="184"/>
      <c r="O336" s="184"/>
      <c r="P336" s="184"/>
      <c r="Q336" s="184"/>
      <c r="R336" s="188"/>
      <c r="S336" s="188"/>
    </row>
    <row r="337" spans="1:19" hidden="1" x14ac:dyDescent="0.2">
      <c r="A337" s="35" t="s">
        <v>15</v>
      </c>
      <c r="B337" s="168">
        <f>SUM(B333:B336)</f>
        <v>206.4</v>
      </c>
      <c r="C337" s="326"/>
      <c r="D337" s="266"/>
      <c r="E337" s="167">
        <f>SUM(E333:E336)</f>
        <v>187.25</v>
      </c>
      <c r="F337" s="29">
        <f>(E337-B337)/B337</f>
        <v>-9.2781007751938011E-2</v>
      </c>
      <c r="G337" s="630"/>
      <c r="H337" s="631"/>
      <c r="I337" s="631"/>
      <c r="J337" s="632"/>
      <c r="K337" s="66"/>
      <c r="L337" s="184"/>
      <c r="M337" s="184"/>
      <c r="N337" s="184"/>
      <c r="O337" s="184"/>
      <c r="P337" s="184"/>
      <c r="Q337" s="184"/>
      <c r="R337" s="188"/>
      <c r="S337" s="188"/>
    </row>
    <row r="338" spans="1:19" hidden="1" x14ac:dyDescent="0.2">
      <c r="A338" s="39"/>
      <c r="B338" s="36"/>
      <c r="C338" s="84"/>
      <c r="D338" s="36"/>
      <c r="E338" s="36"/>
      <c r="F338" s="40"/>
      <c r="G338" s="36"/>
      <c r="H338" s="36"/>
      <c r="I338" s="36"/>
      <c r="J338" s="36"/>
      <c r="K338" s="66"/>
      <c r="L338" s="184"/>
      <c r="M338" s="184"/>
      <c r="N338" s="184"/>
      <c r="O338" s="184"/>
      <c r="P338" s="184"/>
      <c r="Q338" s="184"/>
      <c r="R338" s="188"/>
      <c r="S338" s="188"/>
    </row>
    <row r="339" spans="1:19" ht="12.75" hidden="1" customHeight="1" x14ac:dyDescent="0.2">
      <c r="A339" s="680" t="s">
        <v>63</v>
      </c>
      <c r="B339" s="680"/>
      <c r="C339" s="676" t="s">
        <v>141</v>
      </c>
      <c r="D339" s="273" t="s">
        <v>113</v>
      </c>
      <c r="E339" s="50" t="s">
        <v>18</v>
      </c>
      <c r="F339" s="67">
        <v>19</v>
      </c>
      <c r="G339" s="45" t="s">
        <v>16</v>
      </c>
      <c r="H339" s="58">
        <f>B346</f>
        <v>118</v>
      </c>
      <c r="I339" s="45" t="s">
        <v>17</v>
      </c>
      <c r="J339" s="63">
        <f>B346-E346</f>
        <v>-16</v>
      </c>
      <c r="K339" s="71">
        <f>(E346-B346)/B346</f>
        <v>0.13559322033898305</v>
      </c>
      <c r="L339" s="356"/>
      <c r="M339" s="184"/>
      <c r="N339" s="184"/>
      <c r="O339" s="184"/>
      <c r="P339" s="184" t="s">
        <v>68</v>
      </c>
      <c r="Q339" s="184"/>
      <c r="R339" s="188"/>
      <c r="S339" s="188"/>
    </row>
    <row r="340" spans="1:19" ht="12.75" hidden="1" customHeight="1" x14ac:dyDescent="0.2">
      <c r="A340" s="680"/>
      <c r="B340" s="680"/>
      <c r="C340" s="677"/>
      <c r="D340" s="158"/>
      <c r="E340" s="47"/>
      <c r="F340" s="279"/>
      <c r="G340" s="49"/>
      <c r="H340" s="59"/>
      <c r="I340" s="48"/>
      <c r="J340" s="64"/>
      <c r="K340" s="66"/>
      <c r="L340" s="184"/>
      <c r="M340" s="184"/>
      <c r="N340" s="184"/>
      <c r="O340" s="184"/>
      <c r="P340" s="184"/>
      <c r="Q340" s="184"/>
      <c r="R340" s="188"/>
      <c r="S340" s="188"/>
    </row>
    <row r="341" spans="1:19" ht="22.5" hidden="1" x14ac:dyDescent="0.2">
      <c r="A341" s="34"/>
      <c r="B341" s="33" t="s">
        <v>7</v>
      </c>
      <c r="C341" s="33"/>
      <c r="D341" s="33"/>
      <c r="E341" s="27" t="s">
        <v>8</v>
      </c>
      <c r="F341" s="28"/>
      <c r="G341" s="627" t="s">
        <v>14</v>
      </c>
      <c r="H341" s="627"/>
      <c r="I341" s="627"/>
      <c r="J341" s="627"/>
      <c r="K341" s="66"/>
      <c r="L341" s="184"/>
      <c r="M341" s="184"/>
      <c r="N341" s="184"/>
      <c r="O341" s="184"/>
      <c r="P341" s="184"/>
      <c r="Q341" s="184"/>
      <c r="R341" s="188"/>
      <c r="S341" s="188"/>
    </row>
    <row r="342" spans="1:19" hidden="1" x14ac:dyDescent="0.2">
      <c r="A342" s="28" t="s">
        <v>9</v>
      </c>
      <c r="B342" s="31">
        <v>17.2</v>
      </c>
      <c r="C342" s="628" t="s">
        <v>43</v>
      </c>
      <c r="D342" s="629"/>
      <c r="E342" s="181">
        <f>7.75+8.25</f>
        <v>16</v>
      </c>
      <c r="F342" s="29">
        <f>(E342-B342)/B342</f>
        <v>-6.9767441860465074E-2</v>
      </c>
      <c r="G342" s="630"/>
      <c r="H342" s="631"/>
      <c r="I342" s="631"/>
      <c r="J342" s="632"/>
      <c r="K342" s="66"/>
      <c r="L342" s="184"/>
      <c r="M342" s="184"/>
      <c r="N342" s="184"/>
      <c r="O342" s="184"/>
      <c r="P342" s="184"/>
      <c r="Q342" s="184"/>
      <c r="R342" s="188"/>
      <c r="S342" s="188"/>
    </row>
    <row r="343" spans="1:19" hidden="1" x14ac:dyDescent="0.2">
      <c r="A343" s="28" t="s">
        <v>10</v>
      </c>
      <c r="B343" s="31">
        <v>17.2</v>
      </c>
      <c r="C343" s="628" t="s">
        <v>43</v>
      </c>
      <c r="D343" s="629"/>
      <c r="E343" s="181">
        <v>7</v>
      </c>
      <c r="F343" s="29">
        <f>(E343-B343)/B343</f>
        <v>-0.59302325581395343</v>
      </c>
      <c r="G343" s="630"/>
      <c r="H343" s="631"/>
      <c r="I343" s="631"/>
      <c r="J343" s="632"/>
      <c r="K343" s="66"/>
      <c r="L343" s="184"/>
      <c r="M343" s="184"/>
      <c r="N343" s="184"/>
      <c r="O343" s="184"/>
      <c r="P343" s="184"/>
      <c r="Q343" s="184"/>
      <c r="R343" s="188"/>
      <c r="S343" s="188"/>
    </row>
    <row r="344" spans="1:19" hidden="1" x14ac:dyDescent="0.2">
      <c r="A344" s="28" t="s">
        <v>11</v>
      </c>
      <c r="B344" s="31">
        <v>5.2</v>
      </c>
      <c r="C344" s="628" t="s">
        <v>43</v>
      </c>
      <c r="D344" s="629"/>
      <c r="E344" s="181">
        <f>3.5+4.75+5</f>
        <v>13.25</v>
      </c>
      <c r="F344" s="29">
        <f>(E344-B344)/B344</f>
        <v>1.5480769230769231</v>
      </c>
      <c r="G344" s="630"/>
      <c r="H344" s="631"/>
      <c r="I344" s="631"/>
      <c r="J344" s="632"/>
      <c r="K344" s="66"/>
      <c r="L344" s="184"/>
      <c r="M344" s="184"/>
      <c r="N344" s="184"/>
      <c r="O344" s="184"/>
      <c r="P344" s="184"/>
      <c r="Q344" s="184"/>
      <c r="R344" s="188"/>
      <c r="S344" s="188"/>
    </row>
    <row r="345" spans="1:19" hidden="1" x14ac:dyDescent="0.2">
      <c r="A345" s="28" t="s">
        <v>12</v>
      </c>
      <c r="B345" s="31">
        <v>78.400000000000006</v>
      </c>
      <c r="C345" s="628" t="s">
        <v>43</v>
      </c>
      <c r="D345" s="629"/>
      <c r="E345" s="180">
        <f>1+28.25+8.25+2.25+8.25+9.25+8.25+3.75+3.75+5+5+5+1.5+0.75+2.5+2.5+2.5</f>
        <v>97.75</v>
      </c>
      <c r="F345" s="29">
        <f>(E345-B345)/B345</f>
        <v>0.24681122448979584</v>
      </c>
      <c r="G345" s="630"/>
      <c r="H345" s="631"/>
      <c r="I345" s="631"/>
      <c r="J345" s="632"/>
      <c r="K345" s="66"/>
      <c r="L345" s="184"/>
      <c r="M345" s="184"/>
      <c r="N345" s="184"/>
      <c r="O345" s="184"/>
      <c r="P345" s="184"/>
      <c r="Q345" s="184"/>
      <c r="R345" s="188"/>
      <c r="S345" s="188"/>
    </row>
    <row r="346" spans="1:19" hidden="1" x14ac:dyDescent="0.2">
      <c r="A346" s="35" t="s">
        <v>15</v>
      </c>
      <c r="B346" s="181">
        <f>SUM(B342:B345)</f>
        <v>118</v>
      </c>
      <c r="C346" s="326"/>
      <c r="D346" s="266"/>
      <c r="E346" s="180">
        <f>SUM(E342:E345)</f>
        <v>134</v>
      </c>
      <c r="F346" s="29">
        <f>(E346-B346)/B346</f>
        <v>0.13559322033898305</v>
      </c>
      <c r="G346" s="630"/>
      <c r="H346" s="631"/>
      <c r="I346" s="631"/>
      <c r="J346" s="632"/>
      <c r="K346" s="66"/>
      <c r="L346" s="184"/>
      <c r="M346" s="184"/>
      <c r="N346" s="184"/>
      <c r="O346" s="184"/>
      <c r="P346" s="184"/>
      <c r="Q346" s="184"/>
      <c r="R346" s="188"/>
      <c r="S346" s="188"/>
    </row>
    <row r="347" spans="1:19" ht="22.5" hidden="1" x14ac:dyDescent="0.2">
      <c r="A347" s="34"/>
      <c r="B347" s="33" t="s">
        <v>7</v>
      </c>
      <c r="C347" s="33"/>
      <c r="D347" s="33"/>
      <c r="E347" s="27" t="s">
        <v>8</v>
      </c>
      <c r="F347" s="28"/>
      <c r="G347" s="627" t="s">
        <v>14</v>
      </c>
      <c r="H347" s="627"/>
      <c r="I347" s="627"/>
      <c r="J347" s="627"/>
      <c r="K347" s="66"/>
      <c r="L347" s="184"/>
      <c r="M347" s="184"/>
      <c r="N347" s="184"/>
      <c r="O347" s="184"/>
      <c r="P347" s="184"/>
      <c r="Q347" s="184"/>
      <c r="R347" s="188"/>
      <c r="S347" s="188"/>
    </row>
    <row r="348" spans="1:19" hidden="1" x14ac:dyDescent="0.2">
      <c r="A348" s="28" t="s">
        <v>9</v>
      </c>
      <c r="B348" s="31">
        <v>10</v>
      </c>
      <c r="C348" s="244"/>
      <c r="D348" s="31"/>
      <c r="E348" s="153">
        <v>0</v>
      </c>
      <c r="F348" s="29">
        <f>(E348-B348)/B348</f>
        <v>-1</v>
      </c>
      <c r="G348" s="630"/>
      <c r="H348" s="631"/>
      <c r="I348" s="631"/>
      <c r="J348" s="632"/>
      <c r="K348" s="66"/>
      <c r="L348" s="184"/>
      <c r="M348" s="184"/>
      <c r="N348" s="184"/>
      <c r="O348" s="184"/>
      <c r="P348" s="184"/>
      <c r="Q348" s="184"/>
      <c r="R348" s="188"/>
      <c r="S348" s="188"/>
    </row>
    <row r="349" spans="1:19" hidden="1" x14ac:dyDescent="0.2">
      <c r="A349" s="28" t="s">
        <v>10</v>
      </c>
      <c r="B349" s="31">
        <v>10</v>
      </c>
      <c r="C349" s="244"/>
      <c r="D349" s="31"/>
      <c r="E349" s="153">
        <v>0</v>
      </c>
      <c r="F349" s="29">
        <f>(E349-B349)/B349</f>
        <v>-1</v>
      </c>
      <c r="G349" s="630"/>
      <c r="H349" s="631"/>
      <c r="I349" s="631"/>
      <c r="J349" s="632"/>
      <c r="K349" s="66"/>
      <c r="L349" s="184"/>
      <c r="M349" s="184"/>
      <c r="N349" s="184"/>
      <c r="O349" s="184"/>
      <c r="P349" s="184"/>
      <c r="Q349" s="184"/>
      <c r="R349" s="188"/>
      <c r="S349" s="188"/>
    </row>
    <row r="350" spans="1:19" hidden="1" x14ac:dyDescent="0.2">
      <c r="A350" s="28" t="s">
        <v>11</v>
      </c>
      <c r="B350" s="31">
        <v>8</v>
      </c>
      <c r="C350" s="244"/>
      <c r="D350" s="31"/>
      <c r="E350" s="153">
        <v>0</v>
      </c>
      <c r="F350" s="29">
        <f>(E350-B350)/B350</f>
        <v>-1</v>
      </c>
      <c r="G350" s="630"/>
      <c r="H350" s="631"/>
      <c r="I350" s="631"/>
      <c r="J350" s="632"/>
      <c r="K350" s="66"/>
      <c r="L350" s="184"/>
      <c r="M350" s="184"/>
      <c r="N350" s="184"/>
      <c r="O350" s="184"/>
      <c r="P350" s="184"/>
      <c r="Q350" s="184"/>
      <c r="R350" s="188"/>
      <c r="S350" s="188"/>
    </row>
    <row r="351" spans="1:19" hidden="1" x14ac:dyDescent="0.2">
      <c r="A351" s="28" t="s">
        <v>12</v>
      </c>
      <c r="B351" s="31">
        <v>72.5</v>
      </c>
      <c r="C351" s="321"/>
      <c r="D351" s="160"/>
      <c r="E351" s="152">
        <v>0</v>
      </c>
      <c r="F351" s="29">
        <f>(E351-B351)/B351</f>
        <v>-1</v>
      </c>
      <c r="G351" s="630"/>
      <c r="H351" s="631"/>
      <c r="I351" s="631"/>
      <c r="J351" s="632"/>
      <c r="K351" s="66"/>
      <c r="L351" s="184"/>
      <c r="M351" s="184"/>
      <c r="N351" s="184"/>
      <c r="O351" s="184"/>
      <c r="P351" s="184"/>
      <c r="Q351" s="184"/>
      <c r="R351" s="188"/>
      <c r="S351" s="188"/>
    </row>
    <row r="352" spans="1:19" hidden="1" x14ac:dyDescent="0.2">
      <c r="A352" s="35" t="s">
        <v>15</v>
      </c>
      <c r="B352" s="153">
        <f>SUM(B348:B351)</f>
        <v>100.5</v>
      </c>
      <c r="C352" s="326"/>
      <c r="D352" s="266"/>
      <c r="E352" s="152">
        <f>SUM(E348:E351)</f>
        <v>0</v>
      </c>
      <c r="F352" s="29">
        <f>(E352-B352)/B352</f>
        <v>-1</v>
      </c>
      <c r="G352" s="630"/>
      <c r="H352" s="631"/>
      <c r="I352" s="631"/>
      <c r="J352" s="632"/>
      <c r="K352" s="66"/>
      <c r="L352" s="184"/>
      <c r="M352" s="184"/>
      <c r="N352" s="184"/>
      <c r="O352" s="184"/>
      <c r="P352" s="184"/>
      <c r="Q352" s="184"/>
      <c r="R352" s="188"/>
      <c r="S352" s="188"/>
    </row>
    <row r="353" spans="1:26" hidden="1" x14ac:dyDescent="0.2">
      <c r="A353" s="39"/>
      <c r="B353" s="36"/>
      <c r="C353" s="84"/>
      <c r="D353" s="36"/>
      <c r="E353" s="36"/>
      <c r="F353" s="40"/>
      <c r="G353" s="36"/>
      <c r="H353" s="36"/>
      <c r="I353" s="36"/>
      <c r="J353" s="36"/>
      <c r="K353" s="66"/>
      <c r="L353" s="184"/>
      <c r="M353" s="184"/>
      <c r="N353" s="184"/>
      <c r="O353" s="184"/>
      <c r="P353" s="184"/>
      <c r="Q353" s="184"/>
      <c r="R353" s="188"/>
      <c r="S353" s="188"/>
    </row>
    <row r="354" spans="1:26" ht="12.75" customHeight="1" x14ac:dyDescent="0.2">
      <c r="A354" s="656" t="s">
        <v>64</v>
      </c>
      <c r="B354" s="656"/>
      <c r="C354" s="657" t="s">
        <v>141</v>
      </c>
      <c r="D354" s="239" t="s">
        <v>113</v>
      </c>
      <c r="E354" s="50" t="s">
        <v>18</v>
      </c>
      <c r="F354" s="67">
        <v>35</v>
      </c>
      <c r="G354" s="45" t="s">
        <v>16</v>
      </c>
      <c r="H354" s="58">
        <f>B361</f>
        <v>263</v>
      </c>
      <c r="I354" s="45" t="s">
        <v>17</v>
      </c>
      <c r="J354" s="63">
        <f>B361-E361</f>
        <v>40</v>
      </c>
      <c r="K354" s="71">
        <f>(E361-B361)/B361</f>
        <v>-0.15209125475285171</v>
      </c>
      <c r="L354" s="356"/>
      <c r="M354" s="184"/>
      <c r="N354" s="184"/>
      <c r="O354" s="184"/>
      <c r="P354" s="184" t="s">
        <v>70</v>
      </c>
      <c r="Q354" s="184"/>
      <c r="R354" s="188"/>
      <c r="S354" s="188"/>
    </row>
    <row r="355" spans="1:26" ht="12.75" hidden="1" customHeight="1" x14ac:dyDescent="0.2">
      <c r="A355" s="656"/>
      <c r="B355" s="656"/>
      <c r="C355" s="658"/>
      <c r="D355" s="236"/>
      <c r="E355" s="47"/>
      <c r="F355" s="279"/>
      <c r="G355" s="49"/>
      <c r="H355" s="59"/>
      <c r="I355" s="48"/>
      <c r="J355" s="64"/>
      <c r="K355" s="66"/>
      <c r="L355" s="184"/>
      <c r="M355" s="184"/>
      <c r="N355" s="184"/>
      <c r="O355" s="184"/>
      <c r="P355" s="184"/>
      <c r="Q355" s="184"/>
      <c r="R355" s="188"/>
      <c r="S355" s="188"/>
    </row>
    <row r="356" spans="1:26" ht="22.5" hidden="1" x14ac:dyDescent="0.2">
      <c r="A356" s="34"/>
      <c r="B356" s="33" t="s">
        <v>7</v>
      </c>
      <c r="C356" s="33"/>
      <c r="D356" s="33"/>
      <c r="E356" s="27" t="s">
        <v>8</v>
      </c>
      <c r="F356" s="28"/>
      <c r="G356" s="627" t="s">
        <v>14</v>
      </c>
      <c r="H356" s="627"/>
      <c r="I356" s="627"/>
      <c r="J356" s="627"/>
      <c r="K356" s="66"/>
      <c r="L356" s="184"/>
      <c r="M356" s="184"/>
      <c r="N356" s="184"/>
      <c r="O356" s="184"/>
      <c r="P356" s="184"/>
      <c r="Q356" s="184"/>
      <c r="R356" s="188"/>
      <c r="S356" s="188"/>
    </row>
    <row r="357" spans="1:26" hidden="1" x14ac:dyDescent="0.2">
      <c r="A357" s="28" t="s">
        <v>9</v>
      </c>
      <c r="B357" s="31">
        <v>39.799999999999997</v>
      </c>
      <c r="C357" s="649" t="s">
        <v>44</v>
      </c>
      <c r="D357" s="650"/>
      <c r="E357" s="181">
        <f>7.75+8.25+4.5+7+3.5+0.75</f>
        <v>31.75</v>
      </c>
      <c r="F357" s="29">
        <f>(E357-B357)/B357</f>
        <v>-0.20226130653266325</v>
      </c>
      <c r="G357" s="630"/>
      <c r="H357" s="631"/>
      <c r="I357" s="631"/>
      <c r="J357" s="632"/>
      <c r="K357" s="66"/>
      <c r="L357" s="184"/>
      <c r="M357" s="184"/>
      <c r="N357" s="184"/>
      <c r="O357" s="184"/>
      <c r="P357" s="184"/>
      <c r="Q357" s="184"/>
      <c r="R357" s="188"/>
      <c r="S357" s="188"/>
    </row>
    <row r="358" spans="1:26" hidden="1" x14ac:dyDescent="0.2">
      <c r="A358" s="28" t="s">
        <v>10</v>
      </c>
      <c r="B358" s="31">
        <v>39.799999999999997</v>
      </c>
      <c r="C358" s="649" t="s">
        <v>43</v>
      </c>
      <c r="D358" s="650"/>
      <c r="E358" s="181">
        <f>1.25+8.25+2</f>
        <v>11.5</v>
      </c>
      <c r="F358" s="29">
        <f>(E358-B358)/B358</f>
        <v>-0.71105527638190957</v>
      </c>
      <c r="G358" s="630"/>
      <c r="H358" s="631"/>
      <c r="I358" s="631"/>
      <c r="J358" s="632"/>
      <c r="K358" s="66"/>
      <c r="L358" s="184"/>
      <c r="M358" s="184"/>
      <c r="N358" s="184"/>
      <c r="O358" s="184"/>
      <c r="P358" s="184"/>
      <c r="Q358" s="184"/>
      <c r="R358" s="188"/>
      <c r="S358" s="188"/>
    </row>
    <row r="359" spans="1:26" hidden="1" x14ac:dyDescent="0.2">
      <c r="A359" s="28" t="s">
        <v>11</v>
      </c>
      <c r="B359" s="31">
        <v>12.8</v>
      </c>
      <c r="C359" s="649" t="s">
        <v>43</v>
      </c>
      <c r="D359" s="650"/>
      <c r="E359" s="181">
        <f>5.5</f>
        <v>5.5</v>
      </c>
      <c r="F359" s="29">
        <f>(E359-B359)/B359</f>
        <v>-0.5703125</v>
      </c>
      <c r="G359" s="630"/>
      <c r="H359" s="631"/>
      <c r="I359" s="631"/>
      <c r="J359" s="632"/>
      <c r="K359" s="66"/>
      <c r="L359" s="184"/>
      <c r="M359" s="184"/>
      <c r="N359" s="184"/>
      <c r="O359" s="184"/>
      <c r="P359" s="184"/>
      <c r="Q359" s="184"/>
      <c r="R359" s="188"/>
      <c r="S359" s="188"/>
    </row>
    <row r="360" spans="1:26" hidden="1" x14ac:dyDescent="0.2">
      <c r="A360" s="28" t="s">
        <v>12</v>
      </c>
      <c r="B360" s="31">
        <v>170.6</v>
      </c>
      <c r="C360" s="322" t="s">
        <v>44</v>
      </c>
      <c r="D360" s="179"/>
      <c r="E360" s="180">
        <f>1+2+5.5+8.25+2.75+8.25+8.25+9.25+5+5+5+5+3+7+8.25+8.25+6.75+4.5+8.25+8.25+8.25+5.25+5.25+1+6+8.25+6.75+2.25+3+8.75</f>
        <v>174.25</v>
      </c>
      <c r="F360" s="29">
        <f>(E360-B360)/B360</f>
        <v>2.13950762016413E-2</v>
      </c>
      <c r="G360" s="630"/>
      <c r="H360" s="631"/>
      <c r="I360" s="631"/>
      <c r="J360" s="632"/>
      <c r="K360" s="66"/>
      <c r="L360" s="184"/>
      <c r="M360" s="184"/>
      <c r="N360" s="184"/>
      <c r="O360" s="184"/>
      <c r="P360" s="184"/>
      <c r="Q360" s="184"/>
      <c r="R360" s="188"/>
      <c r="S360" s="188"/>
    </row>
    <row r="361" spans="1:26" hidden="1" x14ac:dyDescent="0.2">
      <c r="A361" s="35" t="s">
        <v>15</v>
      </c>
      <c r="B361" s="181">
        <f>SUM(B357:B360)</f>
        <v>263</v>
      </c>
      <c r="C361" s="326"/>
      <c r="D361" s="266"/>
      <c r="E361" s="180">
        <f>SUM(E357:E360)</f>
        <v>223</v>
      </c>
      <c r="F361" s="29">
        <f>(E361-B361)/B361</f>
        <v>-0.15209125475285171</v>
      </c>
      <c r="G361" s="630"/>
      <c r="H361" s="631"/>
      <c r="I361" s="631"/>
      <c r="J361" s="632"/>
      <c r="K361" s="66"/>
      <c r="L361" s="184"/>
      <c r="M361" s="184"/>
      <c r="N361" s="184"/>
      <c r="O361" s="184"/>
      <c r="P361" s="184"/>
      <c r="Q361" s="184"/>
      <c r="R361" s="188"/>
      <c r="S361" s="188"/>
    </row>
    <row r="362" spans="1:26" x14ac:dyDescent="0.2">
      <c r="A362" s="39"/>
      <c r="B362" s="468"/>
      <c r="C362" s="84"/>
      <c r="D362" s="36"/>
      <c r="E362" s="36"/>
      <c r="F362" s="40"/>
      <c r="G362" s="36"/>
      <c r="H362" s="36"/>
      <c r="I362" s="36"/>
      <c r="J362" s="36"/>
      <c r="K362" s="66"/>
      <c r="L362" s="184"/>
      <c r="M362" s="184"/>
      <c r="N362" s="184"/>
      <c r="O362" s="184"/>
      <c r="P362" s="184"/>
      <c r="Q362" s="184"/>
      <c r="R362" s="188"/>
      <c r="S362" s="188"/>
      <c r="W362" s="32"/>
      <c r="X362" s="32"/>
      <c r="Y362" s="32"/>
      <c r="Z362" s="32"/>
    </row>
    <row r="363" spans="1:26" ht="12.75" customHeight="1" x14ac:dyDescent="0.2">
      <c r="A363" s="656" t="s">
        <v>199</v>
      </c>
      <c r="B363" s="656"/>
      <c r="C363" s="657" t="s">
        <v>141</v>
      </c>
      <c r="D363" s="659" t="s">
        <v>113</v>
      </c>
      <c r="E363" s="50" t="s">
        <v>18</v>
      </c>
      <c r="F363" s="67">
        <v>35</v>
      </c>
      <c r="G363" s="45" t="s">
        <v>16</v>
      </c>
      <c r="H363" s="58">
        <f>B370</f>
        <v>24</v>
      </c>
      <c r="I363" s="45" t="s">
        <v>17</v>
      </c>
      <c r="J363" s="63">
        <f>B370-E370</f>
        <v>24</v>
      </c>
      <c r="K363" s="71">
        <f>(E370-B370)/B370</f>
        <v>-1</v>
      </c>
      <c r="L363" s="356"/>
      <c r="M363" s="184"/>
      <c r="N363" s="184"/>
      <c r="O363" s="184"/>
      <c r="P363" s="184" t="s">
        <v>70</v>
      </c>
      <c r="Q363" s="184"/>
      <c r="R363" s="188"/>
      <c r="S363" s="188"/>
    </row>
    <row r="364" spans="1:26" ht="12.75" hidden="1" customHeight="1" x14ac:dyDescent="0.2">
      <c r="A364" s="656"/>
      <c r="B364" s="656"/>
      <c r="C364" s="658"/>
      <c r="D364" s="660"/>
      <c r="E364" s="47"/>
      <c r="F364" s="279"/>
      <c r="G364" s="49"/>
      <c r="H364" s="59"/>
      <c r="I364" s="48"/>
      <c r="J364" s="64"/>
      <c r="K364" s="66"/>
      <c r="L364" s="184"/>
      <c r="M364" s="184"/>
      <c r="N364" s="184"/>
      <c r="O364" s="184"/>
      <c r="P364" s="184"/>
      <c r="Q364" s="184"/>
      <c r="R364" s="188"/>
      <c r="S364" s="188"/>
    </row>
    <row r="365" spans="1:26" ht="22.5" hidden="1" x14ac:dyDescent="0.2">
      <c r="A365" s="34"/>
      <c r="B365" s="33" t="s">
        <v>7</v>
      </c>
      <c r="C365" s="33"/>
      <c r="D365" s="33"/>
      <c r="E365" s="27" t="s">
        <v>8</v>
      </c>
      <c r="F365" s="28"/>
      <c r="G365" s="627" t="s">
        <v>14</v>
      </c>
      <c r="H365" s="627"/>
      <c r="I365" s="627"/>
      <c r="J365" s="627"/>
      <c r="K365" s="66"/>
      <c r="L365" s="184"/>
      <c r="M365" s="184"/>
      <c r="N365" s="184"/>
      <c r="O365" s="184"/>
      <c r="P365" s="184"/>
      <c r="Q365" s="184"/>
      <c r="R365" s="188"/>
      <c r="S365" s="188"/>
    </row>
    <row r="366" spans="1:26" hidden="1" x14ac:dyDescent="0.2">
      <c r="A366" s="28" t="s">
        <v>9</v>
      </c>
      <c r="B366" s="351">
        <v>4.8</v>
      </c>
      <c r="C366" s="628"/>
      <c r="D366" s="629"/>
      <c r="E366" s="467"/>
      <c r="F366" s="29">
        <f>(E366-B366)/B366</f>
        <v>-1</v>
      </c>
      <c r="G366" s="630"/>
      <c r="H366" s="631"/>
      <c r="I366" s="631"/>
      <c r="J366" s="632"/>
      <c r="K366" s="66"/>
      <c r="L366" s="184"/>
      <c r="M366" s="184"/>
      <c r="N366" s="184"/>
      <c r="O366" s="184"/>
      <c r="P366" s="184"/>
      <c r="Q366" s="184"/>
      <c r="R366" s="188"/>
      <c r="S366" s="188"/>
    </row>
    <row r="367" spans="1:26" hidden="1" x14ac:dyDescent="0.2">
      <c r="A367" s="28" t="s">
        <v>10</v>
      </c>
      <c r="B367" s="351">
        <v>4.8</v>
      </c>
      <c r="C367" s="628"/>
      <c r="D367" s="629"/>
      <c r="E367" s="467"/>
      <c r="F367" s="29">
        <f>(E367-B367)/B367</f>
        <v>-1</v>
      </c>
      <c r="G367" s="630"/>
      <c r="H367" s="631"/>
      <c r="I367" s="631"/>
      <c r="J367" s="632"/>
      <c r="K367" s="66"/>
      <c r="L367" s="184"/>
      <c r="M367" s="184"/>
      <c r="N367" s="184"/>
      <c r="O367" s="184"/>
      <c r="P367" s="184"/>
      <c r="Q367" s="184"/>
      <c r="R367" s="188"/>
      <c r="S367" s="188"/>
    </row>
    <row r="368" spans="1:26" hidden="1" x14ac:dyDescent="0.2">
      <c r="A368" s="28" t="s">
        <v>11</v>
      </c>
      <c r="B368" s="351">
        <v>0</v>
      </c>
      <c r="C368" s="628"/>
      <c r="D368" s="629"/>
      <c r="E368" s="467"/>
      <c r="F368" s="29">
        <v>0</v>
      </c>
      <c r="G368" s="630"/>
      <c r="H368" s="631"/>
      <c r="I368" s="631"/>
      <c r="J368" s="632"/>
      <c r="K368" s="66"/>
      <c r="L368" s="184"/>
      <c r="M368" s="184"/>
      <c r="N368" s="184"/>
      <c r="O368" s="184"/>
      <c r="P368" s="184"/>
      <c r="Q368" s="184"/>
      <c r="R368" s="188"/>
      <c r="S368" s="188"/>
    </row>
    <row r="369" spans="1:27" hidden="1" x14ac:dyDescent="0.2">
      <c r="A369" s="28" t="s">
        <v>12</v>
      </c>
      <c r="B369" s="351">
        <v>14.4</v>
      </c>
      <c r="C369" s="628"/>
      <c r="D369" s="629"/>
      <c r="E369" s="464"/>
      <c r="F369" s="29">
        <f>(E369-B369)/B369</f>
        <v>-1</v>
      </c>
      <c r="G369" s="630"/>
      <c r="H369" s="631"/>
      <c r="I369" s="631"/>
      <c r="J369" s="632"/>
      <c r="K369" s="66"/>
      <c r="L369" s="184"/>
      <c r="M369" s="184"/>
      <c r="N369" s="184"/>
      <c r="O369" s="184"/>
      <c r="P369" s="184"/>
      <c r="Q369" s="184"/>
      <c r="R369" s="188"/>
      <c r="S369" s="188"/>
    </row>
    <row r="370" spans="1:27" hidden="1" x14ac:dyDescent="0.2">
      <c r="A370" s="35" t="s">
        <v>15</v>
      </c>
      <c r="B370" s="467">
        <f>SUM(B366:B369)</f>
        <v>24</v>
      </c>
      <c r="C370" s="465"/>
      <c r="D370" s="464"/>
      <c r="E370" s="464">
        <f>SUM(E366:E369)</f>
        <v>0</v>
      </c>
      <c r="F370" s="29">
        <f>(E370-B370)/B370</f>
        <v>-1</v>
      </c>
      <c r="G370" s="630"/>
      <c r="H370" s="631"/>
      <c r="I370" s="631"/>
      <c r="J370" s="632"/>
      <c r="K370" s="66"/>
      <c r="L370" s="184"/>
      <c r="M370" s="184"/>
      <c r="N370" s="184"/>
      <c r="O370" s="184"/>
      <c r="P370" s="184"/>
      <c r="Q370" s="184"/>
      <c r="R370" s="188"/>
      <c r="S370" s="188"/>
    </row>
    <row r="371" spans="1:27" x14ac:dyDescent="0.2">
      <c r="A371" s="39"/>
      <c r="B371" s="466"/>
      <c r="C371" s="84"/>
      <c r="D371" s="466"/>
      <c r="E371" s="466"/>
      <c r="F371" s="40"/>
      <c r="G371" s="466"/>
      <c r="H371" s="466"/>
      <c r="I371" s="466"/>
      <c r="J371" s="466"/>
      <c r="K371" s="66"/>
      <c r="L371" s="184"/>
      <c r="M371" s="184"/>
      <c r="N371" s="184"/>
      <c r="O371" s="184"/>
      <c r="P371" s="184"/>
      <c r="Q371" s="184"/>
      <c r="R371" s="188"/>
      <c r="S371" s="188"/>
      <c r="W371" s="32"/>
      <c r="X371" s="32"/>
      <c r="Y371" s="32"/>
      <c r="Z371" s="32"/>
    </row>
    <row r="372" spans="1:27" ht="12.75" customHeight="1" x14ac:dyDescent="0.2">
      <c r="A372" s="656" t="s">
        <v>200</v>
      </c>
      <c r="B372" s="656"/>
      <c r="C372" s="657" t="s">
        <v>141</v>
      </c>
      <c r="D372" s="659" t="s">
        <v>113</v>
      </c>
      <c r="E372" s="50" t="s">
        <v>18</v>
      </c>
      <c r="F372" s="67">
        <v>10</v>
      </c>
      <c r="G372" s="45" t="s">
        <v>16</v>
      </c>
      <c r="H372" s="58">
        <f>B379</f>
        <v>70</v>
      </c>
      <c r="I372" s="45" t="s">
        <v>17</v>
      </c>
      <c r="J372" s="63">
        <f>B379-E379</f>
        <v>65.5</v>
      </c>
      <c r="K372" s="71">
        <f>(E379-B379)/B379</f>
        <v>-0.93571428571428572</v>
      </c>
      <c r="L372" s="356"/>
      <c r="M372" s="184"/>
      <c r="N372" s="184"/>
      <c r="O372" s="184"/>
      <c r="P372" s="184" t="s">
        <v>70</v>
      </c>
      <c r="Q372" s="184"/>
      <c r="R372" s="188"/>
      <c r="S372" s="188"/>
    </row>
    <row r="373" spans="1:27" ht="12.75" hidden="1" customHeight="1" x14ac:dyDescent="0.2">
      <c r="A373" s="656"/>
      <c r="B373" s="656"/>
      <c r="C373" s="658"/>
      <c r="D373" s="660"/>
      <c r="E373" s="47"/>
      <c r="F373" s="279"/>
      <c r="G373" s="49"/>
      <c r="H373" s="59"/>
      <c r="I373" s="48"/>
      <c r="J373" s="64"/>
      <c r="K373" s="66"/>
      <c r="L373" s="184"/>
      <c r="M373" s="184"/>
      <c r="N373" s="184"/>
      <c r="O373" s="184"/>
      <c r="P373" s="184"/>
      <c r="Q373" s="184"/>
      <c r="R373" s="188"/>
      <c r="S373" s="188"/>
    </row>
    <row r="374" spans="1:27" ht="22.5" hidden="1" x14ac:dyDescent="0.2">
      <c r="A374" s="34"/>
      <c r="B374" s="33" t="s">
        <v>7</v>
      </c>
      <c r="C374" s="33"/>
      <c r="D374" s="33"/>
      <c r="E374" s="27" t="s">
        <v>8</v>
      </c>
      <c r="F374" s="28"/>
      <c r="G374" s="627" t="s">
        <v>14</v>
      </c>
      <c r="H374" s="627"/>
      <c r="I374" s="627"/>
      <c r="J374" s="627"/>
      <c r="K374" s="66"/>
      <c r="L374" s="184"/>
      <c r="M374" s="184"/>
      <c r="N374" s="184"/>
      <c r="O374" s="184"/>
      <c r="P374" s="184"/>
      <c r="Q374" s="184"/>
      <c r="R374" s="188"/>
      <c r="S374" s="188"/>
    </row>
    <row r="375" spans="1:27" hidden="1" x14ac:dyDescent="0.2">
      <c r="A375" s="28" t="s">
        <v>9</v>
      </c>
      <c r="B375" s="351">
        <v>7</v>
      </c>
      <c r="C375" s="628" t="s">
        <v>43</v>
      </c>
      <c r="D375" s="629"/>
      <c r="E375" s="467">
        <v>4.5</v>
      </c>
      <c r="F375" s="29">
        <f>(E375-B375)/B375</f>
        <v>-0.35714285714285715</v>
      </c>
      <c r="G375" s="630"/>
      <c r="H375" s="631"/>
      <c r="I375" s="631"/>
      <c r="J375" s="632"/>
      <c r="K375" s="66"/>
      <c r="L375" s="184"/>
      <c r="M375" s="184"/>
      <c r="N375" s="184"/>
      <c r="O375" s="184"/>
      <c r="P375" s="184"/>
      <c r="Q375" s="184"/>
      <c r="R375" s="188"/>
      <c r="S375" s="188"/>
    </row>
    <row r="376" spans="1:27" hidden="1" x14ac:dyDescent="0.2">
      <c r="A376" s="28" t="s">
        <v>10</v>
      </c>
      <c r="B376" s="351">
        <v>7</v>
      </c>
      <c r="C376" s="628"/>
      <c r="D376" s="629"/>
      <c r="E376" s="467"/>
      <c r="F376" s="29">
        <f>(E376-B376)/B376</f>
        <v>-1</v>
      </c>
      <c r="G376" s="630"/>
      <c r="H376" s="631"/>
      <c r="I376" s="631"/>
      <c r="J376" s="632"/>
      <c r="K376" s="66"/>
      <c r="L376" s="184"/>
      <c r="M376" s="184"/>
      <c r="N376" s="184"/>
      <c r="O376" s="184"/>
      <c r="P376" s="184"/>
      <c r="Q376" s="184"/>
      <c r="R376" s="188"/>
      <c r="S376" s="188"/>
    </row>
    <row r="377" spans="1:27" hidden="1" x14ac:dyDescent="0.2">
      <c r="A377" s="28" t="s">
        <v>11</v>
      </c>
      <c r="B377" s="351">
        <v>0</v>
      </c>
      <c r="C377" s="628"/>
      <c r="D377" s="629"/>
      <c r="E377" s="467"/>
      <c r="F377" s="29">
        <v>0</v>
      </c>
      <c r="G377" s="630"/>
      <c r="H377" s="631"/>
      <c r="I377" s="631"/>
      <c r="J377" s="632"/>
      <c r="K377" s="66"/>
      <c r="L377" s="184"/>
      <c r="M377" s="184"/>
      <c r="N377" s="184"/>
      <c r="O377" s="184"/>
      <c r="P377" s="184"/>
      <c r="Q377" s="184"/>
      <c r="R377" s="188"/>
      <c r="S377" s="188"/>
    </row>
    <row r="378" spans="1:27" hidden="1" x14ac:dyDescent="0.2">
      <c r="A378" s="28" t="s">
        <v>12</v>
      </c>
      <c r="B378" s="351">
        <v>56</v>
      </c>
      <c r="C378" s="628"/>
      <c r="D378" s="629"/>
      <c r="E378" s="464"/>
      <c r="F378" s="29">
        <f>(E378-B378)/B378</f>
        <v>-1</v>
      </c>
      <c r="G378" s="630"/>
      <c r="H378" s="631"/>
      <c r="I378" s="631"/>
      <c r="J378" s="632"/>
      <c r="K378" s="66"/>
      <c r="L378" s="184"/>
      <c r="M378" s="184"/>
      <c r="N378" s="184"/>
      <c r="O378" s="184"/>
      <c r="P378" s="184"/>
      <c r="Q378" s="184"/>
      <c r="R378" s="188"/>
      <c r="S378" s="188"/>
    </row>
    <row r="379" spans="1:27" hidden="1" x14ac:dyDescent="0.2">
      <c r="A379" s="35" t="s">
        <v>15</v>
      </c>
      <c r="B379" s="467">
        <f>SUM(B375:B378)</f>
        <v>70</v>
      </c>
      <c r="C379" s="465"/>
      <c r="D379" s="464"/>
      <c r="E379" s="464">
        <f>SUM(E375:E378)</f>
        <v>4.5</v>
      </c>
      <c r="F379" s="29">
        <f>(E379-B379)/B379</f>
        <v>-0.93571428571428572</v>
      </c>
      <c r="G379" s="630"/>
      <c r="H379" s="631"/>
      <c r="I379" s="631"/>
      <c r="J379" s="632"/>
      <c r="K379" s="66"/>
      <c r="L379" s="184"/>
      <c r="M379" s="184"/>
      <c r="N379" s="184"/>
      <c r="O379" s="184"/>
      <c r="P379" s="184"/>
      <c r="Q379" s="184"/>
      <c r="R379" s="188"/>
      <c r="S379" s="188"/>
    </row>
    <row r="380" spans="1:27" x14ac:dyDescent="0.2">
      <c r="A380" s="39"/>
      <c r="B380" s="466"/>
      <c r="C380" s="84"/>
      <c r="D380" s="466"/>
      <c r="E380" s="466"/>
      <c r="F380" s="40"/>
      <c r="G380" s="466"/>
      <c r="H380" s="466"/>
      <c r="I380" s="466"/>
      <c r="J380" s="466"/>
      <c r="K380" s="66"/>
      <c r="L380" s="184"/>
      <c r="M380" s="184"/>
      <c r="N380" s="184"/>
      <c r="O380" s="184"/>
      <c r="P380" s="184"/>
      <c r="Q380" s="184"/>
      <c r="R380" s="188"/>
      <c r="S380" s="188"/>
      <c r="W380" s="32"/>
      <c r="X380" s="32"/>
      <c r="Y380" s="32"/>
      <c r="Z380" s="32"/>
    </row>
    <row r="381" spans="1:27" ht="15" hidden="1" x14ac:dyDescent="0.2">
      <c r="A381" s="656" t="s">
        <v>52</v>
      </c>
      <c r="B381" s="656"/>
      <c r="C381" s="657" t="s">
        <v>141</v>
      </c>
      <c r="D381" s="239" t="s">
        <v>113</v>
      </c>
      <c r="E381" s="50" t="s">
        <v>18</v>
      </c>
      <c r="F381" s="67">
        <v>1</v>
      </c>
      <c r="G381" s="45" t="s">
        <v>16</v>
      </c>
      <c r="H381" s="58">
        <f>B388</f>
        <v>4.5</v>
      </c>
      <c r="I381" s="45" t="s">
        <v>17</v>
      </c>
      <c r="J381" s="63">
        <f>B388-E388</f>
        <v>-0.25</v>
      </c>
      <c r="K381" s="71">
        <f>(E388-B388)/B388</f>
        <v>5.5555555555555552E-2</v>
      </c>
      <c r="L381" s="356"/>
      <c r="M381" s="184"/>
      <c r="N381" s="184"/>
      <c r="O381" s="184"/>
      <c r="P381" s="184"/>
      <c r="Q381" s="184"/>
      <c r="R381" s="188"/>
      <c r="S381" s="188"/>
      <c r="X381" s="32"/>
      <c r="Y381" s="32"/>
      <c r="Z381" s="32"/>
      <c r="AA381" s="32"/>
    </row>
    <row r="382" spans="1:27" hidden="1" x14ac:dyDescent="0.2">
      <c r="A382" s="656"/>
      <c r="B382" s="656"/>
      <c r="C382" s="658"/>
      <c r="D382" s="236"/>
      <c r="E382" s="47"/>
      <c r="F382" s="279"/>
      <c r="G382" s="49"/>
      <c r="H382" s="59"/>
      <c r="I382" s="48"/>
      <c r="J382" s="64"/>
      <c r="K382" s="66"/>
      <c r="L382" s="184"/>
      <c r="M382" s="184"/>
      <c r="N382" s="184"/>
      <c r="O382" s="184"/>
      <c r="P382" s="184"/>
      <c r="Q382" s="184"/>
      <c r="R382" s="188"/>
      <c r="S382" s="188"/>
    </row>
    <row r="383" spans="1:27" ht="22.5" hidden="1" x14ac:dyDescent="0.2">
      <c r="A383" s="34"/>
      <c r="B383" s="33" t="s">
        <v>7</v>
      </c>
      <c r="C383" s="33"/>
      <c r="D383" s="33"/>
      <c r="E383" s="27" t="s">
        <v>8</v>
      </c>
      <c r="F383" s="28"/>
      <c r="G383" s="627" t="s">
        <v>14</v>
      </c>
      <c r="H383" s="627"/>
      <c r="I383" s="627"/>
      <c r="J383" s="627"/>
      <c r="K383" s="66"/>
      <c r="L383" s="184"/>
      <c r="M383" s="184"/>
      <c r="N383" s="184"/>
      <c r="O383" s="184"/>
      <c r="P383" s="184"/>
      <c r="Q383" s="184"/>
      <c r="R383" s="188"/>
      <c r="S383" s="188"/>
    </row>
    <row r="384" spans="1:27" hidden="1" x14ac:dyDescent="0.2">
      <c r="A384" s="28" t="s">
        <v>9</v>
      </c>
      <c r="B384" s="31">
        <v>0.5</v>
      </c>
      <c r="C384" s="649" t="s">
        <v>43</v>
      </c>
      <c r="D384" s="650"/>
      <c r="E384" s="168">
        <v>0.5</v>
      </c>
      <c r="F384" s="29">
        <f>(E384-B384)/B384</f>
        <v>0</v>
      </c>
      <c r="G384" s="630"/>
      <c r="H384" s="631"/>
      <c r="I384" s="631"/>
      <c r="J384" s="632"/>
      <c r="K384" s="66"/>
      <c r="L384" s="184"/>
      <c r="M384" s="184"/>
      <c r="N384" s="184"/>
      <c r="O384" s="184"/>
      <c r="P384" s="184"/>
      <c r="Q384" s="184"/>
      <c r="R384" s="188"/>
      <c r="S384" s="188"/>
    </row>
    <row r="385" spans="1:27" hidden="1" x14ac:dyDescent="0.2">
      <c r="A385" s="28" t="s">
        <v>10</v>
      </c>
      <c r="B385" s="31">
        <v>0.5</v>
      </c>
      <c r="C385" s="649" t="s">
        <v>43</v>
      </c>
      <c r="D385" s="650"/>
      <c r="E385" s="168">
        <v>0</v>
      </c>
      <c r="F385" s="29">
        <f>(E385-B385)/B385</f>
        <v>-1</v>
      </c>
      <c r="G385" s="630"/>
      <c r="H385" s="631"/>
      <c r="I385" s="631"/>
      <c r="J385" s="632"/>
      <c r="K385" s="66"/>
      <c r="L385" s="184"/>
      <c r="M385" s="184"/>
      <c r="N385" s="184"/>
      <c r="O385" s="184"/>
      <c r="P385" s="184"/>
      <c r="Q385" s="184"/>
      <c r="R385" s="188"/>
      <c r="S385" s="188"/>
    </row>
    <row r="386" spans="1:27" hidden="1" x14ac:dyDescent="0.2">
      <c r="A386" s="28" t="s">
        <v>11</v>
      </c>
      <c r="B386" s="31">
        <v>0.25</v>
      </c>
      <c r="C386" s="649" t="s">
        <v>43</v>
      </c>
      <c r="D386" s="650"/>
      <c r="E386" s="168">
        <v>0</v>
      </c>
      <c r="F386" s="29">
        <f>(E386-B386)/B386</f>
        <v>-1</v>
      </c>
      <c r="G386" s="630"/>
      <c r="H386" s="631"/>
      <c r="I386" s="631"/>
      <c r="J386" s="632"/>
      <c r="K386" s="66"/>
      <c r="L386" s="184"/>
      <c r="M386" s="184"/>
      <c r="N386" s="184"/>
      <c r="O386" s="184"/>
      <c r="P386" s="184"/>
      <c r="Q386" s="184"/>
      <c r="R386" s="188"/>
      <c r="S386" s="188"/>
    </row>
    <row r="387" spans="1:27" hidden="1" x14ac:dyDescent="0.2">
      <c r="A387" s="28" t="s">
        <v>12</v>
      </c>
      <c r="B387" s="31">
        <v>3.25</v>
      </c>
      <c r="C387" s="649" t="s">
        <v>43</v>
      </c>
      <c r="D387" s="650"/>
      <c r="E387" s="167">
        <f>3.25+1</f>
        <v>4.25</v>
      </c>
      <c r="F387" s="29">
        <f>(E387-B387)/B387</f>
        <v>0.30769230769230771</v>
      </c>
      <c r="G387" s="630" t="s">
        <v>184</v>
      </c>
      <c r="H387" s="631"/>
      <c r="I387" s="631"/>
      <c r="J387" s="632"/>
      <c r="K387" s="66"/>
      <c r="L387" s="184"/>
      <c r="M387" s="184"/>
      <c r="N387" s="184"/>
      <c r="O387" s="184"/>
      <c r="P387" s="184"/>
      <c r="Q387" s="184"/>
      <c r="R387" s="188"/>
      <c r="S387" s="188"/>
    </row>
    <row r="388" spans="1:27" hidden="1" x14ac:dyDescent="0.2">
      <c r="A388" s="35" t="s">
        <v>15</v>
      </c>
      <c r="B388" s="168">
        <f>SUM(B384:B387)</f>
        <v>4.5</v>
      </c>
      <c r="C388" s="326"/>
      <c r="D388" s="266"/>
      <c r="E388" s="167">
        <f>SUM(E384:E387)</f>
        <v>4.75</v>
      </c>
      <c r="F388" s="29">
        <f>(E388-B388)/B388</f>
        <v>5.5555555555555552E-2</v>
      </c>
      <c r="G388" s="630"/>
      <c r="H388" s="631"/>
      <c r="I388" s="631"/>
      <c r="J388" s="632"/>
      <c r="K388" s="66"/>
      <c r="L388" s="184"/>
      <c r="M388" s="184"/>
      <c r="N388" s="184"/>
      <c r="O388" s="184"/>
      <c r="P388" s="184"/>
      <c r="Q388" s="184"/>
      <c r="R388" s="188"/>
      <c r="S388" s="188"/>
    </row>
    <row r="389" spans="1:27" hidden="1" x14ac:dyDescent="0.2">
      <c r="A389" s="39"/>
      <c r="B389" s="36"/>
      <c r="C389" s="84"/>
      <c r="D389" s="36"/>
      <c r="E389" s="36"/>
      <c r="F389" s="40"/>
      <c r="G389" s="36"/>
      <c r="H389" s="36"/>
      <c r="I389" s="36"/>
      <c r="J389" s="36"/>
      <c r="K389" s="66"/>
      <c r="L389" s="184"/>
      <c r="M389" s="184"/>
      <c r="N389" s="184"/>
      <c r="O389" s="184"/>
      <c r="P389" s="184"/>
      <c r="Q389" s="184"/>
      <c r="R389" s="188"/>
      <c r="S389" s="188"/>
    </row>
    <row r="390" spans="1:27" ht="15" hidden="1" x14ac:dyDescent="0.25">
      <c r="A390" s="665" t="s">
        <v>61</v>
      </c>
      <c r="B390" s="665"/>
      <c r="C390" s="670" t="s">
        <v>141</v>
      </c>
      <c r="D390" s="305"/>
      <c r="E390" s="50" t="s">
        <v>18</v>
      </c>
      <c r="F390" s="67">
        <v>1</v>
      </c>
      <c r="G390" s="45" t="s">
        <v>16</v>
      </c>
      <c r="H390" s="58">
        <f>B397</f>
        <v>15</v>
      </c>
      <c r="I390" s="45" t="s">
        <v>17</v>
      </c>
      <c r="J390" s="63">
        <f>B397-E397</f>
        <v>-4.5</v>
      </c>
      <c r="K390" s="71">
        <f>(E397-B397)/B397</f>
        <v>0.3</v>
      </c>
      <c r="L390" s="356" t="s">
        <v>66</v>
      </c>
      <c r="M390" s="184"/>
      <c r="N390" s="184"/>
      <c r="O390" s="184"/>
      <c r="P390" s="184"/>
      <c r="Q390" s="184"/>
      <c r="R390" s="188"/>
      <c r="S390" s="188"/>
      <c r="X390" s="32"/>
      <c r="Y390" s="32"/>
      <c r="Z390" s="32"/>
      <c r="AA390" s="32"/>
    </row>
    <row r="391" spans="1:27" hidden="1" x14ac:dyDescent="0.2">
      <c r="A391" s="665"/>
      <c r="B391" s="665"/>
      <c r="C391" s="671"/>
      <c r="D391" s="238"/>
      <c r="E391" s="47"/>
      <c r="F391" s="279"/>
      <c r="G391" s="49"/>
      <c r="H391" s="59"/>
      <c r="I391" s="48"/>
      <c r="J391" s="64"/>
      <c r="K391" s="66"/>
      <c r="L391" s="184"/>
      <c r="M391" s="184"/>
      <c r="N391" s="184"/>
      <c r="O391" s="184"/>
      <c r="P391" s="184"/>
      <c r="Q391" s="184"/>
      <c r="R391" s="188"/>
      <c r="S391" s="188"/>
    </row>
    <row r="392" spans="1:27" ht="22.5" hidden="1" x14ac:dyDescent="0.2">
      <c r="A392" s="34"/>
      <c r="B392" s="33" t="s">
        <v>7</v>
      </c>
      <c r="C392" s="33"/>
      <c r="D392" s="33"/>
      <c r="E392" s="27" t="s">
        <v>8</v>
      </c>
      <c r="F392" s="28"/>
      <c r="G392" s="627" t="s">
        <v>14</v>
      </c>
      <c r="H392" s="627"/>
      <c r="I392" s="627"/>
      <c r="J392" s="627"/>
      <c r="K392" s="66"/>
      <c r="L392" s="184"/>
      <c r="M392" s="184"/>
      <c r="N392" s="184"/>
      <c r="O392" s="184"/>
      <c r="P392" s="184"/>
      <c r="Q392" s="184"/>
      <c r="R392" s="188"/>
      <c r="S392" s="188"/>
    </row>
    <row r="393" spans="1:27" hidden="1" x14ac:dyDescent="0.2">
      <c r="A393" s="28" t="s">
        <v>9</v>
      </c>
      <c r="B393" s="31">
        <v>1</v>
      </c>
      <c r="C393" s="628" t="s">
        <v>43</v>
      </c>
      <c r="D393" s="629"/>
      <c r="E393" s="174">
        <v>1</v>
      </c>
      <c r="F393" s="29">
        <f>(E393-B393)/B393</f>
        <v>0</v>
      </c>
      <c r="G393" s="630"/>
      <c r="H393" s="631"/>
      <c r="I393" s="631"/>
      <c r="J393" s="632"/>
      <c r="K393" s="66"/>
      <c r="L393" s="184"/>
      <c r="M393" s="184"/>
      <c r="N393" s="184"/>
      <c r="O393" s="184"/>
      <c r="P393" s="184"/>
      <c r="Q393" s="184"/>
      <c r="R393" s="188"/>
      <c r="S393" s="188"/>
    </row>
    <row r="394" spans="1:27" hidden="1" x14ac:dyDescent="0.2">
      <c r="A394" s="28" t="s">
        <v>10</v>
      </c>
      <c r="B394" s="31">
        <v>2</v>
      </c>
      <c r="C394" s="628" t="s">
        <v>43</v>
      </c>
      <c r="D394" s="629"/>
      <c r="E394" s="174">
        <v>1.5</v>
      </c>
      <c r="F394" s="29">
        <f>(E394-B394)/B394</f>
        <v>-0.25</v>
      </c>
      <c r="G394" s="630"/>
      <c r="H394" s="631"/>
      <c r="I394" s="631"/>
      <c r="J394" s="632"/>
      <c r="K394" s="66"/>
      <c r="L394" s="184"/>
      <c r="M394" s="184"/>
      <c r="N394" s="184"/>
      <c r="O394" s="184"/>
      <c r="P394" s="184"/>
      <c r="Q394" s="184"/>
      <c r="R394" s="188"/>
      <c r="S394" s="188"/>
    </row>
    <row r="395" spans="1:27" hidden="1" x14ac:dyDescent="0.2">
      <c r="A395" s="28" t="s">
        <v>11</v>
      </c>
      <c r="B395" s="31">
        <v>0</v>
      </c>
      <c r="C395" s="628" t="s">
        <v>43</v>
      </c>
      <c r="D395" s="629"/>
      <c r="E395" s="174">
        <v>0</v>
      </c>
      <c r="F395" s="29">
        <v>0</v>
      </c>
      <c r="G395" s="630"/>
      <c r="H395" s="631"/>
      <c r="I395" s="631"/>
      <c r="J395" s="632"/>
      <c r="K395" s="66"/>
      <c r="L395" s="184"/>
      <c r="M395" s="184"/>
      <c r="N395" s="184"/>
      <c r="O395" s="184"/>
      <c r="P395" s="184"/>
      <c r="Q395" s="184"/>
      <c r="R395" s="188"/>
      <c r="S395" s="188"/>
    </row>
    <row r="396" spans="1:27" hidden="1" x14ac:dyDescent="0.2">
      <c r="A396" s="28" t="s">
        <v>12</v>
      </c>
      <c r="B396" s="31">
        <v>12</v>
      </c>
      <c r="C396" s="649" t="s">
        <v>44</v>
      </c>
      <c r="D396" s="650"/>
      <c r="E396" s="173">
        <f>3.75+8.25+5</f>
        <v>17</v>
      </c>
      <c r="F396" s="29">
        <f>(E396-B396)/B396</f>
        <v>0.41666666666666669</v>
      </c>
      <c r="G396" s="630" t="s">
        <v>59</v>
      </c>
      <c r="H396" s="631"/>
      <c r="I396" s="631"/>
      <c r="J396" s="632"/>
      <c r="K396" s="66"/>
      <c r="L396" s="184"/>
      <c r="M396" s="184"/>
      <c r="N396" s="184"/>
      <c r="O396" s="184"/>
      <c r="P396" s="184"/>
      <c r="Q396" s="184"/>
      <c r="R396" s="188"/>
      <c r="S396" s="188"/>
    </row>
    <row r="397" spans="1:27" hidden="1" x14ac:dyDescent="0.2">
      <c r="A397" s="35" t="s">
        <v>15</v>
      </c>
      <c r="B397" s="174">
        <f>SUM(B393:B396)</f>
        <v>15</v>
      </c>
      <c r="C397" s="326"/>
      <c r="D397" s="266"/>
      <c r="E397" s="173">
        <f>SUM(E393:E396)</f>
        <v>19.5</v>
      </c>
      <c r="F397" s="29">
        <f>(E397-B397)/B397</f>
        <v>0.3</v>
      </c>
      <c r="G397" s="630"/>
      <c r="H397" s="631"/>
      <c r="I397" s="631"/>
      <c r="J397" s="632"/>
      <c r="K397" s="66"/>
      <c r="L397" s="184"/>
      <c r="M397" s="184"/>
      <c r="N397" s="184"/>
      <c r="O397" s="184"/>
      <c r="P397" s="184"/>
      <c r="Q397" s="184"/>
      <c r="R397" s="188"/>
      <c r="S397" s="188"/>
    </row>
    <row r="398" spans="1:27" hidden="1" x14ac:dyDescent="0.2">
      <c r="A398" s="39"/>
      <c r="B398" s="36"/>
      <c r="C398" s="84"/>
      <c r="D398" s="36"/>
      <c r="E398" s="36"/>
      <c r="F398" s="40"/>
      <c r="G398" s="36"/>
      <c r="H398" s="36"/>
      <c r="I398" s="36"/>
      <c r="J398" s="36"/>
      <c r="K398" s="66"/>
      <c r="L398" s="184"/>
      <c r="M398" s="184"/>
      <c r="N398" s="184"/>
      <c r="O398" s="184"/>
      <c r="P398" s="184"/>
      <c r="Q398" s="184"/>
      <c r="R398" s="188"/>
      <c r="S398" s="188"/>
    </row>
    <row r="399" spans="1:27" hidden="1" x14ac:dyDescent="0.2">
      <c r="A399" s="656" t="s">
        <v>60</v>
      </c>
      <c r="B399" s="656"/>
      <c r="C399" s="663" t="s">
        <v>141</v>
      </c>
      <c r="D399" s="668" t="s">
        <v>113</v>
      </c>
      <c r="E399" s="50" t="s">
        <v>18</v>
      </c>
      <c r="F399" s="67">
        <v>1</v>
      </c>
      <c r="G399" s="45" t="s">
        <v>16</v>
      </c>
      <c r="H399" s="58">
        <f>B406</f>
        <v>15</v>
      </c>
      <c r="I399" s="45" t="s">
        <v>17</v>
      </c>
      <c r="J399" s="63">
        <f>B406-E406</f>
        <v>1.25</v>
      </c>
      <c r="K399" s="71">
        <f>(E406-B406)/B406</f>
        <v>-8.3333333333333329E-2</v>
      </c>
      <c r="L399" s="356" t="s">
        <v>66</v>
      </c>
      <c r="M399" s="184"/>
      <c r="N399" s="184"/>
      <c r="O399" s="184"/>
      <c r="P399" s="184"/>
      <c r="Q399" s="184"/>
      <c r="R399" s="188"/>
      <c r="S399" s="188"/>
      <c r="X399" s="32"/>
      <c r="Y399" s="32"/>
      <c r="Z399" s="32"/>
      <c r="AA399" s="32"/>
    </row>
    <row r="400" spans="1:27" ht="12.75" hidden="1" customHeight="1" x14ac:dyDescent="0.2">
      <c r="A400" s="656"/>
      <c r="B400" s="656"/>
      <c r="C400" s="664"/>
      <c r="D400" s="669"/>
      <c r="E400" s="47"/>
      <c r="F400" s="279"/>
      <c r="G400" s="49"/>
      <c r="H400" s="59"/>
      <c r="I400" s="48"/>
      <c r="J400" s="64"/>
      <c r="K400" s="66"/>
      <c r="L400" s="184"/>
      <c r="M400" s="184"/>
      <c r="N400" s="184"/>
      <c r="O400" s="184"/>
      <c r="P400" s="184"/>
      <c r="Q400" s="184"/>
      <c r="R400" s="188"/>
      <c r="S400" s="188"/>
    </row>
    <row r="401" spans="1:27" ht="22.5" hidden="1" x14ac:dyDescent="0.2">
      <c r="A401" s="34"/>
      <c r="B401" s="33" t="s">
        <v>7</v>
      </c>
      <c r="C401" s="33"/>
      <c r="D401" s="33"/>
      <c r="E401" s="27" t="s">
        <v>8</v>
      </c>
      <c r="F401" s="28"/>
      <c r="G401" s="627" t="s">
        <v>14</v>
      </c>
      <c r="H401" s="627"/>
      <c r="I401" s="627"/>
      <c r="J401" s="627"/>
      <c r="K401" s="66"/>
      <c r="L401" s="184"/>
      <c r="M401" s="184"/>
      <c r="N401" s="184"/>
      <c r="O401" s="184"/>
      <c r="P401" s="184"/>
      <c r="Q401" s="184"/>
      <c r="R401" s="188"/>
      <c r="S401" s="188"/>
    </row>
    <row r="402" spans="1:27" hidden="1" x14ac:dyDescent="0.2">
      <c r="A402" s="28" t="s">
        <v>9</v>
      </c>
      <c r="B402" s="31">
        <v>1</v>
      </c>
      <c r="C402" s="628" t="s">
        <v>43</v>
      </c>
      <c r="D402" s="629"/>
      <c r="E402" s="178">
        <v>1</v>
      </c>
      <c r="F402" s="29">
        <f>(E402-B402)/B402</f>
        <v>0</v>
      </c>
      <c r="G402" s="630"/>
      <c r="H402" s="631"/>
      <c r="I402" s="631"/>
      <c r="J402" s="632"/>
      <c r="K402" s="66"/>
      <c r="L402" s="184"/>
      <c r="M402" s="184"/>
      <c r="N402" s="184"/>
      <c r="O402" s="184"/>
      <c r="P402" s="184"/>
      <c r="Q402" s="184"/>
      <c r="R402" s="188"/>
      <c r="S402" s="188"/>
    </row>
    <row r="403" spans="1:27" hidden="1" x14ac:dyDescent="0.2">
      <c r="A403" s="28" t="s">
        <v>10</v>
      </c>
      <c r="B403" s="31">
        <v>2</v>
      </c>
      <c r="C403" s="628" t="s">
        <v>43</v>
      </c>
      <c r="D403" s="629"/>
      <c r="E403" s="178">
        <v>1</v>
      </c>
      <c r="F403" s="29">
        <f>(E403-B403)/B403</f>
        <v>-0.5</v>
      </c>
      <c r="G403" s="630"/>
      <c r="H403" s="631"/>
      <c r="I403" s="631"/>
      <c r="J403" s="632"/>
      <c r="K403" s="66"/>
      <c r="L403" s="184"/>
      <c r="M403" s="184"/>
      <c r="N403" s="184"/>
      <c r="O403" s="184"/>
      <c r="P403" s="184"/>
      <c r="Q403" s="184"/>
      <c r="R403" s="188"/>
      <c r="S403" s="188"/>
    </row>
    <row r="404" spans="1:27" hidden="1" x14ac:dyDescent="0.2">
      <c r="A404" s="28" t="s">
        <v>11</v>
      </c>
      <c r="B404" s="31">
        <v>0</v>
      </c>
      <c r="C404" s="628" t="s">
        <v>43</v>
      </c>
      <c r="D404" s="629"/>
      <c r="E404" s="178">
        <v>0</v>
      </c>
      <c r="F404" s="29">
        <v>0</v>
      </c>
      <c r="G404" s="630"/>
      <c r="H404" s="631"/>
      <c r="I404" s="631"/>
      <c r="J404" s="632"/>
      <c r="K404" s="66"/>
      <c r="L404" s="184"/>
      <c r="M404" s="184"/>
      <c r="N404" s="184"/>
      <c r="O404" s="184"/>
      <c r="P404" s="184"/>
      <c r="Q404" s="184"/>
      <c r="R404" s="188"/>
      <c r="S404" s="188"/>
    </row>
    <row r="405" spans="1:27" hidden="1" x14ac:dyDescent="0.2">
      <c r="A405" s="28" t="s">
        <v>12</v>
      </c>
      <c r="B405" s="31">
        <v>12</v>
      </c>
      <c r="C405" s="628" t="s">
        <v>43</v>
      </c>
      <c r="D405" s="629"/>
      <c r="E405" s="177">
        <f>8.75+2+1</f>
        <v>11.75</v>
      </c>
      <c r="F405" s="29">
        <f>(E405-B405)/B405</f>
        <v>-2.0833333333333332E-2</v>
      </c>
      <c r="G405" s="630" t="s">
        <v>105</v>
      </c>
      <c r="H405" s="631"/>
      <c r="I405" s="631"/>
      <c r="J405" s="632"/>
      <c r="K405" s="66"/>
      <c r="L405" s="184"/>
      <c r="M405" s="184"/>
      <c r="N405" s="184"/>
      <c r="O405" s="184"/>
      <c r="P405" s="184"/>
      <c r="Q405" s="184"/>
      <c r="R405" s="188"/>
      <c r="S405" s="188"/>
    </row>
    <row r="406" spans="1:27" hidden="1" x14ac:dyDescent="0.2">
      <c r="A406" s="35" t="s">
        <v>15</v>
      </c>
      <c r="B406" s="178">
        <f>SUM(B402:B405)</f>
        <v>15</v>
      </c>
      <c r="C406" s="326"/>
      <c r="D406" s="266"/>
      <c r="E406" s="177">
        <f>SUM(E402:E405)</f>
        <v>13.75</v>
      </c>
      <c r="F406" s="29">
        <f>(E406-B406)/B406</f>
        <v>-8.3333333333333329E-2</v>
      </c>
      <c r="G406" s="630"/>
      <c r="H406" s="631"/>
      <c r="I406" s="631"/>
      <c r="J406" s="632"/>
      <c r="K406" s="66"/>
      <c r="L406" s="184"/>
      <c r="M406" s="184"/>
      <c r="N406" s="184"/>
      <c r="O406" s="184"/>
      <c r="P406" s="184"/>
      <c r="Q406" s="184"/>
      <c r="R406" s="188"/>
      <c r="S406" s="188"/>
    </row>
    <row r="407" spans="1:27" hidden="1" x14ac:dyDescent="0.2">
      <c r="A407" s="39"/>
      <c r="B407" s="36"/>
      <c r="C407" s="84"/>
      <c r="D407" s="36"/>
      <c r="E407" s="36"/>
      <c r="F407" s="40"/>
      <c r="G407" s="36"/>
      <c r="H407" s="36"/>
      <c r="I407" s="36"/>
      <c r="J407" s="36"/>
      <c r="K407" s="66"/>
      <c r="L407" s="184"/>
      <c r="M407" s="184"/>
      <c r="N407" s="184"/>
      <c r="O407" s="184"/>
      <c r="P407" s="184"/>
      <c r="Q407" s="184"/>
      <c r="R407" s="188"/>
      <c r="S407" s="188"/>
    </row>
    <row r="408" spans="1:27" ht="12.75" hidden="1" customHeight="1" x14ac:dyDescent="0.2">
      <c r="A408" s="656" t="s">
        <v>155</v>
      </c>
      <c r="B408" s="656"/>
      <c r="C408" s="663" t="s">
        <v>141</v>
      </c>
      <c r="D408" s="653" t="s">
        <v>113</v>
      </c>
      <c r="E408" s="50" t="s">
        <v>18</v>
      </c>
      <c r="F408" s="67">
        <v>4</v>
      </c>
      <c r="G408" s="45" t="s">
        <v>16</v>
      </c>
      <c r="H408" s="58">
        <f>B415</f>
        <v>24</v>
      </c>
      <c r="I408" s="45" t="s">
        <v>17</v>
      </c>
      <c r="J408" s="63">
        <f>B415-E415</f>
        <v>-9</v>
      </c>
      <c r="K408" s="71">
        <f>(E415-B415)/B415</f>
        <v>0.375</v>
      </c>
      <c r="L408" s="356" t="s">
        <v>66</v>
      </c>
      <c r="M408" s="184"/>
      <c r="N408" s="184"/>
      <c r="O408" s="184"/>
      <c r="P408" s="184"/>
      <c r="Q408" s="184"/>
      <c r="R408" s="188"/>
      <c r="S408" s="188"/>
      <c r="X408" s="32"/>
      <c r="Y408" s="32"/>
      <c r="Z408" s="32"/>
      <c r="AA408" s="32"/>
    </row>
    <row r="409" spans="1:27" ht="12.75" hidden="1" customHeight="1" x14ac:dyDescent="0.2">
      <c r="A409" s="656"/>
      <c r="B409" s="656"/>
      <c r="C409" s="664"/>
      <c r="D409" s="654"/>
      <c r="E409" s="47"/>
      <c r="F409" s="279"/>
      <c r="G409" s="49"/>
      <c r="H409" s="59"/>
      <c r="I409" s="48"/>
      <c r="J409" s="64"/>
      <c r="K409" s="66"/>
      <c r="L409" s="184"/>
      <c r="M409" s="184"/>
      <c r="N409" s="184"/>
      <c r="O409" s="184"/>
      <c r="P409" s="184"/>
      <c r="Q409" s="184"/>
      <c r="R409" s="188"/>
      <c r="S409" s="188"/>
    </row>
    <row r="410" spans="1:27" ht="22.5" hidden="1" x14ac:dyDescent="0.2">
      <c r="A410" s="34"/>
      <c r="B410" s="33" t="s">
        <v>7</v>
      </c>
      <c r="C410" s="33"/>
      <c r="D410" s="33"/>
      <c r="E410" s="27" t="s">
        <v>8</v>
      </c>
      <c r="F410" s="28"/>
      <c r="G410" s="627" t="s">
        <v>14</v>
      </c>
      <c r="H410" s="627"/>
      <c r="I410" s="627"/>
      <c r="J410" s="627"/>
      <c r="K410" s="66"/>
      <c r="L410" s="184"/>
      <c r="M410" s="184"/>
      <c r="N410" s="184"/>
      <c r="O410" s="184"/>
      <c r="P410" s="184"/>
      <c r="Q410" s="184"/>
      <c r="R410" s="188"/>
      <c r="S410" s="188"/>
    </row>
    <row r="411" spans="1:27" hidden="1" x14ac:dyDescent="0.2">
      <c r="A411" s="28" t="s">
        <v>9</v>
      </c>
      <c r="B411" s="31">
        <v>5</v>
      </c>
      <c r="C411" s="628" t="s">
        <v>43</v>
      </c>
      <c r="D411" s="629"/>
      <c r="E411" s="319">
        <v>4</v>
      </c>
      <c r="F411" s="29">
        <f>(E411-B411)/B411</f>
        <v>-0.2</v>
      </c>
      <c r="G411" s="630"/>
      <c r="H411" s="631"/>
      <c r="I411" s="631"/>
      <c r="J411" s="632"/>
      <c r="K411" s="66"/>
      <c r="L411" s="184"/>
      <c r="M411" s="184"/>
      <c r="N411" s="184"/>
      <c r="O411" s="184"/>
      <c r="P411" s="184"/>
      <c r="Q411" s="184"/>
      <c r="R411" s="188"/>
      <c r="S411" s="188"/>
    </row>
    <row r="412" spans="1:27" hidden="1" x14ac:dyDescent="0.2">
      <c r="A412" s="28" t="s">
        <v>10</v>
      </c>
      <c r="B412" s="31">
        <v>5</v>
      </c>
      <c r="C412" s="628" t="s">
        <v>43</v>
      </c>
      <c r="D412" s="629"/>
      <c r="E412" s="319">
        <f>3+1.5</f>
        <v>4.5</v>
      </c>
      <c r="F412" s="29">
        <f>(E412-B412)/B412</f>
        <v>-0.1</v>
      </c>
      <c r="G412" s="630" t="s">
        <v>180</v>
      </c>
      <c r="H412" s="631"/>
      <c r="I412" s="631"/>
      <c r="J412" s="632"/>
      <c r="K412" s="66"/>
      <c r="L412" s="184"/>
      <c r="M412" s="184"/>
      <c r="N412" s="184"/>
      <c r="O412" s="184"/>
      <c r="P412" s="184"/>
      <c r="Q412" s="184"/>
      <c r="R412" s="188"/>
      <c r="S412" s="188"/>
    </row>
    <row r="413" spans="1:27" hidden="1" x14ac:dyDescent="0.2">
      <c r="A413" s="28" t="s">
        <v>11</v>
      </c>
      <c r="B413" s="31">
        <v>0</v>
      </c>
      <c r="C413" s="628" t="s">
        <v>43</v>
      </c>
      <c r="D413" s="629"/>
      <c r="E413" s="319"/>
      <c r="F413" s="29">
        <v>0</v>
      </c>
      <c r="G413" s="630"/>
      <c r="H413" s="631"/>
      <c r="I413" s="631"/>
      <c r="J413" s="632"/>
      <c r="K413" s="66"/>
      <c r="L413" s="184"/>
      <c r="M413" s="184"/>
      <c r="N413" s="184"/>
      <c r="O413" s="184"/>
      <c r="P413" s="184"/>
      <c r="Q413" s="184"/>
      <c r="R413" s="188"/>
      <c r="S413" s="188"/>
    </row>
    <row r="414" spans="1:27" hidden="1" x14ac:dyDescent="0.2">
      <c r="A414" s="28" t="s">
        <v>12</v>
      </c>
      <c r="B414" s="31">
        <v>14</v>
      </c>
      <c r="C414" s="628" t="s">
        <v>43</v>
      </c>
      <c r="D414" s="629"/>
      <c r="E414" s="318">
        <f>3+3+6.25+8+4.25</f>
        <v>24.5</v>
      </c>
      <c r="F414" s="29">
        <f>(E414-B414)/B414</f>
        <v>0.75</v>
      </c>
      <c r="G414" s="630" t="s">
        <v>105</v>
      </c>
      <c r="H414" s="631"/>
      <c r="I414" s="631"/>
      <c r="J414" s="632"/>
      <c r="K414" s="66"/>
      <c r="L414" s="184"/>
      <c r="M414" s="184"/>
      <c r="N414" s="184"/>
      <c r="O414" s="184"/>
      <c r="P414" s="184"/>
      <c r="Q414" s="184"/>
      <c r="R414" s="188"/>
      <c r="S414" s="188"/>
    </row>
    <row r="415" spans="1:27" hidden="1" x14ac:dyDescent="0.2">
      <c r="A415" s="35" t="s">
        <v>15</v>
      </c>
      <c r="B415" s="319">
        <f>SUM(B411:B414)</f>
        <v>24</v>
      </c>
      <c r="C415" s="628"/>
      <c r="D415" s="629"/>
      <c r="E415" s="318">
        <f>SUM(E411:E414)</f>
        <v>33</v>
      </c>
      <c r="F415" s="29">
        <f>(E415-B415)/B415</f>
        <v>0.375</v>
      </c>
      <c r="G415" s="630"/>
      <c r="H415" s="631"/>
      <c r="I415" s="631"/>
      <c r="J415" s="632"/>
      <c r="K415" s="66"/>
      <c r="L415" s="184"/>
      <c r="M415" s="184"/>
      <c r="N415" s="184"/>
      <c r="O415" s="184"/>
      <c r="P415" s="184"/>
      <c r="Q415" s="184"/>
      <c r="R415" s="188"/>
      <c r="S415" s="188"/>
    </row>
    <row r="416" spans="1:27" hidden="1" x14ac:dyDescent="0.2">
      <c r="A416" s="39"/>
      <c r="B416" s="36"/>
      <c r="C416" s="84"/>
      <c r="D416" s="36"/>
      <c r="E416" s="36"/>
      <c r="F416" s="40"/>
      <c r="G416" s="36"/>
      <c r="H416" s="36"/>
      <c r="I416" s="36"/>
      <c r="J416" s="36"/>
      <c r="K416" s="66"/>
      <c r="L416" s="184"/>
      <c r="M416" s="184"/>
      <c r="N416" s="184"/>
      <c r="O416" s="184"/>
      <c r="P416" s="184"/>
      <c r="Q416" s="184"/>
      <c r="R416" s="188"/>
      <c r="S416" s="188"/>
    </row>
    <row r="417" spans="1:19" ht="15" hidden="1" x14ac:dyDescent="0.2">
      <c r="A417" s="665" t="s">
        <v>56</v>
      </c>
      <c r="B417" s="665"/>
      <c r="C417" s="670" t="s">
        <v>141</v>
      </c>
      <c r="D417" s="289" t="s">
        <v>113</v>
      </c>
      <c r="E417" s="330" t="s">
        <v>18</v>
      </c>
      <c r="F417" s="67">
        <v>3</v>
      </c>
      <c r="G417" s="45" t="s">
        <v>16</v>
      </c>
      <c r="H417" s="58">
        <f>B424</f>
        <v>37.5</v>
      </c>
      <c r="I417" s="45" t="s">
        <v>17</v>
      </c>
      <c r="J417" s="63">
        <f>B424-E424</f>
        <v>-5.75</v>
      </c>
      <c r="K417" s="71">
        <f>(E424-B424)/B424</f>
        <v>0.15333333333333332</v>
      </c>
      <c r="L417" s="356" t="s">
        <v>67</v>
      </c>
      <c r="M417" s="184"/>
      <c r="N417" s="184"/>
      <c r="O417" s="184"/>
      <c r="P417" s="184"/>
      <c r="Q417" s="184"/>
      <c r="R417" s="188"/>
      <c r="S417" s="188"/>
    </row>
    <row r="418" spans="1:19" hidden="1" x14ac:dyDescent="0.2">
      <c r="A418" s="665"/>
      <c r="B418" s="665"/>
      <c r="C418" s="671"/>
      <c r="D418" s="238"/>
      <c r="E418" s="182"/>
      <c r="F418" s="279"/>
      <c r="G418" s="49"/>
      <c r="H418" s="59"/>
      <c r="I418" s="48"/>
      <c r="J418" s="64"/>
      <c r="K418" s="66"/>
      <c r="L418" s="184"/>
      <c r="M418" s="184"/>
      <c r="N418" s="184"/>
      <c r="O418" s="184"/>
      <c r="P418" s="184"/>
      <c r="Q418" s="184"/>
      <c r="R418" s="188"/>
      <c r="S418" s="188"/>
    </row>
    <row r="419" spans="1:19" ht="22.5" hidden="1" x14ac:dyDescent="0.2">
      <c r="A419" s="34"/>
      <c r="B419" s="33" t="s">
        <v>7</v>
      </c>
      <c r="C419" s="33"/>
      <c r="D419" s="33"/>
      <c r="E419" s="27" t="s">
        <v>8</v>
      </c>
      <c r="F419" s="28"/>
      <c r="G419" s="627" t="s">
        <v>14</v>
      </c>
      <c r="H419" s="627"/>
      <c r="I419" s="627"/>
      <c r="J419" s="627"/>
      <c r="K419" s="66"/>
      <c r="L419" s="184"/>
      <c r="M419" s="184"/>
      <c r="N419" s="184"/>
      <c r="O419" s="184"/>
      <c r="P419" s="184"/>
      <c r="Q419" s="184"/>
      <c r="R419" s="188"/>
      <c r="S419" s="188"/>
    </row>
    <row r="420" spans="1:19" hidden="1" x14ac:dyDescent="0.2">
      <c r="A420" s="28" t="s">
        <v>9</v>
      </c>
      <c r="B420" s="31">
        <v>3.75</v>
      </c>
      <c r="C420" s="628" t="s">
        <v>43</v>
      </c>
      <c r="D420" s="629"/>
      <c r="E420" s="170">
        <f>1.75+2.5</f>
        <v>4.25</v>
      </c>
      <c r="F420" s="29">
        <f>(E420-B420)/B420</f>
        <v>0.13333333333333333</v>
      </c>
      <c r="G420" s="630"/>
      <c r="H420" s="631"/>
      <c r="I420" s="631"/>
      <c r="J420" s="632"/>
      <c r="K420" s="66"/>
      <c r="L420" s="184"/>
      <c r="M420" s="184"/>
      <c r="N420" s="184"/>
      <c r="O420" s="184"/>
      <c r="P420" s="184"/>
      <c r="Q420" s="184"/>
      <c r="R420" s="188"/>
      <c r="S420" s="188"/>
    </row>
    <row r="421" spans="1:19" hidden="1" x14ac:dyDescent="0.2">
      <c r="A421" s="28" t="s">
        <v>10</v>
      </c>
      <c r="B421" s="31">
        <v>3.75</v>
      </c>
      <c r="C421" s="628" t="s">
        <v>43</v>
      </c>
      <c r="D421" s="629"/>
      <c r="E421" s="170">
        <v>3</v>
      </c>
      <c r="F421" s="29">
        <f>(E421-B421)/B421</f>
        <v>-0.2</v>
      </c>
      <c r="G421" s="630"/>
      <c r="H421" s="631"/>
      <c r="I421" s="631"/>
      <c r="J421" s="632"/>
      <c r="K421" s="66"/>
      <c r="L421" s="184"/>
      <c r="M421" s="184"/>
      <c r="N421" s="184"/>
      <c r="O421" s="184"/>
      <c r="P421" s="184"/>
      <c r="Q421" s="184"/>
      <c r="R421" s="188"/>
      <c r="S421" s="188"/>
    </row>
    <row r="422" spans="1:19" hidden="1" x14ac:dyDescent="0.2">
      <c r="A422" s="28" t="s">
        <v>11</v>
      </c>
      <c r="B422" s="31">
        <v>3</v>
      </c>
      <c r="C422" s="628" t="s">
        <v>43</v>
      </c>
      <c r="D422" s="629"/>
      <c r="E422" s="170">
        <v>4</v>
      </c>
      <c r="F422" s="29">
        <f>(E422-B422)/B422</f>
        <v>0.33333333333333331</v>
      </c>
      <c r="G422" s="630"/>
      <c r="H422" s="631"/>
      <c r="I422" s="631"/>
      <c r="J422" s="632"/>
      <c r="K422" s="66"/>
      <c r="L422" s="184"/>
      <c r="M422" s="184"/>
      <c r="N422" s="184"/>
      <c r="O422" s="184"/>
      <c r="P422" s="184"/>
      <c r="Q422" s="184"/>
      <c r="R422" s="188"/>
      <c r="S422" s="188"/>
    </row>
    <row r="423" spans="1:19" hidden="1" x14ac:dyDescent="0.2">
      <c r="A423" s="28" t="s">
        <v>12</v>
      </c>
      <c r="B423" s="31">
        <v>27</v>
      </c>
      <c r="C423" s="628" t="s">
        <v>43</v>
      </c>
      <c r="D423" s="629"/>
      <c r="E423" s="169">
        <f>8.25+7.25+4.5+4.25+3.75+3+1</f>
        <v>32</v>
      </c>
      <c r="F423" s="29">
        <f>(E423-B423)/B423</f>
        <v>0.18518518518518517</v>
      </c>
      <c r="G423" s="630" t="s">
        <v>159</v>
      </c>
      <c r="H423" s="631"/>
      <c r="I423" s="631"/>
      <c r="J423" s="632"/>
      <c r="K423" s="66"/>
      <c r="L423" s="184"/>
      <c r="M423" s="184"/>
      <c r="N423" s="184"/>
      <c r="O423" s="184"/>
      <c r="P423" s="184"/>
      <c r="Q423" s="184"/>
      <c r="R423" s="188"/>
      <c r="S423" s="188"/>
    </row>
    <row r="424" spans="1:19" hidden="1" x14ac:dyDescent="0.2">
      <c r="A424" s="35" t="s">
        <v>15</v>
      </c>
      <c r="B424" s="170">
        <f>SUM(B420:B423)</f>
        <v>37.5</v>
      </c>
      <c r="C424" s="326"/>
      <c r="D424" s="266"/>
      <c r="E424" s="169">
        <f>SUM(E420:E423)</f>
        <v>43.25</v>
      </c>
      <c r="F424" s="29">
        <f>(E424-B424)/B424</f>
        <v>0.15333333333333332</v>
      </c>
      <c r="G424" s="630"/>
      <c r="H424" s="631"/>
      <c r="I424" s="631"/>
      <c r="J424" s="632"/>
      <c r="K424" s="66"/>
      <c r="L424" s="184"/>
      <c r="M424" s="184"/>
      <c r="N424" s="184"/>
      <c r="O424" s="184"/>
      <c r="P424" s="184"/>
      <c r="Q424" s="184"/>
      <c r="R424" s="188"/>
      <c r="S424" s="188"/>
    </row>
    <row r="425" spans="1:19" hidden="1" x14ac:dyDescent="0.2">
      <c r="L425" s="184"/>
      <c r="M425" s="184"/>
      <c r="N425" s="184"/>
      <c r="O425" s="184"/>
      <c r="P425" s="184"/>
      <c r="Q425" s="184"/>
      <c r="R425" s="188"/>
      <c r="S425" s="188"/>
    </row>
    <row r="426" spans="1:19" ht="15" hidden="1" x14ac:dyDescent="0.2">
      <c r="A426" s="656" t="s">
        <v>55</v>
      </c>
      <c r="B426" s="656"/>
      <c r="C426" s="657" t="s">
        <v>122</v>
      </c>
      <c r="D426" s="239" t="s">
        <v>113</v>
      </c>
      <c r="E426" s="50" t="s">
        <v>18</v>
      </c>
      <c r="F426" s="67">
        <v>2</v>
      </c>
      <c r="G426" s="45" t="s">
        <v>16</v>
      </c>
      <c r="H426" s="58">
        <f>B433</f>
        <v>10</v>
      </c>
      <c r="I426" s="45" t="s">
        <v>17</v>
      </c>
      <c r="J426" s="63">
        <f>B433-E433</f>
        <v>-9</v>
      </c>
      <c r="K426" s="71">
        <f>(E433-B433)/B433</f>
        <v>0.9</v>
      </c>
      <c r="L426" s="358"/>
      <c r="M426" s="186"/>
      <c r="N426" s="186"/>
      <c r="O426" s="186"/>
      <c r="P426" s="186"/>
      <c r="Q426" s="186"/>
      <c r="R426" s="46"/>
      <c r="S426" s="46"/>
    </row>
    <row r="427" spans="1:19" hidden="1" x14ac:dyDescent="0.2">
      <c r="A427" s="656"/>
      <c r="B427" s="656"/>
      <c r="C427" s="658"/>
      <c r="D427" s="236"/>
      <c r="E427" s="47"/>
      <c r="F427" s="279"/>
      <c r="G427" s="49"/>
      <c r="H427" s="59"/>
      <c r="I427" s="48"/>
      <c r="J427" s="64"/>
      <c r="K427" s="66"/>
    </row>
    <row r="428" spans="1:19" ht="22.5" hidden="1" x14ac:dyDescent="0.2">
      <c r="A428" s="34"/>
      <c r="B428" s="33" t="s">
        <v>7</v>
      </c>
      <c r="C428" s="33"/>
      <c r="D428" s="33"/>
      <c r="E428" s="27" t="s">
        <v>8</v>
      </c>
      <c r="F428" s="28"/>
      <c r="G428" s="627" t="s">
        <v>14</v>
      </c>
      <c r="H428" s="627"/>
      <c r="I428" s="627"/>
      <c r="J428" s="627"/>
      <c r="K428" s="66"/>
    </row>
    <row r="429" spans="1:19" hidden="1" x14ac:dyDescent="0.2">
      <c r="A429" s="28" t="s">
        <v>9</v>
      </c>
      <c r="B429" s="31">
        <v>1</v>
      </c>
      <c r="C429" s="628" t="s">
        <v>43</v>
      </c>
      <c r="D429" s="629"/>
      <c r="E429" s="170">
        <v>1.5</v>
      </c>
      <c r="F429" s="29">
        <f>(E429-B429)/B429</f>
        <v>0.5</v>
      </c>
      <c r="G429" s="630"/>
      <c r="H429" s="631"/>
      <c r="I429" s="631"/>
      <c r="J429" s="632"/>
      <c r="K429" s="66"/>
    </row>
    <row r="430" spans="1:19" hidden="1" x14ac:dyDescent="0.2">
      <c r="A430" s="28" t="s">
        <v>10</v>
      </c>
      <c r="B430" s="31">
        <v>1</v>
      </c>
      <c r="C430" s="628" t="s">
        <v>43</v>
      </c>
      <c r="D430" s="629"/>
      <c r="E430" s="170">
        <v>1</v>
      </c>
      <c r="F430" s="29">
        <f>(E430-B430)/B430</f>
        <v>0</v>
      </c>
      <c r="G430" s="630"/>
      <c r="H430" s="631"/>
      <c r="I430" s="631"/>
      <c r="J430" s="632"/>
      <c r="K430" s="66"/>
    </row>
    <row r="431" spans="1:19" hidden="1" x14ac:dyDescent="0.2">
      <c r="A431" s="28" t="s">
        <v>11</v>
      </c>
      <c r="B431" s="31">
        <v>0.75</v>
      </c>
      <c r="C431" s="628" t="s">
        <v>43</v>
      </c>
      <c r="D431" s="629"/>
      <c r="E431" s="170">
        <v>0</v>
      </c>
      <c r="F431" s="29">
        <f>(E431-B431)/B431</f>
        <v>-1</v>
      </c>
      <c r="G431" s="630"/>
      <c r="H431" s="631"/>
      <c r="I431" s="631"/>
      <c r="J431" s="632"/>
      <c r="K431" s="66"/>
    </row>
    <row r="432" spans="1:19" hidden="1" x14ac:dyDescent="0.2">
      <c r="A432" s="28" t="s">
        <v>12</v>
      </c>
      <c r="B432" s="31">
        <v>7.25</v>
      </c>
      <c r="C432" s="628" t="s">
        <v>43</v>
      </c>
      <c r="D432" s="629"/>
      <c r="E432" s="169">
        <f>0.75+5+2.5+8.25</f>
        <v>16.5</v>
      </c>
      <c r="F432" s="29">
        <f>(E432-B432)/B432</f>
        <v>1.2758620689655173</v>
      </c>
      <c r="G432" s="262" t="s">
        <v>121</v>
      </c>
      <c r="H432" s="263"/>
      <c r="I432" s="263"/>
      <c r="J432" s="264"/>
      <c r="K432" s="66"/>
    </row>
    <row r="433" spans="1:19" hidden="1" x14ac:dyDescent="0.2">
      <c r="A433" s="35" t="s">
        <v>15</v>
      </c>
      <c r="B433" s="170">
        <f>SUM(B429:B432)</f>
        <v>10</v>
      </c>
      <c r="C433" s="326"/>
      <c r="D433" s="266"/>
      <c r="E433" s="169">
        <f>SUM(E429:E432)</f>
        <v>19</v>
      </c>
      <c r="F433" s="29">
        <f>(E433-B433)/B433</f>
        <v>0.9</v>
      </c>
      <c r="G433" s="630"/>
      <c r="H433" s="631"/>
      <c r="I433" s="631"/>
      <c r="J433" s="632"/>
      <c r="K433" s="66"/>
    </row>
    <row r="434" spans="1:19" hidden="1" x14ac:dyDescent="0.2"/>
    <row r="435" spans="1:19" ht="15" x14ac:dyDescent="0.2">
      <c r="A435" s="656" t="s">
        <v>104</v>
      </c>
      <c r="B435" s="656"/>
      <c r="C435" s="657" t="s">
        <v>141</v>
      </c>
      <c r="D435" s="239" t="s">
        <v>113</v>
      </c>
      <c r="E435" s="50" t="s">
        <v>18</v>
      </c>
      <c r="F435" s="67">
        <v>6</v>
      </c>
      <c r="G435" s="45" t="s">
        <v>16</v>
      </c>
      <c r="H435" s="58">
        <f>B442</f>
        <v>419.52</v>
      </c>
      <c r="I435" s="45" t="s">
        <v>17</v>
      </c>
      <c r="J435" s="63">
        <f>B442-E442</f>
        <v>174.76999999999998</v>
      </c>
      <c r="K435" s="71">
        <f>(E442-B442)/B442</f>
        <v>-0.41659515636918382</v>
      </c>
      <c r="L435" s="358"/>
      <c r="M435" s="186"/>
      <c r="N435" s="186"/>
      <c r="O435" s="186"/>
      <c r="P435" s="186"/>
      <c r="Q435" s="186"/>
      <c r="R435" s="46"/>
      <c r="S435" s="46"/>
    </row>
    <row r="436" spans="1:19" hidden="1" x14ac:dyDescent="0.2">
      <c r="A436" s="656"/>
      <c r="B436" s="656"/>
      <c r="C436" s="658"/>
      <c r="D436" s="236"/>
      <c r="E436" s="47"/>
      <c r="F436" s="279"/>
      <c r="G436" s="49"/>
      <c r="H436" s="59"/>
      <c r="I436" s="48"/>
      <c r="J436" s="64"/>
      <c r="K436" s="66"/>
    </row>
    <row r="437" spans="1:19" ht="22.5" hidden="1" x14ac:dyDescent="0.2">
      <c r="A437" s="34"/>
      <c r="B437" s="33" t="s">
        <v>7</v>
      </c>
      <c r="C437" s="33"/>
      <c r="D437" s="33"/>
      <c r="E437" s="27" t="s">
        <v>8</v>
      </c>
      <c r="F437" s="28"/>
      <c r="G437" s="627" t="s">
        <v>14</v>
      </c>
      <c r="H437" s="627"/>
      <c r="I437" s="627"/>
      <c r="J437" s="627"/>
      <c r="K437" s="66"/>
    </row>
    <row r="438" spans="1:19" hidden="1" x14ac:dyDescent="0.2">
      <c r="A438" s="28" t="s">
        <v>9</v>
      </c>
      <c r="B438" s="31">
        <v>110.4</v>
      </c>
      <c r="C438" s="247" t="s">
        <v>43</v>
      </c>
      <c r="D438" s="31"/>
      <c r="E438" s="204">
        <f>4.75+1.25+8.25+3+5.25+1+8+2.5+2+9+8+5+5.5+4.5+0.75</f>
        <v>68.75</v>
      </c>
      <c r="F438" s="29">
        <f>(E438-B438)/B438</f>
        <v>-0.37726449275362323</v>
      </c>
      <c r="G438" s="630"/>
      <c r="H438" s="631"/>
      <c r="I438" s="631"/>
      <c r="J438" s="632"/>
      <c r="K438" s="66"/>
    </row>
    <row r="439" spans="1:19" hidden="1" x14ac:dyDescent="0.2">
      <c r="A439" s="28" t="s">
        <v>10</v>
      </c>
      <c r="B439" s="31">
        <v>110.4</v>
      </c>
      <c r="C439" s="247" t="s">
        <v>43</v>
      </c>
      <c r="D439" s="31"/>
      <c r="E439" s="204">
        <f>8.25+1+8.25+4.5+3+5+9+2+9+1.5+5.25</f>
        <v>56.75</v>
      </c>
      <c r="F439" s="29">
        <f>(E439-B439)/B439</f>
        <v>-0.48596014492753625</v>
      </c>
      <c r="G439" s="630"/>
      <c r="H439" s="631"/>
      <c r="I439" s="631"/>
      <c r="J439" s="632"/>
      <c r="K439" s="66"/>
    </row>
    <row r="440" spans="1:19" hidden="1" x14ac:dyDescent="0.2">
      <c r="A440" s="28" t="s">
        <v>11</v>
      </c>
      <c r="B440" s="31">
        <v>0</v>
      </c>
      <c r="C440" s="244" t="s">
        <v>43</v>
      </c>
      <c r="D440" s="31"/>
      <c r="E440" s="204"/>
      <c r="F440" s="29">
        <v>0</v>
      </c>
      <c r="G440" s="630"/>
      <c r="H440" s="631"/>
      <c r="I440" s="631"/>
      <c r="J440" s="632"/>
      <c r="K440" s="66"/>
    </row>
    <row r="441" spans="1:19" hidden="1" x14ac:dyDescent="0.2">
      <c r="A441" s="28" t="s">
        <v>12</v>
      </c>
      <c r="B441" s="31">
        <v>198.72</v>
      </c>
      <c r="C441" s="247" t="s">
        <v>44</v>
      </c>
      <c r="D441" s="160"/>
      <c r="E441" s="202">
        <f>2.5+5+5+3+7.25+8.25+8.25+8.25+8.25+8.25+7+6.25+5.25+5.25+5.25+8.25+8.25+8.25+1.5</f>
        <v>119.25</v>
      </c>
      <c r="F441" s="29">
        <f>(E441-B441)/B441</f>
        <v>-0.39990942028985504</v>
      </c>
      <c r="G441" s="630"/>
      <c r="H441" s="631"/>
      <c r="I441" s="631"/>
      <c r="J441" s="632"/>
      <c r="K441" s="66"/>
    </row>
    <row r="442" spans="1:19" hidden="1" x14ac:dyDescent="0.2">
      <c r="A442" s="35" t="s">
        <v>15</v>
      </c>
      <c r="B442" s="204">
        <f>SUM(B438:B441)</f>
        <v>419.52</v>
      </c>
      <c r="C442" s="326"/>
      <c r="D442" s="266"/>
      <c r="E442" s="202">
        <f>SUM(E438:E441)</f>
        <v>244.75</v>
      </c>
      <c r="F442" s="29">
        <f>(E442-B442)/B442</f>
        <v>-0.41659515636918382</v>
      </c>
      <c r="G442" s="630"/>
      <c r="H442" s="631"/>
      <c r="I442" s="631"/>
      <c r="J442" s="632"/>
      <c r="K442" s="66"/>
    </row>
    <row r="443" spans="1:19" x14ac:dyDescent="0.2">
      <c r="A443" s="207"/>
      <c r="B443" s="203"/>
      <c r="C443" s="327"/>
      <c r="D443" s="208"/>
      <c r="E443" s="203"/>
      <c r="F443" s="209"/>
      <c r="G443" s="203"/>
      <c r="H443" s="203"/>
      <c r="I443" s="203"/>
      <c r="J443" s="203"/>
      <c r="K443" s="119"/>
    </row>
    <row r="444" spans="1:19" ht="15" hidden="1" customHeight="1" x14ac:dyDescent="0.2">
      <c r="A444" s="656" t="s">
        <v>106</v>
      </c>
      <c r="B444" s="656"/>
      <c r="C444" s="666" t="s">
        <v>141</v>
      </c>
      <c r="D444" s="659" t="s">
        <v>113</v>
      </c>
      <c r="E444" s="50" t="s">
        <v>18</v>
      </c>
      <c r="F444" s="67">
        <v>1</v>
      </c>
      <c r="G444" s="45" t="s">
        <v>16</v>
      </c>
      <c r="H444" s="58">
        <f>B451</f>
        <v>5.5</v>
      </c>
      <c r="I444" s="45" t="s">
        <v>17</v>
      </c>
      <c r="J444" s="63">
        <f>B451-E451</f>
        <v>0.5</v>
      </c>
      <c r="K444" s="71">
        <f>(E451-B451)/B451</f>
        <v>-9.0909090909090912E-2</v>
      </c>
      <c r="L444" s="358"/>
      <c r="M444" s="186"/>
      <c r="N444" s="186"/>
      <c r="O444" s="186"/>
      <c r="P444" s="186"/>
      <c r="Q444" s="186"/>
      <c r="R444" s="46"/>
      <c r="S444" s="46"/>
    </row>
    <row r="445" spans="1:19" ht="15" hidden="1" customHeight="1" x14ac:dyDescent="0.2">
      <c r="A445" s="656"/>
      <c r="B445" s="656"/>
      <c r="C445" s="667"/>
      <c r="D445" s="660"/>
      <c r="E445" s="47"/>
      <c r="F445" s="279"/>
      <c r="G445" s="49"/>
      <c r="H445" s="59"/>
      <c r="I445" s="48"/>
      <c r="J445" s="64"/>
      <c r="K445" s="66"/>
    </row>
    <row r="446" spans="1:19" ht="22.5" hidden="1" x14ac:dyDescent="0.2">
      <c r="A446" s="34"/>
      <c r="B446" s="33" t="s">
        <v>7</v>
      </c>
      <c r="C446" s="33"/>
      <c r="D446" s="33"/>
      <c r="E446" s="27" t="s">
        <v>8</v>
      </c>
      <c r="F446" s="28"/>
      <c r="G446" s="627" t="s">
        <v>14</v>
      </c>
      <c r="H446" s="627"/>
      <c r="I446" s="627"/>
      <c r="J446" s="627"/>
      <c r="K446" s="66"/>
    </row>
    <row r="447" spans="1:19" hidden="1" x14ac:dyDescent="0.2">
      <c r="A447" s="28" t="s">
        <v>9</v>
      </c>
      <c r="B447" s="31">
        <v>0.5</v>
      </c>
      <c r="C447" s="628" t="s">
        <v>43</v>
      </c>
      <c r="D447" s="629"/>
      <c r="E447" s="213">
        <v>0.5</v>
      </c>
      <c r="F447" s="29">
        <f>(E447-B447)/B447</f>
        <v>0</v>
      </c>
      <c r="G447" s="630"/>
      <c r="H447" s="631"/>
      <c r="I447" s="631"/>
      <c r="J447" s="632"/>
      <c r="K447" s="66"/>
    </row>
    <row r="448" spans="1:19" hidden="1" x14ac:dyDescent="0.2">
      <c r="A448" s="28" t="s">
        <v>10</v>
      </c>
      <c r="B448" s="31">
        <v>2</v>
      </c>
      <c r="C448" s="628" t="s">
        <v>43</v>
      </c>
      <c r="D448" s="629"/>
      <c r="E448" s="213">
        <v>1.5</v>
      </c>
      <c r="F448" s="29">
        <f>(E448-B448)/B448</f>
        <v>-0.25</v>
      </c>
      <c r="G448" s="630"/>
      <c r="H448" s="631"/>
      <c r="I448" s="631"/>
      <c r="J448" s="632"/>
      <c r="K448" s="66"/>
    </row>
    <row r="449" spans="1:19" hidden="1" x14ac:dyDescent="0.2">
      <c r="A449" s="28" t="s">
        <v>11</v>
      </c>
      <c r="B449" s="31">
        <v>0</v>
      </c>
      <c r="C449" s="628" t="s">
        <v>43</v>
      </c>
      <c r="D449" s="629"/>
      <c r="E449" s="213"/>
      <c r="F449" s="29">
        <v>0</v>
      </c>
      <c r="G449" s="630"/>
      <c r="H449" s="631"/>
      <c r="I449" s="631"/>
      <c r="J449" s="632"/>
      <c r="K449" s="66"/>
    </row>
    <row r="450" spans="1:19" hidden="1" x14ac:dyDescent="0.2">
      <c r="A450" s="28" t="s">
        <v>12</v>
      </c>
      <c r="B450" s="31">
        <v>3</v>
      </c>
      <c r="C450" s="628" t="s">
        <v>43</v>
      </c>
      <c r="D450" s="629"/>
      <c r="E450" s="211">
        <v>3</v>
      </c>
      <c r="F450" s="29">
        <f>(E450-B450)/B450</f>
        <v>0</v>
      </c>
      <c r="G450" s="630"/>
      <c r="H450" s="631"/>
      <c r="I450" s="631"/>
      <c r="J450" s="632"/>
      <c r="K450" s="66"/>
    </row>
    <row r="451" spans="1:19" hidden="1" x14ac:dyDescent="0.2">
      <c r="A451" s="35" t="s">
        <v>15</v>
      </c>
      <c r="B451" s="213">
        <f>SUM(B447:B450)</f>
        <v>5.5</v>
      </c>
      <c r="C451" s="326"/>
      <c r="D451" s="266"/>
      <c r="E451" s="211">
        <f>SUM(E447:E450)</f>
        <v>5</v>
      </c>
      <c r="F451" s="29">
        <f>(E451-B451)/B451</f>
        <v>-9.0909090909090912E-2</v>
      </c>
      <c r="G451" s="630"/>
      <c r="H451" s="631"/>
      <c r="I451" s="631"/>
      <c r="J451" s="632"/>
      <c r="K451" s="66"/>
    </row>
    <row r="452" spans="1:19" hidden="1" x14ac:dyDescent="0.2">
      <c r="A452" s="260"/>
      <c r="B452" s="208"/>
      <c r="C452" s="327"/>
      <c r="D452" s="208"/>
      <c r="E452" s="212"/>
      <c r="F452" s="209"/>
      <c r="G452" s="212"/>
      <c r="H452" s="212"/>
      <c r="I452" s="212"/>
      <c r="J452" s="212"/>
      <c r="K452" s="119"/>
    </row>
    <row r="453" spans="1:19" ht="15" hidden="1" customHeight="1" x14ac:dyDescent="0.2">
      <c r="A453" s="656" t="s">
        <v>106</v>
      </c>
      <c r="B453" s="656"/>
      <c r="C453" s="716" t="s">
        <v>141</v>
      </c>
      <c r="D453" s="268"/>
      <c r="E453" s="50" t="s">
        <v>18</v>
      </c>
      <c r="F453" s="67">
        <v>1</v>
      </c>
      <c r="G453" s="45" t="s">
        <v>16</v>
      </c>
      <c r="H453" s="58">
        <f>B460</f>
        <v>5.5</v>
      </c>
      <c r="I453" s="45" t="s">
        <v>17</v>
      </c>
      <c r="J453" s="63">
        <f>B460-E460</f>
        <v>-0.25</v>
      </c>
      <c r="K453" s="71">
        <f>(E460-B460)/B460</f>
        <v>4.5454545454545456E-2</v>
      </c>
      <c r="L453" s="358"/>
      <c r="M453" s="186"/>
      <c r="N453" s="186"/>
      <c r="O453" s="186"/>
      <c r="P453" s="186"/>
      <c r="Q453" s="186"/>
      <c r="R453" s="46"/>
      <c r="S453" s="46"/>
    </row>
    <row r="454" spans="1:19" ht="15" hidden="1" customHeight="1" x14ac:dyDescent="0.2">
      <c r="A454" s="656"/>
      <c r="B454" s="656"/>
      <c r="C454" s="717"/>
      <c r="D454" s="269"/>
      <c r="E454" s="47"/>
      <c r="F454" s="279"/>
      <c r="G454" s="49"/>
      <c r="H454" s="59"/>
      <c r="I454" s="48"/>
      <c r="J454" s="64"/>
      <c r="K454" s="66"/>
    </row>
    <row r="455" spans="1:19" ht="22.5" hidden="1" x14ac:dyDescent="0.2">
      <c r="A455" s="46"/>
      <c r="B455" s="33" t="s">
        <v>7</v>
      </c>
      <c r="C455" s="33"/>
      <c r="D455" s="33"/>
      <c r="E455" s="27" t="s">
        <v>8</v>
      </c>
      <c r="F455" s="28"/>
      <c r="G455" s="627" t="s">
        <v>14</v>
      </c>
      <c r="H455" s="627"/>
      <c r="I455" s="627"/>
      <c r="J455" s="627"/>
      <c r="K455" s="66"/>
    </row>
    <row r="456" spans="1:19" hidden="1" x14ac:dyDescent="0.2">
      <c r="A456" s="28" t="s">
        <v>9</v>
      </c>
      <c r="B456" s="31">
        <v>0.5</v>
      </c>
      <c r="C456" s="649" t="s">
        <v>43</v>
      </c>
      <c r="D456" s="650"/>
      <c r="E456" s="250">
        <v>0.75</v>
      </c>
      <c r="F456" s="29">
        <f>(E456-B456)/B456</f>
        <v>0.5</v>
      </c>
      <c r="G456" s="630"/>
      <c r="H456" s="631"/>
      <c r="I456" s="631"/>
      <c r="J456" s="632"/>
      <c r="K456" s="66"/>
    </row>
    <row r="457" spans="1:19" hidden="1" x14ac:dyDescent="0.2">
      <c r="A457" s="28" t="s">
        <v>10</v>
      </c>
      <c r="B457" s="31">
        <v>2</v>
      </c>
      <c r="C457" s="628" t="s">
        <v>43</v>
      </c>
      <c r="D457" s="629"/>
      <c r="E457" s="250">
        <v>1.5</v>
      </c>
      <c r="F457" s="29">
        <f>(E457-B457)/B457</f>
        <v>-0.25</v>
      </c>
      <c r="G457" s="630"/>
      <c r="H457" s="631"/>
      <c r="I457" s="631"/>
      <c r="J457" s="632"/>
      <c r="K457" s="66"/>
    </row>
    <row r="458" spans="1:19" hidden="1" x14ac:dyDescent="0.2">
      <c r="A458" s="28" t="s">
        <v>11</v>
      </c>
      <c r="B458" s="31">
        <v>0</v>
      </c>
      <c r="C458" s="628" t="s">
        <v>43</v>
      </c>
      <c r="D458" s="629"/>
      <c r="E458" s="250"/>
      <c r="F458" s="29">
        <v>0</v>
      </c>
      <c r="G458" s="630"/>
      <c r="H458" s="631"/>
      <c r="I458" s="631"/>
      <c r="J458" s="632"/>
      <c r="K458" s="66"/>
    </row>
    <row r="459" spans="1:19" hidden="1" x14ac:dyDescent="0.2">
      <c r="A459" s="28" t="s">
        <v>12</v>
      </c>
      <c r="B459" s="31">
        <v>3</v>
      </c>
      <c r="C459" s="628" t="s">
        <v>43</v>
      </c>
      <c r="D459" s="629"/>
      <c r="E459" s="248">
        <f>0.5+3</f>
        <v>3.5</v>
      </c>
      <c r="F459" s="29">
        <f>(E459-B459)/B459</f>
        <v>0.16666666666666666</v>
      </c>
      <c r="G459" s="630"/>
      <c r="H459" s="631"/>
      <c r="I459" s="631"/>
      <c r="J459" s="632"/>
      <c r="K459" s="66"/>
    </row>
    <row r="460" spans="1:19" hidden="1" x14ac:dyDescent="0.2">
      <c r="A460" s="35" t="s">
        <v>15</v>
      </c>
      <c r="B460" s="250">
        <f>SUM(B456:B459)</f>
        <v>5.5</v>
      </c>
      <c r="C460" s="326"/>
      <c r="D460" s="266"/>
      <c r="E460" s="248">
        <f>SUM(E456:E459)</f>
        <v>5.75</v>
      </c>
      <c r="F460" s="29">
        <f>(E460-B460)/B460</f>
        <v>4.5454545454545456E-2</v>
      </c>
      <c r="G460" s="630"/>
      <c r="H460" s="631"/>
      <c r="I460" s="631"/>
      <c r="J460" s="632"/>
      <c r="K460" s="66"/>
    </row>
    <row r="461" spans="1:19" hidden="1" x14ac:dyDescent="0.2">
      <c r="A461" s="207"/>
      <c r="B461" s="249"/>
      <c r="C461" s="327"/>
      <c r="D461" s="208"/>
      <c r="E461" s="249"/>
      <c r="F461" s="209"/>
      <c r="G461" s="249"/>
      <c r="H461" s="249"/>
      <c r="I461" s="249"/>
      <c r="J461" s="249"/>
      <c r="K461" s="119"/>
    </row>
    <row r="462" spans="1:19" ht="15" hidden="1" customHeight="1" x14ac:dyDescent="0.2">
      <c r="A462" s="656" t="s">
        <v>100</v>
      </c>
      <c r="B462" s="656"/>
      <c r="C462" s="657" t="s">
        <v>141</v>
      </c>
      <c r="D462" s="657" t="s">
        <v>113</v>
      </c>
      <c r="E462" s="50" t="s">
        <v>18</v>
      </c>
      <c r="F462" s="67">
        <v>4</v>
      </c>
      <c r="G462" s="45" t="s">
        <v>16</v>
      </c>
      <c r="H462" s="58">
        <f>B469</f>
        <v>16.5</v>
      </c>
      <c r="I462" s="45" t="s">
        <v>17</v>
      </c>
      <c r="J462" s="63">
        <f>B469-E469</f>
        <v>-3.5</v>
      </c>
      <c r="K462" s="71">
        <f>(E469-B469)/B469</f>
        <v>0.21212121212121213</v>
      </c>
      <c r="L462" s="359"/>
      <c r="M462" s="198"/>
      <c r="N462" s="198"/>
      <c r="O462" s="198"/>
      <c r="P462" s="198" t="s">
        <v>99</v>
      </c>
      <c r="Q462" s="198" t="s">
        <v>79</v>
      </c>
      <c r="R462" s="34"/>
      <c r="S462" s="34"/>
    </row>
    <row r="463" spans="1:19" hidden="1" x14ac:dyDescent="0.2">
      <c r="A463" s="656"/>
      <c r="B463" s="656"/>
      <c r="C463" s="658"/>
      <c r="D463" s="658"/>
      <c r="E463" s="47"/>
      <c r="F463" s="279"/>
      <c r="G463" s="49"/>
      <c r="H463" s="59"/>
      <c r="I463" s="48"/>
      <c r="J463" s="64"/>
      <c r="K463" s="66"/>
    </row>
    <row r="464" spans="1:19" ht="22.5" hidden="1" x14ac:dyDescent="0.2">
      <c r="A464" s="46"/>
      <c r="B464" s="33" t="s">
        <v>7</v>
      </c>
      <c r="C464" s="33"/>
      <c r="D464" s="33"/>
      <c r="E464" s="27" t="s">
        <v>8</v>
      </c>
      <c r="F464" s="28"/>
      <c r="G464" s="627" t="s">
        <v>14</v>
      </c>
      <c r="H464" s="627"/>
      <c r="I464" s="627"/>
      <c r="J464" s="627"/>
      <c r="K464" s="66"/>
    </row>
    <row r="465" spans="1:19" hidden="1" x14ac:dyDescent="0.2">
      <c r="A465" s="28" t="s">
        <v>9</v>
      </c>
      <c r="B465" s="31">
        <v>1.65</v>
      </c>
      <c r="C465" s="628" t="s">
        <v>43</v>
      </c>
      <c r="D465" s="629"/>
      <c r="E465" s="192">
        <v>2.75</v>
      </c>
      <c r="F465" s="29">
        <f>(E465-B465)/B465</f>
        <v>0.66666666666666674</v>
      </c>
      <c r="G465" s="630"/>
      <c r="H465" s="631"/>
      <c r="I465" s="631"/>
      <c r="J465" s="632"/>
      <c r="K465" s="66"/>
    </row>
    <row r="466" spans="1:19" hidden="1" x14ac:dyDescent="0.2">
      <c r="A466" s="28" t="s">
        <v>10</v>
      </c>
      <c r="B466" s="31">
        <v>1.75</v>
      </c>
      <c r="C466" s="628" t="s">
        <v>43</v>
      </c>
      <c r="D466" s="629"/>
      <c r="E466" s="192">
        <v>1.75</v>
      </c>
      <c r="F466" s="29">
        <f>(E466-B466)/B466</f>
        <v>0</v>
      </c>
      <c r="G466" s="630"/>
      <c r="H466" s="631"/>
      <c r="I466" s="631"/>
      <c r="J466" s="632"/>
      <c r="K466" s="66"/>
    </row>
    <row r="467" spans="1:19" hidden="1" x14ac:dyDescent="0.2">
      <c r="A467" s="28" t="s">
        <v>11</v>
      </c>
      <c r="B467" s="31">
        <v>0</v>
      </c>
      <c r="C467" s="628" t="s">
        <v>43</v>
      </c>
      <c r="D467" s="629"/>
      <c r="E467" s="192">
        <v>0</v>
      </c>
      <c r="F467" s="29">
        <v>0</v>
      </c>
      <c r="G467" s="630"/>
      <c r="H467" s="631"/>
      <c r="I467" s="631"/>
      <c r="J467" s="632"/>
      <c r="K467" s="66"/>
    </row>
    <row r="468" spans="1:19" hidden="1" x14ac:dyDescent="0.2">
      <c r="A468" s="28" t="s">
        <v>12</v>
      </c>
      <c r="B468" s="31">
        <v>13.1</v>
      </c>
      <c r="C468" s="628" t="s">
        <v>43</v>
      </c>
      <c r="D468" s="629"/>
      <c r="E468" s="189">
        <f>6.25+8.25+1</f>
        <v>15.5</v>
      </c>
      <c r="F468" s="29">
        <f>(E468-B468)/B468</f>
        <v>0.18320610687022904</v>
      </c>
      <c r="G468" s="630"/>
      <c r="H468" s="631"/>
      <c r="I468" s="631"/>
      <c r="J468" s="632"/>
      <c r="K468" s="66"/>
    </row>
    <row r="469" spans="1:19" hidden="1" x14ac:dyDescent="0.2">
      <c r="A469" s="35" t="s">
        <v>15</v>
      </c>
      <c r="B469" s="192">
        <f>SUM(B465:B468)</f>
        <v>16.5</v>
      </c>
      <c r="C469" s="344"/>
      <c r="D469" s="343"/>
      <c r="E469" s="189">
        <f>SUM(E465:E468)</f>
        <v>20</v>
      </c>
      <c r="F469" s="29">
        <f>(E469-B469)/B469</f>
        <v>0.21212121212121213</v>
      </c>
      <c r="G469" s="630"/>
      <c r="H469" s="631"/>
      <c r="I469" s="631"/>
      <c r="J469" s="632"/>
      <c r="K469" s="66"/>
    </row>
    <row r="470" spans="1:19" hidden="1" x14ac:dyDescent="0.2"/>
    <row r="471" spans="1:19" ht="15" hidden="1" customHeight="1" x14ac:dyDescent="0.2">
      <c r="A471" s="656" t="s">
        <v>185</v>
      </c>
      <c r="B471" s="656"/>
      <c r="C471" s="657" t="s">
        <v>141</v>
      </c>
      <c r="D471" s="647" t="s">
        <v>113</v>
      </c>
      <c r="E471" s="50" t="s">
        <v>18</v>
      </c>
      <c r="F471" s="67">
        <v>4</v>
      </c>
      <c r="G471" s="45" t="s">
        <v>16</v>
      </c>
      <c r="H471" s="58">
        <f>B478</f>
        <v>17.5</v>
      </c>
      <c r="I471" s="45" t="s">
        <v>17</v>
      </c>
      <c r="J471" s="63">
        <f>B478-E478</f>
        <v>-2</v>
      </c>
      <c r="K471" s="71">
        <f>(E478-B478)/B478</f>
        <v>0.11428571428571428</v>
      </c>
      <c r="L471" s="359"/>
      <c r="M471" s="198"/>
      <c r="N471" s="198"/>
      <c r="O471" s="198"/>
      <c r="P471" s="198" t="s">
        <v>99</v>
      </c>
      <c r="Q471" s="198" t="s">
        <v>79</v>
      </c>
      <c r="R471" s="34"/>
      <c r="S471" s="34"/>
    </row>
    <row r="472" spans="1:19" hidden="1" x14ac:dyDescent="0.2">
      <c r="A472" s="656"/>
      <c r="B472" s="656"/>
      <c r="C472" s="658"/>
      <c r="D472" s="648"/>
      <c r="E472" s="47"/>
      <c r="F472" s="279"/>
      <c r="G472" s="49"/>
      <c r="H472" s="59"/>
      <c r="I472" s="48"/>
      <c r="J472" s="64"/>
      <c r="K472" s="66"/>
    </row>
    <row r="473" spans="1:19" ht="22.5" hidden="1" x14ac:dyDescent="0.2">
      <c r="A473" s="46"/>
      <c r="B473" s="33" t="s">
        <v>7</v>
      </c>
      <c r="C473" s="33"/>
      <c r="D473" s="33"/>
      <c r="E473" s="27" t="s">
        <v>8</v>
      </c>
      <c r="F473" s="28"/>
      <c r="G473" s="627" t="s">
        <v>14</v>
      </c>
      <c r="H473" s="627"/>
      <c r="I473" s="627"/>
      <c r="J473" s="627"/>
      <c r="K473" s="66"/>
    </row>
    <row r="474" spans="1:19" hidden="1" x14ac:dyDescent="0.2">
      <c r="A474" s="28" t="s">
        <v>9</v>
      </c>
      <c r="B474" s="351">
        <v>1.65</v>
      </c>
      <c r="C474" s="628" t="s">
        <v>43</v>
      </c>
      <c r="D474" s="629"/>
      <c r="E474" s="428">
        <v>3.5</v>
      </c>
      <c r="F474" s="29">
        <f>(E474-B474)/B474</f>
        <v>1.1212121212121213</v>
      </c>
      <c r="G474" s="630"/>
      <c r="H474" s="631"/>
      <c r="I474" s="631"/>
      <c r="J474" s="632"/>
      <c r="K474" s="66"/>
    </row>
    <row r="475" spans="1:19" hidden="1" x14ac:dyDescent="0.2">
      <c r="A475" s="28" t="s">
        <v>10</v>
      </c>
      <c r="B475" s="351">
        <v>1.65</v>
      </c>
      <c r="C475" s="628" t="s">
        <v>43</v>
      </c>
      <c r="D475" s="629"/>
      <c r="E475" s="428">
        <f>1.5</f>
        <v>1.5</v>
      </c>
      <c r="F475" s="29">
        <f>(E475-B475)/B475</f>
        <v>-9.0909090909090856E-2</v>
      </c>
      <c r="G475" s="630"/>
      <c r="H475" s="631"/>
      <c r="I475" s="631"/>
      <c r="J475" s="632"/>
      <c r="K475" s="66"/>
    </row>
    <row r="476" spans="1:19" hidden="1" x14ac:dyDescent="0.2">
      <c r="A476" s="28" t="s">
        <v>11</v>
      </c>
      <c r="B476" s="351">
        <v>0</v>
      </c>
      <c r="C476" s="628" t="s">
        <v>43</v>
      </c>
      <c r="D476" s="629"/>
      <c r="E476" s="428"/>
      <c r="F476" s="29">
        <v>0</v>
      </c>
      <c r="G476" s="630"/>
      <c r="H476" s="631"/>
      <c r="I476" s="631"/>
      <c r="J476" s="632"/>
      <c r="K476" s="66"/>
    </row>
    <row r="477" spans="1:19" hidden="1" x14ac:dyDescent="0.2">
      <c r="A477" s="28" t="s">
        <v>12</v>
      </c>
      <c r="B477" s="351">
        <v>14.2</v>
      </c>
      <c r="C477" s="628" t="s">
        <v>43</v>
      </c>
      <c r="D477" s="629"/>
      <c r="E477" s="425">
        <f>3.75+8.75+2</f>
        <v>14.5</v>
      </c>
      <c r="F477" s="29">
        <f>(E477-B477)/B477</f>
        <v>2.1126760563380333E-2</v>
      </c>
      <c r="G477" s="630"/>
      <c r="H477" s="631"/>
      <c r="I477" s="631"/>
      <c r="J477" s="632"/>
      <c r="K477" s="66"/>
    </row>
    <row r="478" spans="1:19" hidden="1" x14ac:dyDescent="0.2">
      <c r="A478" s="35" t="s">
        <v>15</v>
      </c>
      <c r="B478" s="428">
        <f>SUM(B474:B477)</f>
        <v>17.5</v>
      </c>
      <c r="C478" s="426"/>
      <c r="D478" s="425"/>
      <c r="E478" s="425">
        <f>SUM(E474:E477)</f>
        <v>19.5</v>
      </c>
      <c r="F478" s="29">
        <f>(E478-B478)/B478</f>
        <v>0.11428571428571428</v>
      </c>
      <c r="G478" s="630"/>
      <c r="H478" s="631"/>
      <c r="I478" s="631"/>
      <c r="J478" s="632"/>
      <c r="K478" s="66"/>
    </row>
    <row r="479" spans="1:19" hidden="1" x14ac:dyDescent="0.2">
      <c r="C479" s="427"/>
    </row>
    <row r="480" spans="1:19" ht="15" x14ac:dyDescent="0.2">
      <c r="A480" s="656" t="s">
        <v>101</v>
      </c>
      <c r="B480" s="656"/>
      <c r="C480" s="657" t="s">
        <v>141</v>
      </c>
      <c r="D480" s="239" t="s">
        <v>113</v>
      </c>
      <c r="E480" s="50" t="s">
        <v>18</v>
      </c>
      <c r="F480" s="67">
        <v>9</v>
      </c>
      <c r="G480" s="45" t="s">
        <v>16</v>
      </c>
      <c r="H480" s="58">
        <f>B487</f>
        <v>189</v>
      </c>
      <c r="I480" s="45" t="s">
        <v>17</v>
      </c>
      <c r="J480" s="63">
        <f>B487-E487</f>
        <v>44</v>
      </c>
      <c r="K480" s="71">
        <f>(E487-B487)/B487</f>
        <v>-0.23280423280423279</v>
      </c>
      <c r="L480" s="359"/>
      <c r="M480" s="198"/>
      <c r="N480" s="198"/>
      <c r="O480" s="198"/>
      <c r="P480" s="198"/>
      <c r="Q480" s="198"/>
      <c r="R480" s="34"/>
      <c r="S480" s="34"/>
    </row>
    <row r="481" spans="1:19" hidden="1" x14ac:dyDescent="0.2">
      <c r="A481" s="656"/>
      <c r="B481" s="656"/>
      <c r="C481" s="658"/>
      <c r="D481" s="236"/>
      <c r="E481" s="47"/>
      <c r="F481" s="279"/>
      <c r="G481" s="49"/>
      <c r="H481" s="59"/>
      <c r="I481" s="48"/>
      <c r="J481" s="64"/>
      <c r="K481" s="66"/>
    </row>
    <row r="482" spans="1:19" ht="22.5" hidden="1" x14ac:dyDescent="0.2">
      <c r="A482" s="34"/>
      <c r="B482" s="33" t="s">
        <v>7</v>
      </c>
      <c r="C482" s="33"/>
      <c r="D482" s="33"/>
      <c r="E482" s="27" t="s">
        <v>8</v>
      </c>
      <c r="F482" s="28"/>
      <c r="G482" s="627" t="s">
        <v>14</v>
      </c>
      <c r="H482" s="627"/>
      <c r="I482" s="627"/>
      <c r="J482" s="627"/>
      <c r="K482" s="66"/>
    </row>
    <row r="483" spans="1:19" hidden="1" x14ac:dyDescent="0.2">
      <c r="A483" s="28" t="s">
        <v>9</v>
      </c>
      <c r="B483" s="31">
        <v>37.799999999999997</v>
      </c>
      <c r="C483" s="628" t="s">
        <v>43</v>
      </c>
      <c r="D483" s="629"/>
      <c r="E483" s="192">
        <f>4.75+8.25+6.25+3</f>
        <v>22.25</v>
      </c>
      <c r="F483" s="29">
        <f>(E483-B483)/B483</f>
        <v>-0.41137566137566134</v>
      </c>
      <c r="G483" s="630"/>
      <c r="H483" s="631"/>
      <c r="I483" s="631"/>
      <c r="J483" s="632"/>
      <c r="K483" s="66"/>
    </row>
    <row r="484" spans="1:19" hidden="1" x14ac:dyDescent="0.2">
      <c r="A484" s="28" t="s">
        <v>10</v>
      </c>
      <c r="B484" s="31">
        <v>37.799999999999997</v>
      </c>
      <c r="C484" s="649" t="s">
        <v>43</v>
      </c>
      <c r="D484" s="650"/>
      <c r="E484" s="31">
        <f>8.25+4.5+5.5+7.5</f>
        <v>25.75</v>
      </c>
      <c r="F484" s="29">
        <f>(E484-B484)/B484</f>
        <v>-0.31878306878306872</v>
      </c>
      <c r="G484" s="630"/>
      <c r="H484" s="631"/>
      <c r="I484" s="631"/>
      <c r="J484" s="632"/>
      <c r="K484" s="66"/>
    </row>
    <row r="485" spans="1:19" hidden="1" x14ac:dyDescent="0.2">
      <c r="A485" s="28" t="s">
        <v>11</v>
      </c>
      <c r="B485" s="31">
        <v>0</v>
      </c>
      <c r="C485" s="628" t="s">
        <v>43</v>
      </c>
      <c r="D485" s="629"/>
      <c r="E485" s="192">
        <v>0</v>
      </c>
      <c r="F485" s="29">
        <v>0</v>
      </c>
      <c r="G485" s="630"/>
      <c r="H485" s="631"/>
      <c r="I485" s="631"/>
      <c r="J485" s="632"/>
      <c r="K485" s="66"/>
    </row>
    <row r="486" spans="1:19" hidden="1" x14ac:dyDescent="0.2">
      <c r="A486" s="28" t="s">
        <v>12</v>
      </c>
      <c r="B486" s="31">
        <v>113.4</v>
      </c>
      <c r="C486" s="649" t="s">
        <v>44</v>
      </c>
      <c r="D486" s="650"/>
      <c r="E486" s="189">
        <v>97</v>
      </c>
      <c r="F486" s="29">
        <f>(E486-B486)/B486</f>
        <v>-0.144620811287478</v>
      </c>
      <c r="G486" s="630"/>
      <c r="H486" s="631"/>
      <c r="I486" s="631"/>
      <c r="J486" s="632"/>
      <c r="K486" s="66"/>
    </row>
    <row r="487" spans="1:19" hidden="1" x14ac:dyDescent="0.2">
      <c r="A487" s="35" t="s">
        <v>15</v>
      </c>
      <c r="B487" s="192">
        <f>SUM(B483:B486)</f>
        <v>189</v>
      </c>
      <c r="C487" s="326"/>
      <c r="D487" s="266"/>
      <c r="E487" s="189">
        <f>SUM(E483:E486)</f>
        <v>145</v>
      </c>
      <c r="F487" s="29">
        <f>(E487-B487)/B487</f>
        <v>-0.23280423280423279</v>
      </c>
      <c r="G487" s="630"/>
      <c r="H487" s="631"/>
      <c r="I487" s="631"/>
      <c r="J487" s="632"/>
      <c r="K487" s="66"/>
    </row>
    <row r="489" spans="1:19" ht="15" hidden="1" customHeight="1" x14ac:dyDescent="0.2">
      <c r="A489" s="656" t="s">
        <v>163</v>
      </c>
      <c r="B489" s="656"/>
      <c r="C489" s="637" t="s">
        <v>141</v>
      </c>
      <c r="D489" s="659" t="s">
        <v>113</v>
      </c>
      <c r="E489" s="50" t="s">
        <v>18</v>
      </c>
      <c r="F489" s="67">
        <v>1</v>
      </c>
      <c r="G489" s="45" t="s">
        <v>16</v>
      </c>
      <c r="H489" s="58">
        <f>B496</f>
        <v>4.5</v>
      </c>
      <c r="I489" s="45" t="s">
        <v>17</v>
      </c>
      <c r="J489" s="63">
        <f>B496-E496</f>
        <v>-1.25</v>
      </c>
      <c r="K489" s="71">
        <f>(E496-B496)/B496</f>
        <v>0.27777777777777779</v>
      </c>
      <c r="L489" s="359"/>
      <c r="M489" s="198"/>
      <c r="N489" s="198"/>
      <c r="O489" s="198"/>
      <c r="P489" s="198"/>
      <c r="Q489" s="198"/>
      <c r="R489" s="34"/>
      <c r="S489" s="34"/>
    </row>
    <row r="490" spans="1:19" hidden="1" x14ac:dyDescent="0.2">
      <c r="A490" s="656"/>
      <c r="B490" s="656"/>
      <c r="C490" s="638"/>
      <c r="D490" s="660"/>
      <c r="E490" s="47"/>
      <c r="F490" s="279"/>
      <c r="G490" s="49"/>
      <c r="H490" s="59"/>
      <c r="I490" s="48"/>
      <c r="J490" s="64"/>
      <c r="K490" s="66"/>
    </row>
    <row r="491" spans="1:19" ht="22.5" hidden="1" x14ac:dyDescent="0.2">
      <c r="A491" s="34"/>
      <c r="B491" s="33" t="s">
        <v>7</v>
      </c>
      <c r="C491" s="33"/>
      <c r="D491" s="33"/>
      <c r="E491" s="27" t="s">
        <v>8</v>
      </c>
      <c r="F491" s="28"/>
      <c r="G491" s="627" t="s">
        <v>14</v>
      </c>
      <c r="H491" s="627"/>
      <c r="I491" s="627"/>
      <c r="J491" s="627"/>
      <c r="K491" s="66"/>
    </row>
    <row r="492" spans="1:19" hidden="1" x14ac:dyDescent="0.2">
      <c r="A492" s="28" t="s">
        <v>9</v>
      </c>
      <c r="B492" s="338">
        <v>2</v>
      </c>
      <c r="C492" s="628" t="s">
        <v>43</v>
      </c>
      <c r="D492" s="629"/>
      <c r="E492" s="404">
        <v>1.5</v>
      </c>
      <c r="F492" s="29">
        <f>(E492-B492)/B492</f>
        <v>-0.25</v>
      </c>
      <c r="G492" s="630"/>
      <c r="H492" s="631"/>
      <c r="I492" s="631"/>
      <c r="J492" s="632"/>
      <c r="K492" s="66"/>
    </row>
    <row r="493" spans="1:19" hidden="1" x14ac:dyDescent="0.2">
      <c r="A493" s="28" t="s">
        <v>10</v>
      </c>
      <c r="B493" s="338">
        <v>0.5</v>
      </c>
      <c r="C493" s="628" t="s">
        <v>43</v>
      </c>
      <c r="D493" s="629"/>
      <c r="E493" s="405">
        <v>0.5</v>
      </c>
      <c r="F493" s="29">
        <f>(E493-B493)/B493</f>
        <v>0</v>
      </c>
      <c r="G493" s="630"/>
      <c r="H493" s="631"/>
      <c r="I493" s="631"/>
      <c r="J493" s="632"/>
      <c r="K493" s="66"/>
    </row>
    <row r="494" spans="1:19" hidden="1" x14ac:dyDescent="0.2">
      <c r="A494" s="28" t="s">
        <v>11</v>
      </c>
      <c r="B494" s="338">
        <v>0</v>
      </c>
      <c r="C494" s="628" t="s">
        <v>43</v>
      </c>
      <c r="D494" s="629"/>
      <c r="E494" s="404"/>
      <c r="F494" s="29">
        <v>0</v>
      </c>
      <c r="G494" s="630"/>
      <c r="H494" s="631"/>
      <c r="I494" s="631"/>
      <c r="J494" s="632"/>
      <c r="K494" s="66"/>
    </row>
    <row r="495" spans="1:19" hidden="1" x14ac:dyDescent="0.2">
      <c r="A495" s="28" t="s">
        <v>12</v>
      </c>
      <c r="B495" s="338">
        <v>2</v>
      </c>
      <c r="C495" s="628" t="s">
        <v>43</v>
      </c>
      <c r="D495" s="629"/>
      <c r="E495" s="406">
        <f>0.75+3</f>
        <v>3.75</v>
      </c>
      <c r="F495" s="29">
        <f>(E495-B495)/B495</f>
        <v>0.875</v>
      </c>
      <c r="G495" s="630"/>
      <c r="H495" s="631"/>
      <c r="I495" s="631"/>
      <c r="J495" s="632"/>
      <c r="K495" s="66"/>
    </row>
    <row r="496" spans="1:19" hidden="1" x14ac:dyDescent="0.2">
      <c r="A496" s="35" t="s">
        <v>15</v>
      </c>
      <c r="B496" s="340">
        <f>SUM(B492:B495)</f>
        <v>4.5</v>
      </c>
      <c r="C496" s="341"/>
      <c r="D496" s="337"/>
      <c r="E496" s="337">
        <f>SUM(E492:E495)</f>
        <v>5.75</v>
      </c>
      <c r="F496" s="29">
        <f>(E496-B496)/B496</f>
        <v>0.27777777777777779</v>
      </c>
      <c r="G496" s="630"/>
      <c r="H496" s="631"/>
      <c r="I496" s="631"/>
      <c r="J496" s="632"/>
      <c r="K496" s="66"/>
    </row>
    <row r="497" spans="1:19" hidden="1" x14ac:dyDescent="0.2">
      <c r="C497" s="339"/>
    </row>
    <row r="498" spans="1:19" ht="15" customHeight="1" x14ac:dyDescent="0.2">
      <c r="A498" s="656" t="s">
        <v>175</v>
      </c>
      <c r="B498" s="656"/>
      <c r="C498" s="637" t="s">
        <v>141</v>
      </c>
      <c r="D498" s="659" t="s">
        <v>113</v>
      </c>
      <c r="E498" s="50" t="s">
        <v>18</v>
      </c>
      <c r="F498" s="67">
        <v>16</v>
      </c>
      <c r="G498" s="45" t="s">
        <v>16</v>
      </c>
      <c r="H498" s="58">
        <f>B505</f>
        <v>222</v>
      </c>
      <c r="I498" s="45" t="s">
        <v>17</v>
      </c>
      <c r="J498" s="63">
        <f>B505-E505</f>
        <v>38.5</v>
      </c>
      <c r="K498" s="71">
        <f>(E505-B505)/B505</f>
        <v>-0.17342342342342343</v>
      </c>
      <c r="L498" s="359"/>
      <c r="M498" s="198"/>
      <c r="N498" s="198"/>
      <c r="O498" s="198"/>
      <c r="P498" s="198"/>
      <c r="Q498" s="198"/>
      <c r="R498" s="34"/>
      <c r="S498" s="34"/>
    </row>
    <row r="499" spans="1:19" hidden="1" x14ac:dyDescent="0.2">
      <c r="A499" s="656"/>
      <c r="B499" s="656"/>
      <c r="C499" s="638"/>
      <c r="D499" s="660"/>
      <c r="E499" s="47"/>
      <c r="F499" s="279"/>
      <c r="G499" s="49"/>
      <c r="H499" s="59"/>
      <c r="I499" s="48"/>
      <c r="J499" s="64"/>
      <c r="K499" s="66"/>
    </row>
    <row r="500" spans="1:19" ht="22.5" hidden="1" x14ac:dyDescent="0.2">
      <c r="A500" s="34"/>
      <c r="B500" s="33" t="s">
        <v>7</v>
      </c>
      <c r="C500" s="33"/>
      <c r="D500" s="33"/>
      <c r="E500" s="27" t="s">
        <v>8</v>
      </c>
      <c r="F500" s="28"/>
      <c r="G500" s="627" t="s">
        <v>14</v>
      </c>
      <c r="H500" s="627"/>
      <c r="I500" s="627"/>
      <c r="J500" s="627"/>
      <c r="K500" s="66"/>
    </row>
    <row r="501" spans="1:19" hidden="1" x14ac:dyDescent="0.2">
      <c r="A501" s="28" t="s">
        <v>9</v>
      </c>
      <c r="B501" s="351">
        <v>44.4</v>
      </c>
      <c r="C501" s="649" t="s">
        <v>44</v>
      </c>
      <c r="D501" s="650"/>
      <c r="E501" s="404">
        <f>8.25+5+5.5</f>
        <v>18.75</v>
      </c>
      <c r="F501" s="29">
        <f>(E501-B501)/B501</f>
        <v>-0.57770270270270274</v>
      </c>
      <c r="G501" s="630" t="s">
        <v>217</v>
      </c>
      <c r="H501" s="631"/>
      <c r="I501" s="631"/>
      <c r="J501" s="632"/>
      <c r="K501" s="66"/>
    </row>
    <row r="502" spans="1:19" hidden="1" x14ac:dyDescent="0.2">
      <c r="A502" s="28" t="s">
        <v>10</v>
      </c>
      <c r="B502" s="351">
        <v>44.4</v>
      </c>
      <c r="C502" s="649" t="s">
        <v>44</v>
      </c>
      <c r="D502" s="650"/>
      <c r="E502" s="405">
        <v>6</v>
      </c>
      <c r="F502" s="29">
        <f>(E502-B502)/B502</f>
        <v>-0.86486486486486491</v>
      </c>
      <c r="G502" s="630"/>
      <c r="H502" s="631"/>
      <c r="I502" s="631"/>
      <c r="J502" s="632"/>
      <c r="K502" s="66"/>
    </row>
    <row r="503" spans="1:19" hidden="1" x14ac:dyDescent="0.2">
      <c r="A503" s="28" t="s">
        <v>11</v>
      </c>
      <c r="B503" s="351">
        <v>0</v>
      </c>
      <c r="C503" s="628" t="s">
        <v>43</v>
      </c>
      <c r="D503" s="629"/>
      <c r="E503" s="404"/>
      <c r="F503" s="29">
        <v>0</v>
      </c>
      <c r="G503" s="630"/>
      <c r="H503" s="631"/>
      <c r="I503" s="631"/>
      <c r="J503" s="632"/>
      <c r="K503" s="66"/>
    </row>
    <row r="504" spans="1:19" hidden="1" x14ac:dyDescent="0.2">
      <c r="A504" s="28" t="s">
        <v>12</v>
      </c>
      <c r="B504" s="351">
        <v>133.19999999999999</v>
      </c>
      <c r="C504" s="649" t="s">
        <v>44</v>
      </c>
      <c r="D504" s="650"/>
      <c r="E504" s="406">
        <f>6.75+6.75+6.75+6.75+7.25+8.25+8.25+8.25+8.25+4.5+8.25+8.75+8.25+8.25+8.25+8.75+5+5+5.5+5+4+4+4+4</f>
        <v>158.75</v>
      </c>
      <c r="F504" s="29">
        <f>(E504-B504)/B504</f>
        <v>0.19181681681681692</v>
      </c>
      <c r="G504" s="630"/>
      <c r="H504" s="631"/>
      <c r="I504" s="631"/>
      <c r="J504" s="632"/>
      <c r="K504" s="66"/>
    </row>
    <row r="505" spans="1:19" hidden="1" x14ac:dyDescent="0.2">
      <c r="A505" s="35" t="s">
        <v>15</v>
      </c>
      <c r="B505" s="413">
        <f>SUM(B501:B504)</f>
        <v>222</v>
      </c>
      <c r="C505" s="409"/>
      <c r="D505" s="407"/>
      <c r="E505" s="407">
        <f>SUM(E501:E504)</f>
        <v>183.5</v>
      </c>
      <c r="F505" s="29">
        <f>(E505-B505)/B505</f>
        <v>-0.17342342342342343</v>
      </c>
      <c r="G505" s="630"/>
      <c r="H505" s="631"/>
      <c r="I505" s="631"/>
      <c r="J505" s="632"/>
      <c r="K505" s="66"/>
    </row>
    <row r="506" spans="1:19" x14ac:dyDescent="0.2">
      <c r="C506" s="412"/>
    </row>
    <row r="507" spans="1:19" ht="15" x14ac:dyDescent="0.2">
      <c r="A507" s="656" t="s">
        <v>103</v>
      </c>
      <c r="B507" s="656"/>
      <c r="C507" s="657" t="s">
        <v>141</v>
      </c>
      <c r="D507" s="240" t="s">
        <v>113</v>
      </c>
      <c r="E507" s="50" t="s">
        <v>18</v>
      </c>
      <c r="F507" s="67">
        <v>3</v>
      </c>
      <c r="G507" s="45" t="s">
        <v>16</v>
      </c>
      <c r="H507" s="58">
        <f>B514</f>
        <v>24</v>
      </c>
      <c r="I507" s="45" t="s">
        <v>17</v>
      </c>
      <c r="J507" s="63">
        <f>B514-E514</f>
        <v>-3.25</v>
      </c>
      <c r="K507" s="71">
        <f>(E514-B514)/B514</f>
        <v>0.13541666666666666</v>
      </c>
    </row>
    <row r="508" spans="1:19" hidden="1" x14ac:dyDescent="0.2">
      <c r="A508" s="656"/>
      <c r="B508" s="656"/>
      <c r="C508" s="658"/>
      <c r="D508" s="265"/>
      <c r="E508" s="47"/>
      <c r="F508" s="279"/>
      <c r="G508" s="49"/>
      <c r="H508" s="59"/>
      <c r="I508" s="48"/>
      <c r="J508" s="64"/>
      <c r="K508" s="66"/>
    </row>
    <row r="509" spans="1:19" ht="22.5" hidden="1" x14ac:dyDescent="0.2">
      <c r="A509" s="46"/>
      <c r="B509" s="33" t="s">
        <v>7</v>
      </c>
      <c r="C509" s="33"/>
      <c r="D509" s="33"/>
      <c r="E509" s="27" t="s">
        <v>8</v>
      </c>
      <c r="F509" s="28"/>
      <c r="G509" s="627" t="s">
        <v>14</v>
      </c>
      <c r="H509" s="627"/>
      <c r="I509" s="627"/>
      <c r="J509" s="627"/>
      <c r="K509" s="66"/>
    </row>
    <row r="510" spans="1:19" hidden="1" x14ac:dyDescent="0.2">
      <c r="A510" s="28" t="s">
        <v>9</v>
      </c>
      <c r="B510" s="31">
        <v>3</v>
      </c>
      <c r="C510" s="628" t="s">
        <v>43</v>
      </c>
      <c r="D510" s="629"/>
      <c r="E510" s="204">
        <v>0.5</v>
      </c>
      <c r="F510" s="29">
        <f>(E510-B510)/B510</f>
        <v>-0.83333333333333337</v>
      </c>
      <c r="G510" s="630"/>
      <c r="H510" s="631"/>
      <c r="I510" s="631"/>
      <c r="J510" s="632"/>
      <c r="K510" s="66"/>
    </row>
    <row r="511" spans="1:19" hidden="1" x14ac:dyDescent="0.2">
      <c r="A511" s="28" t="s">
        <v>10</v>
      </c>
      <c r="B511" s="31">
        <v>3</v>
      </c>
      <c r="C511" s="628" t="s">
        <v>43</v>
      </c>
      <c r="D511" s="629"/>
      <c r="E511" s="204"/>
      <c r="F511" s="29">
        <f>(E511-B511)/B511</f>
        <v>-1</v>
      </c>
      <c r="G511" s="630"/>
      <c r="H511" s="631"/>
      <c r="I511" s="631"/>
      <c r="J511" s="632"/>
      <c r="K511" s="66"/>
    </row>
    <row r="512" spans="1:19" hidden="1" x14ac:dyDescent="0.2">
      <c r="A512" s="28" t="s">
        <v>11</v>
      </c>
      <c r="B512" s="31">
        <v>3</v>
      </c>
      <c r="C512" s="628" t="s">
        <v>43</v>
      </c>
      <c r="D512" s="629"/>
      <c r="E512" s="204">
        <v>0</v>
      </c>
      <c r="F512" s="29">
        <v>0</v>
      </c>
      <c r="G512" s="630"/>
      <c r="H512" s="631"/>
      <c r="I512" s="631"/>
      <c r="J512" s="632"/>
      <c r="K512" s="66"/>
    </row>
    <row r="513" spans="1:11" hidden="1" x14ac:dyDescent="0.2">
      <c r="A513" s="28" t="s">
        <v>12</v>
      </c>
      <c r="B513" s="31">
        <v>15</v>
      </c>
      <c r="C513" s="628" t="s">
        <v>43</v>
      </c>
      <c r="D513" s="629"/>
      <c r="E513" s="202">
        <f>4.75+7.75+5.5+8.75</f>
        <v>26.75</v>
      </c>
      <c r="F513" s="29">
        <v>0</v>
      </c>
      <c r="G513" s="630"/>
      <c r="H513" s="631"/>
      <c r="I513" s="631"/>
      <c r="J513" s="632"/>
      <c r="K513" s="66"/>
    </row>
    <row r="514" spans="1:11" hidden="1" x14ac:dyDescent="0.2">
      <c r="A514" s="35" t="s">
        <v>15</v>
      </c>
      <c r="B514" s="204">
        <f>SUM(B510:B513)</f>
        <v>24</v>
      </c>
      <c r="C514" s="628"/>
      <c r="D514" s="629"/>
      <c r="E514" s="202">
        <f>SUM(E510:E513)</f>
        <v>27.25</v>
      </c>
      <c r="F514" s="29">
        <f>(E514-B514)/B514</f>
        <v>0.13541666666666666</v>
      </c>
      <c r="G514" s="630"/>
      <c r="H514" s="631"/>
      <c r="I514" s="631"/>
      <c r="J514" s="632"/>
      <c r="K514" s="66"/>
    </row>
    <row r="516" spans="1:11" ht="15" x14ac:dyDescent="0.2">
      <c r="A516" s="656" t="s">
        <v>109</v>
      </c>
      <c r="B516" s="656"/>
      <c r="C516" s="657" t="s">
        <v>141</v>
      </c>
      <c r="D516" s="239" t="s">
        <v>113</v>
      </c>
      <c r="E516" s="50" t="s">
        <v>18</v>
      </c>
      <c r="F516" s="67">
        <v>17</v>
      </c>
      <c r="G516" s="45" t="s">
        <v>16</v>
      </c>
      <c r="H516" s="58">
        <f>B523</f>
        <v>85.25</v>
      </c>
      <c r="I516" s="45" t="s">
        <v>17</v>
      </c>
      <c r="J516" s="63">
        <f>B523-E523</f>
        <v>8.5</v>
      </c>
      <c r="K516" s="71">
        <f>(E523-B523)/B523</f>
        <v>-9.9706744868035185E-2</v>
      </c>
    </row>
    <row r="517" spans="1:11" hidden="1" x14ac:dyDescent="0.2">
      <c r="A517" s="656"/>
      <c r="B517" s="656"/>
      <c r="C517" s="658"/>
      <c r="D517" s="236"/>
      <c r="E517" s="47"/>
      <c r="F517" s="279"/>
      <c r="G517" s="49"/>
      <c r="H517" s="59"/>
      <c r="I517" s="48"/>
      <c r="J517" s="64"/>
      <c r="K517" s="66"/>
    </row>
    <row r="518" spans="1:11" ht="22.5" hidden="1" x14ac:dyDescent="0.2">
      <c r="A518" s="34"/>
      <c r="B518" s="33" t="s">
        <v>7</v>
      </c>
      <c r="C518" s="33"/>
      <c r="D518" s="33"/>
      <c r="E518" s="27" t="s">
        <v>8</v>
      </c>
      <c r="F518" s="28"/>
      <c r="G518" s="627" t="s">
        <v>14</v>
      </c>
      <c r="H518" s="627"/>
      <c r="I518" s="627"/>
      <c r="J518" s="627"/>
      <c r="K518" s="66"/>
    </row>
    <row r="519" spans="1:11" hidden="1" x14ac:dyDescent="0.2">
      <c r="A519" s="28" t="s">
        <v>9</v>
      </c>
      <c r="B519" s="31">
        <v>8.5500000000000007</v>
      </c>
      <c r="C519" s="649" t="s">
        <v>43</v>
      </c>
      <c r="D519" s="650"/>
      <c r="E519" s="206">
        <f>7.75</f>
        <v>7.75</v>
      </c>
      <c r="F519" s="29">
        <f>(E519-B519)/B519</f>
        <v>-9.3567251461988382E-2</v>
      </c>
      <c r="G519" s="630"/>
      <c r="H519" s="631"/>
      <c r="I519" s="631"/>
      <c r="J519" s="632"/>
      <c r="K519" s="66"/>
    </row>
    <row r="520" spans="1:11" hidden="1" x14ac:dyDescent="0.2">
      <c r="A520" s="28" t="s">
        <v>10</v>
      </c>
      <c r="B520" s="31">
        <v>8.5500000000000007</v>
      </c>
      <c r="C520" s="649" t="s">
        <v>43</v>
      </c>
      <c r="D520" s="650"/>
      <c r="E520" s="206">
        <v>7.25</v>
      </c>
      <c r="F520" s="29">
        <f>(E520-B520)/B520</f>
        <v>-0.15204678362573107</v>
      </c>
      <c r="G520" s="630"/>
      <c r="H520" s="631"/>
      <c r="I520" s="631"/>
      <c r="J520" s="632"/>
      <c r="K520" s="66"/>
    </row>
    <row r="521" spans="1:11" hidden="1" x14ac:dyDescent="0.2">
      <c r="A521" s="28" t="s">
        <v>11</v>
      </c>
      <c r="B521" s="31">
        <v>0</v>
      </c>
      <c r="C521" s="628" t="s">
        <v>43</v>
      </c>
      <c r="D521" s="629"/>
      <c r="E521" s="206">
        <f>6+6</f>
        <v>12</v>
      </c>
      <c r="F521" s="29">
        <v>0</v>
      </c>
      <c r="G521" s="630"/>
      <c r="H521" s="631"/>
      <c r="I521" s="631"/>
      <c r="J521" s="632"/>
      <c r="K521" s="66"/>
    </row>
    <row r="522" spans="1:11" hidden="1" x14ac:dyDescent="0.2">
      <c r="A522" s="28" t="s">
        <v>12</v>
      </c>
      <c r="B522" s="31">
        <v>68.150000000000006</v>
      </c>
      <c r="C522" s="649" t="s">
        <v>43</v>
      </c>
      <c r="D522" s="650"/>
      <c r="E522" s="205">
        <f>7.25+7.75+8.75+5.75+8.75+8.25+1.25+1+1</f>
        <v>49.75</v>
      </c>
      <c r="F522" s="29">
        <f t="shared" ref="F522" si="1">(E522-B522)/B522</f>
        <v>-0.26999266324284671</v>
      </c>
      <c r="G522" s="630" t="s">
        <v>183</v>
      </c>
      <c r="H522" s="631"/>
      <c r="I522" s="631"/>
      <c r="J522" s="632"/>
      <c r="K522" s="66"/>
    </row>
    <row r="523" spans="1:11" hidden="1" x14ac:dyDescent="0.2">
      <c r="A523" s="35" t="s">
        <v>15</v>
      </c>
      <c r="B523" s="206">
        <f>SUM(B519:B522)</f>
        <v>85.25</v>
      </c>
      <c r="C523" s="628"/>
      <c r="D523" s="629"/>
      <c r="E523" s="205">
        <f>SUM(E519:E522)</f>
        <v>76.75</v>
      </c>
      <c r="F523" s="29">
        <f>(E523-B523)/B523</f>
        <v>-9.9706744868035185E-2</v>
      </c>
      <c r="G523" s="630"/>
      <c r="H523" s="631"/>
      <c r="I523" s="631"/>
      <c r="J523" s="632"/>
      <c r="K523" s="66"/>
    </row>
    <row r="525" spans="1:11" ht="12.75" customHeight="1" x14ac:dyDescent="0.2">
      <c r="A525" s="656" t="s">
        <v>114</v>
      </c>
      <c r="B525" s="656"/>
      <c r="C525" s="657" t="s">
        <v>141</v>
      </c>
      <c r="D525" s="239" t="s">
        <v>113</v>
      </c>
      <c r="E525" s="50" t="s">
        <v>18</v>
      </c>
      <c r="F525" s="67">
        <v>16</v>
      </c>
      <c r="G525" s="45" t="s">
        <v>16</v>
      </c>
      <c r="H525" s="58">
        <f>B532</f>
        <v>80</v>
      </c>
      <c r="I525" s="45" t="s">
        <v>17</v>
      </c>
      <c r="J525" s="63">
        <f>B532-E532</f>
        <v>-2.25</v>
      </c>
      <c r="K525" s="71">
        <f>(E532-B532)/B532</f>
        <v>2.8125000000000001E-2</v>
      </c>
    </row>
    <row r="526" spans="1:11" hidden="1" x14ac:dyDescent="0.2">
      <c r="A526" s="656"/>
      <c r="B526" s="656"/>
      <c r="C526" s="658"/>
      <c r="D526" s="236"/>
      <c r="E526" s="47"/>
      <c r="F526" s="279"/>
      <c r="G526" s="49"/>
      <c r="H526" s="59"/>
      <c r="I526" s="48"/>
      <c r="J526" s="64"/>
      <c r="K526" s="66"/>
    </row>
    <row r="527" spans="1:11" ht="22.5" hidden="1" x14ac:dyDescent="0.2">
      <c r="A527" s="34"/>
      <c r="B527" s="33" t="s">
        <v>7</v>
      </c>
      <c r="C527" s="33"/>
      <c r="D527" s="33"/>
      <c r="E527" s="27" t="s">
        <v>8</v>
      </c>
      <c r="F527" s="28"/>
      <c r="G527" s="627" t="s">
        <v>14</v>
      </c>
      <c r="H527" s="627"/>
      <c r="I527" s="627"/>
      <c r="J527" s="627"/>
      <c r="K527" s="66"/>
    </row>
    <row r="528" spans="1:11" hidden="1" x14ac:dyDescent="0.2">
      <c r="A528" s="28" t="s">
        <v>9</v>
      </c>
      <c r="B528" s="31">
        <v>8</v>
      </c>
      <c r="C528" s="649" t="s">
        <v>43</v>
      </c>
      <c r="D528" s="650"/>
      <c r="E528" s="216">
        <v>1</v>
      </c>
      <c r="F528" s="29">
        <f>(E528-B528)/B528</f>
        <v>-0.875</v>
      </c>
      <c r="G528" s="630" t="s">
        <v>142</v>
      </c>
      <c r="H528" s="631"/>
      <c r="I528" s="631"/>
      <c r="J528" s="632"/>
      <c r="K528" s="66"/>
    </row>
    <row r="529" spans="1:11" hidden="1" x14ac:dyDescent="0.2">
      <c r="A529" s="28" t="s">
        <v>10</v>
      </c>
      <c r="B529" s="31">
        <v>8</v>
      </c>
      <c r="C529" s="649" t="s">
        <v>43</v>
      </c>
      <c r="D529" s="650"/>
      <c r="E529" s="216">
        <v>3</v>
      </c>
      <c r="F529" s="29">
        <f>(E529-B529)/B529</f>
        <v>-0.625</v>
      </c>
      <c r="G529" s="630"/>
      <c r="H529" s="631"/>
      <c r="I529" s="631"/>
      <c r="J529" s="632"/>
      <c r="K529" s="66"/>
    </row>
    <row r="530" spans="1:11" hidden="1" x14ac:dyDescent="0.2">
      <c r="A530" s="28" t="s">
        <v>11</v>
      </c>
      <c r="B530" s="31">
        <v>0</v>
      </c>
      <c r="C530" s="649" t="s">
        <v>43</v>
      </c>
      <c r="D530" s="650"/>
      <c r="E530" s="216">
        <f>6.25+6.25</f>
        <v>12.5</v>
      </c>
      <c r="F530" s="29">
        <v>0</v>
      </c>
      <c r="G530" s="630"/>
      <c r="H530" s="631"/>
      <c r="I530" s="631"/>
      <c r="J530" s="632"/>
      <c r="K530" s="66"/>
    </row>
    <row r="531" spans="1:11" hidden="1" x14ac:dyDescent="0.2">
      <c r="A531" s="28" t="s">
        <v>12</v>
      </c>
      <c r="B531" s="31">
        <v>64</v>
      </c>
      <c r="C531" s="628" t="s">
        <v>44</v>
      </c>
      <c r="D531" s="629"/>
      <c r="E531" s="215">
        <f>8+8.75+7.25+5.5+6+8.25+6+5.5+1.5+4+4+1</f>
        <v>65.75</v>
      </c>
      <c r="F531" s="29">
        <f t="shared" ref="F531" si="2">(E531-B531)/B531</f>
        <v>2.734375E-2</v>
      </c>
      <c r="G531" s="630"/>
      <c r="H531" s="631"/>
      <c r="I531" s="631"/>
      <c r="J531" s="632"/>
      <c r="K531" s="66"/>
    </row>
    <row r="532" spans="1:11" hidden="1" x14ac:dyDescent="0.2">
      <c r="A532" s="35" t="s">
        <v>15</v>
      </c>
      <c r="B532" s="216">
        <f>SUM(B528:B531)</f>
        <v>80</v>
      </c>
      <c r="C532" s="628"/>
      <c r="D532" s="629"/>
      <c r="E532" s="215">
        <f>SUM(E528:E531)</f>
        <v>82.25</v>
      </c>
      <c r="F532" s="29">
        <f>(E532-B532)/B532</f>
        <v>2.8125000000000001E-2</v>
      </c>
      <c r="G532" s="630"/>
      <c r="H532" s="631"/>
      <c r="I532" s="631"/>
      <c r="J532" s="632"/>
      <c r="K532" s="66"/>
    </row>
    <row r="534" spans="1:11" ht="12.75" customHeight="1" x14ac:dyDescent="0.2">
      <c r="A534" s="656" t="s">
        <v>115</v>
      </c>
      <c r="B534" s="656"/>
      <c r="C534" s="657" t="s">
        <v>141</v>
      </c>
      <c r="D534" s="239" t="s">
        <v>113</v>
      </c>
      <c r="E534" s="50" t="s">
        <v>18</v>
      </c>
      <c r="F534" s="67">
        <v>16</v>
      </c>
      <c r="G534" s="45" t="s">
        <v>16</v>
      </c>
      <c r="H534" s="58">
        <f>B541</f>
        <v>82.5</v>
      </c>
      <c r="I534" s="45" t="s">
        <v>17</v>
      </c>
      <c r="J534" s="63">
        <f>B541-E541</f>
        <v>-10.25</v>
      </c>
      <c r="K534" s="71">
        <f>(E541-B541)/B541</f>
        <v>0.12424242424242424</v>
      </c>
    </row>
    <row r="535" spans="1:11" hidden="1" x14ac:dyDescent="0.2">
      <c r="A535" s="656"/>
      <c r="B535" s="656"/>
      <c r="C535" s="658"/>
      <c r="D535" s="236"/>
      <c r="E535" s="47"/>
      <c r="F535" s="279"/>
      <c r="G535" s="49"/>
      <c r="H535" s="59"/>
      <c r="I535" s="48"/>
      <c r="J535" s="64"/>
      <c r="K535" s="66"/>
    </row>
    <row r="536" spans="1:11" ht="22.5" hidden="1" x14ac:dyDescent="0.2">
      <c r="A536" s="34"/>
      <c r="B536" s="33" t="s">
        <v>7</v>
      </c>
      <c r="C536" s="33"/>
      <c r="D536" s="33"/>
      <c r="E536" s="27" t="s">
        <v>8</v>
      </c>
      <c r="F536" s="28"/>
      <c r="G536" s="627" t="s">
        <v>14</v>
      </c>
      <c r="H536" s="627"/>
      <c r="I536" s="627"/>
      <c r="J536" s="627"/>
      <c r="K536" s="66"/>
    </row>
    <row r="537" spans="1:11" hidden="1" x14ac:dyDescent="0.2">
      <c r="A537" s="28" t="s">
        <v>9</v>
      </c>
      <c r="B537" s="31">
        <v>8.25</v>
      </c>
      <c r="C537" s="628" t="s">
        <v>43</v>
      </c>
      <c r="D537" s="629"/>
      <c r="E537" s="216">
        <f>6.75+0.75</f>
        <v>7.5</v>
      </c>
      <c r="F537" s="29">
        <f>(E537-B537)/B537</f>
        <v>-9.0909090909090912E-2</v>
      </c>
      <c r="G537" s="630"/>
      <c r="H537" s="631"/>
      <c r="I537" s="631"/>
      <c r="J537" s="632"/>
      <c r="K537" s="66"/>
    </row>
    <row r="538" spans="1:11" hidden="1" x14ac:dyDescent="0.2">
      <c r="A538" s="28" t="s">
        <v>10</v>
      </c>
      <c r="B538" s="31">
        <v>8.25</v>
      </c>
      <c r="C538" s="628" t="s">
        <v>43</v>
      </c>
      <c r="D538" s="629"/>
      <c r="E538" s="216">
        <f>6</f>
        <v>6</v>
      </c>
      <c r="F538" s="29">
        <f>(E538-B538)/B538</f>
        <v>-0.27272727272727271</v>
      </c>
      <c r="G538" s="630"/>
      <c r="H538" s="631"/>
      <c r="I538" s="631"/>
      <c r="J538" s="632"/>
      <c r="K538" s="66"/>
    </row>
    <row r="539" spans="1:11" hidden="1" x14ac:dyDescent="0.2">
      <c r="A539" s="28" t="s">
        <v>11</v>
      </c>
      <c r="B539" s="31">
        <v>0</v>
      </c>
      <c r="C539" s="628" t="s">
        <v>43</v>
      </c>
      <c r="D539" s="629"/>
      <c r="E539" s="216">
        <v>8.5</v>
      </c>
      <c r="F539" s="29">
        <v>0</v>
      </c>
      <c r="G539" s="630"/>
      <c r="H539" s="631"/>
      <c r="I539" s="631"/>
      <c r="J539" s="632"/>
      <c r="K539" s="66"/>
    </row>
    <row r="540" spans="1:11" hidden="1" x14ac:dyDescent="0.2">
      <c r="A540" s="28" t="s">
        <v>12</v>
      </c>
      <c r="B540" s="31">
        <v>66</v>
      </c>
      <c r="C540" s="628" t="s">
        <v>43</v>
      </c>
      <c r="D540" s="629"/>
      <c r="E540" s="215">
        <f>10+10+10+10+4.5+5+5+3+3+3+3+4.25</f>
        <v>70.75</v>
      </c>
      <c r="F540" s="29">
        <f t="shared" ref="F540" si="3">(E540-B540)/B540</f>
        <v>7.1969696969696975E-2</v>
      </c>
      <c r="G540" s="630"/>
      <c r="H540" s="631"/>
      <c r="I540" s="631"/>
      <c r="J540" s="632"/>
      <c r="K540" s="66"/>
    </row>
    <row r="541" spans="1:11" hidden="1" x14ac:dyDescent="0.2">
      <c r="A541" s="35" t="s">
        <v>15</v>
      </c>
      <c r="B541" s="216">
        <f>SUM(B537:B540)</f>
        <v>82.5</v>
      </c>
      <c r="C541" s="326"/>
      <c r="D541" s="266"/>
      <c r="E541" s="215">
        <f>SUM(E537:E540)</f>
        <v>92.75</v>
      </c>
      <c r="F541" s="29">
        <f>(E541-B541)/B541</f>
        <v>0.12424242424242424</v>
      </c>
      <c r="G541" s="630"/>
      <c r="H541" s="631"/>
      <c r="I541" s="631"/>
      <c r="J541" s="632"/>
      <c r="K541" s="66"/>
    </row>
    <row r="543" spans="1:11" ht="15" x14ac:dyDescent="0.2">
      <c r="A543" s="656" t="s">
        <v>132</v>
      </c>
      <c r="B543" s="656"/>
      <c r="C543" s="657" t="s">
        <v>141</v>
      </c>
      <c r="D543" s="239" t="s">
        <v>113</v>
      </c>
      <c r="E543" s="50" t="s">
        <v>18</v>
      </c>
      <c r="F543" s="67">
        <v>18</v>
      </c>
      <c r="G543" s="45" t="s">
        <v>16</v>
      </c>
      <c r="H543" s="58">
        <f>B550</f>
        <v>90</v>
      </c>
      <c r="I543" s="45" t="s">
        <v>17</v>
      </c>
      <c r="J543" s="63">
        <f>B550-E550</f>
        <v>-19.25</v>
      </c>
      <c r="K543" s="71">
        <f>(E550-B550)/B550</f>
        <v>0.21388888888888888</v>
      </c>
    </row>
    <row r="544" spans="1:11" hidden="1" x14ac:dyDescent="0.2">
      <c r="A544" s="656"/>
      <c r="B544" s="656"/>
      <c r="C544" s="658"/>
      <c r="D544" s="236"/>
      <c r="E544" s="47"/>
      <c r="F544" s="279"/>
      <c r="G544" s="49"/>
      <c r="H544" s="59"/>
      <c r="I544" s="48"/>
      <c r="J544" s="64"/>
      <c r="K544" s="66"/>
    </row>
    <row r="545" spans="1:11" ht="22.5" hidden="1" x14ac:dyDescent="0.2">
      <c r="A545" s="34"/>
      <c r="B545" s="33" t="s">
        <v>7</v>
      </c>
      <c r="C545" s="33"/>
      <c r="D545" s="33"/>
      <c r="E545" s="27" t="s">
        <v>8</v>
      </c>
      <c r="F545" s="28"/>
      <c r="G545" s="627" t="s">
        <v>14</v>
      </c>
      <c r="H545" s="627"/>
      <c r="I545" s="627"/>
      <c r="J545" s="627"/>
      <c r="K545" s="66"/>
    </row>
    <row r="546" spans="1:11" hidden="1" x14ac:dyDescent="0.2">
      <c r="A546" s="28" t="s">
        <v>9</v>
      </c>
      <c r="B546" s="31">
        <v>9</v>
      </c>
      <c r="C546" s="649" t="s">
        <v>43</v>
      </c>
      <c r="D546" s="650"/>
      <c r="E546" s="218">
        <v>6</v>
      </c>
      <c r="F546" s="29">
        <f>(E546-B546)/B546</f>
        <v>-0.33333333333333331</v>
      </c>
      <c r="G546" s="630"/>
      <c r="H546" s="631"/>
      <c r="I546" s="631"/>
      <c r="J546" s="632"/>
      <c r="K546" s="66"/>
    </row>
    <row r="547" spans="1:11" hidden="1" x14ac:dyDescent="0.2">
      <c r="A547" s="28" t="s">
        <v>10</v>
      </c>
      <c r="B547" s="31">
        <v>9</v>
      </c>
      <c r="C547" s="649" t="s">
        <v>43</v>
      </c>
      <c r="D547" s="650"/>
      <c r="E547" s="218">
        <f>5</f>
        <v>5</v>
      </c>
      <c r="F547" s="29">
        <f>(E547-B547)/B547</f>
        <v>-0.44444444444444442</v>
      </c>
      <c r="G547" s="630"/>
      <c r="H547" s="631"/>
      <c r="I547" s="631"/>
      <c r="J547" s="632"/>
      <c r="K547" s="66"/>
    </row>
    <row r="548" spans="1:11" hidden="1" x14ac:dyDescent="0.2">
      <c r="A548" s="28" t="s">
        <v>11</v>
      </c>
      <c r="B548" s="31">
        <v>9</v>
      </c>
      <c r="C548" s="649" t="s">
        <v>43</v>
      </c>
      <c r="D548" s="650"/>
      <c r="E548" s="218">
        <f>8.25+8.25+4+4</f>
        <v>24.5</v>
      </c>
      <c r="F548" s="29">
        <f>(E548-B548)/B548</f>
        <v>1.7222222222222223</v>
      </c>
      <c r="G548" s="630"/>
      <c r="H548" s="631"/>
      <c r="I548" s="631"/>
      <c r="J548" s="632"/>
      <c r="K548" s="66"/>
    </row>
    <row r="549" spans="1:11" hidden="1" x14ac:dyDescent="0.2">
      <c r="A549" s="28" t="s">
        <v>12</v>
      </c>
      <c r="B549" s="31">
        <v>63</v>
      </c>
      <c r="C549" s="649" t="s">
        <v>43</v>
      </c>
      <c r="D549" s="650"/>
      <c r="E549" s="217">
        <f>6.5+6+6+8.75+8.75+8.75+5.25+5.25+5.25+4.25+4.75+4.25</f>
        <v>73.75</v>
      </c>
      <c r="F549" s="29">
        <f t="shared" ref="F549" si="4">(E549-B549)/B549</f>
        <v>0.17063492063492064</v>
      </c>
      <c r="G549" s="630"/>
      <c r="H549" s="631"/>
      <c r="I549" s="631"/>
      <c r="J549" s="632"/>
      <c r="K549" s="66"/>
    </row>
    <row r="550" spans="1:11" hidden="1" x14ac:dyDescent="0.2">
      <c r="A550" s="35" t="s">
        <v>15</v>
      </c>
      <c r="B550" s="218">
        <f>SUM(B546:B549)</f>
        <v>90</v>
      </c>
      <c r="C550" s="326"/>
      <c r="D550" s="266"/>
      <c r="E550" s="217">
        <f>SUM(E546:E549)</f>
        <v>109.25</v>
      </c>
      <c r="F550" s="29">
        <f>(E550-B550)/B550</f>
        <v>0.21388888888888888</v>
      </c>
      <c r="G550" s="630"/>
      <c r="H550" s="631"/>
      <c r="I550" s="631"/>
      <c r="J550" s="632"/>
      <c r="K550" s="66"/>
    </row>
    <row r="552" spans="1:11" ht="15" x14ac:dyDescent="0.2">
      <c r="A552" s="656" t="s">
        <v>125</v>
      </c>
      <c r="B552" s="656"/>
      <c r="C552" s="657" t="s">
        <v>141</v>
      </c>
      <c r="D552" s="239" t="s">
        <v>113</v>
      </c>
      <c r="E552" s="50" t="s">
        <v>18</v>
      </c>
      <c r="F552" s="67">
        <v>18</v>
      </c>
      <c r="G552" s="45" t="s">
        <v>16</v>
      </c>
      <c r="H552" s="58">
        <f>B559</f>
        <v>90</v>
      </c>
      <c r="I552" s="45" t="s">
        <v>17</v>
      </c>
      <c r="J552" s="63">
        <f>B559-E559</f>
        <v>2.25</v>
      </c>
      <c r="K552" s="71">
        <f>(E559-B559)/B559</f>
        <v>-2.5000000000000001E-2</v>
      </c>
    </row>
    <row r="553" spans="1:11" hidden="1" x14ac:dyDescent="0.2">
      <c r="A553" s="656"/>
      <c r="B553" s="656"/>
      <c r="C553" s="658"/>
      <c r="D553" s="236"/>
      <c r="E553" s="47"/>
      <c r="F553" s="279"/>
      <c r="G553" s="49"/>
      <c r="H553" s="59"/>
      <c r="I553" s="48"/>
      <c r="J553" s="64"/>
      <c r="K553" s="66"/>
    </row>
    <row r="554" spans="1:11" ht="22.5" hidden="1" x14ac:dyDescent="0.2">
      <c r="A554" s="34"/>
      <c r="B554" s="33" t="s">
        <v>7</v>
      </c>
      <c r="C554" s="33"/>
      <c r="D554" s="33"/>
      <c r="E554" s="27" t="s">
        <v>8</v>
      </c>
      <c r="F554" s="28"/>
      <c r="G554" s="627" t="s">
        <v>14</v>
      </c>
      <c r="H554" s="627"/>
      <c r="I554" s="627"/>
      <c r="J554" s="627"/>
      <c r="K554" s="66"/>
    </row>
    <row r="555" spans="1:11" hidden="1" x14ac:dyDescent="0.2">
      <c r="A555" s="28" t="s">
        <v>9</v>
      </c>
      <c r="B555" s="31">
        <v>9</v>
      </c>
      <c r="C555" s="649" t="s">
        <v>43</v>
      </c>
      <c r="D555" s="650"/>
      <c r="E555" s="220">
        <f>5+1.5</f>
        <v>6.5</v>
      </c>
      <c r="F555" s="29">
        <f>(E555-B555)/B555</f>
        <v>-0.27777777777777779</v>
      </c>
      <c r="G555" s="630"/>
      <c r="H555" s="631"/>
      <c r="I555" s="631"/>
      <c r="J555" s="632"/>
      <c r="K555" s="66"/>
    </row>
    <row r="556" spans="1:11" hidden="1" x14ac:dyDescent="0.2">
      <c r="A556" s="28" t="s">
        <v>10</v>
      </c>
      <c r="B556" s="31">
        <v>9</v>
      </c>
      <c r="C556" s="649" t="s">
        <v>43</v>
      </c>
      <c r="D556" s="650"/>
      <c r="E556" s="220">
        <f>4+8.5</f>
        <v>12.5</v>
      </c>
      <c r="F556" s="29">
        <f>(E556-B556)/B556</f>
        <v>0.3888888888888889</v>
      </c>
      <c r="G556" s="630"/>
      <c r="H556" s="631"/>
      <c r="I556" s="631"/>
      <c r="J556" s="632"/>
      <c r="K556" s="66"/>
    </row>
    <row r="557" spans="1:11" hidden="1" x14ac:dyDescent="0.2">
      <c r="A557" s="28" t="s">
        <v>11</v>
      </c>
      <c r="B557" s="31">
        <v>9</v>
      </c>
      <c r="C557" s="649" t="s">
        <v>43</v>
      </c>
      <c r="D557" s="650"/>
      <c r="E557" s="220">
        <f>4.25+4.25+8.25</f>
        <v>16.75</v>
      </c>
      <c r="F557" s="29">
        <f>(E557-B557)/B557</f>
        <v>0.86111111111111116</v>
      </c>
      <c r="G557" s="630"/>
      <c r="H557" s="631"/>
      <c r="I557" s="631"/>
      <c r="J557" s="632"/>
      <c r="K557" s="66"/>
    </row>
    <row r="558" spans="1:11" hidden="1" x14ac:dyDescent="0.2">
      <c r="A558" s="28" t="s">
        <v>12</v>
      </c>
      <c r="B558" s="31">
        <v>63</v>
      </c>
      <c r="C558" s="649" t="s">
        <v>43</v>
      </c>
      <c r="D558" s="650"/>
      <c r="E558" s="219">
        <f>2.75+2.5+2.75+8.75+8.75+8.25+3.75+4.25+4.25+3+1+1+1</f>
        <v>52</v>
      </c>
      <c r="F558" s="29">
        <f t="shared" ref="F558" si="5">(E558-B558)/B558</f>
        <v>-0.17460317460317459</v>
      </c>
      <c r="G558" s="630" t="s">
        <v>172</v>
      </c>
      <c r="H558" s="631"/>
      <c r="I558" s="631"/>
      <c r="J558" s="632"/>
      <c r="K558" s="66"/>
    </row>
    <row r="559" spans="1:11" hidden="1" x14ac:dyDescent="0.2">
      <c r="A559" s="35" t="s">
        <v>15</v>
      </c>
      <c r="B559" s="220">
        <f>SUM(B555:B558)</f>
        <v>90</v>
      </c>
      <c r="C559" s="326"/>
      <c r="D559" s="266"/>
      <c r="E559" s="219">
        <f>SUM(E555:E558)</f>
        <v>87.75</v>
      </c>
      <c r="F559" s="29">
        <f>(E559-B559)/B559</f>
        <v>-2.5000000000000001E-2</v>
      </c>
      <c r="G559" s="630"/>
      <c r="H559" s="631"/>
      <c r="I559" s="631"/>
      <c r="J559" s="632"/>
      <c r="K559" s="66"/>
    </row>
    <row r="561" spans="1:11" ht="18" customHeight="1" x14ac:dyDescent="0.2">
      <c r="A561" s="656" t="s">
        <v>126</v>
      </c>
      <c r="B561" s="656"/>
      <c r="C561" s="657" t="s">
        <v>141</v>
      </c>
      <c r="D561" s="239" t="s">
        <v>113</v>
      </c>
      <c r="E561" s="50" t="s">
        <v>18</v>
      </c>
      <c r="F561" s="67">
        <v>18</v>
      </c>
      <c r="G561" s="45" t="s">
        <v>16</v>
      </c>
      <c r="H561" s="58">
        <f>B568</f>
        <v>90</v>
      </c>
      <c r="I561" s="45" t="s">
        <v>17</v>
      </c>
      <c r="J561" s="63">
        <f>B568-E568</f>
        <v>-13.549999999999997</v>
      </c>
      <c r="K561" s="71">
        <f>(E568-B568)/B568</f>
        <v>0.15055555555555553</v>
      </c>
    </row>
    <row r="562" spans="1:11" hidden="1" x14ac:dyDescent="0.2">
      <c r="A562" s="656"/>
      <c r="B562" s="656"/>
      <c r="C562" s="658"/>
      <c r="D562" s="236"/>
      <c r="E562" s="47"/>
      <c r="F562" s="279"/>
      <c r="G562" s="49"/>
      <c r="H562" s="59"/>
      <c r="I562" s="48"/>
      <c r="J562" s="64"/>
      <c r="K562" s="66"/>
    </row>
    <row r="563" spans="1:11" ht="22.5" hidden="1" x14ac:dyDescent="0.2">
      <c r="A563" s="34"/>
      <c r="B563" s="33" t="s">
        <v>7</v>
      </c>
      <c r="C563" s="33"/>
      <c r="D563" s="33"/>
      <c r="E563" s="27" t="s">
        <v>8</v>
      </c>
      <c r="F563" s="28"/>
      <c r="G563" s="627" t="s">
        <v>14</v>
      </c>
      <c r="H563" s="627"/>
      <c r="I563" s="627"/>
      <c r="J563" s="627"/>
      <c r="K563" s="66"/>
    </row>
    <row r="564" spans="1:11" hidden="1" x14ac:dyDescent="0.2">
      <c r="A564" s="28" t="s">
        <v>9</v>
      </c>
      <c r="B564" s="31">
        <v>9</v>
      </c>
      <c r="C564" s="628" t="s">
        <v>43</v>
      </c>
      <c r="D564" s="629"/>
      <c r="E564" s="220">
        <f>2.5+5.5</f>
        <v>8</v>
      </c>
      <c r="F564" s="29">
        <f>(E564-B564)/B564</f>
        <v>-0.1111111111111111</v>
      </c>
      <c r="G564" s="630"/>
      <c r="H564" s="631"/>
      <c r="I564" s="631"/>
      <c r="J564" s="632"/>
      <c r="K564" s="66"/>
    </row>
    <row r="565" spans="1:11" hidden="1" x14ac:dyDescent="0.2">
      <c r="A565" s="28" t="s">
        <v>10</v>
      </c>
      <c r="B565" s="31">
        <v>9</v>
      </c>
      <c r="C565" s="628" t="s">
        <v>43</v>
      </c>
      <c r="D565" s="629"/>
      <c r="E565" s="220">
        <v>0</v>
      </c>
      <c r="F565" s="29">
        <f>(E565-B565)/B565</f>
        <v>-1</v>
      </c>
      <c r="G565" s="630"/>
      <c r="H565" s="631"/>
      <c r="I565" s="631"/>
      <c r="J565" s="632"/>
      <c r="K565" s="66"/>
    </row>
    <row r="566" spans="1:11" hidden="1" x14ac:dyDescent="0.2">
      <c r="A566" s="28" t="s">
        <v>11</v>
      </c>
      <c r="B566" s="31">
        <v>9</v>
      </c>
      <c r="C566" s="628" t="s">
        <v>43</v>
      </c>
      <c r="D566" s="629"/>
      <c r="E566" s="220">
        <v>0</v>
      </c>
      <c r="F566" s="29">
        <f>(E566-B566)/B566</f>
        <v>-1</v>
      </c>
      <c r="G566" s="630"/>
      <c r="H566" s="631"/>
      <c r="I566" s="631"/>
      <c r="J566" s="632"/>
      <c r="K566" s="66"/>
    </row>
    <row r="567" spans="1:11" hidden="1" x14ac:dyDescent="0.2">
      <c r="A567" s="28" t="s">
        <v>12</v>
      </c>
      <c r="B567" s="31">
        <v>63</v>
      </c>
      <c r="C567" s="628" t="s">
        <v>43</v>
      </c>
      <c r="D567" s="629"/>
      <c r="E567" s="219">
        <f>5+8.75+8.25+8.25+5+5.5+5.3+6+8.75+5.75+5.75+8.25+3.5+4+3.5+3+1</f>
        <v>95.55</v>
      </c>
      <c r="F567" s="29">
        <f t="shared" ref="F567" si="6">(E567-B567)/B567</f>
        <v>0.51666666666666661</v>
      </c>
      <c r="G567" s="630"/>
      <c r="H567" s="631"/>
      <c r="I567" s="631"/>
      <c r="J567" s="632"/>
      <c r="K567" s="66"/>
    </row>
    <row r="568" spans="1:11" hidden="1" x14ac:dyDescent="0.2">
      <c r="A568" s="35" t="s">
        <v>15</v>
      </c>
      <c r="B568" s="220">
        <f>SUM(B564:B567)</f>
        <v>90</v>
      </c>
      <c r="C568" s="326"/>
      <c r="D568" s="266"/>
      <c r="E568" s="219">
        <f>SUM(E564:E567)</f>
        <v>103.55</v>
      </c>
      <c r="F568" s="29">
        <f>(E568-B568)/B568</f>
        <v>0.15055555555555553</v>
      </c>
      <c r="G568" s="630"/>
      <c r="H568" s="631"/>
      <c r="I568" s="631"/>
      <c r="J568" s="632"/>
      <c r="K568" s="66"/>
    </row>
    <row r="570" spans="1:11" ht="18" customHeight="1" x14ac:dyDescent="0.2">
      <c r="A570" s="656" t="s">
        <v>117</v>
      </c>
      <c r="B570" s="656"/>
      <c r="C570" s="657" t="s">
        <v>141</v>
      </c>
      <c r="D570" s="239" t="s">
        <v>113</v>
      </c>
      <c r="E570" s="50" t="s">
        <v>18</v>
      </c>
      <c r="F570" s="67">
        <v>17</v>
      </c>
      <c r="G570" s="45" t="s">
        <v>16</v>
      </c>
      <c r="H570" s="58">
        <f>B577</f>
        <v>81.5</v>
      </c>
      <c r="I570" s="45" t="s">
        <v>17</v>
      </c>
      <c r="J570" s="63">
        <f>B577-E577</f>
        <v>81.5</v>
      </c>
      <c r="K570" s="71">
        <f>(E577-B577)/B577</f>
        <v>-1</v>
      </c>
    </row>
    <row r="571" spans="1:11" hidden="1" x14ac:dyDescent="0.2">
      <c r="A571" s="656"/>
      <c r="B571" s="656"/>
      <c r="C571" s="658"/>
      <c r="D571" s="236"/>
      <c r="E571" s="47"/>
      <c r="F571" s="279"/>
      <c r="G571" s="49"/>
      <c r="H571" s="59"/>
      <c r="I571" s="48"/>
      <c r="J571" s="64"/>
      <c r="K571" s="66"/>
    </row>
    <row r="572" spans="1:11" ht="22.5" hidden="1" x14ac:dyDescent="0.2">
      <c r="A572" s="34"/>
      <c r="B572" s="33" t="s">
        <v>7</v>
      </c>
      <c r="C572" s="33"/>
      <c r="D572" s="33"/>
      <c r="E572" s="27" t="s">
        <v>8</v>
      </c>
      <c r="F572" s="28"/>
      <c r="G572" s="627" t="s">
        <v>14</v>
      </c>
      <c r="H572" s="627"/>
      <c r="I572" s="627"/>
      <c r="J572" s="627"/>
      <c r="K572" s="66"/>
    </row>
    <row r="573" spans="1:11" hidden="1" x14ac:dyDescent="0.2">
      <c r="A573" s="28" t="s">
        <v>9</v>
      </c>
      <c r="B573" s="31">
        <v>8.3000000000000007</v>
      </c>
      <c r="C573" s="244"/>
      <c r="D573" s="31"/>
      <c r="E573" s="256">
        <v>0</v>
      </c>
      <c r="F573" s="29">
        <f>(E573-B573)/B573</f>
        <v>-1</v>
      </c>
      <c r="G573" s="630"/>
      <c r="H573" s="631"/>
      <c r="I573" s="631"/>
      <c r="J573" s="632"/>
      <c r="K573" s="66"/>
    </row>
    <row r="574" spans="1:11" hidden="1" x14ac:dyDescent="0.2">
      <c r="A574" s="28" t="s">
        <v>10</v>
      </c>
      <c r="B574" s="31">
        <v>8.3000000000000007</v>
      </c>
      <c r="C574" s="244"/>
      <c r="D574" s="31"/>
      <c r="E574" s="256">
        <v>0</v>
      </c>
      <c r="F574" s="29">
        <f>(E574-B574)/B574</f>
        <v>-1</v>
      </c>
      <c r="G574" s="630"/>
      <c r="H574" s="631"/>
      <c r="I574" s="631"/>
      <c r="J574" s="632"/>
      <c r="K574" s="66"/>
    </row>
    <row r="575" spans="1:11" hidden="1" x14ac:dyDescent="0.2">
      <c r="A575" s="28" t="s">
        <v>11</v>
      </c>
      <c r="B575" s="31">
        <v>8</v>
      </c>
      <c r="C575" s="244"/>
      <c r="D575" s="31"/>
      <c r="E575" s="256">
        <v>0</v>
      </c>
      <c r="F575" s="29">
        <f>(E575-B575)/B575</f>
        <v>-1</v>
      </c>
      <c r="G575" s="630"/>
      <c r="H575" s="631"/>
      <c r="I575" s="631"/>
      <c r="J575" s="632"/>
      <c r="K575" s="66"/>
    </row>
    <row r="576" spans="1:11" hidden="1" x14ac:dyDescent="0.2">
      <c r="A576" s="28" t="s">
        <v>12</v>
      </c>
      <c r="B576" s="31">
        <v>56.9</v>
      </c>
      <c r="C576" s="321"/>
      <c r="D576" s="160"/>
      <c r="E576" s="254">
        <v>0</v>
      </c>
      <c r="F576" s="29">
        <f t="shared" ref="F576" si="7">(E576-B576)/B576</f>
        <v>-1</v>
      </c>
      <c r="G576" s="630"/>
      <c r="H576" s="631"/>
      <c r="I576" s="631"/>
      <c r="J576" s="632"/>
      <c r="K576" s="66"/>
    </row>
    <row r="577" spans="1:16" hidden="1" x14ac:dyDescent="0.2">
      <c r="A577" s="35" t="s">
        <v>15</v>
      </c>
      <c r="B577" s="256">
        <f>SUM(B573:B576)</f>
        <v>81.5</v>
      </c>
      <c r="C577" s="326"/>
      <c r="D577" s="266"/>
      <c r="E577" s="254">
        <f>SUM(E573:E576)</f>
        <v>0</v>
      </c>
      <c r="F577" s="29">
        <f>(E577-B577)/B577</f>
        <v>-1</v>
      </c>
      <c r="G577" s="630"/>
      <c r="H577" s="631"/>
      <c r="I577" s="631"/>
      <c r="J577" s="632"/>
      <c r="K577" s="66"/>
    </row>
    <row r="578" spans="1:16" s="37" customFormat="1" x14ac:dyDescent="0.2">
      <c r="A578" s="260"/>
      <c r="B578" s="208"/>
      <c r="C578" s="327"/>
      <c r="D578" s="208"/>
      <c r="E578" s="255"/>
      <c r="F578" s="209"/>
      <c r="G578" s="255"/>
      <c r="H578" s="255"/>
      <c r="I578" s="255"/>
      <c r="J578" s="255"/>
      <c r="K578" s="119"/>
      <c r="L578" s="261"/>
      <c r="M578" s="261"/>
      <c r="N578" s="261"/>
      <c r="O578" s="261"/>
      <c r="P578" s="261"/>
    </row>
    <row r="579" spans="1:16" ht="20.25" customHeight="1" x14ac:dyDescent="0.2">
      <c r="A579" s="656" t="s">
        <v>116</v>
      </c>
      <c r="B579" s="656"/>
      <c r="C579" s="657" t="s">
        <v>141</v>
      </c>
      <c r="D579" s="239" t="s">
        <v>113</v>
      </c>
      <c r="E579" s="50" t="s">
        <v>18</v>
      </c>
      <c r="F579" s="67">
        <v>18</v>
      </c>
      <c r="G579" s="45" t="s">
        <v>16</v>
      </c>
      <c r="H579" s="58">
        <f>B586</f>
        <v>90</v>
      </c>
      <c r="I579" s="45" t="s">
        <v>17</v>
      </c>
      <c r="J579" s="63">
        <f>B586-E586</f>
        <v>90</v>
      </c>
      <c r="K579" s="71">
        <f>(E586-B586)/B586</f>
        <v>-1</v>
      </c>
    </row>
    <row r="580" spans="1:16" ht="12.75" hidden="1" customHeight="1" x14ac:dyDescent="0.2">
      <c r="A580" s="656"/>
      <c r="B580" s="656"/>
      <c r="C580" s="658"/>
      <c r="D580" s="236"/>
      <c r="E580" s="47"/>
      <c r="F580" s="279"/>
      <c r="G580" s="49"/>
      <c r="H580" s="59"/>
      <c r="I580" s="48"/>
      <c r="J580" s="64"/>
      <c r="K580" s="66"/>
    </row>
    <row r="581" spans="1:16" ht="22.5" hidden="1" x14ac:dyDescent="0.2">
      <c r="A581" s="34"/>
      <c r="B581" s="33" t="s">
        <v>7</v>
      </c>
      <c r="C581" s="33"/>
      <c r="D581" s="33"/>
      <c r="E581" s="27" t="s">
        <v>8</v>
      </c>
      <c r="F581" s="28"/>
      <c r="G581" s="627" t="s">
        <v>14</v>
      </c>
      <c r="H581" s="627"/>
      <c r="I581" s="627"/>
      <c r="J581" s="627"/>
      <c r="K581" s="66"/>
    </row>
    <row r="582" spans="1:16" hidden="1" x14ac:dyDescent="0.2">
      <c r="A582" s="28" t="s">
        <v>9</v>
      </c>
      <c r="B582" s="31">
        <v>9</v>
      </c>
      <c r="C582" s="244"/>
      <c r="D582" s="31"/>
      <c r="E582" s="256">
        <v>0</v>
      </c>
      <c r="F582" s="29">
        <f>(E582-B582)/B582</f>
        <v>-1</v>
      </c>
      <c r="G582" s="630"/>
      <c r="H582" s="631"/>
      <c r="I582" s="631"/>
      <c r="J582" s="632"/>
      <c r="K582" s="66"/>
    </row>
    <row r="583" spans="1:16" hidden="1" x14ac:dyDescent="0.2">
      <c r="A583" s="28" t="s">
        <v>10</v>
      </c>
      <c r="B583" s="31">
        <v>9</v>
      </c>
      <c r="C583" s="244"/>
      <c r="D583" s="31"/>
      <c r="E583" s="256">
        <v>0</v>
      </c>
      <c r="F583" s="29">
        <f>(E583-B583)/B583</f>
        <v>-1</v>
      </c>
      <c r="G583" s="630"/>
      <c r="H583" s="631"/>
      <c r="I583" s="631"/>
      <c r="J583" s="632"/>
      <c r="K583" s="66"/>
    </row>
    <row r="584" spans="1:16" hidden="1" x14ac:dyDescent="0.2">
      <c r="A584" s="28" t="s">
        <v>11</v>
      </c>
      <c r="B584" s="31">
        <v>9</v>
      </c>
      <c r="C584" s="244"/>
      <c r="D584" s="31"/>
      <c r="E584" s="256">
        <v>0</v>
      </c>
      <c r="F584" s="29">
        <f>(E584-B584)/B584</f>
        <v>-1</v>
      </c>
      <c r="G584" s="630"/>
      <c r="H584" s="631"/>
      <c r="I584" s="631"/>
      <c r="J584" s="632"/>
      <c r="K584" s="66"/>
    </row>
    <row r="585" spans="1:16" hidden="1" x14ac:dyDescent="0.2">
      <c r="A585" s="28" t="s">
        <v>12</v>
      </c>
      <c r="B585" s="31">
        <v>63</v>
      </c>
      <c r="C585" s="321"/>
      <c r="D585" s="160"/>
      <c r="E585" s="254">
        <v>0</v>
      </c>
      <c r="F585" s="29">
        <f t="shared" ref="F585" si="8">(E585-B585)/B585</f>
        <v>-1</v>
      </c>
      <c r="G585" s="630"/>
      <c r="H585" s="631"/>
      <c r="I585" s="631"/>
      <c r="J585" s="632"/>
      <c r="K585" s="66"/>
    </row>
    <row r="586" spans="1:16" hidden="1" x14ac:dyDescent="0.2">
      <c r="A586" s="35" t="s">
        <v>15</v>
      </c>
      <c r="B586" s="256">
        <f>SUM(B582:B585)</f>
        <v>90</v>
      </c>
      <c r="C586" s="326"/>
      <c r="D586" s="266"/>
      <c r="E586" s="254">
        <f>SUM(E582:E585)</f>
        <v>0</v>
      </c>
      <c r="F586" s="29">
        <f>(E586-B586)/B586</f>
        <v>-1</v>
      </c>
      <c r="G586" s="630"/>
      <c r="H586" s="631"/>
      <c r="I586" s="631"/>
      <c r="J586" s="632"/>
      <c r="K586" s="66"/>
    </row>
    <row r="587" spans="1:16" x14ac:dyDescent="0.2">
      <c r="A587" s="260"/>
      <c r="B587" s="208"/>
      <c r="C587" s="327"/>
      <c r="D587" s="208"/>
      <c r="E587" s="255"/>
      <c r="F587" s="209"/>
      <c r="G587" s="255"/>
      <c r="H587" s="255"/>
      <c r="I587" s="255"/>
      <c r="J587" s="255"/>
      <c r="K587" s="119"/>
    </row>
    <row r="588" spans="1:16" ht="20.25" customHeight="1" x14ac:dyDescent="0.2">
      <c r="A588" s="656" t="s">
        <v>118</v>
      </c>
      <c r="B588" s="656"/>
      <c r="C588" s="657" t="s">
        <v>141</v>
      </c>
      <c r="D588" s="239" t="s">
        <v>113</v>
      </c>
      <c r="E588" s="50" t="s">
        <v>18</v>
      </c>
      <c r="F588" s="67">
        <v>17</v>
      </c>
      <c r="G588" s="45" t="s">
        <v>16</v>
      </c>
      <c r="H588" s="58">
        <f>B595</f>
        <v>81.5</v>
      </c>
      <c r="I588" s="45" t="s">
        <v>17</v>
      </c>
      <c r="J588" s="63">
        <f>B595-E595</f>
        <v>32.58</v>
      </c>
      <c r="K588" s="71">
        <f>(E595-B595)/B595</f>
        <v>-0.39975460122699386</v>
      </c>
    </row>
    <row r="589" spans="1:16" ht="12.75" hidden="1" customHeight="1" x14ac:dyDescent="0.2">
      <c r="A589" s="656"/>
      <c r="B589" s="656"/>
      <c r="C589" s="658"/>
      <c r="D589" s="236"/>
      <c r="E589" s="47"/>
      <c r="F589" s="279"/>
      <c r="G589" s="49"/>
      <c r="H589" s="59"/>
      <c r="I589" s="48"/>
      <c r="J589" s="64"/>
      <c r="K589" s="66"/>
    </row>
    <row r="590" spans="1:16" ht="22.5" hidden="1" x14ac:dyDescent="0.2">
      <c r="A590" s="34"/>
      <c r="B590" s="33" t="s">
        <v>7</v>
      </c>
      <c r="C590" s="33"/>
      <c r="D590" s="33"/>
      <c r="E590" s="27" t="s">
        <v>8</v>
      </c>
      <c r="F590" s="28"/>
      <c r="G590" s="627" t="s">
        <v>14</v>
      </c>
      <c r="H590" s="627"/>
      <c r="I590" s="627"/>
      <c r="J590" s="627"/>
      <c r="K590" s="66"/>
    </row>
    <row r="591" spans="1:16" hidden="1" x14ac:dyDescent="0.2">
      <c r="A591" s="28" t="s">
        <v>9</v>
      </c>
      <c r="B591" s="31">
        <v>8.3000000000000007</v>
      </c>
      <c r="C591" s="649" t="s">
        <v>43</v>
      </c>
      <c r="D591" s="650"/>
      <c r="E591" s="256">
        <f>0.5+5</f>
        <v>5.5</v>
      </c>
      <c r="F591" s="29">
        <f>(E591-B591)/B591</f>
        <v>-0.33734939759036148</v>
      </c>
      <c r="G591" s="630"/>
      <c r="H591" s="631"/>
      <c r="I591" s="631"/>
      <c r="J591" s="632"/>
      <c r="K591" s="66"/>
    </row>
    <row r="592" spans="1:16" hidden="1" x14ac:dyDescent="0.2">
      <c r="A592" s="28" t="s">
        <v>10</v>
      </c>
      <c r="B592" s="31">
        <v>8.3000000000000007</v>
      </c>
      <c r="C592" s="649" t="s">
        <v>43</v>
      </c>
      <c r="D592" s="650"/>
      <c r="E592" s="256">
        <v>6</v>
      </c>
      <c r="F592" s="29">
        <f>(E592-B592)/B592</f>
        <v>-0.27710843373493982</v>
      </c>
      <c r="G592" s="630"/>
      <c r="H592" s="631"/>
      <c r="I592" s="631"/>
      <c r="J592" s="632"/>
      <c r="K592" s="66"/>
    </row>
    <row r="593" spans="1:11" hidden="1" x14ac:dyDescent="0.2">
      <c r="A593" s="28" t="s">
        <v>11</v>
      </c>
      <c r="B593" s="31">
        <v>8</v>
      </c>
      <c r="C593" s="649" t="s">
        <v>44</v>
      </c>
      <c r="D593" s="650"/>
      <c r="E593" s="256">
        <f>7.92+2.75</f>
        <v>10.67</v>
      </c>
      <c r="F593" s="29">
        <f>(E593-B593)/B593</f>
        <v>0.33374999999999999</v>
      </c>
      <c r="G593" s="630"/>
      <c r="H593" s="631"/>
      <c r="I593" s="631"/>
      <c r="J593" s="632"/>
      <c r="K593" s="66"/>
    </row>
    <row r="594" spans="1:11" hidden="1" x14ac:dyDescent="0.2">
      <c r="A594" s="28" t="s">
        <v>12</v>
      </c>
      <c r="B594" s="31">
        <v>56.9</v>
      </c>
      <c r="C594" s="628"/>
      <c r="D594" s="629"/>
      <c r="E594" s="254">
        <f>4.5+6.75+6.75+8.75</f>
        <v>26.75</v>
      </c>
      <c r="F594" s="29">
        <f t="shared" ref="F594" si="9">(E594-B594)/B594</f>
        <v>-0.52987697715289983</v>
      </c>
      <c r="G594" s="630"/>
      <c r="H594" s="631"/>
      <c r="I594" s="631"/>
      <c r="J594" s="632"/>
      <c r="K594" s="66"/>
    </row>
    <row r="595" spans="1:11" hidden="1" x14ac:dyDescent="0.2">
      <c r="A595" s="35" t="s">
        <v>15</v>
      </c>
      <c r="B595" s="256">
        <f>SUM(B591:B594)</f>
        <v>81.5</v>
      </c>
      <c r="C595" s="326"/>
      <c r="D595" s="266"/>
      <c r="E595" s="254">
        <f>SUM(E591:E594)</f>
        <v>48.92</v>
      </c>
      <c r="F595" s="29">
        <f>(E595-B595)/B595</f>
        <v>-0.39975460122699386</v>
      </c>
      <c r="G595" s="630"/>
      <c r="H595" s="631"/>
      <c r="I595" s="631"/>
      <c r="J595" s="632"/>
      <c r="K595" s="66"/>
    </row>
    <row r="596" spans="1:11" x14ac:dyDescent="0.2">
      <c r="A596" s="260"/>
      <c r="B596" s="208"/>
      <c r="C596" s="327"/>
      <c r="D596" s="208"/>
      <c r="E596" s="255"/>
      <c r="F596" s="209"/>
      <c r="G596" s="255"/>
      <c r="H596" s="255"/>
      <c r="I596" s="255"/>
      <c r="J596" s="255"/>
      <c r="K596" s="119"/>
    </row>
    <row r="597" spans="1:11" ht="20.25" customHeight="1" x14ac:dyDescent="0.2">
      <c r="A597" s="656" t="s">
        <v>119</v>
      </c>
      <c r="B597" s="656"/>
      <c r="C597" s="657" t="s">
        <v>141</v>
      </c>
      <c r="D597" s="239" t="s">
        <v>113</v>
      </c>
      <c r="E597" s="50" t="s">
        <v>18</v>
      </c>
      <c r="F597" s="67">
        <v>18</v>
      </c>
      <c r="G597" s="45" t="s">
        <v>16</v>
      </c>
      <c r="H597" s="58">
        <f>B604</f>
        <v>90</v>
      </c>
      <c r="I597" s="45" t="s">
        <v>17</v>
      </c>
      <c r="J597" s="63">
        <f>B604-E604</f>
        <v>51.25</v>
      </c>
      <c r="K597" s="71">
        <f>(E604-B604)/B604</f>
        <v>-0.56944444444444442</v>
      </c>
    </row>
    <row r="598" spans="1:11" ht="12.75" hidden="1" customHeight="1" x14ac:dyDescent="0.2">
      <c r="A598" s="656"/>
      <c r="B598" s="656"/>
      <c r="C598" s="658"/>
      <c r="D598" s="236"/>
      <c r="E598" s="47"/>
      <c r="F598" s="279"/>
      <c r="G598" s="49"/>
      <c r="H598" s="59"/>
      <c r="I598" s="48"/>
      <c r="J598" s="64"/>
      <c r="K598" s="66"/>
    </row>
    <row r="599" spans="1:11" ht="22.5" hidden="1" x14ac:dyDescent="0.2">
      <c r="A599" s="34"/>
      <c r="B599" s="33" t="s">
        <v>7</v>
      </c>
      <c r="C599" s="33"/>
      <c r="D599" s="33"/>
      <c r="E599" s="27" t="s">
        <v>8</v>
      </c>
      <c r="F599" s="28"/>
      <c r="G599" s="627" t="s">
        <v>14</v>
      </c>
      <c r="H599" s="627"/>
      <c r="I599" s="627"/>
      <c r="J599" s="627"/>
      <c r="K599" s="66"/>
    </row>
    <row r="600" spans="1:11" hidden="1" x14ac:dyDescent="0.2">
      <c r="A600" s="28" t="s">
        <v>9</v>
      </c>
      <c r="B600" s="31">
        <v>9</v>
      </c>
      <c r="C600" s="628" t="s">
        <v>43</v>
      </c>
      <c r="D600" s="629"/>
      <c r="E600" s="256">
        <v>6</v>
      </c>
      <c r="F600" s="29">
        <f>(E600-B600)/B600</f>
        <v>-0.33333333333333331</v>
      </c>
      <c r="G600" s="630"/>
      <c r="H600" s="631"/>
      <c r="I600" s="631"/>
      <c r="J600" s="632"/>
      <c r="K600" s="66"/>
    </row>
    <row r="601" spans="1:11" hidden="1" x14ac:dyDescent="0.2">
      <c r="A601" s="28" t="s">
        <v>10</v>
      </c>
      <c r="B601" s="31">
        <v>9</v>
      </c>
      <c r="C601" s="649" t="s">
        <v>43</v>
      </c>
      <c r="D601" s="650"/>
      <c r="E601" s="256">
        <f>3+5+1</f>
        <v>9</v>
      </c>
      <c r="F601" s="29">
        <f>(E601-B601)/B601</f>
        <v>0</v>
      </c>
      <c r="G601" s="630"/>
      <c r="H601" s="631"/>
      <c r="I601" s="631"/>
      <c r="J601" s="632"/>
      <c r="K601" s="66"/>
    </row>
    <row r="602" spans="1:11" hidden="1" x14ac:dyDescent="0.2">
      <c r="A602" s="28" t="s">
        <v>11</v>
      </c>
      <c r="B602" s="31">
        <v>9</v>
      </c>
      <c r="C602" s="628" t="s">
        <v>43</v>
      </c>
      <c r="D602" s="629"/>
      <c r="E602" s="256">
        <f>14.5+2</f>
        <v>16.5</v>
      </c>
      <c r="F602" s="29">
        <f>(E602-B602)/B602</f>
        <v>0.83333333333333337</v>
      </c>
      <c r="G602" s="630"/>
      <c r="H602" s="631"/>
      <c r="I602" s="631"/>
      <c r="J602" s="632"/>
      <c r="K602" s="66"/>
    </row>
    <row r="603" spans="1:11" hidden="1" x14ac:dyDescent="0.2">
      <c r="A603" s="28" t="s">
        <v>12</v>
      </c>
      <c r="B603" s="31">
        <v>63</v>
      </c>
      <c r="C603" s="628" t="s">
        <v>44</v>
      </c>
      <c r="D603" s="629"/>
      <c r="E603" s="254">
        <f>7.25</f>
        <v>7.25</v>
      </c>
      <c r="F603" s="29">
        <f t="shared" ref="F603" si="10">(E603-B603)/B603</f>
        <v>-0.88492063492063489</v>
      </c>
      <c r="G603" s="630"/>
      <c r="H603" s="631"/>
      <c r="I603" s="631"/>
      <c r="J603" s="632"/>
      <c r="K603" s="66"/>
    </row>
    <row r="604" spans="1:11" hidden="1" x14ac:dyDescent="0.2">
      <c r="A604" s="35" t="s">
        <v>15</v>
      </c>
      <c r="B604" s="256">
        <f>SUM(B600:B603)</f>
        <v>90</v>
      </c>
      <c r="C604" s="326"/>
      <c r="D604" s="266"/>
      <c r="E604" s="254">
        <f>SUM(E600:E603)</f>
        <v>38.75</v>
      </c>
      <c r="F604" s="29">
        <f>(E604-B604)/B604</f>
        <v>-0.56944444444444442</v>
      </c>
      <c r="G604" s="630"/>
      <c r="H604" s="631"/>
      <c r="I604" s="631"/>
      <c r="J604" s="632"/>
      <c r="K604" s="66"/>
    </row>
    <row r="605" spans="1:11" x14ac:dyDescent="0.2">
      <c r="A605" s="260"/>
      <c r="B605" s="208"/>
      <c r="C605" s="327"/>
      <c r="D605" s="208"/>
      <c r="E605" s="255"/>
      <c r="F605" s="209"/>
      <c r="G605" s="255"/>
      <c r="H605" s="255"/>
      <c r="I605" s="255"/>
      <c r="J605" s="255"/>
      <c r="K605" s="119"/>
    </row>
    <row r="606" spans="1:11" ht="20.25" customHeight="1" x14ac:dyDescent="0.2">
      <c r="A606" s="656" t="s">
        <v>120</v>
      </c>
      <c r="B606" s="656"/>
      <c r="C606" s="657" t="s">
        <v>141</v>
      </c>
      <c r="D606" s="239" t="s">
        <v>113</v>
      </c>
      <c r="E606" s="50" t="s">
        <v>18</v>
      </c>
      <c r="F606" s="67">
        <v>18</v>
      </c>
      <c r="G606" s="45" t="s">
        <v>16</v>
      </c>
      <c r="H606" s="58">
        <f>B613</f>
        <v>81.5</v>
      </c>
      <c r="I606" s="45" t="s">
        <v>17</v>
      </c>
      <c r="J606" s="63">
        <f>B613-E613</f>
        <v>81.5</v>
      </c>
      <c r="K606" s="71">
        <f>(E613-B613)/B613</f>
        <v>-1</v>
      </c>
    </row>
    <row r="607" spans="1:11" ht="12.75" hidden="1" customHeight="1" x14ac:dyDescent="0.2">
      <c r="A607" s="656"/>
      <c r="B607" s="656"/>
      <c r="C607" s="658"/>
      <c r="D607" s="236"/>
      <c r="E607" s="47"/>
      <c r="F607" s="279"/>
      <c r="G607" s="49"/>
      <c r="H607" s="59"/>
      <c r="I607" s="48"/>
      <c r="J607" s="64"/>
      <c r="K607" s="66"/>
    </row>
    <row r="608" spans="1:11" ht="22.5" hidden="1" x14ac:dyDescent="0.2">
      <c r="A608" s="34"/>
      <c r="B608" s="33" t="s">
        <v>7</v>
      </c>
      <c r="C608" s="33"/>
      <c r="D608" s="33"/>
      <c r="E608" s="27" t="s">
        <v>8</v>
      </c>
      <c r="F608" s="28"/>
      <c r="G608" s="627" t="s">
        <v>14</v>
      </c>
      <c r="H608" s="627"/>
      <c r="I608" s="627"/>
      <c r="J608" s="627"/>
      <c r="K608" s="66"/>
    </row>
    <row r="609" spans="1:11" hidden="1" x14ac:dyDescent="0.2">
      <c r="A609" s="28" t="s">
        <v>9</v>
      </c>
      <c r="B609" s="31">
        <v>8.3000000000000007</v>
      </c>
      <c r="C609" s="244"/>
      <c r="D609" s="31"/>
      <c r="E609" s="256"/>
      <c r="F609" s="29">
        <f>(E609-B609)/B609</f>
        <v>-1</v>
      </c>
      <c r="G609" s="630"/>
      <c r="H609" s="631"/>
      <c r="I609" s="631"/>
      <c r="J609" s="632"/>
      <c r="K609" s="66"/>
    </row>
    <row r="610" spans="1:11" hidden="1" x14ac:dyDescent="0.2">
      <c r="A610" s="28" t="s">
        <v>10</v>
      </c>
      <c r="B610" s="31">
        <v>8.3000000000000007</v>
      </c>
      <c r="C610" s="244"/>
      <c r="D610" s="31"/>
      <c r="E610" s="256">
        <v>0</v>
      </c>
      <c r="F610" s="29">
        <f>(E610-B610)/B610</f>
        <v>-1</v>
      </c>
      <c r="G610" s="630"/>
      <c r="H610" s="631"/>
      <c r="I610" s="631"/>
      <c r="J610" s="632"/>
      <c r="K610" s="66"/>
    </row>
    <row r="611" spans="1:11" hidden="1" x14ac:dyDescent="0.2">
      <c r="A611" s="28" t="s">
        <v>11</v>
      </c>
      <c r="B611" s="31">
        <v>8</v>
      </c>
      <c r="C611" s="244"/>
      <c r="D611" s="31"/>
      <c r="E611" s="256">
        <v>0</v>
      </c>
      <c r="F611" s="29">
        <f>(E611-B611)/B611</f>
        <v>-1</v>
      </c>
      <c r="G611" s="630"/>
      <c r="H611" s="631"/>
      <c r="I611" s="631"/>
      <c r="J611" s="632"/>
      <c r="K611" s="66"/>
    </row>
    <row r="612" spans="1:11" hidden="1" x14ac:dyDescent="0.2">
      <c r="A612" s="28" t="s">
        <v>12</v>
      </c>
      <c r="B612" s="31">
        <v>56.9</v>
      </c>
      <c r="C612" s="321"/>
      <c r="D612" s="160"/>
      <c r="E612" s="254">
        <v>0</v>
      </c>
      <c r="F612" s="29">
        <f t="shared" ref="F612" si="11">(E612-B612)/B612</f>
        <v>-1</v>
      </c>
      <c r="G612" s="630"/>
      <c r="H612" s="631"/>
      <c r="I612" s="631"/>
      <c r="J612" s="632"/>
      <c r="K612" s="66"/>
    </row>
    <row r="613" spans="1:11" hidden="1" x14ac:dyDescent="0.2">
      <c r="A613" s="35" t="s">
        <v>15</v>
      </c>
      <c r="B613" s="256">
        <f>SUM(B609:B612)</f>
        <v>81.5</v>
      </c>
      <c r="C613" s="326"/>
      <c r="D613" s="266"/>
      <c r="E613" s="254">
        <f>SUM(E609:E612)</f>
        <v>0</v>
      </c>
      <c r="F613" s="29">
        <f>(E613-B613)/B613</f>
        <v>-1</v>
      </c>
      <c r="G613" s="630"/>
      <c r="H613" s="631"/>
      <c r="I613" s="631"/>
      <c r="J613" s="632"/>
      <c r="K613" s="66"/>
    </row>
    <row r="614" spans="1:11" x14ac:dyDescent="0.2">
      <c r="A614" s="260"/>
      <c r="B614" s="208"/>
      <c r="C614" s="327"/>
      <c r="D614" s="208"/>
      <c r="E614" s="255"/>
      <c r="F614" s="209"/>
      <c r="G614" s="255"/>
      <c r="H614" s="255"/>
      <c r="I614" s="255"/>
      <c r="J614" s="255"/>
      <c r="K614" s="119"/>
    </row>
    <row r="615" spans="1:11" ht="20.25" customHeight="1" x14ac:dyDescent="0.2">
      <c r="A615" s="656" t="s">
        <v>148</v>
      </c>
      <c r="B615" s="656"/>
      <c r="C615" s="657" t="s">
        <v>141</v>
      </c>
      <c r="D615" s="239" t="s">
        <v>113</v>
      </c>
      <c r="E615" s="50" t="s">
        <v>18</v>
      </c>
      <c r="F615" s="67">
        <v>18</v>
      </c>
      <c r="G615" s="45" t="s">
        <v>16</v>
      </c>
      <c r="H615" s="58">
        <f>B622</f>
        <v>90</v>
      </c>
      <c r="I615" s="45" t="s">
        <v>17</v>
      </c>
      <c r="J615" s="63">
        <f>B622-E622</f>
        <v>90</v>
      </c>
      <c r="K615" s="71">
        <f>(E622-B622)/B622</f>
        <v>-1</v>
      </c>
    </row>
    <row r="616" spans="1:11" ht="12.75" hidden="1" customHeight="1" x14ac:dyDescent="0.2">
      <c r="A616" s="656"/>
      <c r="B616" s="656"/>
      <c r="C616" s="658"/>
      <c r="D616" s="236"/>
      <c r="E616" s="47"/>
      <c r="F616" s="279"/>
      <c r="G616" s="49"/>
      <c r="H616" s="59"/>
      <c r="I616" s="48"/>
      <c r="J616" s="64"/>
      <c r="K616" s="66"/>
    </row>
    <row r="617" spans="1:11" ht="22.5" hidden="1" x14ac:dyDescent="0.2">
      <c r="A617" s="34"/>
      <c r="B617" s="33" t="s">
        <v>7</v>
      </c>
      <c r="C617" s="33"/>
      <c r="D617" s="33"/>
      <c r="E617" s="27" t="s">
        <v>8</v>
      </c>
      <c r="F617" s="28"/>
      <c r="G617" s="627" t="s">
        <v>14</v>
      </c>
      <c r="H617" s="627"/>
      <c r="I617" s="627"/>
      <c r="J617" s="627"/>
      <c r="K617" s="66"/>
    </row>
    <row r="618" spans="1:11" hidden="1" x14ac:dyDescent="0.2">
      <c r="A618" s="28" t="s">
        <v>9</v>
      </c>
      <c r="B618" s="31">
        <v>9</v>
      </c>
      <c r="C618" s="244"/>
      <c r="D618" s="31"/>
      <c r="E618" s="317"/>
      <c r="F618" s="29">
        <f>(E618-B618)/B618</f>
        <v>-1</v>
      </c>
      <c r="G618" s="630"/>
      <c r="H618" s="631"/>
      <c r="I618" s="631"/>
      <c r="J618" s="632"/>
      <c r="K618" s="66"/>
    </row>
    <row r="619" spans="1:11" hidden="1" x14ac:dyDescent="0.2">
      <c r="A619" s="28" t="s">
        <v>10</v>
      </c>
      <c r="B619" s="31">
        <v>9</v>
      </c>
      <c r="C619" s="244"/>
      <c r="D619" s="31"/>
      <c r="E619" s="317">
        <v>0</v>
      </c>
      <c r="F619" s="29">
        <f>(E619-B619)/B619</f>
        <v>-1</v>
      </c>
      <c r="G619" s="630"/>
      <c r="H619" s="631"/>
      <c r="I619" s="631"/>
      <c r="J619" s="632"/>
      <c r="K619" s="66"/>
    </row>
    <row r="620" spans="1:11" hidden="1" x14ac:dyDescent="0.2">
      <c r="A620" s="28" t="s">
        <v>11</v>
      </c>
      <c r="B620" s="31">
        <v>9</v>
      </c>
      <c r="C620" s="244"/>
      <c r="D620" s="31"/>
      <c r="E620" s="317">
        <v>0</v>
      </c>
      <c r="F620" s="29">
        <f>(E620-B620)/B620</f>
        <v>-1</v>
      </c>
      <c r="G620" s="630"/>
      <c r="H620" s="631"/>
      <c r="I620" s="631"/>
      <c r="J620" s="632"/>
      <c r="K620" s="66"/>
    </row>
    <row r="621" spans="1:11" hidden="1" x14ac:dyDescent="0.2">
      <c r="A621" s="28" t="s">
        <v>12</v>
      </c>
      <c r="B621" s="31">
        <v>63</v>
      </c>
      <c r="C621" s="321"/>
      <c r="D621" s="160"/>
      <c r="E621" s="315">
        <v>0</v>
      </c>
      <c r="F621" s="29">
        <f t="shared" ref="F621" si="12">(E621-B621)/B621</f>
        <v>-1</v>
      </c>
      <c r="G621" s="630"/>
      <c r="H621" s="631"/>
      <c r="I621" s="631"/>
      <c r="J621" s="632"/>
      <c r="K621" s="66"/>
    </row>
    <row r="622" spans="1:11" hidden="1" x14ac:dyDescent="0.2">
      <c r="A622" s="35" t="s">
        <v>15</v>
      </c>
      <c r="B622" s="317">
        <f>SUM(B618:B621)</f>
        <v>90</v>
      </c>
      <c r="C622" s="326"/>
      <c r="D622" s="315"/>
      <c r="E622" s="315">
        <f>SUM(E618:E621)</f>
        <v>0</v>
      </c>
      <c r="F622" s="29">
        <f>(E622-B622)/B622</f>
        <v>-1</v>
      </c>
      <c r="G622" s="630"/>
      <c r="H622" s="631"/>
      <c r="I622" s="631"/>
      <c r="J622" s="632"/>
      <c r="K622" s="66"/>
    </row>
    <row r="623" spans="1:11" x14ac:dyDescent="0.2">
      <c r="A623" s="260"/>
      <c r="B623" s="208"/>
      <c r="C623" s="327"/>
      <c r="D623" s="208"/>
      <c r="E623" s="316"/>
      <c r="F623" s="209"/>
      <c r="G623" s="316"/>
      <c r="H623" s="316"/>
      <c r="I623" s="316"/>
      <c r="J623" s="316"/>
      <c r="K623" s="119"/>
    </row>
    <row r="624" spans="1:11" ht="20.25" customHeight="1" x14ac:dyDescent="0.2">
      <c r="A624" s="656" t="s">
        <v>123</v>
      </c>
      <c r="B624" s="656"/>
      <c r="C624" s="657" t="s">
        <v>141</v>
      </c>
      <c r="D624" s="239" t="s">
        <v>113</v>
      </c>
      <c r="E624" s="50" t="s">
        <v>18</v>
      </c>
      <c r="F624" s="67">
        <v>16</v>
      </c>
      <c r="G624" s="45" t="s">
        <v>16</v>
      </c>
      <c r="H624" s="58">
        <f>B631</f>
        <v>80</v>
      </c>
      <c r="I624" s="45" t="s">
        <v>17</v>
      </c>
      <c r="J624" s="63">
        <f>B631-E631</f>
        <v>80</v>
      </c>
      <c r="K624" s="71">
        <f>(E631-B631)/B631</f>
        <v>-1</v>
      </c>
    </row>
    <row r="625" spans="1:11" ht="12.75" hidden="1" customHeight="1" x14ac:dyDescent="0.2">
      <c r="A625" s="656"/>
      <c r="B625" s="656"/>
      <c r="C625" s="658"/>
      <c r="D625" s="236"/>
      <c r="E625" s="47"/>
      <c r="F625" s="279"/>
      <c r="G625" s="49"/>
      <c r="H625" s="59"/>
      <c r="I625" s="48"/>
      <c r="J625" s="64"/>
      <c r="K625" s="66"/>
    </row>
    <row r="626" spans="1:11" ht="22.5" hidden="1" x14ac:dyDescent="0.2">
      <c r="A626" s="34"/>
      <c r="B626" s="33" t="s">
        <v>7</v>
      </c>
      <c r="C626" s="33"/>
      <c r="D626" s="33"/>
      <c r="E626" s="27" t="s">
        <v>8</v>
      </c>
      <c r="F626" s="28"/>
      <c r="G626" s="627" t="s">
        <v>14</v>
      </c>
      <c r="H626" s="627"/>
      <c r="I626" s="627"/>
      <c r="J626" s="627"/>
      <c r="K626" s="66"/>
    </row>
    <row r="627" spans="1:11" hidden="1" x14ac:dyDescent="0.2">
      <c r="A627" s="28" t="s">
        <v>9</v>
      </c>
      <c r="B627" s="31">
        <v>8</v>
      </c>
      <c r="C627" s="244"/>
      <c r="D627" s="31"/>
      <c r="E627" s="259"/>
      <c r="F627" s="29">
        <f>(E627-B627)/B627</f>
        <v>-1</v>
      </c>
      <c r="G627" s="630"/>
      <c r="H627" s="631"/>
      <c r="I627" s="631"/>
      <c r="J627" s="632"/>
      <c r="K627" s="66"/>
    </row>
    <row r="628" spans="1:11" hidden="1" x14ac:dyDescent="0.2">
      <c r="A628" s="28" t="s">
        <v>10</v>
      </c>
      <c r="B628" s="31">
        <v>8</v>
      </c>
      <c r="C628" s="244"/>
      <c r="D628" s="31"/>
      <c r="E628" s="259">
        <v>0</v>
      </c>
      <c r="F628" s="29">
        <f>(E628-B628)/B628</f>
        <v>-1</v>
      </c>
      <c r="G628" s="630"/>
      <c r="H628" s="631"/>
      <c r="I628" s="631"/>
      <c r="J628" s="632"/>
      <c r="K628" s="66"/>
    </row>
    <row r="629" spans="1:11" hidden="1" x14ac:dyDescent="0.2">
      <c r="A629" s="28" t="s">
        <v>11</v>
      </c>
      <c r="B629" s="31">
        <v>8</v>
      </c>
      <c r="C629" s="244"/>
      <c r="D629" s="31"/>
      <c r="E629" s="259">
        <v>0</v>
      </c>
      <c r="F629" s="29">
        <f>(E629-B629)/B629</f>
        <v>-1</v>
      </c>
      <c r="G629" s="630"/>
      <c r="H629" s="631"/>
      <c r="I629" s="631"/>
      <c r="J629" s="632"/>
      <c r="K629" s="66"/>
    </row>
    <row r="630" spans="1:11" hidden="1" x14ac:dyDescent="0.2">
      <c r="A630" s="28" t="s">
        <v>12</v>
      </c>
      <c r="B630" s="31">
        <v>56</v>
      </c>
      <c r="C630" s="321"/>
      <c r="D630" s="160"/>
      <c r="E630" s="257">
        <v>0</v>
      </c>
      <c r="F630" s="29">
        <f t="shared" ref="F630" si="13">(E630-B630)/B630</f>
        <v>-1</v>
      </c>
      <c r="G630" s="630"/>
      <c r="H630" s="631"/>
      <c r="I630" s="631"/>
      <c r="J630" s="632"/>
      <c r="K630" s="66"/>
    </row>
    <row r="631" spans="1:11" hidden="1" x14ac:dyDescent="0.2">
      <c r="A631" s="35" t="s">
        <v>15</v>
      </c>
      <c r="B631" s="259">
        <f>SUM(B627:B630)</f>
        <v>80</v>
      </c>
      <c r="C631" s="326"/>
      <c r="D631" s="266"/>
      <c r="E631" s="257">
        <f>SUM(E627:E630)</f>
        <v>0</v>
      </c>
      <c r="F631" s="29">
        <f>(E631-B631)/B631</f>
        <v>-1</v>
      </c>
      <c r="G631" s="630"/>
      <c r="H631" s="631"/>
      <c r="I631" s="631"/>
      <c r="J631" s="632"/>
      <c r="K631" s="66"/>
    </row>
    <row r="632" spans="1:11" x14ac:dyDescent="0.2">
      <c r="A632" s="260"/>
      <c r="B632" s="208"/>
      <c r="C632" s="327"/>
      <c r="D632" s="208"/>
      <c r="E632" s="258"/>
      <c r="F632" s="209"/>
      <c r="G632" s="258"/>
      <c r="H632" s="258"/>
      <c r="I632" s="258"/>
      <c r="J632" s="258"/>
      <c r="K632" s="119"/>
    </row>
    <row r="633" spans="1:11" ht="20.25" customHeight="1" x14ac:dyDescent="0.2">
      <c r="A633" s="656" t="s">
        <v>124</v>
      </c>
      <c r="B633" s="656"/>
      <c r="C633" s="657" t="s">
        <v>141</v>
      </c>
      <c r="D633" s="239" t="s">
        <v>113</v>
      </c>
      <c r="E633" s="50" t="s">
        <v>18</v>
      </c>
      <c r="F633" s="67">
        <v>26</v>
      </c>
      <c r="G633" s="45" t="s">
        <v>16</v>
      </c>
      <c r="H633" s="58">
        <f>B640</f>
        <v>126.5</v>
      </c>
      <c r="I633" s="45" t="s">
        <v>17</v>
      </c>
      <c r="J633" s="63">
        <f>B640-E640</f>
        <v>126.5</v>
      </c>
      <c r="K633" s="71">
        <f>(E640-B640)/B640</f>
        <v>-1</v>
      </c>
    </row>
    <row r="634" spans="1:11" ht="12.75" hidden="1" customHeight="1" x14ac:dyDescent="0.2">
      <c r="A634" s="656"/>
      <c r="B634" s="656"/>
      <c r="C634" s="658"/>
      <c r="D634" s="236"/>
      <c r="E634" s="47"/>
      <c r="F634" s="279"/>
      <c r="G634" s="49"/>
      <c r="H634" s="59"/>
      <c r="I634" s="48"/>
      <c r="J634" s="64"/>
      <c r="K634" s="66"/>
    </row>
    <row r="635" spans="1:11" ht="22.5" hidden="1" x14ac:dyDescent="0.2">
      <c r="A635" s="34"/>
      <c r="B635" s="33" t="s">
        <v>7</v>
      </c>
      <c r="C635" s="33"/>
      <c r="D635" s="33"/>
      <c r="E635" s="27" t="s">
        <v>8</v>
      </c>
      <c r="F635" s="28"/>
      <c r="G635" s="627" t="s">
        <v>14</v>
      </c>
      <c r="H635" s="627"/>
      <c r="I635" s="627"/>
      <c r="J635" s="627"/>
      <c r="K635" s="66"/>
    </row>
    <row r="636" spans="1:11" hidden="1" x14ac:dyDescent="0.2">
      <c r="A636" s="28" t="s">
        <v>9</v>
      </c>
      <c r="B636" s="31">
        <v>12.9</v>
      </c>
      <c r="C636" s="244"/>
      <c r="D636" s="31"/>
      <c r="E636" s="259"/>
      <c r="F636" s="29">
        <f>(E636-B636)/B636</f>
        <v>-1</v>
      </c>
      <c r="G636" s="630"/>
      <c r="H636" s="631"/>
      <c r="I636" s="631"/>
      <c r="J636" s="632"/>
      <c r="K636" s="66"/>
    </row>
    <row r="637" spans="1:11" hidden="1" x14ac:dyDescent="0.2">
      <c r="A637" s="28" t="s">
        <v>10</v>
      </c>
      <c r="B637" s="31">
        <v>13.9</v>
      </c>
      <c r="C637" s="244"/>
      <c r="D637" s="31"/>
      <c r="E637" s="259">
        <v>0</v>
      </c>
      <c r="F637" s="29">
        <f>(E637-B637)/B637</f>
        <v>-1</v>
      </c>
      <c r="G637" s="630"/>
      <c r="H637" s="631"/>
      <c r="I637" s="631"/>
      <c r="J637" s="632"/>
      <c r="K637" s="66"/>
    </row>
    <row r="638" spans="1:11" hidden="1" x14ac:dyDescent="0.2">
      <c r="A638" s="28" t="s">
        <v>11</v>
      </c>
      <c r="B638" s="31">
        <v>11</v>
      </c>
      <c r="C638" s="244"/>
      <c r="D638" s="31"/>
      <c r="E638" s="259">
        <v>0</v>
      </c>
      <c r="F638" s="29">
        <f>(E638-B638)/B638</f>
        <v>-1</v>
      </c>
      <c r="G638" s="630"/>
      <c r="H638" s="631"/>
      <c r="I638" s="631"/>
      <c r="J638" s="632"/>
      <c r="K638" s="66"/>
    </row>
    <row r="639" spans="1:11" hidden="1" x14ac:dyDescent="0.2">
      <c r="A639" s="28" t="s">
        <v>12</v>
      </c>
      <c r="B639" s="31">
        <v>88.7</v>
      </c>
      <c r="C639" s="321"/>
      <c r="D639" s="160"/>
      <c r="E639" s="257">
        <v>0</v>
      </c>
      <c r="F639" s="29">
        <f t="shared" ref="F639" si="14">(E639-B639)/B639</f>
        <v>-1</v>
      </c>
      <c r="G639" s="630"/>
      <c r="H639" s="631"/>
      <c r="I639" s="631"/>
      <c r="J639" s="632"/>
      <c r="K639" s="66"/>
    </row>
    <row r="640" spans="1:11" hidden="1" x14ac:dyDescent="0.2">
      <c r="A640" s="35" t="s">
        <v>15</v>
      </c>
      <c r="B640" s="259">
        <f>SUM(B636:B639)</f>
        <v>126.5</v>
      </c>
      <c r="C640" s="326"/>
      <c r="D640" s="266"/>
      <c r="E640" s="257">
        <f>SUM(E636:E639)</f>
        <v>0</v>
      </c>
      <c r="F640" s="29">
        <f>(E640-B640)/B640</f>
        <v>-1</v>
      </c>
      <c r="G640" s="630"/>
      <c r="H640" s="631"/>
      <c r="I640" s="631"/>
      <c r="J640" s="632"/>
      <c r="K640" s="66"/>
    </row>
    <row r="641" spans="1:11" x14ac:dyDescent="0.2">
      <c r="A641" s="260"/>
      <c r="B641" s="208"/>
      <c r="C641" s="327"/>
      <c r="D641" s="208"/>
      <c r="E641" s="258"/>
      <c r="F641" s="209"/>
      <c r="G641" s="258"/>
      <c r="H641" s="258"/>
      <c r="I641" s="258"/>
      <c r="J641" s="258"/>
      <c r="K641" s="119"/>
    </row>
    <row r="642" spans="1:11" ht="20.25" customHeight="1" x14ac:dyDescent="0.2">
      <c r="A642" s="656" t="s">
        <v>129</v>
      </c>
      <c r="B642" s="656"/>
      <c r="C642" s="637" t="s">
        <v>141</v>
      </c>
      <c r="D642" s="657" t="s">
        <v>113</v>
      </c>
      <c r="E642" s="50" t="s">
        <v>18</v>
      </c>
      <c r="F642" s="67">
        <v>5</v>
      </c>
      <c r="G642" s="45" t="s">
        <v>16</v>
      </c>
      <c r="H642" s="58">
        <f>B649</f>
        <v>53</v>
      </c>
      <c r="I642" s="45" t="s">
        <v>17</v>
      </c>
      <c r="J642" s="63">
        <f>B649-E649</f>
        <v>-84.5</v>
      </c>
      <c r="K642" s="71">
        <f>(E649-B649)/B649</f>
        <v>1.5943396226415094</v>
      </c>
    </row>
    <row r="643" spans="1:11" ht="12.75" hidden="1" customHeight="1" x14ac:dyDescent="0.2">
      <c r="A643" s="656"/>
      <c r="B643" s="656"/>
      <c r="C643" s="638"/>
      <c r="D643" s="658"/>
      <c r="E643" s="47"/>
      <c r="F643" s="279"/>
      <c r="G643" s="49"/>
      <c r="H643" s="59"/>
      <c r="I643" s="48"/>
      <c r="J643" s="64"/>
      <c r="K643" s="66"/>
    </row>
    <row r="644" spans="1:11" ht="22.5" hidden="1" x14ac:dyDescent="0.2">
      <c r="A644" s="34"/>
      <c r="B644" s="33" t="s">
        <v>7</v>
      </c>
      <c r="C644" s="33"/>
      <c r="D644" s="33"/>
      <c r="E644" s="27" t="s">
        <v>8</v>
      </c>
      <c r="F644" s="28"/>
      <c r="G644" s="627" t="s">
        <v>14</v>
      </c>
      <c r="H644" s="627"/>
      <c r="I644" s="627"/>
      <c r="J644" s="627"/>
      <c r="K644" s="66"/>
    </row>
    <row r="645" spans="1:11" hidden="1" x14ac:dyDescent="0.2">
      <c r="A645" s="28" t="s">
        <v>9</v>
      </c>
      <c r="B645" s="31">
        <v>5.3</v>
      </c>
      <c r="C645" s="628" t="s">
        <v>43</v>
      </c>
      <c r="D645" s="629"/>
      <c r="E645" s="272">
        <f>1.5+6</f>
        <v>7.5</v>
      </c>
      <c r="F645" s="29">
        <f>(E645-B645)/B645</f>
        <v>0.41509433962264158</v>
      </c>
      <c r="G645" s="630" t="s">
        <v>179</v>
      </c>
      <c r="H645" s="631"/>
      <c r="I645" s="631"/>
      <c r="J645" s="632"/>
      <c r="K645" s="66"/>
    </row>
    <row r="646" spans="1:11" hidden="1" x14ac:dyDescent="0.2">
      <c r="A646" s="28" t="s">
        <v>10</v>
      </c>
      <c r="B646" s="31">
        <v>5.3</v>
      </c>
      <c r="C646" s="628" t="s">
        <v>43</v>
      </c>
      <c r="D646" s="629"/>
      <c r="E646" s="272">
        <f>1+4</f>
        <v>5</v>
      </c>
      <c r="F646" s="29">
        <f>(E646-B646)/B646</f>
        <v>-5.6603773584905627E-2</v>
      </c>
      <c r="G646" s="630"/>
      <c r="H646" s="631"/>
      <c r="I646" s="631"/>
      <c r="J646" s="632"/>
      <c r="K646" s="66"/>
    </row>
    <row r="647" spans="1:11" hidden="1" x14ac:dyDescent="0.2">
      <c r="A647" s="28" t="s">
        <v>11</v>
      </c>
      <c r="B647" s="31">
        <v>0</v>
      </c>
      <c r="C647" s="628" t="s">
        <v>43</v>
      </c>
      <c r="D647" s="629"/>
      <c r="E647" s="272">
        <v>13</v>
      </c>
      <c r="F647" s="29">
        <v>0</v>
      </c>
      <c r="G647" s="630"/>
      <c r="H647" s="631"/>
      <c r="I647" s="631"/>
      <c r="J647" s="632"/>
      <c r="K647" s="66"/>
    </row>
    <row r="648" spans="1:11" hidden="1" x14ac:dyDescent="0.2">
      <c r="A648" s="28" t="s">
        <v>12</v>
      </c>
      <c r="B648" s="31">
        <v>42.4</v>
      </c>
      <c r="C648" s="628" t="s">
        <v>44</v>
      </c>
      <c r="D648" s="629"/>
      <c r="E648" s="266">
        <f>109+1.5+1.5</f>
        <v>112</v>
      </c>
      <c r="F648" s="29">
        <f t="shared" ref="F648" si="15">(E648-B648)/B648</f>
        <v>1.641509433962264</v>
      </c>
      <c r="G648" s="630"/>
      <c r="H648" s="631"/>
      <c r="I648" s="631"/>
      <c r="J648" s="632"/>
      <c r="K648" s="66"/>
    </row>
    <row r="649" spans="1:11" hidden="1" x14ac:dyDescent="0.2">
      <c r="A649" s="35" t="s">
        <v>15</v>
      </c>
      <c r="B649" s="272">
        <f>SUM(B645:B648)</f>
        <v>53</v>
      </c>
      <c r="C649" s="326"/>
      <c r="D649" s="266"/>
      <c r="E649" s="266">
        <f>SUM(E645:E648)</f>
        <v>137.5</v>
      </c>
      <c r="F649" s="29">
        <f>(E649-B649)/B649</f>
        <v>1.5943396226415094</v>
      </c>
      <c r="G649" s="630"/>
      <c r="H649" s="631"/>
      <c r="I649" s="631"/>
      <c r="J649" s="632"/>
      <c r="K649" s="66"/>
    </row>
    <row r="650" spans="1:11" x14ac:dyDescent="0.2">
      <c r="A650" s="260"/>
      <c r="B650" s="208"/>
      <c r="C650" s="327"/>
      <c r="D650" s="208"/>
      <c r="E650" s="267"/>
      <c r="F650" s="209"/>
      <c r="G650" s="267"/>
      <c r="H650" s="267"/>
      <c r="I650" s="267"/>
      <c r="J650" s="267"/>
      <c r="K650" s="119"/>
    </row>
    <row r="651" spans="1:11" ht="20.25" customHeight="1" x14ac:dyDescent="0.2">
      <c r="A651" s="656" t="s">
        <v>178</v>
      </c>
      <c r="B651" s="656"/>
      <c r="C651" s="637" t="s">
        <v>141</v>
      </c>
      <c r="D651" s="657" t="s">
        <v>113</v>
      </c>
      <c r="E651" s="50" t="s">
        <v>18</v>
      </c>
      <c r="F651" s="67">
        <v>3</v>
      </c>
      <c r="G651" s="45" t="s">
        <v>16</v>
      </c>
      <c r="H651" s="58">
        <f>B658</f>
        <v>130</v>
      </c>
      <c r="I651" s="45" t="s">
        <v>17</v>
      </c>
      <c r="J651" s="63">
        <f>B658-E658</f>
        <v>130</v>
      </c>
      <c r="K651" s="71">
        <f>(E658-B658)/B658</f>
        <v>-1</v>
      </c>
    </row>
    <row r="652" spans="1:11" ht="12.75" hidden="1" customHeight="1" x14ac:dyDescent="0.2">
      <c r="A652" s="656"/>
      <c r="B652" s="656"/>
      <c r="C652" s="638"/>
      <c r="D652" s="658"/>
      <c r="E652" s="47"/>
      <c r="F652" s="279"/>
      <c r="G652" s="49"/>
      <c r="H652" s="59"/>
      <c r="I652" s="48"/>
      <c r="J652" s="64"/>
      <c r="K652" s="66"/>
    </row>
    <row r="653" spans="1:11" ht="22.5" hidden="1" x14ac:dyDescent="0.2">
      <c r="A653" s="34"/>
      <c r="B653" s="33" t="s">
        <v>7</v>
      </c>
      <c r="C653" s="33"/>
      <c r="D653" s="33"/>
      <c r="E653" s="27" t="s">
        <v>8</v>
      </c>
      <c r="F653" s="28"/>
      <c r="G653" s="627" t="s">
        <v>14</v>
      </c>
      <c r="H653" s="627"/>
      <c r="I653" s="627"/>
      <c r="J653" s="627"/>
      <c r="K653" s="66"/>
    </row>
    <row r="654" spans="1:11" hidden="1" x14ac:dyDescent="0.2">
      <c r="A654" s="28" t="s">
        <v>9</v>
      </c>
      <c r="B654" s="351">
        <v>13</v>
      </c>
      <c r="C654" s="628"/>
      <c r="D654" s="629"/>
      <c r="E654" s="413"/>
      <c r="F654" s="29">
        <f>(E654-B654)/B654</f>
        <v>-1</v>
      </c>
      <c r="G654" s="630"/>
      <c r="H654" s="631"/>
      <c r="I654" s="631"/>
      <c r="J654" s="632"/>
      <c r="K654" s="66"/>
    </row>
    <row r="655" spans="1:11" hidden="1" x14ac:dyDescent="0.2">
      <c r="A655" s="28" t="s">
        <v>10</v>
      </c>
      <c r="B655" s="351">
        <v>13</v>
      </c>
      <c r="C655" s="628"/>
      <c r="D655" s="629"/>
      <c r="E655" s="413">
        <v>0</v>
      </c>
      <c r="F655" s="29">
        <f>(E655-B655)/B655</f>
        <v>-1</v>
      </c>
      <c r="G655" s="630"/>
      <c r="H655" s="631"/>
      <c r="I655" s="631"/>
      <c r="J655" s="632"/>
      <c r="K655" s="66"/>
    </row>
    <row r="656" spans="1:11" hidden="1" x14ac:dyDescent="0.2">
      <c r="A656" s="28" t="s">
        <v>11</v>
      </c>
      <c r="B656" s="351">
        <v>0</v>
      </c>
      <c r="C656" s="628"/>
      <c r="D656" s="629"/>
      <c r="E656" s="413">
        <v>0</v>
      </c>
      <c r="F656" s="29">
        <v>0</v>
      </c>
      <c r="G656" s="630"/>
      <c r="H656" s="631"/>
      <c r="I656" s="631"/>
      <c r="J656" s="632"/>
      <c r="K656" s="66"/>
    </row>
    <row r="657" spans="1:11" hidden="1" x14ac:dyDescent="0.2">
      <c r="A657" s="28" t="s">
        <v>12</v>
      </c>
      <c r="B657" s="351">
        <v>104</v>
      </c>
      <c r="C657" s="628"/>
      <c r="D657" s="629"/>
      <c r="E657" s="407">
        <v>0</v>
      </c>
      <c r="F657" s="29">
        <f t="shared" ref="F657" si="16">(E657-B657)/B657</f>
        <v>-1</v>
      </c>
      <c r="G657" s="630"/>
      <c r="H657" s="631"/>
      <c r="I657" s="631"/>
      <c r="J657" s="632"/>
      <c r="K657" s="66"/>
    </row>
    <row r="658" spans="1:11" hidden="1" x14ac:dyDescent="0.2">
      <c r="A658" s="35" t="s">
        <v>15</v>
      </c>
      <c r="B658" s="413">
        <f>SUM(B654:B657)</f>
        <v>130</v>
      </c>
      <c r="C658" s="628"/>
      <c r="D658" s="629"/>
      <c r="E658" s="407">
        <f>SUM(E654:E657)</f>
        <v>0</v>
      </c>
      <c r="F658" s="29">
        <f>(E658-B658)/B658</f>
        <v>-1</v>
      </c>
      <c r="G658" s="630"/>
      <c r="H658" s="631"/>
      <c r="I658" s="631"/>
      <c r="J658" s="632"/>
      <c r="K658" s="66"/>
    </row>
    <row r="659" spans="1:11" x14ac:dyDescent="0.2">
      <c r="A659" s="260"/>
      <c r="B659" s="410"/>
      <c r="C659" s="414"/>
      <c r="D659" s="410"/>
      <c r="E659" s="408"/>
      <c r="F659" s="209"/>
      <c r="G659" s="408"/>
      <c r="H659" s="408"/>
      <c r="I659" s="408"/>
      <c r="J659" s="408"/>
      <c r="K659" s="119"/>
    </row>
    <row r="660" spans="1:11" ht="20.25" customHeight="1" x14ac:dyDescent="0.2">
      <c r="A660" s="656" t="s">
        <v>177</v>
      </c>
      <c r="B660" s="656"/>
      <c r="C660" s="637" t="s">
        <v>141</v>
      </c>
      <c r="D660" s="657" t="s">
        <v>113</v>
      </c>
      <c r="E660" s="50" t="s">
        <v>18</v>
      </c>
      <c r="F660" s="67">
        <v>2</v>
      </c>
      <c r="G660" s="45" t="s">
        <v>16</v>
      </c>
      <c r="H660" s="58">
        <f>B667</f>
        <v>130</v>
      </c>
      <c r="I660" s="45" t="s">
        <v>17</v>
      </c>
      <c r="J660" s="63">
        <f>B667-E667</f>
        <v>130</v>
      </c>
      <c r="K660" s="71">
        <f>(E667-B667)/B667</f>
        <v>-1</v>
      </c>
    </row>
    <row r="661" spans="1:11" ht="12.75" hidden="1" customHeight="1" x14ac:dyDescent="0.2">
      <c r="A661" s="656"/>
      <c r="B661" s="656"/>
      <c r="C661" s="638"/>
      <c r="D661" s="658"/>
      <c r="E661" s="47"/>
      <c r="F661" s="279"/>
      <c r="G661" s="49"/>
      <c r="H661" s="59"/>
      <c r="I661" s="48"/>
      <c r="J661" s="64"/>
      <c r="K661" s="66"/>
    </row>
    <row r="662" spans="1:11" ht="22.5" hidden="1" x14ac:dyDescent="0.2">
      <c r="A662" s="34"/>
      <c r="B662" s="33" t="s">
        <v>7</v>
      </c>
      <c r="C662" s="33"/>
      <c r="D662" s="33"/>
      <c r="E662" s="27" t="s">
        <v>8</v>
      </c>
      <c r="F662" s="28"/>
      <c r="G662" s="627" t="s">
        <v>14</v>
      </c>
      <c r="H662" s="627"/>
      <c r="I662" s="627"/>
      <c r="J662" s="627"/>
      <c r="K662" s="66"/>
    </row>
    <row r="663" spans="1:11" hidden="1" x14ac:dyDescent="0.2">
      <c r="A663" s="28" t="s">
        <v>9</v>
      </c>
      <c r="B663" s="351">
        <v>13</v>
      </c>
      <c r="C663" s="628"/>
      <c r="D663" s="629"/>
      <c r="E663" s="413"/>
      <c r="F663" s="29">
        <f>(E663-B663)/B663</f>
        <v>-1</v>
      </c>
      <c r="G663" s="630"/>
      <c r="H663" s="631"/>
      <c r="I663" s="631"/>
      <c r="J663" s="632"/>
      <c r="K663" s="66"/>
    </row>
    <row r="664" spans="1:11" hidden="1" x14ac:dyDescent="0.2">
      <c r="A664" s="28" t="s">
        <v>10</v>
      </c>
      <c r="B664" s="351">
        <v>13</v>
      </c>
      <c r="C664" s="628"/>
      <c r="D664" s="629"/>
      <c r="E664" s="413">
        <v>0</v>
      </c>
      <c r="F664" s="29">
        <f>(E664-B664)/B664</f>
        <v>-1</v>
      </c>
      <c r="G664" s="630"/>
      <c r="H664" s="631"/>
      <c r="I664" s="631"/>
      <c r="J664" s="632"/>
      <c r="K664" s="66"/>
    </row>
    <row r="665" spans="1:11" hidden="1" x14ac:dyDescent="0.2">
      <c r="A665" s="28" t="s">
        <v>11</v>
      </c>
      <c r="B665" s="351">
        <v>0</v>
      </c>
      <c r="C665" s="628"/>
      <c r="D665" s="629"/>
      <c r="E665" s="413">
        <v>0</v>
      </c>
      <c r="F665" s="29">
        <v>0</v>
      </c>
      <c r="G665" s="630"/>
      <c r="H665" s="631"/>
      <c r="I665" s="631"/>
      <c r="J665" s="632"/>
      <c r="K665" s="66"/>
    </row>
    <row r="666" spans="1:11" hidden="1" x14ac:dyDescent="0.2">
      <c r="A666" s="28" t="s">
        <v>12</v>
      </c>
      <c r="B666" s="351">
        <v>104</v>
      </c>
      <c r="C666" s="628"/>
      <c r="D666" s="629"/>
      <c r="E666" s="407">
        <v>0</v>
      </c>
      <c r="F666" s="29">
        <f t="shared" ref="F666" si="17">(E666-B666)/B666</f>
        <v>-1</v>
      </c>
      <c r="G666" s="630"/>
      <c r="H666" s="631"/>
      <c r="I666" s="631"/>
      <c r="J666" s="632"/>
      <c r="K666" s="66"/>
    </row>
    <row r="667" spans="1:11" hidden="1" x14ac:dyDescent="0.2">
      <c r="A667" s="35" t="s">
        <v>15</v>
      </c>
      <c r="B667" s="413">
        <f>SUM(B663:B666)</f>
        <v>130</v>
      </c>
      <c r="C667" s="628"/>
      <c r="D667" s="629"/>
      <c r="E667" s="407">
        <f>SUM(E663:E666)</f>
        <v>0</v>
      </c>
      <c r="F667" s="29">
        <f>(E667-B667)/B667</f>
        <v>-1</v>
      </c>
      <c r="G667" s="630"/>
      <c r="H667" s="631"/>
      <c r="I667" s="631"/>
      <c r="J667" s="632"/>
      <c r="K667" s="66"/>
    </row>
    <row r="668" spans="1:11" x14ac:dyDescent="0.2">
      <c r="A668" s="260"/>
      <c r="B668" s="410"/>
      <c r="C668" s="414"/>
      <c r="D668" s="410"/>
      <c r="E668" s="408"/>
      <c r="F668" s="209"/>
      <c r="G668" s="408"/>
      <c r="H668" s="408"/>
      <c r="I668" s="408"/>
      <c r="J668" s="408"/>
      <c r="K668" s="119"/>
    </row>
    <row r="669" spans="1:11" ht="20.25" customHeight="1" x14ac:dyDescent="0.2">
      <c r="A669" s="656" t="s">
        <v>130</v>
      </c>
      <c r="B669" s="656"/>
      <c r="C669" s="661" t="s">
        <v>141</v>
      </c>
      <c r="D669" s="637" t="s">
        <v>113</v>
      </c>
      <c r="E669" s="50" t="s">
        <v>18</v>
      </c>
      <c r="F669" s="67">
        <v>5</v>
      </c>
      <c r="G669" s="45" t="s">
        <v>16</v>
      </c>
      <c r="H669" s="58">
        <f>B676</f>
        <v>66</v>
      </c>
      <c r="I669" s="45" t="s">
        <v>17</v>
      </c>
      <c r="J669" s="63">
        <f>B676-E676</f>
        <v>-11.75</v>
      </c>
      <c r="K669" s="71">
        <f>(E676-B676)/B676</f>
        <v>0.17803030303030304</v>
      </c>
    </row>
    <row r="670" spans="1:11" ht="12.75" hidden="1" customHeight="1" x14ac:dyDescent="0.2">
      <c r="A670" s="656"/>
      <c r="B670" s="656"/>
      <c r="C670" s="662"/>
      <c r="D670" s="638"/>
      <c r="E670" s="47"/>
      <c r="F670" s="279"/>
      <c r="G670" s="49"/>
      <c r="H670" s="59"/>
      <c r="I670" s="48"/>
      <c r="J670" s="64"/>
      <c r="K670" s="66"/>
    </row>
    <row r="671" spans="1:11" ht="22.5" hidden="1" x14ac:dyDescent="0.2">
      <c r="A671" s="34"/>
      <c r="B671" s="33" t="s">
        <v>7</v>
      </c>
      <c r="C671" s="33"/>
      <c r="D671" s="33"/>
      <c r="E671" s="27" t="s">
        <v>8</v>
      </c>
      <c r="F671" s="28"/>
      <c r="G671" s="627" t="s">
        <v>14</v>
      </c>
      <c r="H671" s="627"/>
      <c r="I671" s="627"/>
      <c r="J671" s="627"/>
      <c r="K671" s="66"/>
    </row>
    <row r="672" spans="1:11" hidden="1" x14ac:dyDescent="0.2">
      <c r="A672" s="28" t="s">
        <v>9</v>
      </c>
      <c r="B672" s="31">
        <v>6.6</v>
      </c>
      <c r="C672" s="649" t="s">
        <v>43</v>
      </c>
      <c r="D672" s="650"/>
      <c r="E672" s="272">
        <f>2.5</f>
        <v>2.5</v>
      </c>
      <c r="F672" s="29">
        <f>(E672-B672)/B672</f>
        <v>-0.62121212121212122</v>
      </c>
      <c r="G672" s="630"/>
      <c r="H672" s="631"/>
      <c r="I672" s="631"/>
      <c r="J672" s="632"/>
      <c r="K672" s="66"/>
    </row>
    <row r="673" spans="1:11" hidden="1" x14ac:dyDescent="0.2">
      <c r="A673" s="28" t="s">
        <v>10</v>
      </c>
      <c r="B673" s="31">
        <v>6.6</v>
      </c>
      <c r="C673" s="628" t="s">
        <v>43</v>
      </c>
      <c r="D673" s="629"/>
      <c r="E673" s="272">
        <v>4</v>
      </c>
      <c r="F673" s="29">
        <f>(E673-B673)/B673</f>
        <v>-0.39393939393939392</v>
      </c>
      <c r="G673" s="630"/>
      <c r="H673" s="631"/>
      <c r="I673" s="631"/>
      <c r="J673" s="632"/>
      <c r="K673" s="66"/>
    </row>
    <row r="674" spans="1:11" hidden="1" x14ac:dyDescent="0.2">
      <c r="A674" s="28" t="s">
        <v>11</v>
      </c>
      <c r="B674" s="31">
        <v>0</v>
      </c>
      <c r="C674" s="649" t="s">
        <v>44</v>
      </c>
      <c r="D674" s="650"/>
      <c r="E674" s="272">
        <f>4.25</f>
        <v>4.25</v>
      </c>
      <c r="F674" s="29">
        <v>0</v>
      </c>
      <c r="G674" s="630"/>
      <c r="H674" s="631"/>
      <c r="I674" s="631"/>
      <c r="J674" s="632"/>
      <c r="K674" s="66"/>
    </row>
    <row r="675" spans="1:11" hidden="1" x14ac:dyDescent="0.2">
      <c r="A675" s="28" t="s">
        <v>12</v>
      </c>
      <c r="B675" s="31">
        <v>52.8</v>
      </c>
      <c r="C675" s="649" t="s">
        <v>44</v>
      </c>
      <c r="D675" s="650"/>
      <c r="E675" s="266">
        <f>4.5+4.5+4.5+4+4.5+8.25+8.25+8.25+8.25+3+3+3+3</f>
        <v>67</v>
      </c>
      <c r="F675" s="29">
        <f t="shared" ref="F675" si="18">(E675-B675)/B675</f>
        <v>0.26893939393939403</v>
      </c>
      <c r="G675" s="630" t="s">
        <v>194</v>
      </c>
      <c r="H675" s="631"/>
      <c r="I675" s="631"/>
      <c r="J675" s="632"/>
      <c r="K675" s="66"/>
    </row>
    <row r="676" spans="1:11" hidden="1" x14ac:dyDescent="0.2">
      <c r="A676" s="35" t="s">
        <v>15</v>
      </c>
      <c r="B676" s="272">
        <f>SUM(B672:B675)</f>
        <v>66</v>
      </c>
      <c r="C676" s="326"/>
      <c r="D676" s="266"/>
      <c r="E676" s="266">
        <f>SUM(E672:E675)</f>
        <v>77.75</v>
      </c>
      <c r="F676" s="29">
        <f>(E676-B676)/B676</f>
        <v>0.17803030303030304</v>
      </c>
      <c r="G676" s="630"/>
      <c r="H676" s="631"/>
      <c r="I676" s="631"/>
      <c r="J676" s="632"/>
      <c r="K676" s="66"/>
    </row>
    <row r="677" spans="1:11" x14ac:dyDescent="0.2">
      <c r="A677" s="260"/>
      <c r="B677" s="208"/>
      <c r="C677" s="327"/>
      <c r="D677" s="208"/>
      <c r="E677" s="267"/>
      <c r="F677" s="209"/>
      <c r="G677" s="267"/>
      <c r="H677" s="267"/>
      <c r="I677" s="267"/>
      <c r="J677" s="267"/>
      <c r="K677" s="119"/>
    </row>
    <row r="678" spans="1:11" ht="20.25" customHeight="1" x14ac:dyDescent="0.2">
      <c r="A678" s="656" t="s">
        <v>131</v>
      </c>
      <c r="B678" s="656"/>
      <c r="C678" s="644" t="s">
        <v>141</v>
      </c>
      <c r="D678" s="644" t="s">
        <v>113</v>
      </c>
      <c r="E678" s="50" t="s">
        <v>18</v>
      </c>
      <c r="F678" s="67">
        <v>5</v>
      </c>
      <c r="G678" s="45" t="s">
        <v>16</v>
      </c>
      <c r="H678" s="58">
        <f>B685</f>
        <v>58</v>
      </c>
      <c r="I678" s="45" t="s">
        <v>17</v>
      </c>
      <c r="J678" s="63">
        <f>B685-E685</f>
        <v>30.5</v>
      </c>
      <c r="K678" s="71">
        <f>(E685-B685)/B685</f>
        <v>-0.52586206896551724</v>
      </c>
    </row>
    <row r="679" spans="1:11" ht="12.75" hidden="1" customHeight="1" x14ac:dyDescent="0.2">
      <c r="A679" s="656"/>
      <c r="B679" s="656"/>
      <c r="C679" s="644"/>
      <c r="D679" s="644"/>
      <c r="E679" s="47"/>
      <c r="F679" s="279"/>
      <c r="G679" s="49"/>
      <c r="H679" s="59"/>
      <c r="I679" s="48"/>
      <c r="J679" s="64"/>
      <c r="K679" s="66"/>
    </row>
    <row r="680" spans="1:11" ht="22.5" hidden="1" x14ac:dyDescent="0.2">
      <c r="A680" s="34"/>
      <c r="B680" s="33" t="s">
        <v>7</v>
      </c>
      <c r="C680" s="33"/>
      <c r="D680" s="33"/>
      <c r="E680" s="27" t="s">
        <v>8</v>
      </c>
      <c r="F680" s="28"/>
      <c r="G680" s="627" t="s">
        <v>14</v>
      </c>
      <c r="H680" s="627"/>
      <c r="I680" s="627"/>
      <c r="J680" s="627"/>
      <c r="K680" s="66"/>
    </row>
    <row r="681" spans="1:11" hidden="1" x14ac:dyDescent="0.2">
      <c r="A681" s="28" t="s">
        <v>9</v>
      </c>
      <c r="B681" s="31">
        <v>5.8</v>
      </c>
      <c r="C681" s="649" t="s">
        <v>43</v>
      </c>
      <c r="D681" s="650"/>
      <c r="E681" s="272">
        <f>0.75+4+3</f>
        <v>7.75</v>
      </c>
      <c r="F681" s="29">
        <f>(E681-B681)/B681</f>
        <v>0.3362068965517242</v>
      </c>
      <c r="G681" s="630"/>
      <c r="H681" s="631"/>
      <c r="I681" s="631"/>
      <c r="J681" s="632"/>
      <c r="K681" s="66"/>
    </row>
    <row r="682" spans="1:11" hidden="1" x14ac:dyDescent="0.2">
      <c r="A682" s="28" t="s">
        <v>10</v>
      </c>
      <c r="B682" s="31">
        <v>5.8</v>
      </c>
      <c r="C682" s="649" t="s">
        <v>44</v>
      </c>
      <c r="D682" s="650"/>
      <c r="E682" s="272">
        <f>2+3.25</f>
        <v>5.25</v>
      </c>
      <c r="F682" s="29">
        <f>(E682-B682)/B682</f>
        <v>-9.4827586206896519E-2</v>
      </c>
      <c r="G682" s="630"/>
      <c r="H682" s="631"/>
      <c r="I682" s="631"/>
      <c r="J682" s="632"/>
      <c r="K682" s="66"/>
    </row>
    <row r="683" spans="1:11" hidden="1" x14ac:dyDescent="0.2">
      <c r="A683" s="28" t="s">
        <v>11</v>
      </c>
      <c r="B683" s="31">
        <v>0</v>
      </c>
      <c r="C683" s="628"/>
      <c r="D683" s="629"/>
      <c r="E683" s="272">
        <f>8.25+6.25</f>
        <v>14.5</v>
      </c>
      <c r="F683" s="29">
        <v>0</v>
      </c>
      <c r="G683" s="630"/>
      <c r="H683" s="631"/>
      <c r="I683" s="631"/>
      <c r="J683" s="632"/>
      <c r="K683" s="66"/>
    </row>
    <row r="684" spans="1:11" hidden="1" x14ac:dyDescent="0.2">
      <c r="A684" s="28" t="s">
        <v>12</v>
      </c>
      <c r="B684" s="31">
        <v>46.4</v>
      </c>
      <c r="C684" s="628"/>
      <c r="D684" s="629"/>
      <c r="E684" s="266">
        <v>0</v>
      </c>
      <c r="F684" s="29">
        <f t="shared" ref="F684" si="19">(E684-B684)/B684</f>
        <v>-1</v>
      </c>
      <c r="G684" s="630"/>
      <c r="H684" s="631"/>
      <c r="I684" s="631"/>
      <c r="J684" s="632"/>
      <c r="K684" s="66"/>
    </row>
    <row r="685" spans="1:11" hidden="1" x14ac:dyDescent="0.2">
      <c r="A685" s="35" t="s">
        <v>15</v>
      </c>
      <c r="B685" s="272">
        <f>SUM(B681:B684)</f>
        <v>58</v>
      </c>
      <c r="C685" s="326"/>
      <c r="D685" s="266"/>
      <c r="E685" s="266">
        <f>SUM(E681:E684)</f>
        <v>27.5</v>
      </c>
      <c r="F685" s="29">
        <f>(E685-B685)/B685</f>
        <v>-0.52586206896551724</v>
      </c>
      <c r="G685" s="630"/>
      <c r="H685" s="631"/>
      <c r="I685" s="631"/>
      <c r="J685" s="632"/>
      <c r="K685" s="66"/>
    </row>
    <row r="686" spans="1:11" x14ac:dyDescent="0.2">
      <c r="A686" s="260"/>
      <c r="B686" s="208"/>
      <c r="C686" s="327"/>
      <c r="D686" s="208"/>
      <c r="E686" s="267"/>
      <c r="F686" s="209"/>
      <c r="G686" s="267"/>
      <c r="H686" s="267"/>
      <c r="I686" s="267"/>
      <c r="J686" s="267"/>
      <c r="K686" s="119"/>
    </row>
    <row r="687" spans="1:11" ht="20.25" customHeight="1" x14ac:dyDescent="0.2">
      <c r="A687" s="656" t="s">
        <v>133</v>
      </c>
      <c r="B687" s="656"/>
      <c r="C687" s="637" t="s">
        <v>141</v>
      </c>
      <c r="D687" s="644" t="s">
        <v>113</v>
      </c>
      <c r="E687" s="50" t="s">
        <v>18</v>
      </c>
      <c r="F687" s="67">
        <v>5</v>
      </c>
      <c r="G687" s="45" t="s">
        <v>16</v>
      </c>
      <c r="H687" s="58">
        <f>B694</f>
        <v>96.5</v>
      </c>
      <c r="I687" s="45" t="s">
        <v>17</v>
      </c>
      <c r="J687" s="63">
        <f>B694-E694</f>
        <v>96.5</v>
      </c>
      <c r="K687" s="71">
        <f>(E694-B694)/B694</f>
        <v>-1</v>
      </c>
    </row>
    <row r="688" spans="1:11" ht="12.75" hidden="1" customHeight="1" x14ac:dyDescent="0.2">
      <c r="A688" s="656"/>
      <c r="B688" s="656"/>
      <c r="C688" s="638"/>
      <c r="D688" s="644"/>
      <c r="E688" s="47"/>
      <c r="F688" s="279"/>
      <c r="G688" s="49"/>
      <c r="H688" s="59"/>
      <c r="I688" s="48"/>
      <c r="J688" s="64"/>
      <c r="K688" s="66"/>
    </row>
    <row r="689" spans="1:11" ht="22.5" hidden="1" x14ac:dyDescent="0.2">
      <c r="A689" s="34"/>
      <c r="B689" s="33" t="s">
        <v>7</v>
      </c>
      <c r="C689" s="33"/>
      <c r="D689" s="33"/>
      <c r="E689" s="27" t="s">
        <v>8</v>
      </c>
      <c r="F689" s="28"/>
      <c r="G689" s="627" t="s">
        <v>14</v>
      </c>
      <c r="H689" s="627"/>
      <c r="I689" s="627"/>
      <c r="J689" s="627"/>
      <c r="K689" s="66"/>
    </row>
    <row r="690" spans="1:11" hidden="1" x14ac:dyDescent="0.2">
      <c r="A690" s="28" t="s">
        <v>9</v>
      </c>
      <c r="B690" s="31">
        <v>9.65</v>
      </c>
      <c r="C690" s="244"/>
      <c r="D690" s="31"/>
      <c r="E690" s="277">
        <v>0</v>
      </c>
      <c r="F690" s="29">
        <f>(E690-B690)/B690</f>
        <v>-1</v>
      </c>
      <c r="G690" s="630"/>
      <c r="H690" s="631"/>
      <c r="I690" s="631"/>
      <c r="J690" s="632"/>
      <c r="K690" s="66"/>
    </row>
    <row r="691" spans="1:11" hidden="1" x14ac:dyDescent="0.2">
      <c r="A691" s="28" t="s">
        <v>10</v>
      </c>
      <c r="B691" s="31">
        <v>9.65</v>
      </c>
      <c r="C691" s="244"/>
      <c r="D691" s="31"/>
      <c r="E691" s="277">
        <v>0</v>
      </c>
      <c r="F691" s="29">
        <f>(E691-B691)/B691</f>
        <v>-1</v>
      </c>
      <c r="G691" s="630"/>
      <c r="H691" s="631"/>
      <c r="I691" s="631"/>
      <c r="J691" s="632"/>
      <c r="K691" s="66"/>
    </row>
    <row r="692" spans="1:11" hidden="1" x14ac:dyDescent="0.2">
      <c r="A692" s="28" t="s">
        <v>11</v>
      </c>
      <c r="B692" s="31">
        <v>0</v>
      </c>
      <c r="C692" s="244"/>
      <c r="D692" s="31"/>
      <c r="E692" s="277">
        <v>0</v>
      </c>
      <c r="F692" s="29">
        <v>0</v>
      </c>
      <c r="G692" s="630"/>
      <c r="H692" s="631"/>
      <c r="I692" s="631"/>
      <c r="J692" s="632"/>
      <c r="K692" s="66"/>
    </row>
    <row r="693" spans="1:11" hidden="1" x14ac:dyDescent="0.2">
      <c r="A693" s="28" t="s">
        <v>12</v>
      </c>
      <c r="B693" s="31">
        <v>77.2</v>
      </c>
      <c r="C693" s="321"/>
      <c r="D693" s="160"/>
      <c r="E693" s="275">
        <v>0</v>
      </c>
      <c r="F693" s="29">
        <f t="shared" ref="F693" si="20">(E693-B693)/B693</f>
        <v>-1</v>
      </c>
      <c r="G693" s="630"/>
      <c r="H693" s="631"/>
      <c r="I693" s="631"/>
      <c r="J693" s="632"/>
      <c r="K693" s="66"/>
    </row>
    <row r="694" spans="1:11" hidden="1" x14ac:dyDescent="0.2">
      <c r="A694" s="35" t="s">
        <v>15</v>
      </c>
      <c r="B694" s="277">
        <f>SUM(B690:B693)</f>
        <v>96.5</v>
      </c>
      <c r="C694" s="326"/>
      <c r="D694" s="275"/>
      <c r="E694" s="275">
        <f>SUM(E690:E693)</f>
        <v>0</v>
      </c>
      <c r="F694" s="29">
        <f>(E694-B694)/B694</f>
        <v>-1</v>
      </c>
      <c r="G694" s="630"/>
      <c r="H694" s="631"/>
      <c r="I694" s="631"/>
      <c r="J694" s="632"/>
      <c r="K694" s="66"/>
    </row>
    <row r="695" spans="1:11" x14ac:dyDescent="0.2">
      <c r="A695" s="260"/>
      <c r="B695" s="208"/>
      <c r="C695" s="327"/>
      <c r="D695" s="208"/>
      <c r="E695" s="276"/>
      <c r="F695" s="209"/>
      <c r="G695" s="276"/>
      <c r="H695" s="276"/>
      <c r="I695" s="276"/>
      <c r="J695" s="276"/>
      <c r="K695" s="119"/>
    </row>
    <row r="696" spans="1:11" ht="20.25" customHeight="1" x14ac:dyDescent="0.2">
      <c r="A696" s="656" t="s">
        <v>134</v>
      </c>
      <c r="B696" s="656"/>
      <c r="C696" s="637" t="s">
        <v>141</v>
      </c>
      <c r="D696" s="644" t="s">
        <v>113</v>
      </c>
      <c r="E696" s="50" t="s">
        <v>18</v>
      </c>
      <c r="F696" s="67">
        <v>5</v>
      </c>
      <c r="G696" s="45" t="s">
        <v>16</v>
      </c>
      <c r="H696" s="58">
        <f>B703</f>
        <v>69.7</v>
      </c>
      <c r="I696" s="45" t="s">
        <v>17</v>
      </c>
      <c r="J696" s="63">
        <f>B703-E703</f>
        <v>-20.299999999999997</v>
      </c>
      <c r="K696" s="71">
        <f>(E703-B703)/B703</f>
        <v>0.29124820659971301</v>
      </c>
    </row>
    <row r="697" spans="1:11" ht="12.75" hidden="1" customHeight="1" x14ac:dyDescent="0.2">
      <c r="A697" s="656"/>
      <c r="B697" s="656"/>
      <c r="C697" s="638"/>
      <c r="D697" s="644"/>
      <c r="E697" s="47"/>
      <c r="F697" s="279"/>
      <c r="G697" s="49"/>
      <c r="H697" s="59"/>
      <c r="I697" s="48"/>
      <c r="J697" s="64"/>
      <c r="K697" s="66"/>
    </row>
    <row r="698" spans="1:11" ht="22.5" hidden="1" x14ac:dyDescent="0.2">
      <c r="A698" s="34"/>
      <c r="B698" s="33" t="s">
        <v>7</v>
      </c>
      <c r="C698" s="33"/>
      <c r="D698" s="33"/>
      <c r="E698" s="27" t="s">
        <v>8</v>
      </c>
      <c r="F698" s="28"/>
      <c r="G698" s="627" t="s">
        <v>14</v>
      </c>
      <c r="H698" s="627"/>
      <c r="I698" s="627"/>
      <c r="J698" s="627"/>
      <c r="K698" s="66"/>
    </row>
    <row r="699" spans="1:11" hidden="1" x14ac:dyDescent="0.2">
      <c r="A699" s="28" t="s">
        <v>9</v>
      </c>
      <c r="B699" s="31">
        <v>6.7</v>
      </c>
      <c r="C699" s="628" t="s">
        <v>43</v>
      </c>
      <c r="D699" s="629"/>
      <c r="E699" s="285">
        <v>6</v>
      </c>
      <c r="F699" s="29">
        <f>(E699-B699)/B699</f>
        <v>-0.10447761194029853</v>
      </c>
      <c r="G699" s="630"/>
      <c r="H699" s="631"/>
      <c r="I699" s="631"/>
      <c r="J699" s="632"/>
      <c r="K699" s="66"/>
    </row>
    <row r="700" spans="1:11" hidden="1" x14ac:dyDescent="0.2">
      <c r="A700" s="28" t="s">
        <v>10</v>
      </c>
      <c r="B700" s="31">
        <v>6.7</v>
      </c>
      <c r="C700" s="628" t="s">
        <v>43</v>
      </c>
      <c r="D700" s="629"/>
      <c r="E700" s="285">
        <f>3+3</f>
        <v>6</v>
      </c>
      <c r="F700" s="29">
        <f>(E700-B700)/B700</f>
        <v>-0.10447761194029853</v>
      </c>
      <c r="G700" s="630"/>
      <c r="H700" s="631"/>
      <c r="I700" s="631"/>
      <c r="J700" s="632"/>
      <c r="K700" s="66"/>
    </row>
    <row r="701" spans="1:11" hidden="1" x14ac:dyDescent="0.2">
      <c r="A701" s="28" t="s">
        <v>11</v>
      </c>
      <c r="B701" s="31">
        <v>0</v>
      </c>
      <c r="C701" s="628" t="s">
        <v>43</v>
      </c>
      <c r="D701" s="629"/>
      <c r="E701" s="285">
        <f>8.25+8.25</f>
        <v>16.5</v>
      </c>
      <c r="F701" s="29">
        <v>0</v>
      </c>
      <c r="G701" s="630"/>
      <c r="H701" s="631"/>
      <c r="I701" s="631"/>
      <c r="J701" s="632"/>
      <c r="K701" s="66"/>
    </row>
    <row r="702" spans="1:11" hidden="1" x14ac:dyDescent="0.2">
      <c r="A702" s="28" t="s">
        <v>12</v>
      </c>
      <c r="B702" s="31">
        <v>56.3</v>
      </c>
      <c r="C702" s="628" t="s">
        <v>44</v>
      </c>
      <c r="D702" s="629"/>
      <c r="E702" s="283">
        <f>8.25+8.75+5+5.5+8.25+8.75+8.75+8.25</f>
        <v>61.5</v>
      </c>
      <c r="F702" s="29">
        <f t="shared" ref="F702" si="21">(E702-B702)/B702</f>
        <v>9.2362344582593306E-2</v>
      </c>
      <c r="G702" s="630"/>
      <c r="H702" s="631"/>
      <c r="I702" s="631"/>
      <c r="J702" s="632"/>
      <c r="K702" s="66"/>
    </row>
    <row r="703" spans="1:11" hidden="1" x14ac:dyDescent="0.2">
      <c r="A703" s="35" t="s">
        <v>15</v>
      </c>
      <c r="B703" s="285">
        <f>SUM(B699:B702)</f>
        <v>69.7</v>
      </c>
      <c r="C703" s="326"/>
      <c r="D703" s="283"/>
      <c r="E703" s="283">
        <f>SUM(E699:E702)</f>
        <v>90</v>
      </c>
      <c r="F703" s="29">
        <f>(E703-B703)/B703</f>
        <v>0.29124820659971301</v>
      </c>
      <c r="G703" s="630"/>
      <c r="H703" s="631"/>
      <c r="I703" s="631"/>
      <c r="J703" s="632"/>
      <c r="K703" s="66"/>
    </row>
    <row r="704" spans="1:11" x14ac:dyDescent="0.2">
      <c r="A704" s="260"/>
      <c r="B704" s="208"/>
      <c r="C704" s="327"/>
      <c r="D704" s="208"/>
      <c r="E704" s="284"/>
      <c r="F704" s="209"/>
      <c r="G704" s="284"/>
      <c r="H704" s="284"/>
      <c r="I704" s="284"/>
      <c r="J704" s="284"/>
      <c r="K704" s="119"/>
    </row>
    <row r="705" spans="1:11" ht="20.25" customHeight="1" x14ac:dyDescent="0.2">
      <c r="A705" s="656" t="s">
        <v>135</v>
      </c>
      <c r="B705" s="656"/>
      <c r="C705" s="637" t="s">
        <v>141</v>
      </c>
      <c r="D705" s="644" t="s">
        <v>113</v>
      </c>
      <c r="E705" s="50" t="s">
        <v>18</v>
      </c>
      <c r="F705" s="67">
        <v>5</v>
      </c>
      <c r="G705" s="45" t="s">
        <v>16</v>
      </c>
      <c r="H705" s="58">
        <f>B712</f>
        <v>95.25</v>
      </c>
      <c r="I705" s="45" t="s">
        <v>17</v>
      </c>
      <c r="J705" s="63">
        <f>B712-E712</f>
        <v>95.25</v>
      </c>
      <c r="K705" s="71">
        <f>(E712-B712)/B712</f>
        <v>-1</v>
      </c>
    </row>
    <row r="706" spans="1:11" ht="12.75" hidden="1" customHeight="1" x14ac:dyDescent="0.2">
      <c r="A706" s="656"/>
      <c r="B706" s="656"/>
      <c r="C706" s="638"/>
      <c r="D706" s="644"/>
      <c r="E706" s="47"/>
      <c r="F706" s="279"/>
      <c r="G706" s="49"/>
      <c r="H706" s="59"/>
      <c r="I706" s="48"/>
      <c r="J706" s="64"/>
      <c r="K706" s="66"/>
    </row>
    <row r="707" spans="1:11" ht="22.5" hidden="1" x14ac:dyDescent="0.2">
      <c r="A707" s="34"/>
      <c r="B707" s="33" t="s">
        <v>7</v>
      </c>
      <c r="C707" s="33"/>
      <c r="D707" s="33"/>
      <c r="E707" s="27" t="s">
        <v>8</v>
      </c>
      <c r="F707" s="28"/>
      <c r="G707" s="627" t="s">
        <v>14</v>
      </c>
      <c r="H707" s="627"/>
      <c r="I707" s="627"/>
      <c r="J707" s="627"/>
      <c r="K707" s="66"/>
    </row>
    <row r="708" spans="1:11" hidden="1" x14ac:dyDescent="0.2">
      <c r="A708" s="28" t="s">
        <v>9</v>
      </c>
      <c r="B708" s="31">
        <v>9.6</v>
      </c>
      <c r="C708" s="244"/>
      <c r="D708" s="31"/>
      <c r="E708" s="285">
        <v>0</v>
      </c>
      <c r="F708" s="29">
        <f>(E708-B708)/B708</f>
        <v>-1</v>
      </c>
      <c r="G708" s="630"/>
      <c r="H708" s="631"/>
      <c r="I708" s="631"/>
      <c r="J708" s="632"/>
      <c r="K708" s="66"/>
    </row>
    <row r="709" spans="1:11" hidden="1" x14ac:dyDescent="0.2">
      <c r="A709" s="28" t="s">
        <v>10</v>
      </c>
      <c r="B709" s="31">
        <v>9.6</v>
      </c>
      <c r="C709" s="244"/>
      <c r="D709" s="31"/>
      <c r="E709" s="285">
        <v>0</v>
      </c>
      <c r="F709" s="29">
        <f>(E709-B709)/B709</f>
        <v>-1</v>
      </c>
      <c r="G709" s="630"/>
      <c r="H709" s="631"/>
      <c r="I709" s="631"/>
      <c r="J709" s="632"/>
      <c r="K709" s="66"/>
    </row>
    <row r="710" spans="1:11" hidden="1" x14ac:dyDescent="0.2">
      <c r="A710" s="28" t="s">
        <v>11</v>
      </c>
      <c r="B710" s="31">
        <v>0</v>
      </c>
      <c r="C710" s="244"/>
      <c r="D710" s="31"/>
      <c r="E710" s="285">
        <v>0</v>
      </c>
      <c r="F710" s="29">
        <v>0</v>
      </c>
      <c r="G710" s="630"/>
      <c r="H710" s="631"/>
      <c r="I710" s="631"/>
      <c r="J710" s="632"/>
      <c r="K710" s="66"/>
    </row>
    <row r="711" spans="1:11" hidden="1" x14ac:dyDescent="0.2">
      <c r="A711" s="28" t="s">
        <v>12</v>
      </c>
      <c r="B711" s="31">
        <v>76.05</v>
      </c>
      <c r="C711" s="321"/>
      <c r="D711" s="160"/>
      <c r="E711" s="283">
        <v>0</v>
      </c>
      <c r="F711" s="29">
        <f t="shared" ref="F711" si="22">(E711-B711)/B711</f>
        <v>-1</v>
      </c>
      <c r="G711" s="630"/>
      <c r="H711" s="631"/>
      <c r="I711" s="631"/>
      <c r="J711" s="632"/>
      <c r="K711" s="66"/>
    </row>
    <row r="712" spans="1:11" hidden="1" x14ac:dyDescent="0.2">
      <c r="A712" s="35" t="s">
        <v>15</v>
      </c>
      <c r="B712" s="285">
        <f>SUM(B708:B711)</f>
        <v>95.25</v>
      </c>
      <c r="C712" s="326"/>
      <c r="D712" s="283"/>
      <c r="E712" s="283">
        <f>SUM(E708:E711)</f>
        <v>0</v>
      </c>
      <c r="F712" s="29">
        <f>(E712-B712)/B712</f>
        <v>-1</v>
      </c>
      <c r="G712" s="630"/>
      <c r="H712" s="631"/>
      <c r="I712" s="631"/>
      <c r="J712" s="632"/>
      <c r="K712" s="66"/>
    </row>
    <row r="713" spans="1:11" x14ac:dyDescent="0.2">
      <c r="A713" s="260"/>
      <c r="B713" s="208"/>
      <c r="C713" s="327"/>
      <c r="D713" s="208"/>
      <c r="E713" s="284"/>
      <c r="F713" s="209"/>
      <c r="G713" s="284"/>
      <c r="H713" s="284"/>
      <c r="I713" s="284"/>
      <c r="J713" s="284"/>
      <c r="K713" s="119"/>
    </row>
    <row r="714" spans="1:11" ht="20.25" customHeight="1" x14ac:dyDescent="0.2">
      <c r="A714" s="656" t="s">
        <v>136</v>
      </c>
      <c r="B714" s="656"/>
      <c r="C714" s="637" t="s">
        <v>141</v>
      </c>
      <c r="D714" s="644" t="s">
        <v>113</v>
      </c>
      <c r="E714" s="50" t="s">
        <v>18</v>
      </c>
      <c r="F714" s="67">
        <v>27</v>
      </c>
      <c r="G714" s="45" t="s">
        <v>16</v>
      </c>
      <c r="H714" s="58">
        <f>B721</f>
        <v>135</v>
      </c>
      <c r="I714" s="45" t="s">
        <v>17</v>
      </c>
      <c r="J714" s="63">
        <f>B721-E721</f>
        <v>135</v>
      </c>
      <c r="K714" s="71">
        <f>(E721-B721)/B721</f>
        <v>-1</v>
      </c>
    </row>
    <row r="715" spans="1:11" ht="12.75" hidden="1" customHeight="1" x14ac:dyDescent="0.2">
      <c r="A715" s="656"/>
      <c r="B715" s="656"/>
      <c r="C715" s="638"/>
      <c r="D715" s="644"/>
      <c r="E715" s="47"/>
      <c r="F715" s="279"/>
      <c r="G715" s="49"/>
      <c r="H715" s="59"/>
      <c r="I715" s="48"/>
      <c r="J715" s="64"/>
      <c r="K715" s="66"/>
    </row>
    <row r="716" spans="1:11" ht="22.5" hidden="1" x14ac:dyDescent="0.2">
      <c r="A716" s="34"/>
      <c r="B716" s="33" t="s">
        <v>7</v>
      </c>
      <c r="C716" s="33"/>
      <c r="D716" s="33"/>
      <c r="E716" s="27" t="s">
        <v>8</v>
      </c>
      <c r="F716" s="28"/>
      <c r="G716" s="627" t="s">
        <v>14</v>
      </c>
      <c r="H716" s="627"/>
      <c r="I716" s="627"/>
      <c r="J716" s="627"/>
      <c r="K716" s="66"/>
    </row>
    <row r="717" spans="1:11" hidden="1" x14ac:dyDescent="0.2">
      <c r="A717" s="28" t="s">
        <v>9</v>
      </c>
      <c r="B717" s="31">
        <v>13.5</v>
      </c>
      <c r="C717" s="244"/>
      <c r="D717" s="31"/>
      <c r="E717" s="285">
        <v>0</v>
      </c>
      <c r="F717" s="29">
        <f>(E717-B717)/B717</f>
        <v>-1</v>
      </c>
      <c r="G717" s="630"/>
      <c r="H717" s="631"/>
      <c r="I717" s="631"/>
      <c r="J717" s="632"/>
      <c r="K717" s="66"/>
    </row>
    <row r="718" spans="1:11" hidden="1" x14ac:dyDescent="0.2">
      <c r="A718" s="28" t="s">
        <v>10</v>
      </c>
      <c r="B718" s="31">
        <v>13.5</v>
      </c>
      <c r="C718" s="244"/>
      <c r="D718" s="31"/>
      <c r="E718" s="285">
        <v>0</v>
      </c>
      <c r="F718" s="29">
        <f>(E718-B718)/B718</f>
        <v>-1</v>
      </c>
      <c r="G718" s="630"/>
      <c r="H718" s="631"/>
      <c r="I718" s="631"/>
      <c r="J718" s="632"/>
      <c r="K718" s="66"/>
    </row>
    <row r="719" spans="1:11" hidden="1" x14ac:dyDescent="0.2">
      <c r="A719" s="28" t="s">
        <v>11</v>
      </c>
      <c r="B719" s="31">
        <v>13.5</v>
      </c>
      <c r="C719" s="244"/>
      <c r="D719" s="31"/>
      <c r="E719" s="285">
        <v>0</v>
      </c>
      <c r="F719" s="29">
        <v>0</v>
      </c>
      <c r="G719" s="630"/>
      <c r="H719" s="631"/>
      <c r="I719" s="631"/>
      <c r="J719" s="632"/>
      <c r="K719" s="66"/>
    </row>
    <row r="720" spans="1:11" hidden="1" x14ac:dyDescent="0.2">
      <c r="A720" s="28" t="s">
        <v>12</v>
      </c>
      <c r="B720" s="31">
        <v>94.5</v>
      </c>
      <c r="C720" s="321"/>
      <c r="D720" s="160"/>
      <c r="E720" s="283">
        <v>0</v>
      </c>
      <c r="F720" s="29">
        <f t="shared" ref="F720" si="23">(E720-B720)/B720</f>
        <v>-1</v>
      </c>
      <c r="G720" s="630"/>
      <c r="H720" s="631"/>
      <c r="I720" s="631"/>
      <c r="J720" s="632"/>
      <c r="K720" s="66"/>
    </row>
    <row r="721" spans="1:11" hidden="1" x14ac:dyDescent="0.2">
      <c r="A721" s="35" t="s">
        <v>15</v>
      </c>
      <c r="B721" s="285">
        <f>SUM(B717:B720)</f>
        <v>135</v>
      </c>
      <c r="C721" s="326"/>
      <c r="D721" s="283"/>
      <c r="E721" s="283">
        <f>SUM(E717:E720)</f>
        <v>0</v>
      </c>
      <c r="F721" s="29">
        <f>(E721-B721)/B721</f>
        <v>-1</v>
      </c>
      <c r="G721" s="630"/>
      <c r="H721" s="631"/>
      <c r="I721" s="631"/>
      <c r="J721" s="632"/>
      <c r="K721" s="66"/>
    </row>
    <row r="722" spans="1:11" x14ac:dyDescent="0.2">
      <c r="A722" s="260"/>
      <c r="B722" s="208"/>
      <c r="C722" s="327"/>
      <c r="D722" s="208"/>
      <c r="E722" s="284"/>
      <c r="F722" s="209"/>
      <c r="G722" s="284"/>
      <c r="H722" s="284"/>
      <c r="I722" s="284"/>
      <c r="J722" s="284"/>
      <c r="K722" s="119"/>
    </row>
    <row r="723" spans="1:11" ht="20.25" customHeight="1" x14ac:dyDescent="0.2">
      <c r="A723" s="656" t="s">
        <v>137</v>
      </c>
      <c r="B723" s="656"/>
      <c r="C723" s="637" t="s">
        <v>141</v>
      </c>
      <c r="D723" s="644" t="s">
        <v>113</v>
      </c>
      <c r="E723" s="50" t="s">
        <v>18</v>
      </c>
      <c r="F723" s="67">
        <v>27</v>
      </c>
      <c r="G723" s="45" t="s">
        <v>16</v>
      </c>
      <c r="H723" s="58">
        <f>B730</f>
        <v>135</v>
      </c>
      <c r="I723" s="45" t="s">
        <v>17</v>
      </c>
      <c r="J723" s="63">
        <f>B730-E730</f>
        <v>135</v>
      </c>
      <c r="K723" s="71">
        <f>(E730-B730)/B730</f>
        <v>-1</v>
      </c>
    </row>
    <row r="724" spans="1:11" ht="12.75" hidden="1" customHeight="1" x14ac:dyDescent="0.2">
      <c r="A724" s="656"/>
      <c r="B724" s="656"/>
      <c r="C724" s="638"/>
      <c r="D724" s="644"/>
      <c r="E724" s="47"/>
      <c r="F724" s="279"/>
      <c r="G724" s="49"/>
      <c r="H724" s="59"/>
      <c r="I724" s="48"/>
      <c r="J724" s="64"/>
      <c r="K724" s="66"/>
    </row>
    <row r="725" spans="1:11" ht="22.5" hidden="1" x14ac:dyDescent="0.2">
      <c r="A725" s="34"/>
      <c r="B725" s="33" t="s">
        <v>7</v>
      </c>
      <c r="C725" s="33"/>
      <c r="D725" s="33"/>
      <c r="E725" s="27" t="s">
        <v>8</v>
      </c>
      <c r="F725" s="28"/>
      <c r="G725" s="627" t="s">
        <v>14</v>
      </c>
      <c r="H725" s="627"/>
      <c r="I725" s="627"/>
      <c r="J725" s="627"/>
      <c r="K725" s="66"/>
    </row>
    <row r="726" spans="1:11" hidden="1" x14ac:dyDescent="0.2">
      <c r="A726" s="28" t="s">
        <v>9</v>
      </c>
      <c r="B726" s="31">
        <v>13.5</v>
      </c>
      <c r="C726" s="244"/>
      <c r="D726" s="31"/>
      <c r="E726" s="285">
        <v>0</v>
      </c>
      <c r="F726" s="29">
        <f>(E726-B726)/B726</f>
        <v>-1</v>
      </c>
      <c r="G726" s="630"/>
      <c r="H726" s="631"/>
      <c r="I726" s="631"/>
      <c r="J726" s="632"/>
      <c r="K726" s="66"/>
    </row>
    <row r="727" spans="1:11" hidden="1" x14ac:dyDescent="0.2">
      <c r="A727" s="28" t="s">
        <v>10</v>
      </c>
      <c r="B727" s="31">
        <v>13.5</v>
      </c>
      <c r="C727" s="244"/>
      <c r="D727" s="31"/>
      <c r="E727" s="285">
        <v>0</v>
      </c>
      <c r="F727" s="29">
        <f>(E727-B727)/B727</f>
        <v>-1</v>
      </c>
      <c r="G727" s="630"/>
      <c r="H727" s="631"/>
      <c r="I727" s="631"/>
      <c r="J727" s="632"/>
      <c r="K727" s="66"/>
    </row>
    <row r="728" spans="1:11" hidden="1" x14ac:dyDescent="0.2">
      <c r="A728" s="28" t="s">
        <v>11</v>
      </c>
      <c r="B728" s="31">
        <v>13.5</v>
      </c>
      <c r="C728" s="244"/>
      <c r="D728" s="31"/>
      <c r="E728" s="285">
        <v>0</v>
      </c>
      <c r="F728" s="29">
        <v>0</v>
      </c>
      <c r="G728" s="630"/>
      <c r="H728" s="631"/>
      <c r="I728" s="631"/>
      <c r="J728" s="632"/>
      <c r="K728" s="66"/>
    </row>
    <row r="729" spans="1:11" hidden="1" x14ac:dyDescent="0.2">
      <c r="A729" s="28" t="s">
        <v>12</v>
      </c>
      <c r="B729" s="31">
        <v>94.5</v>
      </c>
      <c r="C729" s="321"/>
      <c r="D729" s="160"/>
      <c r="E729" s="283">
        <v>0</v>
      </c>
      <c r="F729" s="29">
        <f t="shared" ref="F729" si="24">(E729-B729)/B729</f>
        <v>-1</v>
      </c>
      <c r="G729" s="630"/>
      <c r="H729" s="631"/>
      <c r="I729" s="631"/>
      <c r="J729" s="632"/>
      <c r="K729" s="66"/>
    </row>
    <row r="730" spans="1:11" hidden="1" x14ac:dyDescent="0.2">
      <c r="A730" s="35" t="s">
        <v>15</v>
      </c>
      <c r="B730" s="285">
        <f>SUM(B726:B729)</f>
        <v>135</v>
      </c>
      <c r="C730" s="326"/>
      <c r="D730" s="283"/>
      <c r="E730" s="283">
        <f>SUM(E726:E729)</f>
        <v>0</v>
      </c>
      <c r="F730" s="29">
        <f>(E730-B730)/B730</f>
        <v>-1</v>
      </c>
      <c r="G730" s="630"/>
      <c r="H730" s="631"/>
      <c r="I730" s="631"/>
      <c r="J730" s="632"/>
      <c r="K730" s="66"/>
    </row>
    <row r="731" spans="1:11" x14ac:dyDescent="0.2">
      <c r="A731" s="260"/>
      <c r="B731" s="208"/>
      <c r="C731" s="327"/>
      <c r="D731" s="208"/>
      <c r="E731" s="284"/>
      <c r="F731" s="209"/>
      <c r="G731" s="284"/>
      <c r="H731" s="284"/>
      <c r="I731" s="284"/>
      <c r="J731" s="284"/>
      <c r="K731" s="119"/>
    </row>
    <row r="732" spans="1:11" ht="20.25" customHeight="1" x14ac:dyDescent="0.2">
      <c r="A732" s="656" t="s">
        <v>138</v>
      </c>
      <c r="B732" s="656"/>
      <c r="C732" s="637" t="s">
        <v>141</v>
      </c>
      <c r="D732" s="644" t="s">
        <v>113</v>
      </c>
      <c r="E732" s="50" t="s">
        <v>18</v>
      </c>
      <c r="F732" s="67">
        <v>26</v>
      </c>
      <c r="G732" s="45" t="s">
        <v>16</v>
      </c>
      <c r="H732" s="58">
        <f>B739</f>
        <v>135</v>
      </c>
      <c r="I732" s="45" t="s">
        <v>17</v>
      </c>
      <c r="J732" s="63">
        <f>B739-E739</f>
        <v>135</v>
      </c>
      <c r="K732" s="71">
        <f>(E739-B739)/B739</f>
        <v>-1</v>
      </c>
    </row>
    <row r="733" spans="1:11" ht="12.75" hidden="1" customHeight="1" x14ac:dyDescent="0.2">
      <c r="A733" s="656"/>
      <c r="B733" s="656"/>
      <c r="C733" s="638"/>
      <c r="D733" s="644"/>
      <c r="E733" s="47"/>
      <c r="F733" s="279"/>
      <c r="G733" s="49"/>
      <c r="H733" s="59"/>
      <c r="I733" s="48"/>
      <c r="J733" s="64"/>
      <c r="K733" s="66"/>
    </row>
    <row r="734" spans="1:11" ht="22.5" hidden="1" x14ac:dyDescent="0.2">
      <c r="A734" s="34"/>
      <c r="B734" s="33" t="s">
        <v>7</v>
      </c>
      <c r="C734" s="33"/>
      <c r="D734" s="33"/>
      <c r="E734" s="27" t="s">
        <v>8</v>
      </c>
      <c r="F734" s="28"/>
      <c r="G734" s="627" t="s">
        <v>14</v>
      </c>
      <c r="H734" s="627"/>
      <c r="I734" s="627"/>
      <c r="J734" s="627"/>
      <c r="K734" s="66"/>
    </row>
    <row r="735" spans="1:11" hidden="1" x14ac:dyDescent="0.2">
      <c r="A735" s="28" t="s">
        <v>9</v>
      </c>
      <c r="B735" s="31">
        <v>13.5</v>
      </c>
      <c r="C735" s="628"/>
      <c r="D735" s="629"/>
      <c r="E735" s="288">
        <v>0</v>
      </c>
      <c r="F735" s="29">
        <f>(E735-B735)/B735</f>
        <v>-1</v>
      </c>
      <c r="G735" s="630"/>
      <c r="H735" s="631"/>
      <c r="I735" s="631"/>
      <c r="J735" s="632"/>
      <c r="K735" s="66"/>
    </row>
    <row r="736" spans="1:11" hidden="1" x14ac:dyDescent="0.2">
      <c r="A736" s="28" t="s">
        <v>10</v>
      </c>
      <c r="B736" s="31">
        <v>13.5</v>
      </c>
      <c r="C736" s="628"/>
      <c r="D736" s="629"/>
      <c r="E736" s="288">
        <v>0</v>
      </c>
      <c r="F736" s="29">
        <f>(E736-B736)/B736</f>
        <v>-1</v>
      </c>
      <c r="G736" s="630"/>
      <c r="H736" s="631"/>
      <c r="I736" s="631"/>
      <c r="J736" s="632"/>
      <c r="K736" s="66"/>
    </row>
    <row r="737" spans="1:11" hidden="1" x14ac:dyDescent="0.2">
      <c r="A737" s="28" t="s">
        <v>11</v>
      </c>
      <c r="B737" s="31">
        <v>13.5</v>
      </c>
      <c r="C737" s="628"/>
      <c r="D737" s="629"/>
      <c r="E737" s="288">
        <v>0</v>
      </c>
      <c r="F737" s="29">
        <v>0</v>
      </c>
      <c r="G737" s="630"/>
      <c r="H737" s="631"/>
      <c r="I737" s="631"/>
      <c r="J737" s="632"/>
      <c r="K737" s="66"/>
    </row>
    <row r="738" spans="1:11" hidden="1" x14ac:dyDescent="0.2">
      <c r="A738" s="28" t="s">
        <v>12</v>
      </c>
      <c r="B738" s="31">
        <v>94.5</v>
      </c>
      <c r="C738" s="628"/>
      <c r="D738" s="629"/>
      <c r="E738" s="286">
        <v>0</v>
      </c>
      <c r="F738" s="29">
        <f t="shared" ref="F738" si="25">(E738-B738)/B738</f>
        <v>-1</v>
      </c>
      <c r="G738" s="630"/>
      <c r="H738" s="631"/>
      <c r="I738" s="631"/>
      <c r="J738" s="632"/>
      <c r="K738" s="66"/>
    </row>
    <row r="739" spans="1:11" hidden="1" x14ac:dyDescent="0.2">
      <c r="A739" s="35" t="s">
        <v>15</v>
      </c>
      <c r="B739" s="288">
        <f>SUM(B735:B738)</f>
        <v>135</v>
      </c>
      <c r="C739" s="628"/>
      <c r="D739" s="629"/>
      <c r="E739" s="286">
        <f>SUM(E735:E738)</f>
        <v>0</v>
      </c>
      <c r="F739" s="29">
        <f>(E739-B739)/B739</f>
        <v>-1</v>
      </c>
      <c r="G739" s="630"/>
      <c r="H739" s="631"/>
      <c r="I739" s="631"/>
      <c r="J739" s="632"/>
      <c r="K739" s="66"/>
    </row>
    <row r="740" spans="1:11" x14ac:dyDescent="0.2">
      <c r="A740" s="260"/>
      <c r="B740" s="208"/>
      <c r="C740" s="327"/>
      <c r="D740" s="208"/>
      <c r="E740" s="287"/>
      <c r="F740" s="209"/>
      <c r="G740" s="287"/>
      <c r="H740" s="287"/>
      <c r="I740" s="287"/>
      <c r="J740" s="287"/>
      <c r="K740" s="119"/>
    </row>
    <row r="741" spans="1:11" ht="20.25" customHeight="1" x14ac:dyDescent="0.2">
      <c r="A741" s="656" t="s">
        <v>156</v>
      </c>
      <c r="B741" s="656"/>
      <c r="C741" s="637" t="s">
        <v>141</v>
      </c>
      <c r="D741" s="644" t="s">
        <v>113</v>
      </c>
      <c r="E741" s="50" t="s">
        <v>18</v>
      </c>
      <c r="F741" s="67">
        <v>3</v>
      </c>
      <c r="G741" s="45" t="s">
        <v>16</v>
      </c>
      <c r="H741" s="58">
        <f>B748</f>
        <v>82</v>
      </c>
      <c r="I741" s="45" t="s">
        <v>17</v>
      </c>
      <c r="J741" s="63">
        <f>B748-E748</f>
        <v>82</v>
      </c>
      <c r="K741" s="71">
        <f>(E748-B748)/B748</f>
        <v>-1</v>
      </c>
    </row>
    <row r="742" spans="1:11" ht="12.75" hidden="1" customHeight="1" x14ac:dyDescent="0.2">
      <c r="A742" s="656"/>
      <c r="B742" s="656"/>
      <c r="C742" s="638"/>
      <c r="D742" s="644"/>
      <c r="E742" s="47"/>
      <c r="F742" s="279"/>
      <c r="G742" s="49"/>
      <c r="H742" s="59"/>
      <c r="I742" s="48"/>
      <c r="J742" s="64"/>
      <c r="K742" s="66"/>
    </row>
    <row r="743" spans="1:11" ht="22.5" hidden="1" x14ac:dyDescent="0.2">
      <c r="A743" s="34"/>
      <c r="B743" s="33" t="s">
        <v>7</v>
      </c>
      <c r="C743" s="33"/>
      <c r="D743" s="33"/>
      <c r="E743" s="27" t="s">
        <v>8</v>
      </c>
      <c r="F743" s="28"/>
      <c r="G743" s="627" t="s">
        <v>14</v>
      </c>
      <c r="H743" s="627"/>
      <c r="I743" s="627"/>
      <c r="J743" s="627"/>
      <c r="K743" s="66"/>
    </row>
    <row r="744" spans="1:11" hidden="1" x14ac:dyDescent="0.2">
      <c r="A744" s="28" t="s">
        <v>9</v>
      </c>
      <c r="B744" s="334">
        <v>8.1999999999999993</v>
      </c>
      <c r="C744" s="628"/>
      <c r="D744" s="629"/>
      <c r="E744" s="335">
        <v>0</v>
      </c>
      <c r="F744" s="29">
        <f>(E744-B744)/B744</f>
        <v>-1</v>
      </c>
      <c r="G744" s="630"/>
      <c r="H744" s="631"/>
      <c r="I744" s="631"/>
      <c r="J744" s="632"/>
      <c r="K744" s="66"/>
    </row>
    <row r="745" spans="1:11" hidden="1" x14ac:dyDescent="0.2">
      <c r="A745" s="28" t="s">
        <v>10</v>
      </c>
      <c r="B745" s="334">
        <v>8.1999999999999993</v>
      </c>
      <c r="C745" s="628"/>
      <c r="D745" s="629"/>
      <c r="E745" s="335">
        <v>0</v>
      </c>
      <c r="F745" s="29">
        <f>(E745-B745)/B745</f>
        <v>-1</v>
      </c>
      <c r="G745" s="630"/>
      <c r="H745" s="631"/>
      <c r="I745" s="631"/>
      <c r="J745" s="632"/>
      <c r="K745" s="66"/>
    </row>
    <row r="746" spans="1:11" hidden="1" x14ac:dyDescent="0.2">
      <c r="A746" s="28" t="s">
        <v>11</v>
      </c>
      <c r="B746" s="334">
        <v>0</v>
      </c>
      <c r="C746" s="628"/>
      <c r="D746" s="629"/>
      <c r="E746" s="335">
        <v>0</v>
      </c>
      <c r="F746" s="29">
        <v>0</v>
      </c>
      <c r="G746" s="630"/>
      <c r="H746" s="631"/>
      <c r="I746" s="631"/>
      <c r="J746" s="632"/>
      <c r="K746" s="66"/>
    </row>
    <row r="747" spans="1:11" hidden="1" x14ac:dyDescent="0.2">
      <c r="A747" s="28" t="s">
        <v>12</v>
      </c>
      <c r="B747" s="334">
        <v>65.599999999999994</v>
      </c>
      <c r="C747" s="628"/>
      <c r="D747" s="629"/>
      <c r="E747" s="332">
        <v>0</v>
      </c>
      <c r="F747" s="29">
        <f t="shared" ref="F747" si="26">(E747-B747)/B747</f>
        <v>-1</v>
      </c>
      <c r="G747" s="630"/>
      <c r="H747" s="631"/>
      <c r="I747" s="631"/>
      <c r="J747" s="632"/>
      <c r="K747" s="66"/>
    </row>
    <row r="748" spans="1:11" hidden="1" x14ac:dyDescent="0.2">
      <c r="A748" s="35" t="s">
        <v>15</v>
      </c>
      <c r="B748" s="335">
        <f>SUM(B744:B747)</f>
        <v>82</v>
      </c>
      <c r="C748" s="628"/>
      <c r="D748" s="629"/>
      <c r="E748" s="332">
        <f>SUM(E744:E747)</f>
        <v>0</v>
      </c>
      <c r="F748" s="29">
        <f>(E748-B748)/B748</f>
        <v>-1</v>
      </c>
      <c r="G748" s="630"/>
      <c r="H748" s="631"/>
      <c r="I748" s="631"/>
      <c r="J748" s="632"/>
      <c r="K748" s="66"/>
    </row>
    <row r="749" spans="1:11" x14ac:dyDescent="0.2">
      <c r="A749" s="260"/>
      <c r="B749" s="208"/>
      <c r="C749" s="336"/>
      <c r="D749" s="208"/>
      <c r="E749" s="333"/>
      <c r="F749" s="209"/>
      <c r="G749" s="333"/>
      <c r="H749" s="333"/>
      <c r="I749" s="333"/>
      <c r="J749" s="333"/>
      <c r="K749" s="119"/>
    </row>
    <row r="750" spans="1:11" ht="20.25" customHeight="1" x14ac:dyDescent="0.2">
      <c r="A750" s="656" t="s">
        <v>157</v>
      </c>
      <c r="B750" s="656"/>
      <c r="C750" s="637" t="s">
        <v>141</v>
      </c>
      <c r="D750" s="644" t="s">
        <v>113</v>
      </c>
      <c r="E750" s="50" t="s">
        <v>18</v>
      </c>
      <c r="F750" s="67">
        <v>2</v>
      </c>
      <c r="G750" s="45" t="s">
        <v>16</v>
      </c>
      <c r="H750" s="58">
        <f>B757</f>
        <v>112</v>
      </c>
      <c r="I750" s="45" t="s">
        <v>17</v>
      </c>
      <c r="J750" s="63">
        <f>B757-E757</f>
        <v>112</v>
      </c>
      <c r="K750" s="71">
        <f>(E757-B757)/B757</f>
        <v>-1</v>
      </c>
    </row>
    <row r="751" spans="1:11" ht="12.75" hidden="1" customHeight="1" x14ac:dyDescent="0.2">
      <c r="A751" s="656"/>
      <c r="B751" s="656"/>
      <c r="C751" s="638"/>
      <c r="D751" s="644"/>
      <c r="E751" s="47"/>
      <c r="F751" s="279"/>
      <c r="G751" s="49"/>
      <c r="H751" s="59"/>
      <c r="I751" s="48"/>
      <c r="J751" s="64"/>
      <c r="K751" s="66"/>
    </row>
    <row r="752" spans="1:11" ht="22.5" hidden="1" x14ac:dyDescent="0.2">
      <c r="A752" s="34"/>
      <c r="B752" s="33" t="s">
        <v>7</v>
      </c>
      <c r="C752" s="33"/>
      <c r="D752" s="33"/>
      <c r="E752" s="27" t="s">
        <v>8</v>
      </c>
      <c r="F752" s="28"/>
      <c r="G752" s="627" t="s">
        <v>14</v>
      </c>
      <c r="H752" s="627"/>
      <c r="I752" s="627"/>
      <c r="J752" s="627"/>
      <c r="K752" s="66"/>
    </row>
    <row r="753" spans="1:14" hidden="1" x14ac:dyDescent="0.2">
      <c r="A753" s="28" t="s">
        <v>9</v>
      </c>
      <c r="B753" s="334">
        <v>11.2</v>
      </c>
      <c r="C753" s="628"/>
      <c r="D753" s="629"/>
      <c r="E753" s="335">
        <v>0</v>
      </c>
      <c r="F753" s="29">
        <f>(E753-B753)/B753</f>
        <v>-1</v>
      </c>
      <c r="G753" s="630"/>
      <c r="H753" s="631"/>
      <c r="I753" s="631"/>
      <c r="J753" s="632"/>
      <c r="K753" s="66"/>
    </row>
    <row r="754" spans="1:14" hidden="1" x14ac:dyDescent="0.2">
      <c r="A754" s="28" t="s">
        <v>10</v>
      </c>
      <c r="B754" s="334">
        <v>11.2</v>
      </c>
      <c r="C754" s="628"/>
      <c r="D754" s="629"/>
      <c r="E754" s="335">
        <v>0</v>
      </c>
      <c r="F754" s="29">
        <f>(E754-B754)/B754</f>
        <v>-1</v>
      </c>
      <c r="G754" s="630"/>
      <c r="H754" s="631"/>
      <c r="I754" s="631"/>
      <c r="J754" s="632"/>
      <c r="K754" s="66"/>
    </row>
    <row r="755" spans="1:14" hidden="1" x14ac:dyDescent="0.2">
      <c r="A755" s="28" t="s">
        <v>11</v>
      </c>
      <c r="B755" s="334">
        <v>0</v>
      </c>
      <c r="C755" s="628"/>
      <c r="D755" s="629"/>
      <c r="E755" s="335">
        <v>0</v>
      </c>
      <c r="F755" s="29">
        <v>0</v>
      </c>
      <c r="G755" s="630"/>
      <c r="H755" s="631"/>
      <c r="I755" s="631"/>
      <c r="J755" s="632"/>
      <c r="K755" s="66"/>
    </row>
    <row r="756" spans="1:14" hidden="1" x14ac:dyDescent="0.2">
      <c r="A756" s="28" t="s">
        <v>12</v>
      </c>
      <c r="B756" s="334">
        <v>89.6</v>
      </c>
      <c r="C756" s="628"/>
      <c r="D756" s="629"/>
      <c r="E756" s="332">
        <v>0</v>
      </c>
      <c r="F756" s="29">
        <f t="shared" ref="F756" si="27">(E756-B756)/B756</f>
        <v>-1</v>
      </c>
      <c r="G756" s="630"/>
      <c r="H756" s="631"/>
      <c r="I756" s="631"/>
      <c r="J756" s="632"/>
      <c r="K756" s="66"/>
    </row>
    <row r="757" spans="1:14" hidden="1" x14ac:dyDescent="0.2">
      <c r="A757" s="35" t="s">
        <v>15</v>
      </c>
      <c r="B757" s="335">
        <f>SUM(B753:B756)</f>
        <v>112</v>
      </c>
      <c r="C757" s="628"/>
      <c r="D757" s="629"/>
      <c r="E757" s="332">
        <f>SUM(E753:E756)</f>
        <v>0</v>
      </c>
      <c r="F757" s="29">
        <f>(E757-B757)/B757</f>
        <v>-1</v>
      </c>
      <c r="G757" s="630"/>
      <c r="H757" s="631"/>
      <c r="I757" s="631"/>
      <c r="J757" s="632"/>
      <c r="K757" s="66"/>
    </row>
    <row r="758" spans="1:14" x14ac:dyDescent="0.2">
      <c r="A758" s="260"/>
      <c r="B758" s="208"/>
      <c r="C758" s="336"/>
      <c r="D758" s="208"/>
      <c r="E758" s="333"/>
      <c r="F758" s="209"/>
      <c r="G758" s="333"/>
      <c r="H758" s="333"/>
      <c r="I758" s="333"/>
      <c r="J758" s="333"/>
      <c r="K758" s="119"/>
    </row>
    <row r="759" spans="1:14" ht="15" hidden="1" x14ac:dyDescent="0.2">
      <c r="A759" s="633" t="s">
        <v>107</v>
      </c>
      <c r="B759" s="634"/>
      <c r="C759" s="718" t="s">
        <v>141</v>
      </c>
      <c r="D759" s="240" t="s">
        <v>113</v>
      </c>
      <c r="E759" s="50" t="s">
        <v>18</v>
      </c>
      <c r="F759" s="67">
        <v>1</v>
      </c>
      <c r="G759" s="45" t="s">
        <v>16</v>
      </c>
      <c r="H759" s="58">
        <f>B766</f>
        <v>10</v>
      </c>
      <c r="I759" s="45" t="s">
        <v>17</v>
      </c>
      <c r="J759" s="63">
        <f>B766-E766</f>
        <v>2.75</v>
      </c>
      <c r="K759" s="71">
        <f>(E766-B766)/B766</f>
        <v>-0.27500000000000002</v>
      </c>
    </row>
    <row r="760" spans="1:14" ht="15" hidden="1" x14ac:dyDescent="0.2">
      <c r="A760" s="635"/>
      <c r="B760" s="636"/>
      <c r="C760" s="719"/>
      <c r="D760" s="241"/>
      <c r="E760" s="47"/>
      <c r="F760" s="279"/>
      <c r="G760" s="49"/>
      <c r="H760" s="59"/>
      <c r="I760" s="48"/>
      <c r="J760" s="64"/>
      <c r="K760" s="66"/>
    </row>
    <row r="761" spans="1:14" ht="22.5" hidden="1" x14ac:dyDescent="0.2">
      <c r="A761" s="46"/>
      <c r="B761" s="33" t="s">
        <v>7</v>
      </c>
      <c r="C761" s="33"/>
      <c r="D761" s="33"/>
      <c r="E761" s="27" t="s">
        <v>8</v>
      </c>
      <c r="F761" s="28"/>
      <c r="G761" s="627" t="s">
        <v>14</v>
      </c>
      <c r="H761" s="627"/>
      <c r="I761" s="627"/>
      <c r="J761" s="627"/>
      <c r="K761" s="66"/>
    </row>
    <row r="762" spans="1:14" hidden="1" x14ac:dyDescent="0.2">
      <c r="A762" s="28" t="s">
        <v>9</v>
      </c>
      <c r="B762" s="31">
        <v>0.5</v>
      </c>
      <c r="C762" s="628" t="s">
        <v>43</v>
      </c>
      <c r="D762" s="629"/>
      <c r="E762" s="222">
        <v>1</v>
      </c>
      <c r="F762" s="29">
        <f>(E762-B762)/B762</f>
        <v>1</v>
      </c>
      <c r="G762" s="630"/>
      <c r="H762" s="631"/>
      <c r="I762" s="631"/>
      <c r="J762" s="632"/>
      <c r="K762" s="66"/>
    </row>
    <row r="763" spans="1:14" hidden="1" x14ac:dyDescent="0.2">
      <c r="A763" s="28" t="s">
        <v>10</v>
      </c>
      <c r="B763" s="31">
        <v>1</v>
      </c>
      <c r="C763" s="628" t="s">
        <v>43</v>
      </c>
      <c r="D763" s="629"/>
      <c r="E763" s="222">
        <v>1</v>
      </c>
      <c r="F763" s="29">
        <f>(E763-B763)/B763</f>
        <v>0</v>
      </c>
      <c r="G763" s="630"/>
      <c r="H763" s="631"/>
      <c r="I763" s="631"/>
      <c r="J763" s="632"/>
      <c r="K763" s="66"/>
    </row>
    <row r="764" spans="1:14" hidden="1" x14ac:dyDescent="0.2">
      <c r="A764" s="28" t="s">
        <v>11</v>
      </c>
      <c r="B764" s="31">
        <v>0.5</v>
      </c>
      <c r="C764" s="628" t="s">
        <v>43</v>
      </c>
      <c r="D764" s="629"/>
      <c r="E764" s="222">
        <v>0</v>
      </c>
      <c r="F764" s="29">
        <f>(E764-B764)/B764</f>
        <v>-1</v>
      </c>
      <c r="G764" s="630"/>
      <c r="H764" s="631"/>
      <c r="I764" s="631"/>
      <c r="J764" s="632"/>
      <c r="K764" s="66"/>
    </row>
    <row r="765" spans="1:14" hidden="1" x14ac:dyDescent="0.2">
      <c r="A765" s="28" t="s">
        <v>12</v>
      </c>
      <c r="B765" s="31">
        <v>8</v>
      </c>
      <c r="C765" s="628" t="s">
        <v>43</v>
      </c>
      <c r="D765" s="629"/>
      <c r="E765" s="221">
        <v>5.25</v>
      </c>
      <c r="F765" s="29">
        <f t="shared" ref="F765" si="28">(E765-B765)/B765</f>
        <v>-0.34375</v>
      </c>
      <c r="G765" s="630"/>
      <c r="H765" s="631"/>
      <c r="I765" s="631"/>
      <c r="J765" s="632"/>
      <c r="K765" s="66"/>
    </row>
    <row r="766" spans="1:14" hidden="1" x14ac:dyDescent="0.2">
      <c r="A766" s="35" t="s">
        <v>15</v>
      </c>
      <c r="B766" s="222">
        <f>SUM(B762:B765)</f>
        <v>10</v>
      </c>
      <c r="C766" s="687"/>
      <c r="D766" s="688"/>
      <c r="E766" s="221">
        <f>SUM(E762:E765)</f>
        <v>7.25</v>
      </c>
      <c r="F766" s="29">
        <f>(E766-B766)/B766</f>
        <v>-0.27500000000000002</v>
      </c>
      <c r="G766" s="630"/>
      <c r="H766" s="631"/>
      <c r="I766" s="631"/>
      <c r="J766" s="632"/>
      <c r="K766" s="66"/>
    </row>
    <row r="767" spans="1:14" hidden="1" x14ac:dyDescent="0.2"/>
    <row r="768" spans="1:14" ht="15" hidden="1" customHeight="1" x14ac:dyDescent="0.2">
      <c r="A768" s="633" t="s">
        <v>139</v>
      </c>
      <c r="B768" s="634"/>
      <c r="C768" s="644" t="s">
        <v>141</v>
      </c>
      <c r="D768" s="644" t="s">
        <v>113</v>
      </c>
      <c r="E768" s="50" t="s">
        <v>18</v>
      </c>
      <c r="F768" s="67">
        <v>4</v>
      </c>
      <c r="G768" s="45" t="s">
        <v>16</v>
      </c>
      <c r="H768" s="58">
        <f>B775</f>
        <v>42</v>
      </c>
      <c r="I768" s="45" t="s">
        <v>17</v>
      </c>
      <c r="J768" s="63">
        <f>B775-E775</f>
        <v>8.75</v>
      </c>
      <c r="K768" s="71">
        <f>(E775-B775)/B775</f>
        <v>-0.20833333333333334</v>
      </c>
      <c r="L768" s="645"/>
      <c r="M768" s="645"/>
      <c r="N768" s="646"/>
    </row>
    <row r="769" spans="1:16" ht="15" hidden="1" customHeight="1" x14ac:dyDescent="0.2">
      <c r="A769" s="635"/>
      <c r="B769" s="636"/>
      <c r="C769" s="644"/>
      <c r="D769" s="644"/>
      <c r="E769" s="47"/>
      <c r="F769" s="279"/>
      <c r="G769" s="49"/>
      <c r="H769" s="59"/>
      <c r="I769" s="48"/>
      <c r="J769" s="64"/>
      <c r="K769" s="66"/>
      <c r="L769" s="23"/>
      <c r="M769" s="23"/>
      <c r="N769" s="23"/>
      <c r="O769" s="23"/>
      <c r="P769" s="23"/>
    </row>
    <row r="770" spans="1:16" ht="22.5" hidden="1" x14ac:dyDescent="0.2">
      <c r="A770" s="46"/>
      <c r="B770" s="33" t="s">
        <v>7</v>
      </c>
      <c r="C770" s="33"/>
      <c r="D770" s="33"/>
      <c r="E770" s="27" t="s">
        <v>8</v>
      </c>
      <c r="F770" s="28"/>
      <c r="G770" s="627" t="s">
        <v>14</v>
      </c>
      <c r="H770" s="627"/>
      <c r="I770" s="627"/>
      <c r="J770" s="627"/>
      <c r="K770" s="66"/>
      <c r="L770" s="23"/>
      <c r="M770" s="23"/>
      <c r="N770" s="23"/>
      <c r="O770" s="23"/>
      <c r="P770" s="23"/>
    </row>
    <row r="771" spans="1:16" hidden="1" x14ac:dyDescent="0.2">
      <c r="A771" s="28" t="s">
        <v>9</v>
      </c>
      <c r="B771" s="31">
        <v>3.8</v>
      </c>
      <c r="C771" s="628" t="s">
        <v>43</v>
      </c>
      <c r="D771" s="629"/>
      <c r="E771" s="224">
        <f>0.75+1.5</f>
        <v>2.25</v>
      </c>
      <c r="F771" s="29">
        <f>(E771-B771)/B771</f>
        <v>-0.40789473684210525</v>
      </c>
      <c r="G771" s="630"/>
      <c r="H771" s="631"/>
      <c r="I771" s="631"/>
      <c r="J771" s="632"/>
      <c r="K771" s="66"/>
      <c r="L771" s="23"/>
      <c r="M771" s="32" t="s">
        <v>9</v>
      </c>
      <c r="N771" s="32" t="s">
        <v>10</v>
      </c>
      <c r="O771" s="32" t="s">
        <v>12</v>
      </c>
      <c r="P771" s="32" t="s">
        <v>111</v>
      </c>
    </row>
    <row r="772" spans="1:16" hidden="1" x14ac:dyDescent="0.2">
      <c r="A772" s="28" t="s">
        <v>10</v>
      </c>
      <c r="B772" s="31">
        <v>4.8</v>
      </c>
      <c r="C772" s="628" t="s">
        <v>43</v>
      </c>
      <c r="D772" s="629"/>
      <c r="E772" s="224">
        <v>3</v>
      </c>
      <c r="F772" s="29">
        <f>(E772-B772)/B772</f>
        <v>-0.375</v>
      </c>
      <c r="G772" s="630"/>
      <c r="H772" s="631"/>
      <c r="I772" s="631"/>
      <c r="J772" s="632"/>
      <c r="K772" s="66"/>
      <c r="L772" s="23" t="s">
        <v>110</v>
      </c>
      <c r="M772" s="32">
        <f>20.4+8.4</f>
        <v>28.799999999999997</v>
      </c>
      <c r="N772" s="32">
        <f>20.4+8.4</f>
        <v>28.799999999999997</v>
      </c>
      <c r="O772" s="32">
        <f>36.8+15.2</f>
        <v>52</v>
      </c>
      <c r="P772" s="32">
        <f>M772+N772+O772</f>
        <v>109.6</v>
      </c>
    </row>
    <row r="773" spans="1:16" hidden="1" x14ac:dyDescent="0.2">
      <c r="A773" s="28" t="s">
        <v>11</v>
      </c>
      <c r="B773" s="31">
        <v>0</v>
      </c>
      <c r="C773" s="628" t="s">
        <v>43</v>
      </c>
      <c r="D773" s="629"/>
      <c r="E773" s="224">
        <v>0</v>
      </c>
      <c r="F773" s="29">
        <v>0</v>
      </c>
      <c r="G773" s="630"/>
      <c r="H773" s="631"/>
      <c r="I773" s="631"/>
      <c r="J773" s="632"/>
      <c r="K773" s="66"/>
      <c r="L773" s="23"/>
    </row>
    <row r="774" spans="1:16" hidden="1" x14ac:dyDescent="0.2">
      <c r="A774" s="28" t="s">
        <v>12</v>
      </c>
      <c r="B774" s="31">
        <v>33.4</v>
      </c>
      <c r="C774" s="628" t="s">
        <v>43</v>
      </c>
      <c r="D774" s="629"/>
      <c r="E774" s="223">
        <f>8.25+8.25+8.25+1.25+2</f>
        <v>28</v>
      </c>
      <c r="F774" s="29">
        <f t="shared" ref="F774" si="29">(E774-B774)/B774</f>
        <v>-0.1616766467065868</v>
      </c>
      <c r="G774" s="630" t="s">
        <v>149</v>
      </c>
      <c r="H774" s="631"/>
      <c r="I774" s="631"/>
      <c r="J774" s="632"/>
      <c r="K774" s="66"/>
      <c r="L774" s="23" t="s">
        <v>112</v>
      </c>
      <c r="M774" s="32">
        <v>25.2</v>
      </c>
      <c r="N774" s="32">
        <v>25.2</v>
      </c>
      <c r="O774" s="32">
        <v>45.4</v>
      </c>
      <c r="P774" s="32">
        <f>M774+N774+O774</f>
        <v>95.8</v>
      </c>
    </row>
    <row r="775" spans="1:16" hidden="1" x14ac:dyDescent="0.2">
      <c r="A775" s="35" t="s">
        <v>15</v>
      </c>
      <c r="B775" s="224">
        <f>SUM(B771:B774)</f>
        <v>42</v>
      </c>
      <c r="C775" s="687"/>
      <c r="D775" s="688"/>
      <c r="E775" s="223">
        <f>SUM(E771:E774)</f>
        <v>33.25</v>
      </c>
      <c r="F775" s="29">
        <f>(E775-B775)/B775</f>
        <v>-0.20833333333333334</v>
      </c>
      <c r="G775" s="630"/>
      <c r="H775" s="631"/>
      <c r="I775" s="631"/>
      <c r="J775" s="632"/>
      <c r="K775" s="66"/>
      <c r="L775" s="23"/>
      <c r="M775" s="23"/>
      <c r="N775" s="23"/>
      <c r="O775" s="23"/>
      <c r="P775" s="23"/>
    </row>
    <row r="776" spans="1:16" hidden="1" x14ac:dyDescent="0.2">
      <c r="L776" s="34"/>
      <c r="M776" s="34"/>
      <c r="N776" s="34"/>
      <c r="O776" s="23"/>
      <c r="P776" s="23"/>
    </row>
    <row r="777" spans="1:16" ht="15" hidden="1" customHeight="1" x14ac:dyDescent="0.2">
      <c r="A777" s="633" t="s">
        <v>150</v>
      </c>
      <c r="B777" s="634"/>
      <c r="C777" s="644" t="s">
        <v>141</v>
      </c>
      <c r="D777" s="644" t="s">
        <v>113</v>
      </c>
      <c r="E777" s="50" t="s">
        <v>18</v>
      </c>
      <c r="F777" s="67">
        <v>2</v>
      </c>
      <c r="G777" s="45" t="s">
        <v>16</v>
      </c>
      <c r="H777" s="58">
        <f>B784</f>
        <v>10</v>
      </c>
      <c r="I777" s="45" t="s">
        <v>17</v>
      </c>
      <c r="J777" s="63">
        <f>B784-E784</f>
        <v>1.75</v>
      </c>
      <c r="K777" s="331">
        <f>(E784-B784)/B784</f>
        <v>-0.17499999999999999</v>
      </c>
      <c r="L777" s="645"/>
      <c r="M777" s="645"/>
      <c r="N777" s="646"/>
    </row>
    <row r="778" spans="1:16" ht="15" hidden="1" customHeight="1" x14ac:dyDescent="0.2">
      <c r="A778" s="635"/>
      <c r="B778" s="636"/>
      <c r="C778" s="644"/>
      <c r="D778" s="644"/>
      <c r="E778" s="47"/>
      <c r="F778" s="279"/>
      <c r="G778" s="49"/>
      <c r="H778" s="59"/>
      <c r="I778" s="48"/>
      <c r="J778" s="64"/>
      <c r="K778" s="66"/>
      <c r="L778" s="23"/>
      <c r="M778" s="23"/>
      <c r="N778" s="23"/>
      <c r="O778" s="23"/>
      <c r="P778" s="23"/>
    </row>
    <row r="779" spans="1:16" ht="22.5" hidden="1" x14ac:dyDescent="0.2">
      <c r="A779" s="46"/>
      <c r="B779" s="33" t="s">
        <v>7</v>
      </c>
      <c r="C779" s="33"/>
      <c r="D779" s="33"/>
      <c r="E779" s="27" t="s">
        <v>8</v>
      </c>
      <c r="F779" s="28"/>
      <c r="G779" s="627" t="s">
        <v>14</v>
      </c>
      <c r="H779" s="627"/>
      <c r="I779" s="627"/>
      <c r="J779" s="627"/>
      <c r="K779" s="66"/>
      <c r="L779" s="23"/>
      <c r="M779" s="23"/>
      <c r="N779" s="23"/>
      <c r="O779" s="23"/>
      <c r="P779" s="23"/>
    </row>
    <row r="780" spans="1:16" hidden="1" x14ac:dyDescent="0.2">
      <c r="A780" s="28" t="s">
        <v>9</v>
      </c>
      <c r="B780" s="31">
        <v>1</v>
      </c>
      <c r="C780" s="628" t="s">
        <v>43</v>
      </c>
      <c r="D780" s="629"/>
      <c r="E780" s="317">
        <v>1.75</v>
      </c>
      <c r="F780" s="29">
        <f>(E780-B780)/B780</f>
        <v>0.75</v>
      </c>
      <c r="G780" s="630"/>
      <c r="H780" s="631"/>
      <c r="I780" s="631"/>
      <c r="J780" s="632"/>
      <c r="K780" s="66"/>
      <c r="L780" s="23"/>
      <c r="M780" s="32" t="s">
        <v>9</v>
      </c>
      <c r="N780" s="32" t="s">
        <v>10</v>
      </c>
      <c r="O780" s="32" t="s">
        <v>12</v>
      </c>
      <c r="P780" s="32" t="s">
        <v>111</v>
      </c>
    </row>
    <row r="781" spans="1:16" hidden="1" x14ac:dyDescent="0.2">
      <c r="A781" s="28" t="s">
        <v>10</v>
      </c>
      <c r="B781" s="31">
        <v>1</v>
      </c>
      <c r="C781" s="628" t="s">
        <v>43</v>
      </c>
      <c r="D781" s="629"/>
      <c r="E781" s="317">
        <v>1</v>
      </c>
      <c r="F781" s="29">
        <f>(E781-B781)/B781</f>
        <v>0</v>
      </c>
      <c r="G781" s="630"/>
      <c r="H781" s="631"/>
      <c r="I781" s="631"/>
      <c r="J781" s="632"/>
      <c r="K781" s="66"/>
      <c r="L781" s="23" t="s">
        <v>110</v>
      </c>
      <c r="M781" s="32">
        <f>20.4+8.4</f>
        <v>28.799999999999997</v>
      </c>
      <c r="N781" s="32">
        <f>20.4+8.4</f>
        <v>28.799999999999997</v>
      </c>
      <c r="O781" s="32">
        <f>36.8+15.2</f>
        <v>52</v>
      </c>
      <c r="P781" s="32">
        <f>M781+N781+O781</f>
        <v>109.6</v>
      </c>
    </row>
    <row r="782" spans="1:16" hidden="1" x14ac:dyDescent="0.2">
      <c r="A782" s="28" t="s">
        <v>11</v>
      </c>
      <c r="B782" s="31">
        <v>0</v>
      </c>
      <c r="C782" s="628" t="s">
        <v>43</v>
      </c>
      <c r="D782" s="629"/>
      <c r="E782" s="317">
        <v>0</v>
      </c>
      <c r="F782" s="29">
        <v>0</v>
      </c>
      <c r="G782" s="630"/>
      <c r="H782" s="631"/>
      <c r="I782" s="631"/>
      <c r="J782" s="632"/>
      <c r="K782" s="66"/>
      <c r="L782" s="23"/>
    </row>
    <row r="783" spans="1:16" hidden="1" x14ac:dyDescent="0.2">
      <c r="A783" s="28" t="s">
        <v>12</v>
      </c>
      <c r="B783" s="31">
        <v>8</v>
      </c>
      <c r="C783" s="628" t="s">
        <v>43</v>
      </c>
      <c r="D783" s="629"/>
      <c r="E783" s="315">
        <f>3+2.5</f>
        <v>5.5</v>
      </c>
      <c r="F783" s="29">
        <f t="shared" ref="F783" si="30">(E783-B783)/B783</f>
        <v>-0.3125</v>
      </c>
      <c r="G783" s="630" t="s">
        <v>149</v>
      </c>
      <c r="H783" s="631"/>
      <c r="I783" s="631"/>
      <c r="J783" s="632"/>
      <c r="K783" s="66"/>
      <c r="L783" s="23" t="s">
        <v>112</v>
      </c>
      <c r="M783" s="32">
        <v>25.2</v>
      </c>
      <c r="N783" s="32">
        <v>25.2</v>
      </c>
      <c r="O783" s="32">
        <v>45.4</v>
      </c>
      <c r="P783" s="32">
        <f>M783+N783+O783</f>
        <v>95.8</v>
      </c>
    </row>
    <row r="784" spans="1:16" hidden="1" x14ac:dyDescent="0.2">
      <c r="A784" s="35" t="s">
        <v>15</v>
      </c>
      <c r="B784" s="317">
        <f>SUM(B780:B783)</f>
        <v>10</v>
      </c>
      <c r="C784" s="628"/>
      <c r="D784" s="629"/>
      <c r="E784" s="315">
        <f>SUM(E780:E783)</f>
        <v>8.25</v>
      </c>
      <c r="F784" s="29">
        <f>(E784-B784)/B784</f>
        <v>-0.17499999999999999</v>
      </c>
      <c r="G784" s="630"/>
      <c r="H784" s="631"/>
      <c r="I784" s="631"/>
      <c r="J784" s="632"/>
      <c r="K784" s="66"/>
      <c r="L784" s="23"/>
      <c r="M784" s="23"/>
      <c r="N784" s="23"/>
      <c r="O784" s="23"/>
      <c r="P784" s="23"/>
    </row>
    <row r="785" spans="1:16" hidden="1" x14ac:dyDescent="0.2"/>
    <row r="786" spans="1:16" hidden="1" x14ac:dyDescent="0.2"/>
    <row r="787" spans="1:16" hidden="1" x14ac:dyDescent="0.2">
      <c r="C787" s="65"/>
      <c r="D787" s="65" t="s">
        <v>9</v>
      </c>
      <c r="E787" s="32" t="s">
        <v>10</v>
      </c>
      <c r="F787" s="65" t="s">
        <v>12</v>
      </c>
      <c r="G787" s="32" t="s">
        <v>111</v>
      </c>
    </row>
    <row r="788" spans="1:16" hidden="1" x14ac:dyDescent="0.2">
      <c r="C788" s="65"/>
      <c r="E788" s="32"/>
      <c r="F788" s="65"/>
      <c r="G788" s="32"/>
    </row>
    <row r="789" spans="1:16" ht="15" hidden="1" customHeight="1" x14ac:dyDescent="0.2">
      <c r="A789" s="633" t="s">
        <v>165</v>
      </c>
      <c r="B789" s="634"/>
      <c r="C789" s="644" t="s">
        <v>141</v>
      </c>
      <c r="D789" s="644" t="s">
        <v>113</v>
      </c>
      <c r="E789" s="50" t="s">
        <v>18</v>
      </c>
      <c r="F789" s="67">
        <v>2</v>
      </c>
      <c r="G789" s="45" t="s">
        <v>16</v>
      </c>
      <c r="H789" s="58">
        <f>B796</f>
        <v>2</v>
      </c>
      <c r="I789" s="45" t="s">
        <v>17</v>
      </c>
      <c r="J789" s="63">
        <f>B796-E796</f>
        <v>-1</v>
      </c>
      <c r="K789" s="331">
        <f>(E796-B796)/B796</f>
        <v>0.5</v>
      </c>
      <c r="L789" s="645"/>
      <c r="M789" s="645"/>
      <c r="N789" s="646"/>
    </row>
    <row r="790" spans="1:16" ht="15" hidden="1" customHeight="1" x14ac:dyDescent="0.2">
      <c r="A790" s="635"/>
      <c r="B790" s="636"/>
      <c r="C790" s="644"/>
      <c r="D790" s="644"/>
      <c r="E790" s="47"/>
      <c r="F790" s="279"/>
      <c r="G790" s="49"/>
      <c r="H790" s="59"/>
      <c r="I790" s="48"/>
      <c r="J790" s="64"/>
      <c r="K790" s="66"/>
      <c r="L790" s="23"/>
      <c r="M790" s="23"/>
      <c r="N790" s="23"/>
      <c r="O790" s="23"/>
      <c r="P790" s="23"/>
    </row>
    <row r="791" spans="1:16" ht="22.5" hidden="1" x14ac:dyDescent="0.2">
      <c r="A791" s="46"/>
      <c r="B791" s="33" t="s">
        <v>7</v>
      </c>
      <c r="C791" s="33"/>
      <c r="D791" s="33"/>
      <c r="E791" s="27" t="s">
        <v>8</v>
      </c>
      <c r="F791" s="28"/>
      <c r="G791" s="627" t="s">
        <v>14</v>
      </c>
      <c r="H791" s="627"/>
      <c r="I791" s="627"/>
      <c r="J791" s="627"/>
      <c r="K791" s="66"/>
      <c r="L791" s="23"/>
      <c r="M791" s="23"/>
      <c r="N791" s="23"/>
      <c r="O791" s="23"/>
      <c r="P791" s="23"/>
    </row>
    <row r="792" spans="1:16" hidden="1" x14ac:dyDescent="0.2">
      <c r="A792" s="28" t="s">
        <v>9</v>
      </c>
      <c r="B792" s="351">
        <v>0.2</v>
      </c>
      <c r="C792" s="628" t="s">
        <v>43</v>
      </c>
      <c r="D792" s="629"/>
      <c r="E792" s="353">
        <v>0.5</v>
      </c>
      <c r="F792" s="29">
        <f>(E792-B792)/B792</f>
        <v>1.4999999999999998</v>
      </c>
      <c r="G792" s="630"/>
      <c r="H792" s="631"/>
      <c r="I792" s="631"/>
      <c r="J792" s="632"/>
      <c r="K792" s="66"/>
      <c r="L792" s="23"/>
      <c r="M792" s="32" t="s">
        <v>9</v>
      </c>
      <c r="N792" s="32" t="s">
        <v>10</v>
      </c>
      <c r="O792" s="32" t="s">
        <v>12</v>
      </c>
      <c r="P792" s="32" t="s">
        <v>111</v>
      </c>
    </row>
    <row r="793" spans="1:16" hidden="1" x14ac:dyDescent="0.2">
      <c r="A793" s="28" t="s">
        <v>10</v>
      </c>
      <c r="B793" s="351">
        <v>0.2</v>
      </c>
      <c r="C793" s="628" t="s">
        <v>43</v>
      </c>
      <c r="D793" s="629"/>
      <c r="E793" s="418">
        <v>0</v>
      </c>
      <c r="F793" s="29">
        <f>(E793-B793)/B793</f>
        <v>-1</v>
      </c>
      <c r="G793" s="630"/>
      <c r="H793" s="631"/>
      <c r="I793" s="631"/>
      <c r="J793" s="632"/>
      <c r="K793" s="66"/>
      <c r="L793" s="23" t="s">
        <v>110</v>
      </c>
      <c r="M793" s="32">
        <f>20.4+8.4</f>
        <v>28.799999999999997</v>
      </c>
      <c r="N793" s="32">
        <f>20.4+8.4</f>
        <v>28.799999999999997</v>
      </c>
      <c r="O793" s="32">
        <f>36.8+15.2</f>
        <v>52</v>
      </c>
      <c r="P793" s="32">
        <f>M793+N793+O793</f>
        <v>109.6</v>
      </c>
    </row>
    <row r="794" spans="1:16" hidden="1" x14ac:dyDescent="0.2">
      <c r="A794" s="28" t="s">
        <v>11</v>
      </c>
      <c r="B794" s="351">
        <v>0.2</v>
      </c>
      <c r="C794" s="628" t="s">
        <v>43</v>
      </c>
      <c r="D794" s="629"/>
      <c r="E794" s="418">
        <v>0</v>
      </c>
      <c r="F794" s="29">
        <v>0</v>
      </c>
      <c r="G794" s="630"/>
      <c r="H794" s="631"/>
      <c r="I794" s="631"/>
      <c r="J794" s="632"/>
      <c r="K794" s="66"/>
      <c r="L794" s="23"/>
    </row>
    <row r="795" spans="1:16" hidden="1" x14ac:dyDescent="0.2">
      <c r="A795" s="28" t="s">
        <v>12</v>
      </c>
      <c r="B795" s="351">
        <v>1.4</v>
      </c>
      <c r="C795" s="628" t="s">
        <v>43</v>
      </c>
      <c r="D795" s="629"/>
      <c r="E795" s="350">
        <v>2.5</v>
      </c>
      <c r="F795" s="29">
        <f t="shared" ref="F795" si="31">(E795-B795)/B795</f>
        <v>0.78571428571428581</v>
      </c>
      <c r="G795" s="630"/>
      <c r="H795" s="631"/>
      <c r="I795" s="631"/>
      <c r="J795" s="632"/>
      <c r="K795" s="66"/>
      <c r="L795" s="23" t="s">
        <v>112</v>
      </c>
      <c r="M795" s="32">
        <v>25.2</v>
      </c>
      <c r="N795" s="32">
        <v>25.2</v>
      </c>
      <c r="O795" s="32">
        <v>45.4</v>
      </c>
      <c r="P795" s="32">
        <f>M795+N795+O795</f>
        <v>95.8</v>
      </c>
    </row>
    <row r="796" spans="1:16" hidden="1" x14ac:dyDescent="0.2">
      <c r="A796" s="35" t="s">
        <v>15</v>
      </c>
      <c r="B796" s="353">
        <f>SUM(B792:B795)</f>
        <v>2</v>
      </c>
      <c r="C796" s="628"/>
      <c r="D796" s="629"/>
      <c r="E796" s="350">
        <f>SUM(E792:E795)</f>
        <v>3</v>
      </c>
      <c r="F796" s="29">
        <f>(E796-B796)/B796</f>
        <v>0.5</v>
      </c>
      <c r="G796" s="630"/>
      <c r="H796" s="631"/>
      <c r="I796" s="631"/>
      <c r="J796" s="632"/>
      <c r="K796" s="66"/>
      <c r="L796" s="23"/>
      <c r="M796" s="23"/>
      <c r="N796" s="23"/>
      <c r="O796" s="23"/>
      <c r="P796" s="23"/>
    </row>
    <row r="797" spans="1:16" hidden="1" x14ac:dyDescent="0.2">
      <c r="C797" s="352"/>
    </row>
    <row r="798" spans="1:16" hidden="1" x14ac:dyDescent="0.2">
      <c r="C798" s="352"/>
    </row>
    <row r="799" spans="1:16" hidden="1" x14ac:dyDescent="0.2">
      <c r="C799" s="65"/>
      <c r="D799" s="65" t="s">
        <v>9</v>
      </c>
      <c r="E799" s="32" t="s">
        <v>10</v>
      </c>
      <c r="F799" s="65" t="s">
        <v>12</v>
      </c>
      <c r="G799" s="32" t="s">
        <v>111</v>
      </c>
    </row>
    <row r="800" spans="1:16" hidden="1" x14ac:dyDescent="0.2">
      <c r="C800" s="65"/>
      <c r="E800" s="32"/>
      <c r="F800" s="65"/>
      <c r="G800" s="32"/>
    </row>
    <row r="801" spans="1:16" ht="15" hidden="1" customHeight="1" x14ac:dyDescent="0.2">
      <c r="A801" s="633" t="s">
        <v>168</v>
      </c>
      <c r="B801" s="634"/>
      <c r="C801" s="644" t="s">
        <v>141</v>
      </c>
      <c r="D801" s="644" t="s">
        <v>113</v>
      </c>
      <c r="E801" s="50" t="s">
        <v>18</v>
      </c>
      <c r="F801" s="67">
        <v>2</v>
      </c>
      <c r="G801" s="45" t="s">
        <v>16</v>
      </c>
      <c r="H801" s="58">
        <f>B808</f>
        <v>65</v>
      </c>
      <c r="I801" s="45" t="s">
        <v>17</v>
      </c>
      <c r="J801" s="63">
        <f>B808-E808</f>
        <v>65</v>
      </c>
      <c r="K801" s="331">
        <f>(E808-B808)/B808</f>
        <v>-1</v>
      </c>
      <c r="L801" s="642"/>
      <c r="M801" s="642"/>
      <c r="N801" s="643"/>
    </row>
    <row r="802" spans="1:16" ht="15" hidden="1" customHeight="1" x14ac:dyDescent="0.2">
      <c r="A802" s="635"/>
      <c r="B802" s="636"/>
      <c r="C802" s="644"/>
      <c r="D802" s="644"/>
      <c r="E802" s="47"/>
      <c r="F802" s="279"/>
      <c r="G802" s="49"/>
      <c r="H802" s="59"/>
      <c r="I802" s="48"/>
      <c r="J802" s="64"/>
      <c r="K802" s="66"/>
      <c r="L802" s="23"/>
      <c r="M802" s="23"/>
      <c r="N802" s="23"/>
      <c r="O802" s="23"/>
      <c r="P802" s="23"/>
    </row>
    <row r="803" spans="1:16" ht="22.5" hidden="1" x14ac:dyDescent="0.2">
      <c r="A803" s="46"/>
      <c r="B803" s="33" t="s">
        <v>7</v>
      </c>
      <c r="C803" s="33"/>
      <c r="D803" s="33"/>
      <c r="E803" s="27" t="s">
        <v>8</v>
      </c>
      <c r="F803" s="28"/>
      <c r="G803" s="627" t="s">
        <v>14</v>
      </c>
      <c r="H803" s="627"/>
      <c r="I803" s="627"/>
      <c r="J803" s="627"/>
      <c r="K803" s="66"/>
      <c r="L803" s="23"/>
      <c r="M803" s="23"/>
      <c r="N803" s="23"/>
      <c r="O803" s="23"/>
      <c r="P803" s="23"/>
    </row>
    <row r="804" spans="1:16" hidden="1" x14ac:dyDescent="0.2">
      <c r="A804" s="28" t="s">
        <v>9</v>
      </c>
      <c r="B804" s="351">
        <v>6.1</v>
      </c>
      <c r="C804" s="628"/>
      <c r="D804" s="629"/>
      <c r="E804" s="362"/>
      <c r="F804" s="29">
        <f>(E804-B804)/B804</f>
        <v>-1</v>
      </c>
      <c r="G804" s="630"/>
      <c r="H804" s="631"/>
      <c r="I804" s="631"/>
      <c r="J804" s="632"/>
      <c r="K804" s="66"/>
      <c r="L804" s="23"/>
      <c r="M804" s="32" t="s">
        <v>9</v>
      </c>
      <c r="N804" s="32" t="s">
        <v>10</v>
      </c>
      <c r="O804" s="32" t="s">
        <v>12</v>
      </c>
      <c r="P804" s="32" t="s">
        <v>111</v>
      </c>
    </row>
    <row r="805" spans="1:16" hidden="1" x14ac:dyDescent="0.2">
      <c r="A805" s="28" t="s">
        <v>10</v>
      </c>
      <c r="B805" s="351">
        <v>7.1</v>
      </c>
      <c r="C805" s="628"/>
      <c r="D805" s="629"/>
      <c r="E805" s="362"/>
      <c r="F805" s="29">
        <f>(E805-B805)/B805</f>
        <v>-1</v>
      </c>
      <c r="G805" s="630"/>
      <c r="H805" s="631"/>
      <c r="I805" s="631"/>
      <c r="J805" s="632"/>
      <c r="K805" s="66"/>
      <c r="L805" s="23" t="s">
        <v>110</v>
      </c>
      <c r="M805" s="32">
        <f>20.4+8.4</f>
        <v>28.799999999999997</v>
      </c>
      <c r="N805" s="32">
        <f>20.4+8.4</f>
        <v>28.799999999999997</v>
      </c>
      <c r="O805" s="32">
        <f>36.8+15.2</f>
        <v>52</v>
      </c>
      <c r="P805" s="32">
        <f>M805+N805+O805</f>
        <v>109.6</v>
      </c>
    </row>
    <row r="806" spans="1:16" hidden="1" x14ac:dyDescent="0.2">
      <c r="A806" s="28" t="s">
        <v>11</v>
      </c>
      <c r="B806" s="351">
        <v>5.3</v>
      </c>
      <c r="C806" s="628"/>
      <c r="D806" s="629"/>
      <c r="E806" s="362"/>
      <c r="F806" s="29">
        <v>0</v>
      </c>
      <c r="G806" s="630"/>
      <c r="H806" s="631"/>
      <c r="I806" s="631"/>
      <c r="J806" s="632"/>
      <c r="K806" s="66"/>
      <c r="L806" s="23"/>
    </row>
    <row r="807" spans="1:16" hidden="1" x14ac:dyDescent="0.2">
      <c r="A807" s="28" t="s">
        <v>12</v>
      </c>
      <c r="B807" s="351">
        <v>46.5</v>
      </c>
      <c r="C807" s="628"/>
      <c r="D807" s="629"/>
      <c r="E807" s="361"/>
      <c r="F807" s="29">
        <f t="shared" ref="F807" si="32">(E807-B807)/B807</f>
        <v>-1</v>
      </c>
      <c r="G807" s="630"/>
      <c r="H807" s="631"/>
      <c r="I807" s="631"/>
      <c r="J807" s="632"/>
      <c r="K807" s="66"/>
      <c r="L807" s="23" t="s">
        <v>112</v>
      </c>
      <c r="M807" s="32">
        <v>25.2</v>
      </c>
      <c r="N807" s="32">
        <v>25.2</v>
      </c>
      <c r="O807" s="32">
        <v>45.4</v>
      </c>
      <c r="P807" s="32">
        <f>M807+N807+O807</f>
        <v>95.8</v>
      </c>
    </row>
    <row r="808" spans="1:16" hidden="1" x14ac:dyDescent="0.2">
      <c r="A808" s="35" t="s">
        <v>15</v>
      </c>
      <c r="B808" s="362">
        <f>SUM(B804:B807)</f>
        <v>65</v>
      </c>
      <c r="C808" s="628"/>
      <c r="D808" s="629"/>
      <c r="E808" s="361">
        <f>SUM(E804:E807)</f>
        <v>0</v>
      </c>
      <c r="F808" s="29">
        <f>(E808-B808)/B808</f>
        <v>-1</v>
      </c>
      <c r="G808" s="630"/>
      <c r="H808" s="631"/>
      <c r="I808" s="631"/>
      <c r="J808" s="632"/>
      <c r="K808" s="66"/>
      <c r="L808" s="23"/>
      <c r="M808" s="23"/>
      <c r="N808" s="23"/>
      <c r="O808" s="23"/>
      <c r="P808" s="23"/>
    </row>
    <row r="809" spans="1:16" hidden="1" x14ac:dyDescent="0.2">
      <c r="C809" s="360"/>
    </row>
    <row r="810" spans="1:16" hidden="1" x14ac:dyDescent="0.2">
      <c r="C810" s="360"/>
    </row>
    <row r="811" spans="1:16" hidden="1" x14ac:dyDescent="0.2">
      <c r="C811" s="65"/>
      <c r="D811" s="65" t="s">
        <v>9</v>
      </c>
      <c r="E811" s="32" t="s">
        <v>10</v>
      </c>
      <c r="F811" s="65" t="s">
        <v>12</v>
      </c>
      <c r="G811" s="32" t="s">
        <v>111</v>
      </c>
    </row>
    <row r="812" spans="1:16" hidden="1" x14ac:dyDescent="0.2">
      <c r="C812" s="65"/>
      <c r="E812" s="32"/>
      <c r="F812" s="65"/>
      <c r="G812" s="32"/>
    </row>
    <row r="813" spans="1:16" ht="12.75" hidden="1" customHeight="1" x14ac:dyDescent="0.2">
      <c r="A813" s="633" t="s">
        <v>169</v>
      </c>
      <c r="B813" s="634"/>
      <c r="C813" s="720"/>
      <c r="D813" s="720"/>
      <c r="E813" s="50" t="s">
        <v>18</v>
      </c>
      <c r="F813" s="67">
        <v>2</v>
      </c>
      <c r="G813" s="45" t="s">
        <v>16</v>
      </c>
      <c r="H813" s="58">
        <f>B820</f>
        <v>1</v>
      </c>
      <c r="I813" s="45" t="s">
        <v>17</v>
      </c>
      <c r="J813" s="63">
        <f>B820-E820</f>
        <v>0.5</v>
      </c>
      <c r="K813" s="331">
        <f>(E820-B820)/B820</f>
        <v>-0.5</v>
      </c>
      <c r="L813" s="645"/>
      <c r="M813" s="645"/>
      <c r="N813" s="646"/>
    </row>
    <row r="814" spans="1:16" hidden="1" x14ac:dyDescent="0.2">
      <c r="A814" s="635"/>
      <c r="B814" s="636"/>
      <c r="C814" s="720"/>
      <c r="D814" s="720"/>
      <c r="E814" s="47"/>
      <c r="F814" s="279"/>
      <c r="G814" s="49"/>
      <c r="H814" s="59"/>
      <c r="I814" s="48"/>
      <c r="J814" s="64"/>
      <c r="K814" s="66"/>
      <c r="L814" s="23"/>
      <c r="M814" s="23"/>
      <c r="N814" s="23"/>
    </row>
    <row r="815" spans="1:16" ht="22.5" hidden="1" x14ac:dyDescent="0.2">
      <c r="A815" s="46"/>
      <c r="B815" s="33" t="s">
        <v>7</v>
      </c>
      <c r="C815" s="33"/>
      <c r="D815" s="33"/>
      <c r="E815" s="27" t="s">
        <v>8</v>
      </c>
      <c r="F815" s="28"/>
      <c r="G815" s="627" t="s">
        <v>14</v>
      </c>
      <c r="H815" s="627"/>
      <c r="I815" s="627"/>
      <c r="J815" s="627"/>
      <c r="K815" s="66"/>
      <c r="L815" s="23"/>
      <c r="M815" s="23"/>
      <c r="N815" s="23"/>
    </row>
    <row r="816" spans="1:16" hidden="1" x14ac:dyDescent="0.2">
      <c r="A816" s="28" t="s">
        <v>9</v>
      </c>
      <c r="B816" s="351">
        <v>1</v>
      </c>
      <c r="C816" s="628" t="s">
        <v>43</v>
      </c>
      <c r="D816" s="629"/>
      <c r="E816" s="362">
        <v>0.5</v>
      </c>
      <c r="F816" s="29">
        <f>(E816-B816)/B816</f>
        <v>-0.5</v>
      </c>
      <c r="G816" s="641" t="s">
        <v>170</v>
      </c>
      <c r="H816" s="642"/>
      <c r="I816" s="642"/>
      <c r="J816" s="643"/>
      <c r="K816" s="66"/>
      <c r="L816" s="23"/>
      <c r="M816" s="32" t="s">
        <v>9</v>
      </c>
      <c r="N816" s="32" t="s">
        <v>10</v>
      </c>
    </row>
    <row r="817" spans="1:14" hidden="1" x14ac:dyDescent="0.2">
      <c r="A817" s="28" t="s">
        <v>10</v>
      </c>
      <c r="B817" s="351">
        <v>0</v>
      </c>
      <c r="C817" s="628" t="s">
        <v>43</v>
      </c>
      <c r="D817" s="629"/>
      <c r="E817" s="362"/>
      <c r="F817" s="29">
        <v>0</v>
      </c>
      <c r="G817" s="630"/>
      <c r="H817" s="631"/>
      <c r="I817" s="631"/>
      <c r="J817" s="632"/>
      <c r="K817" s="66"/>
      <c r="L817" s="23" t="s">
        <v>110</v>
      </c>
      <c r="M817" s="32">
        <f>20.4+8.4</f>
        <v>28.799999999999997</v>
      </c>
      <c r="N817" s="32">
        <f>20.4+8.4</f>
        <v>28.799999999999997</v>
      </c>
    </row>
    <row r="818" spans="1:14" hidden="1" x14ac:dyDescent="0.2">
      <c r="A818" s="28" t="s">
        <v>11</v>
      </c>
      <c r="B818" s="351">
        <v>0</v>
      </c>
      <c r="C818" s="628" t="s">
        <v>43</v>
      </c>
      <c r="D818" s="629"/>
      <c r="E818" s="362"/>
      <c r="F818" s="29">
        <v>0</v>
      </c>
      <c r="G818" s="630"/>
      <c r="H818" s="631"/>
      <c r="I818" s="631"/>
      <c r="J818" s="632"/>
      <c r="K818" s="66"/>
      <c r="L818" s="23"/>
    </row>
    <row r="819" spans="1:14" hidden="1" x14ac:dyDescent="0.2">
      <c r="A819" s="28" t="s">
        <v>12</v>
      </c>
      <c r="B819" s="351">
        <v>0</v>
      </c>
      <c r="C819" s="628" t="s">
        <v>43</v>
      </c>
      <c r="D819" s="629"/>
      <c r="E819" s="361"/>
      <c r="F819" s="29">
        <v>0</v>
      </c>
      <c r="G819" s="630"/>
      <c r="H819" s="631"/>
      <c r="I819" s="631"/>
      <c r="J819" s="632"/>
      <c r="K819" s="66"/>
      <c r="L819" s="23" t="s">
        <v>112</v>
      </c>
      <c r="M819" s="32">
        <v>25.2</v>
      </c>
      <c r="N819" s="32">
        <v>25.2</v>
      </c>
    </row>
    <row r="820" spans="1:14" hidden="1" x14ac:dyDescent="0.2">
      <c r="A820" s="35" t="s">
        <v>15</v>
      </c>
      <c r="B820" s="362">
        <f>SUM(B816:B819)</f>
        <v>1</v>
      </c>
      <c r="C820" s="628"/>
      <c r="D820" s="629"/>
      <c r="E820" s="361">
        <f>SUM(E816:E819)</f>
        <v>0.5</v>
      </c>
      <c r="F820" s="29">
        <f>(E820-B820)/B820</f>
        <v>-0.5</v>
      </c>
      <c r="G820" s="630"/>
      <c r="H820" s="631"/>
      <c r="I820" s="631"/>
      <c r="J820" s="632"/>
      <c r="K820" s="66"/>
      <c r="L820" s="23"/>
      <c r="M820" s="23"/>
      <c r="N820" s="23"/>
    </row>
    <row r="821" spans="1:14" hidden="1" x14ac:dyDescent="0.2">
      <c r="C821" s="360"/>
    </row>
    <row r="822" spans="1:14" ht="12.75" hidden="1" customHeight="1" x14ac:dyDescent="0.2">
      <c r="A822" s="633" t="s">
        <v>173</v>
      </c>
      <c r="B822" s="634"/>
      <c r="C822" s="644" t="s">
        <v>141</v>
      </c>
      <c r="D822" s="644" t="s">
        <v>113</v>
      </c>
      <c r="E822" s="50" t="s">
        <v>18</v>
      </c>
      <c r="F822" s="67">
        <v>1</v>
      </c>
      <c r="G822" s="45" t="s">
        <v>16</v>
      </c>
      <c r="H822" s="58">
        <f>B829</f>
        <v>6</v>
      </c>
      <c r="I822" s="45" t="s">
        <v>17</v>
      </c>
      <c r="J822" s="63">
        <f>B829-E829</f>
        <v>-10.5</v>
      </c>
      <c r="K822" s="331">
        <f>(E829-B829)/B829</f>
        <v>1.75</v>
      </c>
      <c r="L822" s="645"/>
      <c r="M822" s="645"/>
      <c r="N822" s="646"/>
    </row>
    <row r="823" spans="1:14" hidden="1" x14ac:dyDescent="0.2">
      <c r="A823" s="635"/>
      <c r="B823" s="636"/>
      <c r="C823" s="644"/>
      <c r="D823" s="644"/>
      <c r="E823" s="47"/>
      <c r="F823" s="279"/>
      <c r="G823" s="49"/>
      <c r="H823" s="59"/>
      <c r="I823" s="48"/>
      <c r="J823" s="64"/>
      <c r="K823" s="66"/>
      <c r="L823" s="23"/>
      <c r="M823" s="23"/>
      <c r="N823" s="23"/>
    </row>
    <row r="824" spans="1:14" ht="22.5" hidden="1" x14ac:dyDescent="0.2">
      <c r="A824" s="46"/>
      <c r="B824" s="33" t="s">
        <v>7</v>
      </c>
      <c r="C824" s="33"/>
      <c r="D824" s="33"/>
      <c r="E824" s="27" t="s">
        <v>8</v>
      </c>
      <c r="F824" s="28"/>
      <c r="G824" s="627" t="s">
        <v>14</v>
      </c>
      <c r="H824" s="627"/>
      <c r="I824" s="627"/>
      <c r="J824" s="627"/>
      <c r="K824" s="66"/>
      <c r="L824" s="23"/>
      <c r="M824" s="23"/>
      <c r="N824" s="23"/>
    </row>
    <row r="825" spans="1:14" hidden="1" x14ac:dyDescent="0.2">
      <c r="A825" s="28" t="s">
        <v>9</v>
      </c>
      <c r="B825" s="351">
        <v>0.5</v>
      </c>
      <c r="C825" s="628" t="s">
        <v>43</v>
      </c>
      <c r="D825" s="629"/>
      <c r="E825" s="373">
        <v>0.5</v>
      </c>
      <c r="F825" s="29">
        <f>(E825-B825)/B825</f>
        <v>0</v>
      </c>
      <c r="G825" s="630"/>
      <c r="H825" s="631"/>
      <c r="I825" s="631"/>
      <c r="J825" s="632"/>
      <c r="K825" s="66"/>
      <c r="L825" s="23"/>
      <c r="M825" s="32" t="s">
        <v>9</v>
      </c>
      <c r="N825" s="32" t="s">
        <v>10</v>
      </c>
    </row>
    <row r="826" spans="1:14" hidden="1" x14ac:dyDescent="0.2">
      <c r="A826" s="28" t="s">
        <v>10</v>
      </c>
      <c r="B826" s="351">
        <v>0.5</v>
      </c>
      <c r="C826" s="628" t="s">
        <v>43</v>
      </c>
      <c r="D826" s="629"/>
      <c r="E826" s="373">
        <v>0.5</v>
      </c>
      <c r="F826" s="29">
        <v>0</v>
      </c>
      <c r="G826" s="630"/>
      <c r="H826" s="631"/>
      <c r="I826" s="631"/>
      <c r="J826" s="632"/>
      <c r="K826" s="66"/>
      <c r="L826" s="23" t="s">
        <v>110</v>
      </c>
      <c r="M826" s="32">
        <f>20.4+8.4</f>
        <v>28.799999999999997</v>
      </c>
      <c r="N826" s="32">
        <f>20.4+8.4</f>
        <v>28.799999999999997</v>
      </c>
    </row>
    <row r="827" spans="1:14" hidden="1" x14ac:dyDescent="0.2">
      <c r="A827" s="28" t="s">
        <v>11</v>
      </c>
      <c r="B827" s="351">
        <v>0.5</v>
      </c>
      <c r="C827" s="628" t="s">
        <v>43</v>
      </c>
      <c r="D827" s="629"/>
      <c r="E827" s="373"/>
      <c r="F827" s="29">
        <v>0</v>
      </c>
      <c r="G827" s="630"/>
      <c r="H827" s="631"/>
      <c r="I827" s="631"/>
      <c r="J827" s="632"/>
      <c r="K827" s="66"/>
      <c r="L827" s="23"/>
    </row>
    <row r="828" spans="1:14" hidden="1" x14ac:dyDescent="0.2">
      <c r="A828" s="28" t="s">
        <v>12</v>
      </c>
      <c r="B828" s="351">
        <v>4.5</v>
      </c>
      <c r="C828" s="628" t="s">
        <v>43</v>
      </c>
      <c r="D828" s="629"/>
      <c r="E828" s="371">
        <f>5+8.75+1.75</f>
        <v>15.5</v>
      </c>
      <c r="F828" s="29">
        <v>0</v>
      </c>
      <c r="G828" s="630" t="s">
        <v>219</v>
      </c>
      <c r="H828" s="631"/>
      <c r="I828" s="631"/>
      <c r="J828" s="632"/>
      <c r="K828" s="66"/>
      <c r="L828" s="23" t="s">
        <v>112</v>
      </c>
      <c r="M828" s="32">
        <v>25.2</v>
      </c>
      <c r="N828" s="32">
        <v>25.2</v>
      </c>
    </row>
    <row r="829" spans="1:14" hidden="1" x14ac:dyDescent="0.2">
      <c r="A829" s="35" t="s">
        <v>15</v>
      </c>
      <c r="B829" s="373">
        <f>SUM(B825:B828)</f>
        <v>6</v>
      </c>
      <c r="C829" s="628"/>
      <c r="D829" s="629"/>
      <c r="E829" s="371">
        <f>SUM(E825:E828)</f>
        <v>16.5</v>
      </c>
      <c r="F829" s="29">
        <f>(E829-B829)/B829</f>
        <v>1.75</v>
      </c>
      <c r="G829" s="630"/>
      <c r="H829" s="631"/>
      <c r="I829" s="631"/>
      <c r="J829" s="632"/>
      <c r="K829" s="66"/>
      <c r="L829" s="23"/>
      <c r="M829" s="23"/>
      <c r="N829" s="23"/>
    </row>
    <row r="830" spans="1:14" hidden="1" x14ac:dyDescent="0.2">
      <c r="C830" s="360"/>
    </row>
    <row r="831" spans="1:14" ht="12.75" hidden="1" customHeight="1" x14ac:dyDescent="0.2">
      <c r="A831" s="633" t="s">
        <v>174</v>
      </c>
      <c r="B831" s="634"/>
      <c r="C831" s="644" t="s">
        <v>141</v>
      </c>
      <c r="D831" s="644" t="s">
        <v>113</v>
      </c>
      <c r="E831" s="50" t="s">
        <v>18</v>
      </c>
      <c r="F831" s="67">
        <v>1</v>
      </c>
      <c r="G831" s="45" t="s">
        <v>16</v>
      </c>
      <c r="H831" s="58">
        <f>B838</f>
        <v>8</v>
      </c>
      <c r="I831" s="45" t="s">
        <v>17</v>
      </c>
      <c r="J831" s="63">
        <f>B838-E838</f>
        <v>-7</v>
      </c>
      <c r="K831" s="331">
        <f>(E838-B838)/B838</f>
        <v>0.875</v>
      </c>
      <c r="L831" s="645"/>
      <c r="M831" s="645"/>
      <c r="N831" s="646"/>
    </row>
    <row r="832" spans="1:14" hidden="1" x14ac:dyDescent="0.2">
      <c r="A832" s="635"/>
      <c r="B832" s="636"/>
      <c r="C832" s="644"/>
      <c r="D832" s="644"/>
      <c r="E832" s="47"/>
      <c r="F832" s="279"/>
      <c r="G832" s="49"/>
      <c r="H832" s="59"/>
      <c r="I832" s="48"/>
      <c r="J832" s="64"/>
      <c r="K832" s="66"/>
      <c r="L832" s="23"/>
      <c r="M832" s="23"/>
      <c r="N832" s="23"/>
    </row>
    <row r="833" spans="1:14" ht="22.5" hidden="1" x14ac:dyDescent="0.2">
      <c r="A833" s="46"/>
      <c r="B833" s="33" t="s">
        <v>7</v>
      </c>
      <c r="C833" s="33"/>
      <c r="D833" s="33"/>
      <c r="E833" s="27" t="s">
        <v>8</v>
      </c>
      <c r="F833" s="28"/>
      <c r="G833" s="627" t="s">
        <v>14</v>
      </c>
      <c r="H833" s="627"/>
      <c r="I833" s="627"/>
      <c r="J833" s="627"/>
      <c r="K833" s="66"/>
      <c r="L833" s="23"/>
      <c r="M833" s="23"/>
      <c r="N833" s="23"/>
    </row>
    <row r="834" spans="1:14" hidden="1" x14ac:dyDescent="0.2">
      <c r="A834" s="28" t="s">
        <v>9</v>
      </c>
      <c r="B834" s="351">
        <v>1</v>
      </c>
      <c r="C834" s="628" t="s">
        <v>43</v>
      </c>
      <c r="D834" s="629"/>
      <c r="E834" s="373">
        <v>1</v>
      </c>
      <c r="F834" s="29">
        <f>(E834-B834)/B834</f>
        <v>0</v>
      </c>
      <c r="G834" s="630"/>
      <c r="H834" s="631"/>
      <c r="I834" s="631"/>
      <c r="J834" s="632"/>
      <c r="K834" s="66"/>
      <c r="L834" s="23"/>
      <c r="M834" s="32" t="s">
        <v>9</v>
      </c>
      <c r="N834" s="32" t="s">
        <v>10</v>
      </c>
    </row>
    <row r="835" spans="1:14" hidden="1" x14ac:dyDescent="0.2">
      <c r="A835" s="28" t="s">
        <v>10</v>
      </c>
      <c r="B835" s="351">
        <v>1</v>
      </c>
      <c r="C835" s="628" t="s">
        <v>43</v>
      </c>
      <c r="D835" s="629"/>
      <c r="E835" s="373">
        <v>0.5</v>
      </c>
      <c r="F835" s="29">
        <v>0</v>
      </c>
      <c r="G835" s="630"/>
      <c r="H835" s="631"/>
      <c r="I835" s="631"/>
      <c r="J835" s="632"/>
      <c r="K835" s="66"/>
      <c r="L835" s="23" t="s">
        <v>110</v>
      </c>
      <c r="M835" s="32">
        <f>20.4+8.4</f>
        <v>28.799999999999997</v>
      </c>
      <c r="N835" s="32">
        <f>20.4+8.4</f>
        <v>28.799999999999997</v>
      </c>
    </row>
    <row r="836" spans="1:14" hidden="1" x14ac:dyDescent="0.2">
      <c r="A836" s="28" t="s">
        <v>11</v>
      </c>
      <c r="B836" s="351">
        <v>0</v>
      </c>
      <c r="C836" s="628" t="s">
        <v>43</v>
      </c>
      <c r="D836" s="629"/>
      <c r="E836" s="373"/>
      <c r="F836" s="29">
        <v>0</v>
      </c>
      <c r="G836" s="630"/>
      <c r="H836" s="631"/>
      <c r="I836" s="631"/>
      <c r="J836" s="632"/>
      <c r="K836" s="66"/>
      <c r="L836" s="23"/>
    </row>
    <row r="837" spans="1:14" hidden="1" x14ac:dyDescent="0.2">
      <c r="A837" s="28" t="s">
        <v>12</v>
      </c>
      <c r="B837" s="351">
        <v>6</v>
      </c>
      <c r="C837" s="628" t="s">
        <v>43</v>
      </c>
      <c r="D837" s="629"/>
      <c r="E837" s="371">
        <f>6.5+7</f>
        <v>13.5</v>
      </c>
      <c r="F837" s="29">
        <v>0</v>
      </c>
      <c r="G837" s="630" t="s">
        <v>212</v>
      </c>
      <c r="H837" s="631"/>
      <c r="I837" s="631"/>
      <c r="J837" s="632"/>
      <c r="K837" s="66"/>
      <c r="L837" s="23" t="s">
        <v>112</v>
      </c>
      <c r="M837" s="32">
        <v>25.2</v>
      </c>
      <c r="N837" s="32">
        <v>25.2</v>
      </c>
    </row>
    <row r="838" spans="1:14" hidden="1" x14ac:dyDescent="0.2">
      <c r="A838" s="35" t="s">
        <v>15</v>
      </c>
      <c r="B838" s="373">
        <f>SUM(B834:B837)</f>
        <v>8</v>
      </c>
      <c r="C838" s="628"/>
      <c r="D838" s="629"/>
      <c r="E838" s="371">
        <f>SUM(E834:E837)</f>
        <v>15</v>
      </c>
      <c r="F838" s="29">
        <f>(E838-B838)/B838</f>
        <v>0.875</v>
      </c>
      <c r="G838" s="630"/>
      <c r="H838" s="631"/>
      <c r="I838" s="631"/>
      <c r="J838" s="632"/>
      <c r="K838" s="66"/>
      <c r="L838" s="23"/>
      <c r="M838" s="23"/>
      <c r="N838" s="23"/>
    </row>
    <row r="839" spans="1:14" hidden="1" x14ac:dyDescent="0.2">
      <c r="C839" s="372"/>
    </row>
    <row r="840" spans="1:14" ht="12.75" customHeight="1" x14ac:dyDescent="0.2">
      <c r="A840" s="633" t="s">
        <v>182</v>
      </c>
      <c r="B840" s="634"/>
      <c r="C840" s="644" t="s">
        <v>141</v>
      </c>
      <c r="D840" s="644" t="s">
        <v>113</v>
      </c>
      <c r="E840" s="50" t="s">
        <v>18</v>
      </c>
      <c r="F840" s="67">
        <v>16</v>
      </c>
      <c r="G840" s="45" t="s">
        <v>16</v>
      </c>
      <c r="H840" s="58">
        <f>B847</f>
        <v>106</v>
      </c>
      <c r="I840" s="45" t="s">
        <v>17</v>
      </c>
      <c r="J840" s="63">
        <f>B847-E847</f>
        <v>-122.5</v>
      </c>
      <c r="K840" s="331">
        <f>(E847-B847)/B847</f>
        <v>1.1556603773584906</v>
      </c>
      <c r="L840" s="645"/>
      <c r="M840" s="645"/>
      <c r="N840" s="646"/>
    </row>
    <row r="841" spans="1:14" hidden="1" x14ac:dyDescent="0.2">
      <c r="A841" s="635"/>
      <c r="B841" s="636"/>
      <c r="C841" s="644"/>
      <c r="D841" s="644"/>
      <c r="E841" s="47"/>
      <c r="F841" s="279"/>
      <c r="G841" s="49"/>
      <c r="H841" s="59"/>
      <c r="I841" s="48"/>
      <c r="J841" s="64"/>
      <c r="K841" s="66"/>
      <c r="L841" s="23"/>
      <c r="M841" s="23"/>
      <c r="N841" s="23"/>
    </row>
    <row r="842" spans="1:14" ht="22.5" hidden="1" x14ac:dyDescent="0.2">
      <c r="A842" s="46"/>
      <c r="B842" s="33" t="s">
        <v>7</v>
      </c>
      <c r="C842" s="33"/>
      <c r="D842" s="33"/>
      <c r="E842" s="27" t="s">
        <v>8</v>
      </c>
      <c r="F842" s="28"/>
      <c r="G842" s="627" t="s">
        <v>14</v>
      </c>
      <c r="H842" s="627"/>
      <c r="I842" s="627"/>
      <c r="J842" s="627"/>
      <c r="K842" s="66"/>
      <c r="L842" s="23"/>
      <c r="M842" s="23"/>
      <c r="N842" s="23"/>
    </row>
    <row r="843" spans="1:14" hidden="1" x14ac:dyDescent="0.2">
      <c r="A843" s="28" t="s">
        <v>9</v>
      </c>
      <c r="B843" s="351">
        <v>10.5</v>
      </c>
      <c r="C843" s="628" t="s">
        <v>43</v>
      </c>
      <c r="D843" s="629"/>
      <c r="E843" s="421">
        <f>1+7.5+7.5+5+1</f>
        <v>22</v>
      </c>
      <c r="F843" s="29">
        <f>(E843-B843)/B843</f>
        <v>1.0952380952380953</v>
      </c>
      <c r="G843" s="630" t="s">
        <v>181</v>
      </c>
      <c r="H843" s="631"/>
      <c r="I843" s="631"/>
      <c r="J843" s="632"/>
      <c r="K843" s="66"/>
      <c r="L843" s="23"/>
      <c r="M843" s="32" t="s">
        <v>9</v>
      </c>
      <c r="N843" s="32" t="s">
        <v>10</v>
      </c>
    </row>
    <row r="844" spans="1:14" hidden="1" x14ac:dyDescent="0.2">
      <c r="A844" s="28" t="s">
        <v>10</v>
      </c>
      <c r="B844" s="351">
        <v>10.5</v>
      </c>
      <c r="C844" s="628" t="s">
        <v>43</v>
      </c>
      <c r="D844" s="629"/>
      <c r="E844" s="421">
        <f>2.5+3+2</f>
        <v>7.5</v>
      </c>
      <c r="F844" s="29">
        <v>0</v>
      </c>
      <c r="G844" s="630"/>
      <c r="H844" s="631"/>
      <c r="I844" s="631"/>
      <c r="J844" s="632"/>
      <c r="K844" s="66"/>
      <c r="L844" s="23" t="s">
        <v>110</v>
      </c>
      <c r="M844" s="32">
        <f>20.4+8.4</f>
        <v>28.799999999999997</v>
      </c>
      <c r="N844" s="32">
        <f>20.4+8.4</f>
        <v>28.799999999999997</v>
      </c>
    </row>
    <row r="845" spans="1:14" hidden="1" x14ac:dyDescent="0.2">
      <c r="A845" s="28" t="s">
        <v>11</v>
      </c>
      <c r="B845" s="351">
        <v>0</v>
      </c>
      <c r="C845" s="628" t="s">
        <v>43</v>
      </c>
      <c r="D845" s="629"/>
      <c r="E845" s="421">
        <v>12.5</v>
      </c>
      <c r="F845" s="29">
        <v>0</v>
      </c>
      <c r="G845" s="630"/>
      <c r="H845" s="631"/>
      <c r="I845" s="631"/>
      <c r="J845" s="632"/>
      <c r="K845" s="66"/>
      <c r="L845" s="23"/>
    </row>
    <row r="846" spans="1:14" hidden="1" x14ac:dyDescent="0.2">
      <c r="A846" s="28" t="s">
        <v>12</v>
      </c>
      <c r="B846" s="351">
        <v>85</v>
      </c>
      <c r="C846" s="628" t="s">
        <v>43</v>
      </c>
      <c r="D846" s="629"/>
      <c r="E846" s="419">
        <f>181+2.5+3</f>
        <v>186.5</v>
      </c>
      <c r="F846" s="29">
        <v>0</v>
      </c>
      <c r="G846" s="630"/>
      <c r="H846" s="631"/>
      <c r="I846" s="631"/>
      <c r="J846" s="632"/>
      <c r="K846" s="66"/>
      <c r="L846" s="23" t="s">
        <v>112</v>
      </c>
      <c r="M846" s="32">
        <v>25.2</v>
      </c>
      <c r="N846" s="32">
        <v>25.2</v>
      </c>
    </row>
    <row r="847" spans="1:14" hidden="1" x14ac:dyDescent="0.2">
      <c r="A847" s="35" t="s">
        <v>15</v>
      </c>
      <c r="B847" s="421">
        <f>SUM(B843:B846)</f>
        <v>106</v>
      </c>
      <c r="C847" s="628"/>
      <c r="D847" s="629"/>
      <c r="E847" s="419">
        <f>SUM(E843:E846)</f>
        <v>228.5</v>
      </c>
      <c r="F847" s="29">
        <f>(E847-B847)/B847</f>
        <v>1.1556603773584906</v>
      </c>
      <c r="G847" s="630"/>
      <c r="H847" s="631"/>
      <c r="I847" s="631"/>
      <c r="J847" s="632"/>
      <c r="K847" s="66"/>
      <c r="L847" s="23"/>
      <c r="M847" s="23"/>
      <c r="N847" s="23"/>
    </row>
    <row r="848" spans="1:14" x14ac:dyDescent="0.2">
      <c r="C848" s="420"/>
    </row>
    <row r="849" spans="1:14" ht="12.75" customHeight="1" x14ac:dyDescent="0.2">
      <c r="A849" s="633" t="s">
        <v>193</v>
      </c>
      <c r="B849" s="634"/>
      <c r="C849" s="644" t="s">
        <v>141</v>
      </c>
      <c r="D849" s="644" t="s">
        <v>113</v>
      </c>
      <c r="E849" s="50" t="s">
        <v>18</v>
      </c>
      <c r="F849" s="67">
        <v>1</v>
      </c>
      <c r="G849" s="45" t="s">
        <v>16</v>
      </c>
      <c r="H849" s="58">
        <f>B856</f>
        <v>8</v>
      </c>
      <c r="I849" s="45" t="s">
        <v>17</v>
      </c>
      <c r="J849" s="63">
        <f>B856-E856</f>
        <v>8</v>
      </c>
      <c r="K849" s="331">
        <f>(E856-B856)/B856</f>
        <v>-1</v>
      </c>
      <c r="L849" s="645"/>
      <c r="M849" s="645"/>
      <c r="N849" s="646"/>
    </row>
    <row r="850" spans="1:14" hidden="1" x14ac:dyDescent="0.2">
      <c r="A850" s="635"/>
      <c r="B850" s="636"/>
      <c r="C850" s="644"/>
      <c r="D850" s="644"/>
      <c r="E850" s="47"/>
      <c r="F850" s="279"/>
      <c r="G850" s="49"/>
      <c r="H850" s="59"/>
      <c r="I850" s="48"/>
      <c r="J850" s="64"/>
      <c r="K850" s="66"/>
      <c r="L850" s="23"/>
      <c r="M850" s="23"/>
      <c r="N850" s="23"/>
    </row>
    <row r="851" spans="1:14" ht="22.5" hidden="1" x14ac:dyDescent="0.2">
      <c r="A851" s="46"/>
      <c r="B851" s="33" t="s">
        <v>7</v>
      </c>
      <c r="C851" s="33"/>
      <c r="D851" s="33"/>
      <c r="E851" s="27" t="s">
        <v>8</v>
      </c>
      <c r="F851" s="28"/>
      <c r="G851" s="627" t="s">
        <v>14</v>
      </c>
      <c r="H851" s="627"/>
      <c r="I851" s="627"/>
      <c r="J851" s="627"/>
      <c r="K851" s="66"/>
      <c r="L851" s="23"/>
      <c r="M851" s="23"/>
      <c r="N851" s="23"/>
    </row>
    <row r="852" spans="1:14" hidden="1" x14ac:dyDescent="0.2">
      <c r="A852" s="28" t="s">
        <v>9</v>
      </c>
      <c r="B852" s="351">
        <v>0.5</v>
      </c>
      <c r="C852" s="628"/>
      <c r="D852" s="629"/>
      <c r="E852" s="442"/>
      <c r="F852" s="29">
        <f>(E852-B852)/B852</f>
        <v>-1</v>
      </c>
      <c r="G852" s="630"/>
      <c r="H852" s="631"/>
      <c r="I852" s="631"/>
      <c r="J852" s="632"/>
      <c r="K852" s="66"/>
      <c r="L852" s="23"/>
      <c r="M852" s="32" t="s">
        <v>9</v>
      </c>
      <c r="N852" s="32" t="s">
        <v>10</v>
      </c>
    </row>
    <row r="853" spans="1:14" hidden="1" x14ac:dyDescent="0.2">
      <c r="A853" s="28" t="s">
        <v>10</v>
      </c>
      <c r="B853" s="351">
        <v>0.5</v>
      </c>
      <c r="C853" s="628"/>
      <c r="D853" s="629"/>
      <c r="E853" s="442"/>
      <c r="F853" s="29">
        <f t="shared" ref="F853:F855" si="33">(E853-B853)/B853</f>
        <v>-1</v>
      </c>
      <c r="G853" s="630"/>
      <c r="H853" s="631"/>
      <c r="I853" s="631"/>
      <c r="J853" s="632"/>
      <c r="K853" s="66"/>
      <c r="L853" s="23" t="s">
        <v>110</v>
      </c>
      <c r="M853" s="32">
        <f>20.4+8.4</f>
        <v>28.799999999999997</v>
      </c>
      <c r="N853" s="32">
        <f>20.4+8.4</f>
        <v>28.799999999999997</v>
      </c>
    </row>
    <row r="854" spans="1:14" hidden="1" x14ac:dyDescent="0.2">
      <c r="A854" s="28" t="s">
        <v>11</v>
      </c>
      <c r="B854" s="351">
        <v>0</v>
      </c>
      <c r="C854" s="628"/>
      <c r="D854" s="629"/>
      <c r="E854" s="442"/>
      <c r="F854" s="29">
        <v>0</v>
      </c>
      <c r="G854" s="630"/>
      <c r="H854" s="631"/>
      <c r="I854" s="631"/>
      <c r="J854" s="632"/>
      <c r="K854" s="66"/>
      <c r="L854" s="23"/>
    </row>
    <row r="855" spans="1:14" hidden="1" x14ac:dyDescent="0.2">
      <c r="A855" s="28" t="s">
        <v>12</v>
      </c>
      <c r="B855" s="351">
        <v>7</v>
      </c>
      <c r="C855" s="628"/>
      <c r="D855" s="629"/>
      <c r="E855" s="440"/>
      <c r="F855" s="29">
        <f t="shared" si="33"/>
        <v>-1</v>
      </c>
      <c r="G855" s="630"/>
      <c r="H855" s="631"/>
      <c r="I855" s="631"/>
      <c r="J855" s="632"/>
      <c r="K855" s="66"/>
      <c r="L855" s="23" t="s">
        <v>112</v>
      </c>
      <c r="M855" s="32">
        <v>25.2</v>
      </c>
      <c r="N855" s="32">
        <v>25.2</v>
      </c>
    </row>
    <row r="856" spans="1:14" hidden="1" x14ac:dyDescent="0.2">
      <c r="A856" s="35" t="s">
        <v>15</v>
      </c>
      <c r="B856" s="442">
        <f>SUM(B852:B855)</f>
        <v>8</v>
      </c>
      <c r="C856" s="628"/>
      <c r="D856" s="629"/>
      <c r="E856" s="440">
        <f>SUM(E852:E855)</f>
        <v>0</v>
      </c>
      <c r="F856" s="29">
        <f>(E856-B856)/B856</f>
        <v>-1</v>
      </c>
      <c r="G856" s="630"/>
      <c r="H856" s="631"/>
      <c r="I856" s="631"/>
      <c r="J856" s="632"/>
      <c r="K856" s="66"/>
      <c r="L856" s="23"/>
      <c r="M856" s="23"/>
      <c r="N856" s="23"/>
    </row>
    <row r="857" spans="1:14" x14ac:dyDescent="0.2">
      <c r="C857" s="441"/>
    </row>
    <row r="858" spans="1:14" ht="12.75" customHeight="1" x14ac:dyDescent="0.2">
      <c r="A858" s="633" t="s">
        <v>204</v>
      </c>
      <c r="B858" s="634"/>
      <c r="C858" s="644" t="s">
        <v>141</v>
      </c>
      <c r="D858" s="653"/>
      <c r="E858" s="50" t="s">
        <v>18</v>
      </c>
      <c r="F858" s="67">
        <v>1</v>
      </c>
      <c r="G858" s="45" t="s">
        <v>16</v>
      </c>
      <c r="H858" s="58">
        <f>B865</f>
        <v>5.5</v>
      </c>
      <c r="I858" s="45" t="s">
        <v>17</v>
      </c>
      <c r="J858" s="63">
        <f>B865-E865</f>
        <v>5.5</v>
      </c>
      <c r="K858" s="331">
        <f>(E865-B865)/B865</f>
        <v>-1</v>
      </c>
      <c r="L858" s="642"/>
      <c r="M858" s="642"/>
      <c r="N858" s="643"/>
    </row>
    <row r="859" spans="1:14" hidden="1" x14ac:dyDescent="0.2">
      <c r="A859" s="635"/>
      <c r="B859" s="636"/>
      <c r="C859" s="644"/>
      <c r="D859" s="654"/>
      <c r="E859" s="47"/>
      <c r="F859" s="279"/>
      <c r="G859" s="49"/>
      <c r="H859" s="59"/>
      <c r="I859" s="48"/>
      <c r="J859" s="64"/>
      <c r="K859" s="66"/>
      <c r="L859" s="23"/>
      <c r="M859" s="23"/>
      <c r="N859" s="23"/>
    </row>
    <row r="860" spans="1:14" ht="22.5" hidden="1" x14ac:dyDescent="0.2">
      <c r="A860" s="46"/>
      <c r="B860" s="33" t="s">
        <v>7</v>
      </c>
      <c r="C860" s="33"/>
      <c r="D860" s="33"/>
      <c r="E860" s="27" t="s">
        <v>8</v>
      </c>
      <c r="F860" s="28"/>
      <c r="G860" s="627" t="s">
        <v>14</v>
      </c>
      <c r="H860" s="627"/>
      <c r="I860" s="627"/>
      <c r="J860" s="627"/>
      <c r="K860" s="66"/>
      <c r="L860" s="23"/>
      <c r="M860" s="23"/>
      <c r="N860" s="23"/>
    </row>
    <row r="861" spans="1:14" hidden="1" x14ac:dyDescent="0.2">
      <c r="A861" s="28" t="s">
        <v>9</v>
      </c>
      <c r="B861" s="351">
        <v>0.5</v>
      </c>
      <c r="C861" s="628"/>
      <c r="D861" s="629"/>
      <c r="E861" s="484"/>
      <c r="F861" s="29">
        <f>(E861-B861)/B861</f>
        <v>-1</v>
      </c>
      <c r="G861" s="630"/>
      <c r="H861" s="631"/>
      <c r="I861" s="631"/>
      <c r="J861" s="632"/>
      <c r="K861" s="66"/>
      <c r="L861" s="23"/>
      <c r="M861" s="32" t="s">
        <v>9</v>
      </c>
      <c r="N861" s="32" t="s">
        <v>10</v>
      </c>
    </row>
    <row r="862" spans="1:14" hidden="1" x14ac:dyDescent="0.2">
      <c r="A862" s="28" t="s">
        <v>10</v>
      </c>
      <c r="B862" s="351">
        <v>0.5</v>
      </c>
      <c r="C862" s="628"/>
      <c r="D862" s="629"/>
      <c r="E862" s="484"/>
      <c r="F862" s="29">
        <f t="shared" ref="F862" si="34">(E862-B862)/B862</f>
        <v>-1</v>
      </c>
      <c r="G862" s="630"/>
      <c r="H862" s="631"/>
      <c r="I862" s="631"/>
      <c r="J862" s="632"/>
      <c r="K862" s="66"/>
      <c r="L862" s="23" t="s">
        <v>110</v>
      </c>
      <c r="M862" s="32">
        <f>20.4+8.4</f>
        <v>28.799999999999997</v>
      </c>
      <c r="N862" s="32">
        <f>20.4+8.4</f>
        <v>28.799999999999997</v>
      </c>
    </row>
    <row r="863" spans="1:14" hidden="1" x14ac:dyDescent="0.2">
      <c r="A863" s="28" t="s">
        <v>11</v>
      </c>
      <c r="B863" s="351">
        <v>0</v>
      </c>
      <c r="C863" s="628"/>
      <c r="D863" s="629"/>
      <c r="E863" s="484"/>
      <c r="F863" s="29">
        <v>0</v>
      </c>
      <c r="G863" s="630"/>
      <c r="H863" s="631"/>
      <c r="I863" s="631"/>
      <c r="J863" s="632"/>
      <c r="K863" s="66"/>
      <c r="L863" s="23"/>
    </row>
    <row r="864" spans="1:14" hidden="1" x14ac:dyDescent="0.2">
      <c r="A864" s="28" t="s">
        <v>12</v>
      </c>
      <c r="B864" s="351">
        <v>4.5</v>
      </c>
      <c r="C864" s="628"/>
      <c r="D864" s="629"/>
      <c r="E864" s="481"/>
      <c r="F864" s="29">
        <f t="shared" ref="F864" si="35">(E864-B864)/B864</f>
        <v>-1</v>
      </c>
      <c r="G864" s="630"/>
      <c r="H864" s="631"/>
      <c r="I864" s="631"/>
      <c r="J864" s="632"/>
      <c r="K864" s="66"/>
      <c r="L864" s="23" t="s">
        <v>112</v>
      </c>
      <c r="M864" s="32">
        <v>25.2</v>
      </c>
      <c r="N864" s="32">
        <v>25.2</v>
      </c>
    </row>
    <row r="865" spans="1:14" hidden="1" x14ac:dyDescent="0.2">
      <c r="A865" s="35" t="s">
        <v>15</v>
      </c>
      <c r="B865" s="484">
        <f>SUM(B861:B864)</f>
        <v>5.5</v>
      </c>
      <c r="C865" s="628"/>
      <c r="D865" s="629"/>
      <c r="E865" s="481">
        <f>SUM(E861:E864)</f>
        <v>0</v>
      </c>
      <c r="F865" s="29">
        <f>(E865-B865)/B865</f>
        <v>-1</v>
      </c>
      <c r="G865" s="630"/>
      <c r="H865" s="631"/>
      <c r="I865" s="631"/>
      <c r="J865" s="632"/>
      <c r="K865" s="66"/>
      <c r="L865" s="23"/>
      <c r="M865" s="23"/>
      <c r="N865" s="23"/>
    </row>
    <row r="866" spans="1:14" x14ac:dyDescent="0.2">
      <c r="C866" s="482"/>
    </row>
    <row r="867" spans="1:14" ht="12.75" customHeight="1" x14ac:dyDescent="0.2">
      <c r="A867" s="633" t="s">
        <v>189</v>
      </c>
      <c r="B867" s="634"/>
      <c r="C867" s="644" t="s">
        <v>141</v>
      </c>
      <c r="D867" s="644" t="s">
        <v>113</v>
      </c>
      <c r="E867" s="50" t="s">
        <v>18</v>
      </c>
      <c r="F867" s="67">
        <v>17</v>
      </c>
      <c r="G867" s="45" t="s">
        <v>16</v>
      </c>
      <c r="H867" s="58">
        <f>B874</f>
        <v>148.5</v>
      </c>
      <c r="I867" s="45" t="s">
        <v>17</v>
      </c>
      <c r="J867" s="63">
        <f>B874-E874</f>
        <v>-69.75</v>
      </c>
      <c r="K867" s="331">
        <f>(E874-B874)/B874</f>
        <v>0.46969696969696972</v>
      </c>
      <c r="L867" s="651"/>
      <c r="M867" s="651"/>
      <c r="N867" s="652"/>
    </row>
    <row r="868" spans="1:14" hidden="1" x14ac:dyDescent="0.2">
      <c r="A868" s="635"/>
      <c r="B868" s="636"/>
      <c r="C868" s="644"/>
      <c r="D868" s="644"/>
      <c r="E868" s="47"/>
      <c r="F868" s="279"/>
      <c r="G868" s="49"/>
      <c r="H868" s="59"/>
      <c r="I868" s="48"/>
      <c r="J868" s="64"/>
      <c r="K868" s="66"/>
      <c r="L868" s="23"/>
      <c r="M868" s="23"/>
      <c r="N868" s="23"/>
    </row>
    <row r="869" spans="1:14" ht="22.5" hidden="1" x14ac:dyDescent="0.2">
      <c r="A869" s="46"/>
      <c r="B869" s="33" t="s">
        <v>7</v>
      </c>
      <c r="C869" s="33"/>
      <c r="D869" s="33"/>
      <c r="E869" s="27" t="s">
        <v>8</v>
      </c>
      <c r="F869" s="28"/>
      <c r="G869" s="627" t="s">
        <v>14</v>
      </c>
      <c r="H869" s="627"/>
      <c r="I869" s="627"/>
      <c r="J869" s="627"/>
      <c r="K869" s="66"/>
      <c r="L869" s="23"/>
      <c r="M869" s="23"/>
      <c r="N869" s="23"/>
    </row>
    <row r="870" spans="1:14" hidden="1" x14ac:dyDescent="0.2">
      <c r="A870" s="28" t="s">
        <v>9</v>
      </c>
      <c r="B870" s="351">
        <v>14.85</v>
      </c>
      <c r="C870" s="628" t="s">
        <v>44</v>
      </c>
      <c r="D870" s="629"/>
      <c r="E870" s="430">
        <f>4.25+7</f>
        <v>11.25</v>
      </c>
      <c r="F870" s="29">
        <f>(E870-B870)/B870</f>
        <v>-0.2424242424242424</v>
      </c>
      <c r="G870" s="630"/>
      <c r="H870" s="631"/>
      <c r="I870" s="631"/>
      <c r="J870" s="632"/>
      <c r="K870" s="66"/>
      <c r="L870" s="23"/>
      <c r="M870" s="32" t="s">
        <v>9</v>
      </c>
      <c r="N870" s="32" t="s">
        <v>10</v>
      </c>
    </row>
    <row r="871" spans="1:14" hidden="1" x14ac:dyDescent="0.2">
      <c r="A871" s="28" t="s">
        <v>10</v>
      </c>
      <c r="B871" s="351">
        <v>14.85</v>
      </c>
      <c r="C871" s="628" t="s">
        <v>43</v>
      </c>
      <c r="D871" s="629"/>
      <c r="E871" s="430">
        <v>18</v>
      </c>
      <c r="F871" s="29">
        <f t="shared" ref="F871:F873" si="36">(E871-B871)/B871</f>
        <v>0.21212121212121215</v>
      </c>
      <c r="G871" s="630"/>
      <c r="H871" s="631"/>
      <c r="I871" s="631"/>
      <c r="J871" s="632"/>
      <c r="K871" s="66"/>
      <c r="L871" s="23" t="s">
        <v>110</v>
      </c>
      <c r="M871" s="32">
        <f>20.4+8.4</f>
        <v>28.799999999999997</v>
      </c>
      <c r="N871" s="32">
        <f>20.4+8.4</f>
        <v>28.799999999999997</v>
      </c>
    </row>
    <row r="872" spans="1:14" hidden="1" x14ac:dyDescent="0.2">
      <c r="A872" s="28" t="s">
        <v>11</v>
      </c>
      <c r="B872" s="351">
        <v>14.85</v>
      </c>
      <c r="C872" s="628" t="s">
        <v>43</v>
      </c>
      <c r="D872" s="629"/>
      <c r="E872" s="430">
        <v>58.75</v>
      </c>
      <c r="F872" s="29">
        <f t="shared" si="36"/>
        <v>2.9562289562289563</v>
      </c>
      <c r="G872" s="630"/>
      <c r="H872" s="631"/>
      <c r="I872" s="631"/>
      <c r="J872" s="632"/>
      <c r="K872" s="66"/>
      <c r="L872" s="23"/>
    </row>
    <row r="873" spans="1:14" hidden="1" x14ac:dyDescent="0.2">
      <c r="A873" s="28" t="s">
        <v>12</v>
      </c>
      <c r="B873" s="351">
        <v>103.95</v>
      </c>
      <c r="C873" s="628" t="s">
        <v>44</v>
      </c>
      <c r="D873" s="629"/>
      <c r="E873" s="429">
        <f>125.25+2+1.5+1.5</f>
        <v>130.25</v>
      </c>
      <c r="F873" s="29">
        <f t="shared" si="36"/>
        <v>0.25300625300625296</v>
      </c>
      <c r="G873" s="630" t="s">
        <v>226</v>
      </c>
      <c r="H873" s="631"/>
      <c r="I873" s="631"/>
      <c r="J873" s="632"/>
      <c r="K873" s="66"/>
      <c r="L873" s="23" t="s">
        <v>112</v>
      </c>
      <c r="M873" s="32">
        <v>25.2</v>
      </c>
      <c r="N873" s="32">
        <v>25.2</v>
      </c>
    </row>
    <row r="874" spans="1:14" hidden="1" x14ac:dyDescent="0.2">
      <c r="A874" s="35" t="s">
        <v>15</v>
      </c>
      <c r="B874" s="430">
        <f>SUM(B870:B873)</f>
        <v>148.5</v>
      </c>
      <c r="C874" s="628"/>
      <c r="D874" s="629"/>
      <c r="E874" s="429">
        <f>SUM(E870:E873)</f>
        <v>218.25</v>
      </c>
      <c r="F874" s="29">
        <f>(E874-B874)/B874</f>
        <v>0.46969696969696972</v>
      </c>
      <c r="G874" s="630"/>
      <c r="H874" s="631"/>
      <c r="I874" s="631"/>
      <c r="J874" s="632"/>
      <c r="K874" s="66"/>
      <c r="L874" s="23"/>
      <c r="M874" s="23"/>
      <c r="N874" s="23"/>
    </row>
    <row r="875" spans="1:14" x14ac:dyDescent="0.2">
      <c r="C875" s="420"/>
    </row>
    <row r="876" spans="1:14" ht="12.75" customHeight="1" x14ac:dyDescent="0.2">
      <c r="A876" s="633" t="s">
        <v>191</v>
      </c>
      <c r="B876" s="634"/>
      <c r="C876" s="644" t="s">
        <v>141</v>
      </c>
      <c r="D876" s="644" t="s">
        <v>113</v>
      </c>
      <c r="E876" s="50" t="s">
        <v>18</v>
      </c>
      <c r="F876" s="67">
        <v>1</v>
      </c>
      <c r="G876" s="45" t="s">
        <v>16</v>
      </c>
      <c r="H876" s="58">
        <f>B883</f>
        <v>6</v>
      </c>
      <c r="I876" s="45" t="s">
        <v>17</v>
      </c>
      <c r="J876" s="63">
        <f>B883-E883</f>
        <v>-0.75</v>
      </c>
      <c r="K876" s="331">
        <f>(E883-B883)/B883</f>
        <v>0.125</v>
      </c>
      <c r="L876" s="645"/>
      <c r="M876" s="645"/>
      <c r="N876" s="646"/>
    </row>
    <row r="877" spans="1:14" hidden="1" x14ac:dyDescent="0.2">
      <c r="A877" s="635"/>
      <c r="B877" s="636"/>
      <c r="C877" s="644"/>
      <c r="D877" s="644"/>
      <c r="E877" s="47"/>
      <c r="F877" s="279"/>
      <c r="G877" s="49"/>
      <c r="H877" s="59"/>
      <c r="I877" s="48"/>
      <c r="J877" s="64"/>
      <c r="K877" s="66"/>
      <c r="L877" s="23"/>
      <c r="M877" s="23"/>
      <c r="N877" s="23"/>
    </row>
    <row r="878" spans="1:14" ht="22.5" hidden="1" x14ac:dyDescent="0.2">
      <c r="A878" s="46"/>
      <c r="B878" s="33" t="s">
        <v>7</v>
      </c>
      <c r="C878" s="33"/>
      <c r="D878" s="33"/>
      <c r="E878" s="27" t="s">
        <v>8</v>
      </c>
      <c r="F878" s="28"/>
      <c r="G878" s="627" t="s">
        <v>14</v>
      </c>
      <c r="H878" s="627"/>
      <c r="I878" s="627"/>
      <c r="J878" s="627"/>
      <c r="K878" s="66"/>
      <c r="L878" s="23"/>
      <c r="M878" s="23"/>
      <c r="N878" s="23"/>
    </row>
    <row r="879" spans="1:14" hidden="1" x14ac:dyDescent="0.2">
      <c r="A879" s="28" t="s">
        <v>9</v>
      </c>
      <c r="B879" s="351">
        <v>0.5</v>
      </c>
      <c r="C879" s="628" t="s">
        <v>43</v>
      </c>
      <c r="D879" s="629"/>
      <c r="E879" s="435">
        <f>1.5+0.25</f>
        <v>1.75</v>
      </c>
      <c r="F879" s="29">
        <f>(E879-B879)/B879</f>
        <v>2.5</v>
      </c>
      <c r="G879" s="630" t="s">
        <v>50</v>
      </c>
      <c r="H879" s="631"/>
      <c r="I879" s="631"/>
      <c r="J879" s="632"/>
      <c r="K879" s="66"/>
      <c r="L879" s="23"/>
      <c r="M879" s="32" t="s">
        <v>9</v>
      </c>
      <c r="N879" s="32" t="s">
        <v>10</v>
      </c>
    </row>
    <row r="880" spans="1:14" hidden="1" x14ac:dyDescent="0.2">
      <c r="A880" s="28" t="s">
        <v>10</v>
      </c>
      <c r="B880" s="351">
        <v>0.5</v>
      </c>
      <c r="C880" s="628" t="s">
        <v>43</v>
      </c>
      <c r="D880" s="629"/>
      <c r="E880" s="435"/>
      <c r="F880" s="29">
        <f t="shared" ref="F880:F882" si="37">(E880-B880)/B880</f>
        <v>-1</v>
      </c>
      <c r="G880" s="630"/>
      <c r="H880" s="631"/>
      <c r="I880" s="631"/>
      <c r="J880" s="632"/>
      <c r="K880" s="66"/>
      <c r="L880" s="23" t="s">
        <v>110</v>
      </c>
      <c r="M880" s="32">
        <f>20.4+8.4</f>
        <v>28.799999999999997</v>
      </c>
      <c r="N880" s="32">
        <f>20.4+8.4</f>
        <v>28.799999999999997</v>
      </c>
    </row>
    <row r="881" spans="1:14" hidden="1" x14ac:dyDescent="0.2">
      <c r="A881" s="28" t="s">
        <v>11</v>
      </c>
      <c r="B881" s="351">
        <v>0</v>
      </c>
      <c r="C881" s="628" t="s">
        <v>43</v>
      </c>
      <c r="D881" s="629"/>
      <c r="E881" s="435"/>
      <c r="F881" s="29">
        <v>0</v>
      </c>
      <c r="G881" s="630"/>
      <c r="H881" s="631"/>
      <c r="I881" s="631"/>
      <c r="J881" s="632"/>
      <c r="K881" s="66"/>
      <c r="L881" s="23"/>
    </row>
    <row r="882" spans="1:14" hidden="1" x14ac:dyDescent="0.2">
      <c r="A882" s="28" t="s">
        <v>12</v>
      </c>
      <c r="B882" s="351">
        <v>5</v>
      </c>
      <c r="C882" s="628" t="s">
        <v>43</v>
      </c>
      <c r="D882" s="629"/>
      <c r="E882" s="433">
        <f>3+1+1</f>
        <v>5</v>
      </c>
      <c r="F882" s="29">
        <f t="shared" si="37"/>
        <v>0</v>
      </c>
      <c r="G882" s="630"/>
      <c r="H882" s="631"/>
      <c r="I882" s="631"/>
      <c r="J882" s="632"/>
      <c r="K882" s="66"/>
      <c r="L882" s="23" t="s">
        <v>112</v>
      </c>
      <c r="M882" s="32">
        <v>25.2</v>
      </c>
      <c r="N882" s="32">
        <v>25.2</v>
      </c>
    </row>
    <row r="883" spans="1:14" hidden="1" x14ac:dyDescent="0.2">
      <c r="A883" s="35" t="s">
        <v>15</v>
      </c>
      <c r="B883" s="435">
        <f>SUM(B879:B882)</f>
        <v>6</v>
      </c>
      <c r="C883" s="628"/>
      <c r="D883" s="629"/>
      <c r="E883" s="433">
        <f>SUM(E879:E882)</f>
        <v>6.75</v>
      </c>
      <c r="F883" s="29">
        <f>(E883-B883)/B883</f>
        <v>0.125</v>
      </c>
      <c r="G883" s="630"/>
      <c r="H883" s="631"/>
      <c r="I883" s="631"/>
      <c r="J883" s="632"/>
      <c r="K883" s="66"/>
      <c r="L883" s="23"/>
      <c r="M883" s="23"/>
      <c r="N883" s="23"/>
    </row>
    <row r="884" spans="1:14" x14ac:dyDescent="0.2">
      <c r="C884" s="434"/>
    </row>
    <row r="885" spans="1:14" ht="12.75" customHeight="1" x14ac:dyDescent="0.2">
      <c r="A885" s="633" t="s">
        <v>192</v>
      </c>
      <c r="B885" s="634"/>
      <c r="C885" s="644" t="s">
        <v>141</v>
      </c>
      <c r="D885" s="644" t="s">
        <v>113</v>
      </c>
      <c r="E885" s="50" t="s">
        <v>18</v>
      </c>
      <c r="F885" s="67">
        <v>6</v>
      </c>
      <c r="G885" s="45" t="s">
        <v>16</v>
      </c>
      <c r="H885" s="58">
        <f>B892</f>
        <v>36</v>
      </c>
      <c r="I885" s="45" t="s">
        <v>17</v>
      </c>
      <c r="J885" s="63">
        <f>B892-E892</f>
        <v>-0.25</v>
      </c>
      <c r="K885" s="331">
        <f>(E892-B892)/B892</f>
        <v>6.9444444444444441E-3</v>
      </c>
      <c r="L885" s="645"/>
      <c r="M885" s="645"/>
      <c r="N885" s="646"/>
    </row>
    <row r="886" spans="1:14" hidden="1" x14ac:dyDescent="0.2">
      <c r="A886" s="635"/>
      <c r="B886" s="636"/>
      <c r="C886" s="644"/>
      <c r="D886" s="644"/>
      <c r="E886" s="47"/>
      <c r="F886" s="279"/>
      <c r="G886" s="49"/>
      <c r="H886" s="59"/>
      <c r="I886" s="48"/>
      <c r="J886" s="64"/>
      <c r="K886" s="66"/>
      <c r="L886" s="23"/>
      <c r="M886" s="23"/>
      <c r="N886" s="23"/>
    </row>
    <row r="887" spans="1:14" ht="22.5" hidden="1" x14ac:dyDescent="0.2">
      <c r="A887" s="46"/>
      <c r="B887" s="33" t="s">
        <v>7</v>
      </c>
      <c r="C887" s="33"/>
      <c r="D887" s="33"/>
      <c r="E887" s="27" t="s">
        <v>8</v>
      </c>
      <c r="F887" s="28"/>
      <c r="G887" s="627" t="s">
        <v>14</v>
      </c>
      <c r="H887" s="627"/>
      <c r="I887" s="627"/>
      <c r="J887" s="627"/>
      <c r="K887" s="66"/>
      <c r="L887" s="23"/>
      <c r="M887" s="23"/>
      <c r="N887" s="23"/>
    </row>
    <row r="888" spans="1:14" hidden="1" x14ac:dyDescent="0.2">
      <c r="A888" s="28" t="s">
        <v>9</v>
      </c>
      <c r="B888" s="351">
        <v>3.6</v>
      </c>
      <c r="C888" s="628" t="s">
        <v>43</v>
      </c>
      <c r="D888" s="629"/>
      <c r="E888" s="435">
        <f>3+1</f>
        <v>4</v>
      </c>
      <c r="F888" s="29">
        <f>(E888-B888)/B888</f>
        <v>0.11111111111111108</v>
      </c>
      <c r="G888" s="630"/>
      <c r="H888" s="631"/>
      <c r="I888" s="631"/>
      <c r="J888" s="632"/>
      <c r="K888" s="66"/>
      <c r="L888" s="23"/>
      <c r="M888" s="32" t="s">
        <v>9</v>
      </c>
      <c r="N888" s="32" t="s">
        <v>10</v>
      </c>
    </row>
    <row r="889" spans="1:14" hidden="1" x14ac:dyDescent="0.2">
      <c r="A889" s="28" t="s">
        <v>10</v>
      </c>
      <c r="B889" s="351">
        <v>3.6</v>
      </c>
      <c r="C889" s="628" t="s">
        <v>43</v>
      </c>
      <c r="D889" s="629"/>
      <c r="E889" s="435">
        <f>3+0.5</f>
        <v>3.5</v>
      </c>
      <c r="F889" s="29">
        <f t="shared" ref="F889" si="38">(E889-B889)/B889</f>
        <v>-2.7777777777777801E-2</v>
      </c>
      <c r="G889" s="630"/>
      <c r="H889" s="631"/>
      <c r="I889" s="631"/>
      <c r="J889" s="632"/>
      <c r="K889" s="66"/>
      <c r="L889" s="23" t="s">
        <v>110</v>
      </c>
      <c r="M889" s="32">
        <f>20.4+8.4</f>
        <v>28.799999999999997</v>
      </c>
      <c r="N889" s="32">
        <f>20.4+8.4</f>
        <v>28.799999999999997</v>
      </c>
    </row>
    <row r="890" spans="1:14" hidden="1" x14ac:dyDescent="0.2">
      <c r="A890" s="28" t="s">
        <v>11</v>
      </c>
      <c r="B890" s="351">
        <v>0</v>
      </c>
      <c r="C890" s="628" t="s">
        <v>43</v>
      </c>
      <c r="D890" s="629"/>
      <c r="E890" s="435"/>
      <c r="F890" s="29">
        <v>0</v>
      </c>
      <c r="G890" s="630"/>
      <c r="H890" s="631"/>
      <c r="I890" s="631"/>
      <c r="J890" s="632"/>
      <c r="K890" s="66"/>
      <c r="L890" s="23"/>
    </row>
    <row r="891" spans="1:14" hidden="1" x14ac:dyDescent="0.2">
      <c r="A891" s="28" t="s">
        <v>12</v>
      </c>
      <c r="B891" s="351">
        <v>28.8</v>
      </c>
      <c r="C891" s="628" t="s">
        <v>43</v>
      </c>
      <c r="D891" s="629"/>
      <c r="E891" s="433">
        <f>3+2+5+2.25+1+5.25+8.25+2</f>
        <v>28.75</v>
      </c>
      <c r="F891" s="29">
        <f t="shared" ref="F891" si="39">(E891-B891)/B891</f>
        <v>-1.7361111111111357E-3</v>
      </c>
      <c r="G891" s="630"/>
      <c r="H891" s="631"/>
      <c r="I891" s="631"/>
      <c r="J891" s="632"/>
      <c r="K891" s="66"/>
      <c r="L891" s="23" t="s">
        <v>112</v>
      </c>
      <c r="M891" s="32">
        <v>25.2</v>
      </c>
      <c r="N891" s="32">
        <v>25.2</v>
      </c>
    </row>
    <row r="892" spans="1:14" hidden="1" x14ac:dyDescent="0.2">
      <c r="A892" s="35" t="s">
        <v>15</v>
      </c>
      <c r="B892" s="435">
        <f>SUM(B888:B891)</f>
        <v>36</v>
      </c>
      <c r="C892" s="628"/>
      <c r="D892" s="629"/>
      <c r="E892" s="433">
        <f>SUM(E888:E891)</f>
        <v>36.25</v>
      </c>
      <c r="F892" s="29">
        <f>(E892-B892)/B892</f>
        <v>6.9444444444444441E-3</v>
      </c>
      <c r="G892" s="630"/>
      <c r="H892" s="631"/>
      <c r="I892" s="631"/>
      <c r="J892" s="632"/>
      <c r="K892" s="66"/>
      <c r="L892" s="23"/>
      <c r="M892" s="23"/>
      <c r="N892" s="23"/>
    </row>
    <row r="893" spans="1:14" x14ac:dyDescent="0.2">
      <c r="C893" s="434"/>
    </row>
    <row r="894" spans="1:14" ht="12.75" hidden="1" customHeight="1" x14ac:dyDescent="0.2">
      <c r="A894" s="633" t="s">
        <v>196</v>
      </c>
      <c r="B894" s="634"/>
      <c r="C894" s="644" t="s">
        <v>141</v>
      </c>
      <c r="D894" s="644" t="s">
        <v>113</v>
      </c>
      <c r="E894" s="50" t="s">
        <v>18</v>
      </c>
      <c r="F894" s="67">
        <v>5</v>
      </c>
      <c r="G894" s="45" t="s">
        <v>16</v>
      </c>
      <c r="H894" s="58">
        <f>B901</f>
        <v>20</v>
      </c>
      <c r="I894" s="45" t="s">
        <v>17</v>
      </c>
      <c r="J894" s="63">
        <f>B901-E901</f>
        <v>-7.5</v>
      </c>
      <c r="K894" s="331">
        <f>(E901-B901)/B901</f>
        <v>0.375</v>
      </c>
      <c r="L894" s="645"/>
      <c r="M894" s="645"/>
      <c r="N894" s="646"/>
    </row>
    <row r="895" spans="1:14" hidden="1" x14ac:dyDescent="0.2">
      <c r="A895" s="635"/>
      <c r="B895" s="636"/>
      <c r="C895" s="644"/>
      <c r="D895" s="644"/>
      <c r="E895" s="47"/>
      <c r="F895" s="279"/>
      <c r="G895" s="49"/>
      <c r="H895" s="59"/>
      <c r="I895" s="48"/>
      <c r="J895" s="64"/>
      <c r="K895" s="66"/>
      <c r="L895" s="23"/>
      <c r="M895" s="23"/>
      <c r="N895" s="23"/>
    </row>
    <row r="896" spans="1:14" ht="22.5" hidden="1" x14ac:dyDescent="0.2">
      <c r="A896" s="46"/>
      <c r="B896" s="33" t="s">
        <v>7</v>
      </c>
      <c r="C896" s="33"/>
      <c r="D896" s="33"/>
      <c r="E896" s="27" t="s">
        <v>8</v>
      </c>
      <c r="F896" s="28"/>
      <c r="G896" s="627" t="s">
        <v>14</v>
      </c>
      <c r="H896" s="627"/>
      <c r="I896" s="627"/>
      <c r="J896" s="627"/>
      <c r="K896" s="66"/>
      <c r="L896" s="23"/>
      <c r="M896" s="23"/>
      <c r="N896" s="23"/>
    </row>
    <row r="897" spans="1:14" hidden="1" x14ac:dyDescent="0.2">
      <c r="A897" s="28" t="s">
        <v>9</v>
      </c>
      <c r="B897" s="351">
        <v>2</v>
      </c>
      <c r="C897" s="628" t="s">
        <v>43</v>
      </c>
      <c r="D897" s="629"/>
      <c r="E897" s="451">
        <v>1.5</v>
      </c>
      <c r="F897" s="29">
        <f>(E897-B897)/B897</f>
        <v>-0.25</v>
      </c>
      <c r="G897" s="630"/>
      <c r="H897" s="631"/>
      <c r="I897" s="631"/>
      <c r="J897" s="632"/>
      <c r="K897" s="66"/>
      <c r="L897" s="23"/>
      <c r="M897" s="32" t="s">
        <v>9</v>
      </c>
      <c r="N897" s="32" t="s">
        <v>10</v>
      </c>
    </row>
    <row r="898" spans="1:14" hidden="1" x14ac:dyDescent="0.2">
      <c r="A898" s="28" t="s">
        <v>10</v>
      </c>
      <c r="B898" s="351">
        <v>2</v>
      </c>
      <c r="C898" s="628" t="s">
        <v>43</v>
      </c>
      <c r="D898" s="629"/>
      <c r="E898" s="451">
        <v>1.5</v>
      </c>
      <c r="F898" s="29">
        <f t="shared" ref="F898" si="40">(E898-B898)/B898</f>
        <v>-0.25</v>
      </c>
      <c r="G898" s="630"/>
      <c r="H898" s="631"/>
      <c r="I898" s="631"/>
      <c r="J898" s="632"/>
      <c r="K898" s="66"/>
      <c r="L898" s="23" t="s">
        <v>110</v>
      </c>
      <c r="M898" s="32">
        <f>20.4+8.4</f>
        <v>28.799999999999997</v>
      </c>
      <c r="N898" s="32">
        <f>20.4+8.4</f>
        <v>28.799999999999997</v>
      </c>
    </row>
    <row r="899" spans="1:14" hidden="1" x14ac:dyDescent="0.2">
      <c r="A899" s="28" t="s">
        <v>11</v>
      </c>
      <c r="B899" s="351">
        <v>2</v>
      </c>
      <c r="C899" s="628" t="s">
        <v>43</v>
      </c>
      <c r="D899" s="629"/>
      <c r="E899" s="451"/>
      <c r="F899" s="29">
        <v>0</v>
      </c>
      <c r="G899" s="630"/>
      <c r="H899" s="631"/>
      <c r="I899" s="631"/>
      <c r="J899" s="632"/>
      <c r="K899" s="66"/>
      <c r="L899" s="23"/>
    </row>
    <row r="900" spans="1:14" hidden="1" x14ac:dyDescent="0.2">
      <c r="A900" s="28" t="s">
        <v>12</v>
      </c>
      <c r="B900" s="351">
        <v>14</v>
      </c>
      <c r="C900" s="628" t="s">
        <v>43</v>
      </c>
      <c r="D900" s="629"/>
      <c r="E900" s="449">
        <f>5.5+5+7.25+6.75</f>
        <v>24.5</v>
      </c>
      <c r="F900" s="29">
        <f t="shared" ref="F900" si="41">(E900-B900)/B900</f>
        <v>0.75</v>
      </c>
      <c r="G900" s="630"/>
      <c r="H900" s="631"/>
      <c r="I900" s="631"/>
      <c r="J900" s="632"/>
      <c r="K900" s="66"/>
      <c r="L900" s="23" t="s">
        <v>112</v>
      </c>
      <c r="M900" s="32">
        <v>25.2</v>
      </c>
      <c r="N900" s="32">
        <v>25.2</v>
      </c>
    </row>
    <row r="901" spans="1:14" hidden="1" x14ac:dyDescent="0.2">
      <c r="A901" s="35" t="s">
        <v>15</v>
      </c>
      <c r="B901" s="451">
        <f>SUM(B897:B900)</f>
        <v>20</v>
      </c>
      <c r="C901" s="628"/>
      <c r="D901" s="629"/>
      <c r="E901" s="449">
        <f>SUM(E897:E900)</f>
        <v>27.5</v>
      </c>
      <c r="F901" s="29">
        <f>(E901-B901)/B901</f>
        <v>0.375</v>
      </c>
      <c r="G901" s="630"/>
      <c r="H901" s="631"/>
      <c r="I901" s="631"/>
      <c r="J901" s="632"/>
      <c r="K901" s="66"/>
      <c r="L901" s="23"/>
      <c r="M901" s="23"/>
      <c r="N901" s="23"/>
    </row>
    <row r="902" spans="1:14" hidden="1" x14ac:dyDescent="0.2">
      <c r="C902" s="450"/>
    </row>
    <row r="903" spans="1:14" ht="12.75" customHeight="1" x14ac:dyDescent="0.2">
      <c r="A903" s="633" t="s">
        <v>197</v>
      </c>
      <c r="B903" s="634"/>
      <c r="C903" s="644" t="s">
        <v>141</v>
      </c>
      <c r="D903" s="644" t="s">
        <v>113</v>
      </c>
      <c r="E903" s="50" t="s">
        <v>18</v>
      </c>
      <c r="F903" s="67">
        <v>1</v>
      </c>
      <c r="G903" s="45" t="s">
        <v>16</v>
      </c>
      <c r="H903" s="58">
        <f>B910</f>
        <v>5</v>
      </c>
      <c r="I903" s="45" t="s">
        <v>17</v>
      </c>
      <c r="J903" s="63">
        <f>B910-E910</f>
        <v>2</v>
      </c>
      <c r="K903" s="331">
        <f>(E910-B910)/B910</f>
        <v>-0.4</v>
      </c>
      <c r="L903" s="645"/>
      <c r="M903" s="645"/>
      <c r="N903" s="646"/>
    </row>
    <row r="904" spans="1:14" hidden="1" x14ac:dyDescent="0.2">
      <c r="A904" s="635"/>
      <c r="B904" s="636"/>
      <c r="C904" s="644"/>
      <c r="D904" s="644"/>
      <c r="E904" s="47"/>
      <c r="F904" s="279"/>
      <c r="G904" s="49"/>
      <c r="H904" s="59"/>
      <c r="I904" s="48"/>
      <c r="J904" s="64"/>
      <c r="K904" s="66"/>
      <c r="L904" s="23"/>
      <c r="M904" s="23"/>
      <c r="N904" s="23"/>
    </row>
    <row r="905" spans="1:14" ht="22.5" hidden="1" x14ac:dyDescent="0.2">
      <c r="A905" s="46"/>
      <c r="B905" s="33" t="s">
        <v>7</v>
      </c>
      <c r="C905" s="33"/>
      <c r="D905" s="33"/>
      <c r="E905" s="27" t="s">
        <v>8</v>
      </c>
      <c r="F905" s="28"/>
      <c r="G905" s="627" t="s">
        <v>14</v>
      </c>
      <c r="H905" s="627"/>
      <c r="I905" s="627"/>
      <c r="J905" s="627"/>
      <c r="K905" s="66"/>
      <c r="L905" s="23"/>
      <c r="M905" s="23"/>
      <c r="N905" s="23"/>
    </row>
    <row r="906" spans="1:14" hidden="1" x14ac:dyDescent="0.2">
      <c r="A906" s="28" t="s">
        <v>9</v>
      </c>
      <c r="B906" s="351">
        <v>1</v>
      </c>
      <c r="C906" s="628" t="s">
        <v>43</v>
      </c>
      <c r="D906" s="629"/>
      <c r="E906" s="458">
        <v>1</v>
      </c>
      <c r="F906" s="29">
        <f>(E906-B906)/B906</f>
        <v>0</v>
      </c>
      <c r="G906" s="630"/>
      <c r="H906" s="631"/>
      <c r="I906" s="631"/>
      <c r="J906" s="632"/>
      <c r="K906" s="66"/>
      <c r="L906" s="23"/>
      <c r="M906" s="32" t="s">
        <v>9</v>
      </c>
      <c r="N906" s="32" t="s">
        <v>10</v>
      </c>
    </row>
    <row r="907" spans="1:14" hidden="1" x14ac:dyDescent="0.2">
      <c r="A907" s="28" t="s">
        <v>10</v>
      </c>
      <c r="B907" s="351">
        <v>0.5</v>
      </c>
      <c r="C907" s="628" t="s">
        <v>43</v>
      </c>
      <c r="D907" s="629"/>
      <c r="E907" s="458">
        <v>0.5</v>
      </c>
      <c r="F907" s="29">
        <f t="shared" ref="F907" si="42">(E907-B907)/B907</f>
        <v>0</v>
      </c>
      <c r="G907" s="630"/>
      <c r="H907" s="631"/>
      <c r="I907" s="631"/>
      <c r="J907" s="632"/>
      <c r="K907" s="66"/>
      <c r="L907" s="23" t="s">
        <v>110</v>
      </c>
      <c r="M907" s="32">
        <f>20.4+8.4</f>
        <v>28.799999999999997</v>
      </c>
      <c r="N907" s="32">
        <f>20.4+8.4</f>
        <v>28.799999999999997</v>
      </c>
    </row>
    <row r="908" spans="1:14" hidden="1" x14ac:dyDescent="0.2">
      <c r="A908" s="28" t="s">
        <v>11</v>
      </c>
      <c r="B908" s="351">
        <v>0</v>
      </c>
      <c r="C908" s="628" t="s">
        <v>43</v>
      </c>
      <c r="D908" s="629"/>
      <c r="E908" s="458"/>
      <c r="F908" s="29">
        <v>0</v>
      </c>
      <c r="G908" s="630"/>
      <c r="H908" s="631"/>
      <c r="I908" s="631"/>
      <c r="J908" s="632"/>
      <c r="K908" s="66"/>
      <c r="L908" s="23"/>
    </row>
    <row r="909" spans="1:14" hidden="1" x14ac:dyDescent="0.2">
      <c r="A909" s="28" t="s">
        <v>12</v>
      </c>
      <c r="B909" s="351">
        <v>3.5</v>
      </c>
      <c r="C909" s="628" t="s">
        <v>43</v>
      </c>
      <c r="D909" s="629"/>
      <c r="E909" s="456">
        <v>1.5</v>
      </c>
      <c r="F909" s="29">
        <f t="shared" ref="F909" si="43">(E909-B909)/B909</f>
        <v>-0.5714285714285714</v>
      </c>
      <c r="G909" s="630"/>
      <c r="H909" s="631"/>
      <c r="I909" s="631"/>
      <c r="J909" s="632"/>
      <c r="K909" s="66"/>
      <c r="L909" s="23" t="s">
        <v>112</v>
      </c>
      <c r="M909" s="32">
        <v>25.2</v>
      </c>
      <c r="N909" s="32">
        <v>25.2</v>
      </c>
    </row>
    <row r="910" spans="1:14" hidden="1" x14ac:dyDescent="0.2">
      <c r="A910" s="35" t="s">
        <v>15</v>
      </c>
      <c r="B910" s="458">
        <f>SUM(B906:B909)</f>
        <v>5</v>
      </c>
      <c r="C910" s="628"/>
      <c r="D910" s="629"/>
      <c r="E910" s="456">
        <f>SUM(E906:E909)</f>
        <v>3</v>
      </c>
      <c r="F910" s="29">
        <f>(E910-B910)/B910</f>
        <v>-0.4</v>
      </c>
      <c r="G910" s="630"/>
      <c r="H910" s="631"/>
      <c r="I910" s="631"/>
      <c r="J910" s="632"/>
      <c r="K910" s="66"/>
      <c r="L910" s="23"/>
      <c r="M910" s="23"/>
      <c r="N910" s="23"/>
    </row>
    <row r="911" spans="1:14" x14ac:dyDescent="0.2">
      <c r="A911" s="39"/>
      <c r="B911" s="457"/>
      <c r="C911" s="459"/>
      <c r="D911" s="459"/>
      <c r="E911" s="457"/>
      <c r="F911" s="40"/>
      <c r="G911" s="457"/>
      <c r="H911" s="457"/>
      <c r="I911" s="457"/>
      <c r="J911" s="457"/>
      <c r="K911" s="66"/>
      <c r="L911" s="23"/>
      <c r="M911" s="23"/>
      <c r="N911" s="23"/>
    </row>
    <row r="912" spans="1:14" ht="12.75" customHeight="1" x14ac:dyDescent="0.2">
      <c r="A912" s="633" t="s">
        <v>198</v>
      </c>
      <c r="B912" s="634"/>
      <c r="C912" s="644" t="s">
        <v>141</v>
      </c>
      <c r="D912" s="653"/>
      <c r="E912" s="50" t="s">
        <v>18</v>
      </c>
      <c r="F912" s="67">
        <v>4</v>
      </c>
      <c r="G912" s="45" t="s">
        <v>16</v>
      </c>
      <c r="H912" s="58">
        <f>B919</f>
        <v>20</v>
      </c>
      <c r="I912" s="45" t="s">
        <v>17</v>
      </c>
      <c r="J912" s="63">
        <f>B919-E919</f>
        <v>-1.25</v>
      </c>
      <c r="K912" s="331">
        <f>(E919-B919)/B919</f>
        <v>6.25E-2</v>
      </c>
      <c r="L912" s="642"/>
      <c r="M912" s="642"/>
      <c r="N912" s="643"/>
    </row>
    <row r="913" spans="1:14" hidden="1" x14ac:dyDescent="0.2">
      <c r="A913" s="635"/>
      <c r="B913" s="636"/>
      <c r="C913" s="644"/>
      <c r="D913" s="654"/>
      <c r="E913" s="47"/>
      <c r="F913" s="279"/>
      <c r="G913" s="49"/>
      <c r="H913" s="59"/>
      <c r="I913" s="48"/>
      <c r="J913" s="64"/>
      <c r="K913" s="66"/>
      <c r="L913" s="23"/>
      <c r="M913" s="23"/>
      <c r="N913" s="23"/>
    </row>
    <row r="914" spans="1:14" ht="22.5" hidden="1" x14ac:dyDescent="0.2">
      <c r="A914" s="46"/>
      <c r="B914" s="33" t="s">
        <v>7</v>
      </c>
      <c r="C914" s="33"/>
      <c r="D914" s="33"/>
      <c r="E914" s="27" t="s">
        <v>8</v>
      </c>
      <c r="F914" s="28"/>
      <c r="G914" s="627" t="s">
        <v>14</v>
      </c>
      <c r="H914" s="627"/>
      <c r="I914" s="627"/>
      <c r="J914" s="627"/>
      <c r="K914" s="66"/>
      <c r="L914" s="23"/>
      <c r="M914" s="23"/>
      <c r="N914" s="23"/>
    </row>
    <row r="915" spans="1:14" hidden="1" x14ac:dyDescent="0.2">
      <c r="A915" s="28" t="s">
        <v>9</v>
      </c>
      <c r="B915" s="351">
        <v>2</v>
      </c>
      <c r="C915" s="628" t="s">
        <v>43</v>
      </c>
      <c r="D915" s="629"/>
      <c r="E915" s="462">
        <v>3</v>
      </c>
      <c r="F915" s="29">
        <f>(E915-B915)/B915</f>
        <v>0.5</v>
      </c>
      <c r="G915" s="630" t="s">
        <v>50</v>
      </c>
      <c r="H915" s="631"/>
      <c r="I915" s="631"/>
      <c r="J915" s="632"/>
      <c r="K915" s="66"/>
      <c r="L915" s="23"/>
      <c r="M915" s="32" t="s">
        <v>9</v>
      </c>
      <c r="N915" s="32" t="s">
        <v>10</v>
      </c>
    </row>
    <row r="916" spans="1:14" hidden="1" x14ac:dyDescent="0.2">
      <c r="A916" s="28" t="s">
        <v>10</v>
      </c>
      <c r="B916" s="351">
        <v>2</v>
      </c>
      <c r="C916" s="628" t="s">
        <v>43</v>
      </c>
      <c r="D916" s="629"/>
      <c r="E916" s="462">
        <v>2</v>
      </c>
      <c r="F916" s="29">
        <f t="shared" ref="F916" si="44">(E916-B916)/B916</f>
        <v>0</v>
      </c>
      <c r="G916" s="630"/>
      <c r="H916" s="631"/>
      <c r="I916" s="631"/>
      <c r="J916" s="632"/>
      <c r="K916" s="66"/>
      <c r="L916" s="23" t="s">
        <v>110</v>
      </c>
      <c r="M916" s="32">
        <f>20.4+8.4</f>
        <v>28.799999999999997</v>
      </c>
      <c r="N916" s="32">
        <f>20.4+8.4</f>
        <v>28.799999999999997</v>
      </c>
    </row>
    <row r="917" spans="1:14" hidden="1" x14ac:dyDescent="0.2">
      <c r="A917" s="28" t="s">
        <v>11</v>
      </c>
      <c r="B917" s="351">
        <v>2</v>
      </c>
      <c r="C917" s="628" t="s">
        <v>43</v>
      </c>
      <c r="D917" s="629"/>
      <c r="E917" s="462">
        <v>0</v>
      </c>
      <c r="F917" s="29">
        <v>0</v>
      </c>
      <c r="G917" s="630"/>
      <c r="H917" s="631"/>
      <c r="I917" s="631"/>
      <c r="J917" s="632"/>
      <c r="K917" s="66"/>
      <c r="L917" s="23"/>
    </row>
    <row r="918" spans="1:14" hidden="1" x14ac:dyDescent="0.2">
      <c r="A918" s="28" t="s">
        <v>12</v>
      </c>
      <c r="B918" s="351">
        <v>14</v>
      </c>
      <c r="C918" s="628" t="s">
        <v>44</v>
      </c>
      <c r="D918" s="629"/>
      <c r="E918" s="460">
        <f>3+3.75+4.5+5</f>
        <v>16.25</v>
      </c>
      <c r="F918" s="29">
        <f t="shared" ref="F918" si="45">(E918-B918)/B918</f>
        <v>0.16071428571428573</v>
      </c>
      <c r="G918" s="630" t="s">
        <v>223</v>
      </c>
      <c r="H918" s="631"/>
      <c r="I918" s="631"/>
      <c r="J918" s="632"/>
      <c r="K918" s="66"/>
      <c r="L918" s="23" t="s">
        <v>112</v>
      </c>
      <c r="M918" s="32">
        <v>25.2</v>
      </c>
      <c r="N918" s="32">
        <v>25.2</v>
      </c>
    </row>
    <row r="919" spans="1:14" hidden="1" x14ac:dyDescent="0.2">
      <c r="A919" s="35" t="s">
        <v>15</v>
      </c>
      <c r="B919" s="462">
        <f>SUM(B915:B918)</f>
        <v>20</v>
      </c>
      <c r="C919" s="628"/>
      <c r="D919" s="629"/>
      <c r="E919" s="460">
        <f>SUM(E915:E918)</f>
        <v>21.25</v>
      </c>
      <c r="F919" s="29">
        <f>(E919-B919)/B919</f>
        <v>6.25E-2</v>
      </c>
      <c r="G919" s="630"/>
      <c r="H919" s="631"/>
      <c r="I919" s="631"/>
      <c r="J919" s="632"/>
      <c r="K919" s="66"/>
      <c r="L919" s="23"/>
      <c r="M919" s="23"/>
      <c r="N919" s="23"/>
    </row>
    <row r="920" spans="1:14" x14ac:dyDescent="0.2">
      <c r="A920" s="39"/>
      <c r="B920" s="461"/>
      <c r="C920" s="459"/>
      <c r="D920" s="459"/>
      <c r="E920" s="461"/>
      <c r="F920" s="40"/>
      <c r="G920" s="461"/>
      <c r="H920" s="461"/>
      <c r="I920" s="461"/>
      <c r="J920" s="461"/>
      <c r="K920" s="66"/>
      <c r="L920" s="23"/>
      <c r="M920" s="23"/>
      <c r="N920" s="23"/>
    </row>
    <row r="921" spans="1:14" ht="12.75" customHeight="1" x14ac:dyDescent="0.2">
      <c r="A921" s="633" t="s">
        <v>202</v>
      </c>
      <c r="B921" s="634"/>
      <c r="C921" s="644" t="s">
        <v>141</v>
      </c>
      <c r="D921" s="653"/>
      <c r="E921" s="50" t="s">
        <v>18</v>
      </c>
      <c r="F921" s="67">
        <v>2</v>
      </c>
      <c r="G921" s="45" t="s">
        <v>16</v>
      </c>
      <c r="H921" s="58">
        <f>B928</f>
        <v>8</v>
      </c>
      <c r="I921" s="45" t="s">
        <v>17</v>
      </c>
      <c r="J921" s="63">
        <f>B928-E928</f>
        <v>-3.5</v>
      </c>
      <c r="K921" s="331">
        <f>(E928-B928)/B928</f>
        <v>0.4375</v>
      </c>
      <c r="L921" s="645"/>
      <c r="M921" s="645"/>
      <c r="N921" s="646"/>
    </row>
    <row r="922" spans="1:14" hidden="1" x14ac:dyDescent="0.2">
      <c r="A922" s="635"/>
      <c r="B922" s="636"/>
      <c r="C922" s="644"/>
      <c r="D922" s="654"/>
      <c r="E922" s="47"/>
      <c r="F922" s="279"/>
      <c r="G922" s="49"/>
      <c r="H922" s="59"/>
      <c r="I922" s="48"/>
      <c r="J922" s="64"/>
      <c r="K922" s="66"/>
      <c r="L922" s="23"/>
      <c r="M922" s="23"/>
      <c r="N922" s="23"/>
    </row>
    <row r="923" spans="1:14" ht="22.5" hidden="1" x14ac:dyDescent="0.2">
      <c r="A923" s="46"/>
      <c r="B923" s="33" t="s">
        <v>7</v>
      </c>
      <c r="C923" s="33"/>
      <c r="D923" s="33"/>
      <c r="E923" s="27" t="s">
        <v>8</v>
      </c>
      <c r="F923" s="28"/>
      <c r="G923" s="627" t="s">
        <v>14</v>
      </c>
      <c r="H923" s="627"/>
      <c r="I923" s="627"/>
      <c r="J923" s="627"/>
      <c r="K923" s="66"/>
      <c r="L923" s="23"/>
      <c r="M923" s="23"/>
      <c r="N923" s="23"/>
    </row>
    <row r="924" spans="1:14" hidden="1" x14ac:dyDescent="0.2">
      <c r="A924" s="28" t="s">
        <v>9</v>
      </c>
      <c r="B924" s="351">
        <v>1</v>
      </c>
      <c r="C924" s="628" t="s">
        <v>43</v>
      </c>
      <c r="D924" s="629"/>
      <c r="E924" s="476">
        <v>1</v>
      </c>
      <c r="F924" s="29">
        <f>(E924-B924)/B924</f>
        <v>0</v>
      </c>
      <c r="G924" s="630"/>
      <c r="H924" s="631"/>
      <c r="I924" s="631"/>
      <c r="J924" s="632"/>
      <c r="K924" s="66"/>
      <c r="L924" s="23"/>
      <c r="M924" s="32" t="s">
        <v>9</v>
      </c>
      <c r="N924" s="32" t="s">
        <v>10</v>
      </c>
    </row>
    <row r="925" spans="1:14" hidden="1" x14ac:dyDescent="0.2">
      <c r="A925" s="28" t="s">
        <v>10</v>
      </c>
      <c r="B925" s="351">
        <v>1</v>
      </c>
      <c r="C925" s="628" t="s">
        <v>43</v>
      </c>
      <c r="D925" s="629"/>
      <c r="E925" s="476"/>
      <c r="F925" s="29">
        <f t="shared" ref="F925" si="46">(E925-B925)/B925</f>
        <v>-1</v>
      </c>
      <c r="G925" s="630"/>
      <c r="H925" s="631"/>
      <c r="I925" s="631"/>
      <c r="J925" s="632"/>
      <c r="K925" s="66"/>
      <c r="L925" s="23" t="s">
        <v>110</v>
      </c>
      <c r="M925" s="32">
        <f>20.4+8.4</f>
        <v>28.799999999999997</v>
      </c>
      <c r="N925" s="32">
        <f>20.4+8.4</f>
        <v>28.799999999999997</v>
      </c>
    </row>
    <row r="926" spans="1:14" hidden="1" x14ac:dyDescent="0.2">
      <c r="A926" s="28" t="s">
        <v>11</v>
      </c>
      <c r="B926" s="351">
        <v>0</v>
      </c>
      <c r="C926" s="628" t="s">
        <v>43</v>
      </c>
      <c r="D926" s="629"/>
      <c r="E926" s="476"/>
      <c r="F926" s="29">
        <v>0</v>
      </c>
      <c r="G926" s="630"/>
      <c r="H926" s="631"/>
      <c r="I926" s="631"/>
      <c r="J926" s="632"/>
      <c r="K926" s="66"/>
      <c r="L926" s="23"/>
    </row>
    <row r="927" spans="1:14" hidden="1" x14ac:dyDescent="0.2">
      <c r="A927" s="28" t="s">
        <v>12</v>
      </c>
      <c r="B927" s="351">
        <v>6</v>
      </c>
      <c r="C927" s="628" t="s">
        <v>43</v>
      </c>
      <c r="D927" s="629"/>
      <c r="E927" s="474">
        <f>1+4.5+5</f>
        <v>10.5</v>
      </c>
      <c r="F927" s="29">
        <f t="shared" ref="F927" si="47">(E927-B927)/B927</f>
        <v>0.75</v>
      </c>
      <c r="G927" s="630" t="s">
        <v>224</v>
      </c>
      <c r="H927" s="631"/>
      <c r="I927" s="631"/>
      <c r="J927" s="632"/>
      <c r="K927" s="66"/>
      <c r="L927" s="23" t="s">
        <v>112</v>
      </c>
      <c r="M927" s="32">
        <v>25.2</v>
      </c>
      <c r="N927" s="32">
        <v>25.2</v>
      </c>
    </row>
    <row r="928" spans="1:14" hidden="1" x14ac:dyDescent="0.2">
      <c r="A928" s="35" t="s">
        <v>15</v>
      </c>
      <c r="B928" s="476">
        <f>SUM(B924:B927)</f>
        <v>8</v>
      </c>
      <c r="C928" s="628"/>
      <c r="D928" s="629"/>
      <c r="E928" s="474">
        <f>SUM(E924:E927)</f>
        <v>11.5</v>
      </c>
      <c r="F928" s="29">
        <f>(E928-B928)/B928</f>
        <v>0.4375</v>
      </c>
      <c r="G928" s="630"/>
      <c r="H928" s="631"/>
      <c r="I928" s="631"/>
      <c r="J928" s="632"/>
      <c r="K928" s="66"/>
      <c r="L928" s="23"/>
      <c r="M928" s="23"/>
      <c r="N928" s="23"/>
    </row>
    <row r="929" spans="1:14" x14ac:dyDescent="0.2">
      <c r="A929" s="39"/>
      <c r="B929" s="475"/>
      <c r="C929" s="459"/>
      <c r="D929" s="459"/>
      <c r="E929" s="475"/>
      <c r="F929" s="40"/>
      <c r="G929" s="475"/>
      <c r="H929" s="475"/>
      <c r="I929" s="475"/>
      <c r="J929" s="475"/>
      <c r="K929" s="66"/>
      <c r="L929" s="23"/>
      <c r="M929" s="23"/>
      <c r="N929" s="23"/>
    </row>
    <row r="930" spans="1:14" ht="12.75" customHeight="1" x14ac:dyDescent="0.2">
      <c r="A930" s="633" t="s">
        <v>203</v>
      </c>
      <c r="B930" s="634"/>
      <c r="C930" s="644" t="s">
        <v>141</v>
      </c>
      <c r="D930" s="639" t="s">
        <v>113</v>
      </c>
      <c r="E930" s="50" t="s">
        <v>18</v>
      </c>
      <c r="F930" s="67">
        <v>1</v>
      </c>
      <c r="G930" s="45" t="s">
        <v>16</v>
      </c>
      <c r="H930" s="58">
        <f>B937</f>
        <v>24</v>
      </c>
      <c r="I930" s="45" t="s">
        <v>17</v>
      </c>
      <c r="J930" s="63">
        <f>B937-E937</f>
        <v>-10</v>
      </c>
      <c r="K930" s="331">
        <f>(E937-B937)/B937</f>
        <v>0.41666666666666669</v>
      </c>
      <c r="L930" s="642"/>
      <c r="M930" s="642"/>
      <c r="N930" s="643"/>
    </row>
    <row r="931" spans="1:14" hidden="1" x14ac:dyDescent="0.2">
      <c r="A931" s="635"/>
      <c r="B931" s="636"/>
      <c r="C931" s="644"/>
      <c r="D931" s="640"/>
      <c r="E931" s="47"/>
      <c r="F931" s="279"/>
      <c r="G931" s="49"/>
      <c r="H931" s="59"/>
      <c r="I931" s="48"/>
      <c r="J931" s="64"/>
      <c r="K931" s="66"/>
      <c r="L931" s="23"/>
      <c r="M931" s="23"/>
      <c r="N931" s="23"/>
    </row>
    <row r="932" spans="1:14" ht="22.5" hidden="1" x14ac:dyDescent="0.2">
      <c r="A932" s="46"/>
      <c r="B932" s="33" t="s">
        <v>7</v>
      </c>
      <c r="C932" s="33"/>
      <c r="D932" s="33"/>
      <c r="E932" s="27" t="s">
        <v>8</v>
      </c>
      <c r="F932" s="28"/>
      <c r="G932" s="627" t="s">
        <v>14</v>
      </c>
      <c r="H932" s="627"/>
      <c r="I932" s="627"/>
      <c r="J932" s="627"/>
      <c r="K932" s="66"/>
      <c r="L932" s="23"/>
      <c r="M932" s="23"/>
      <c r="N932" s="23"/>
    </row>
    <row r="933" spans="1:14" hidden="1" x14ac:dyDescent="0.2">
      <c r="A933" s="28" t="s">
        <v>9</v>
      </c>
      <c r="B933" s="351">
        <v>4.8</v>
      </c>
      <c r="C933" s="628" t="s">
        <v>43</v>
      </c>
      <c r="D933" s="629"/>
      <c r="E933" s="476">
        <f>1.75+0.5</f>
        <v>2.25</v>
      </c>
      <c r="F933" s="29">
        <f>(E933-B933)/B933</f>
        <v>-0.53125</v>
      </c>
      <c r="G933" s="630"/>
      <c r="H933" s="631"/>
      <c r="I933" s="631"/>
      <c r="J933" s="632"/>
      <c r="K933" s="66"/>
      <c r="L933" s="23"/>
      <c r="M933" s="32" t="s">
        <v>9</v>
      </c>
      <c r="N933" s="32" t="s">
        <v>10</v>
      </c>
    </row>
    <row r="934" spans="1:14" hidden="1" x14ac:dyDescent="0.2">
      <c r="A934" s="28" t="s">
        <v>10</v>
      </c>
      <c r="B934" s="351">
        <v>4.8</v>
      </c>
      <c r="C934" s="628" t="s">
        <v>43</v>
      </c>
      <c r="D934" s="629"/>
      <c r="E934" s="476">
        <f>3</f>
        <v>3</v>
      </c>
      <c r="F934" s="29">
        <f t="shared" ref="F934" si="48">(E934-B934)/B934</f>
        <v>-0.375</v>
      </c>
      <c r="G934" s="630"/>
      <c r="H934" s="631"/>
      <c r="I934" s="631"/>
      <c r="J934" s="632"/>
      <c r="K934" s="66"/>
      <c r="L934" s="23" t="s">
        <v>110</v>
      </c>
      <c r="M934" s="32">
        <f>20.4+8.4</f>
        <v>28.799999999999997</v>
      </c>
      <c r="N934" s="32">
        <f>20.4+8.4</f>
        <v>28.799999999999997</v>
      </c>
    </row>
    <row r="935" spans="1:14" hidden="1" x14ac:dyDescent="0.2">
      <c r="A935" s="28" t="s">
        <v>11</v>
      </c>
      <c r="B935" s="351">
        <v>0</v>
      </c>
      <c r="C935" s="628" t="s">
        <v>43</v>
      </c>
      <c r="D935" s="629"/>
      <c r="E935" s="476"/>
      <c r="F935" s="29">
        <v>0</v>
      </c>
      <c r="G935" s="630"/>
      <c r="H935" s="631"/>
      <c r="I935" s="631"/>
      <c r="J935" s="632"/>
      <c r="K935" s="66"/>
      <c r="L935" s="23"/>
    </row>
    <row r="936" spans="1:14" hidden="1" x14ac:dyDescent="0.2">
      <c r="A936" s="28" t="s">
        <v>12</v>
      </c>
      <c r="B936" s="351">
        <v>14.4</v>
      </c>
      <c r="C936" s="628" t="s">
        <v>44</v>
      </c>
      <c r="D936" s="629"/>
      <c r="E936" s="474">
        <f>24.75+1+3</f>
        <v>28.75</v>
      </c>
      <c r="F936" s="29">
        <f t="shared" ref="F936" si="49">(E936-B936)/B936</f>
        <v>0.99652777777777768</v>
      </c>
      <c r="G936" s="630"/>
      <c r="H936" s="631"/>
      <c r="I936" s="631"/>
      <c r="J936" s="632"/>
      <c r="K936" s="66"/>
      <c r="L936" s="23" t="s">
        <v>112</v>
      </c>
      <c r="M936" s="32">
        <v>25.2</v>
      </c>
      <c r="N936" s="32">
        <v>25.2</v>
      </c>
    </row>
    <row r="937" spans="1:14" hidden="1" x14ac:dyDescent="0.2">
      <c r="A937" s="35" t="s">
        <v>15</v>
      </c>
      <c r="B937" s="476">
        <f>SUM(B933:B936)</f>
        <v>24</v>
      </c>
      <c r="C937" s="628"/>
      <c r="D937" s="629"/>
      <c r="E937" s="474">
        <f>SUM(E933:E936)</f>
        <v>34</v>
      </c>
      <c r="F937" s="29">
        <f>(E937-B937)/B937</f>
        <v>0.41666666666666669</v>
      </c>
      <c r="G937" s="630"/>
      <c r="H937" s="631"/>
      <c r="I937" s="631"/>
      <c r="J937" s="632"/>
      <c r="K937" s="66"/>
      <c r="L937" s="23"/>
      <c r="M937" s="23"/>
      <c r="N937" s="23"/>
    </row>
    <row r="938" spans="1:14" x14ac:dyDescent="0.2">
      <c r="A938" s="39"/>
      <c r="B938" s="497"/>
      <c r="C938" s="459"/>
      <c r="D938" s="459"/>
      <c r="E938" s="497"/>
      <c r="F938" s="40"/>
      <c r="G938" s="497"/>
      <c r="H938" s="497"/>
      <c r="I938" s="497"/>
      <c r="J938" s="497"/>
      <c r="K938" s="66"/>
      <c r="L938" s="23"/>
      <c r="M938" s="23"/>
      <c r="N938" s="23"/>
    </row>
    <row r="939" spans="1:14" ht="12.75" customHeight="1" x14ac:dyDescent="0.2">
      <c r="A939" s="633" t="s">
        <v>214</v>
      </c>
      <c r="B939" s="634"/>
      <c r="C939" s="644" t="s">
        <v>141</v>
      </c>
      <c r="D939" s="639" t="s">
        <v>113</v>
      </c>
      <c r="E939" s="50" t="s">
        <v>18</v>
      </c>
      <c r="F939" s="67">
        <v>2</v>
      </c>
      <c r="G939" s="45" t="s">
        <v>16</v>
      </c>
      <c r="H939" s="58">
        <f>B946</f>
        <v>10</v>
      </c>
      <c r="I939" s="45" t="s">
        <v>17</v>
      </c>
      <c r="J939" s="63">
        <f>B946-E946</f>
        <v>-8</v>
      </c>
      <c r="K939" s="331">
        <f>(E946-B946)/B946</f>
        <v>0.8</v>
      </c>
      <c r="L939" s="651"/>
      <c r="M939" s="651"/>
      <c r="N939" s="652"/>
    </row>
    <row r="940" spans="1:14" ht="12.75" hidden="1" customHeight="1" x14ac:dyDescent="0.2">
      <c r="A940" s="635"/>
      <c r="B940" s="636"/>
      <c r="C940" s="644"/>
      <c r="D940" s="640"/>
      <c r="E940" s="47"/>
      <c r="F940" s="279"/>
      <c r="G940" s="49"/>
      <c r="H940" s="59"/>
      <c r="I940" s="48"/>
      <c r="J940" s="64"/>
      <c r="K940" s="66"/>
      <c r="L940" s="23"/>
      <c r="M940" s="23"/>
      <c r="N940" s="23"/>
    </row>
    <row r="941" spans="1:14" ht="22.5" hidden="1" x14ac:dyDescent="0.2">
      <c r="A941" s="46"/>
      <c r="B941" s="33" t="s">
        <v>7</v>
      </c>
      <c r="C941" s="33"/>
      <c r="D941" s="33"/>
      <c r="E941" s="27" t="s">
        <v>8</v>
      </c>
      <c r="F941" s="28"/>
      <c r="G941" s="627" t="s">
        <v>14</v>
      </c>
      <c r="H941" s="627"/>
      <c r="I941" s="627"/>
      <c r="J941" s="627"/>
      <c r="K941" s="66"/>
      <c r="L941" s="23"/>
      <c r="M941" s="23"/>
      <c r="N941" s="23"/>
    </row>
    <row r="942" spans="1:14" hidden="1" x14ac:dyDescent="0.2">
      <c r="A942" s="28" t="s">
        <v>9</v>
      </c>
      <c r="B942" s="351">
        <v>2</v>
      </c>
      <c r="C942" s="628" t="s">
        <v>43</v>
      </c>
      <c r="D942" s="629"/>
      <c r="E942" s="498">
        <v>3.5</v>
      </c>
      <c r="F942" s="29">
        <f>(E942-B942)/B942</f>
        <v>0.75</v>
      </c>
      <c r="G942" s="630"/>
      <c r="H942" s="631"/>
      <c r="I942" s="631"/>
      <c r="J942" s="632"/>
      <c r="K942" s="66"/>
      <c r="L942" s="23"/>
      <c r="M942" s="32" t="s">
        <v>9</v>
      </c>
      <c r="N942" s="32" t="s">
        <v>10</v>
      </c>
    </row>
    <row r="943" spans="1:14" hidden="1" x14ac:dyDescent="0.2">
      <c r="A943" s="28" t="s">
        <v>10</v>
      </c>
      <c r="B943" s="351">
        <v>2</v>
      </c>
      <c r="C943" s="628" t="s">
        <v>43</v>
      </c>
      <c r="D943" s="629"/>
      <c r="E943" s="498">
        <f>2</f>
        <v>2</v>
      </c>
      <c r="F943" s="29">
        <f t="shared" ref="F943" si="50">(E943-B943)/B943</f>
        <v>0</v>
      </c>
      <c r="G943" s="630"/>
      <c r="H943" s="631"/>
      <c r="I943" s="631"/>
      <c r="J943" s="632"/>
      <c r="K943" s="66"/>
      <c r="L943" s="23" t="s">
        <v>110</v>
      </c>
      <c r="M943" s="32">
        <f>20.4+8.4</f>
        <v>28.799999999999997</v>
      </c>
      <c r="N943" s="32">
        <f>20.4+8.4</f>
        <v>28.799999999999997</v>
      </c>
    </row>
    <row r="944" spans="1:14" hidden="1" x14ac:dyDescent="0.2">
      <c r="A944" s="28" t="s">
        <v>11</v>
      </c>
      <c r="B944" s="351">
        <v>0</v>
      </c>
      <c r="C944" s="628" t="s">
        <v>43</v>
      </c>
      <c r="D944" s="629"/>
      <c r="E944" s="498"/>
      <c r="F944" s="29">
        <v>0</v>
      </c>
      <c r="G944" s="630"/>
      <c r="H944" s="631"/>
      <c r="I944" s="631"/>
      <c r="J944" s="632"/>
      <c r="K944" s="66"/>
      <c r="L944" s="23"/>
    </row>
    <row r="945" spans="1:14" hidden="1" x14ac:dyDescent="0.2">
      <c r="A945" s="28" t="s">
        <v>12</v>
      </c>
      <c r="B945" s="351">
        <v>6</v>
      </c>
      <c r="C945" s="628" t="s">
        <v>44</v>
      </c>
      <c r="D945" s="629"/>
      <c r="E945" s="496">
        <f>6.25+6.25</f>
        <v>12.5</v>
      </c>
      <c r="F945" s="29">
        <f t="shared" ref="F945" si="51">(E945-B945)/B945</f>
        <v>1.0833333333333333</v>
      </c>
      <c r="G945" s="630"/>
      <c r="H945" s="631"/>
      <c r="I945" s="631"/>
      <c r="J945" s="632"/>
      <c r="K945" s="66"/>
      <c r="L945" s="23" t="s">
        <v>112</v>
      </c>
      <c r="M945" s="32">
        <v>25.2</v>
      </c>
      <c r="N945" s="32">
        <v>25.2</v>
      </c>
    </row>
    <row r="946" spans="1:14" hidden="1" x14ac:dyDescent="0.2">
      <c r="A946" s="35" t="s">
        <v>15</v>
      </c>
      <c r="B946" s="498">
        <f>SUM(B942:B945)</f>
        <v>10</v>
      </c>
      <c r="C946" s="628"/>
      <c r="D946" s="629"/>
      <c r="E946" s="496">
        <f>SUM(E942:E945)</f>
        <v>18</v>
      </c>
      <c r="F946" s="29">
        <f>(E946-B946)/B946</f>
        <v>0.8</v>
      </c>
      <c r="G946" s="630"/>
      <c r="H946" s="631"/>
      <c r="I946" s="631"/>
      <c r="J946" s="632"/>
      <c r="K946" s="66"/>
      <c r="L946" s="23"/>
      <c r="M946" s="23"/>
      <c r="N946" s="23"/>
    </row>
    <row r="947" spans="1:14" x14ac:dyDescent="0.2">
      <c r="A947" s="39"/>
      <c r="B947" s="497"/>
      <c r="C947" s="459"/>
      <c r="D947" s="459"/>
      <c r="E947" s="497"/>
      <c r="F947" s="40"/>
      <c r="G947" s="497"/>
      <c r="H947" s="497"/>
      <c r="I947" s="497"/>
      <c r="J947" s="497"/>
      <c r="K947" s="66"/>
      <c r="L947" s="23"/>
      <c r="M947" s="23"/>
      <c r="N947" s="23"/>
    </row>
    <row r="948" spans="1:14" ht="12.75" customHeight="1" x14ac:dyDescent="0.2">
      <c r="A948" s="633" t="s">
        <v>215</v>
      </c>
      <c r="B948" s="634"/>
      <c r="C948" s="644" t="s">
        <v>141</v>
      </c>
      <c r="D948" s="639" t="s">
        <v>113</v>
      </c>
      <c r="E948" s="50" t="s">
        <v>18</v>
      </c>
      <c r="F948" s="67">
        <v>2</v>
      </c>
      <c r="G948" s="45" t="s">
        <v>16</v>
      </c>
      <c r="H948" s="58">
        <f>B955</f>
        <v>32</v>
      </c>
      <c r="I948" s="45" t="s">
        <v>17</v>
      </c>
      <c r="J948" s="63">
        <f>B955-E955</f>
        <v>-17.25</v>
      </c>
      <c r="K948" s="331">
        <f>(E955-B955)/B955</f>
        <v>0.5390625</v>
      </c>
      <c r="L948" s="651"/>
      <c r="M948" s="651"/>
      <c r="N948" s="652"/>
    </row>
    <row r="949" spans="1:14" ht="12.75" hidden="1" customHeight="1" x14ac:dyDescent="0.2">
      <c r="A949" s="635"/>
      <c r="B949" s="636"/>
      <c r="C949" s="644"/>
      <c r="D949" s="640"/>
      <c r="E949" s="47"/>
      <c r="F949" s="279"/>
      <c r="G949" s="49"/>
      <c r="H949" s="59"/>
      <c r="I949" s="48"/>
      <c r="J949" s="64"/>
      <c r="K949" s="66"/>
      <c r="L949" s="23"/>
      <c r="M949" s="23"/>
      <c r="N949" s="23"/>
    </row>
    <row r="950" spans="1:14" ht="22.5" hidden="1" x14ac:dyDescent="0.2">
      <c r="A950" s="46"/>
      <c r="B950" s="33" t="s">
        <v>7</v>
      </c>
      <c r="C950" s="33"/>
      <c r="D950" s="33"/>
      <c r="E950" s="27" t="s">
        <v>8</v>
      </c>
      <c r="F950" s="28"/>
      <c r="G950" s="627" t="s">
        <v>14</v>
      </c>
      <c r="H950" s="627"/>
      <c r="I950" s="627"/>
      <c r="J950" s="627"/>
      <c r="K950" s="66"/>
      <c r="L950" s="23"/>
      <c r="M950" s="23"/>
      <c r="N950" s="23"/>
    </row>
    <row r="951" spans="1:14" hidden="1" x14ac:dyDescent="0.2">
      <c r="A951" s="28" t="s">
        <v>9</v>
      </c>
      <c r="B951" s="351">
        <v>3.2</v>
      </c>
      <c r="C951" s="628" t="s">
        <v>43</v>
      </c>
      <c r="D951" s="629"/>
      <c r="E951" s="498">
        <f>8.25</f>
        <v>8.25</v>
      </c>
      <c r="F951" s="29">
        <f>(E951-B951)/B951</f>
        <v>1.5781249999999998</v>
      </c>
      <c r="G951" s="630" t="s">
        <v>225</v>
      </c>
      <c r="H951" s="631"/>
      <c r="I951" s="631"/>
      <c r="J951" s="632"/>
      <c r="K951" s="66"/>
      <c r="L951" s="23"/>
      <c r="M951" s="32" t="s">
        <v>9</v>
      </c>
      <c r="N951" s="32" t="s">
        <v>10</v>
      </c>
    </row>
    <row r="952" spans="1:14" hidden="1" x14ac:dyDescent="0.2">
      <c r="A952" s="28" t="s">
        <v>10</v>
      </c>
      <c r="B952" s="351">
        <v>3.2</v>
      </c>
      <c r="C952" s="628" t="s">
        <v>43</v>
      </c>
      <c r="D952" s="629"/>
      <c r="E952" s="498">
        <v>3</v>
      </c>
      <c r="F952" s="29">
        <f t="shared" ref="F952" si="52">(E952-B952)/B952</f>
        <v>-6.2500000000000056E-2</v>
      </c>
      <c r="G952" s="630"/>
      <c r="H952" s="631"/>
      <c r="I952" s="631"/>
      <c r="J952" s="632"/>
      <c r="K952" s="66"/>
      <c r="L952" s="23" t="s">
        <v>110</v>
      </c>
      <c r="M952" s="32">
        <f>20.4+8.4</f>
        <v>28.799999999999997</v>
      </c>
      <c r="N952" s="32">
        <f>20.4+8.4</f>
        <v>28.799999999999997</v>
      </c>
    </row>
    <row r="953" spans="1:14" hidden="1" x14ac:dyDescent="0.2">
      <c r="A953" s="28" t="s">
        <v>11</v>
      </c>
      <c r="B953" s="351">
        <v>0</v>
      </c>
      <c r="C953" s="628" t="s">
        <v>43</v>
      </c>
      <c r="D953" s="629"/>
      <c r="E953" s="498">
        <f>2.25+1</f>
        <v>3.25</v>
      </c>
      <c r="F953" s="29">
        <v>0</v>
      </c>
      <c r="G953" s="630"/>
      <c r="H953" s="631"/>
      <c r="I953" s="631"/>
      <c r="J953" s="632"/>
      <c r="K953" s="66"/>
      <c r="L953" s="23"/>
    </row>
    <row r="954" spans="1:14" hidden="1" x14ac:dyDescent="0.2">
      <c r="A954" s="28" t="s">
        <v>12</v>
      </c>
      <c r="B954" s="351">
        <v>25.6</v>
      </c>
      <c r="C954" s="628" t="s">
        <v>44</v>
      </c>
      <c r="D954" s="629"/>
      <c r="E954" s="496">
        <f>24+5+5.75</f>
        <v>34.75</v>
      </c>
      <c r="F954" s="29">
        <f t="shared" ref="F954" si="53">(E954-B954)/B954</f>
        <v>0.35742187499999994</v>
      </c>
      <c r="G954" s="630" t="s">
        <v>231</v>
      </c>
      <c r="H954" s="631"/>
      <c r="I954" s="631"/>
      <c r="J954" s="632"/>
      <c r="K954" s="66"/>
      <c r="L954" s="23" t="s">
        <v>112</v>
      </c>
      <c r="M954" s="32">
        <v>25.2</v>
      </c>
      <c r="N954" s="32">
        <v>25.2</v>
      </c>
    </row>
    <row r="955" spans="1:14" hidden="1" x14ac:dyDescent="0.2">
      <c r="A955" s="35" t="s">
        <v>15</v>
      </c>
      <c r="B955" s="498">
        <f>SUM(B951:B954)</f>
        <v>32</v>
      </c>
      <c r="C955" s="628"/>
      <c r="D955" s="629"/>
      <c r="E955" s="496">
        <f>SUM(E951:E954)</f>
        <v>49.25</v>
      </c>
      <c r="F955" s="29">
        <f>(E955-B955)/B955</f>
        <v>0.5390625</v>
      </c>
      <c r="G955" s="630"/>
      <c r="H955" s="631"/>
      <c r="I955" s="631"/>
      <c r="J955" s="632"/>
      <c r="K955" s="66"/>
      <c r="L955" s="23"/>
      <c r="M955" s="23"/>
      <c r="N955" s="23"/>
    </row>
    <row r="956" spans="1:14" x14ac:dyDescent="0.2">
      <c r="A956" s="39"/>
      <c r="B956" s="506"/>
      <c r="C956" s="459"/>
      <c r="D956" s="459"/>
      <c r="E956" s="506"/>
      <c r="F956" s="40"/>
      <c r="G956" s="506"/>
      <c r="H956" s="506"/>
      <c r="I956" s="506"/>
      <c r="J956" s="506"/>
      <c r="K956" s="66"/>
      <c r="L956" s="23"/>
      <c r="M956" s="23"/>
      <c r="N956" s="23"/>
    </row>
    <row r="957" spans="1:14" ht="12.75" customHeight="1" x14ac:dyDescent="0.2">
      <c r="A957" s="633" t="s">
        <v>218</v>
      </c>
      <c r="B957" s="634"/>
      <c r="C957" s="644" t="s">
        <v>141</v>
      </c>
      <c r="D957" s="639" t="s">
        <v>113</v>
      </c>
      <c r="E957" s="50" t="s">
        <v>18</v>
      </c>
      <c r="F957" s="67">
        <v>2</v>
      </c>
      <c r="G957" s="45" t="s">
        <v>16</v>
      </c>
      <c r="H957" s="58">
        <f>B964</f>
        <v>22</v>
      </c>
      <c r="I957" s="45" t="s">
        <v>17</v>
      </c>
      <c r="J957" s="63">
        <f>B964-E964</f>
        <v>10.5</v>
      </c>
      <c r="K957" s="331">
        <f>(E964-B964)/B964</f>
        <v>-0.47727272727272729</v>
      </c>
      <c r="L957" s="642"/>
      <c r="M957" s="642"/>
      <c r="N957" s="643"/>
    </row>
    <row r="958" spans="1:14" ht="12.75" hidden="1" customHeight="1" x14ac:dyDescent="0.2">
      <c r="A958" s="635"/>
      <c r="B958" s="636"/>
      <c r="C958" s="644"/>
      <c r="D958" s="640"/>
      <c r="E958" s="47"/>
      <c r="F958" s="279"/>
      <c r="G958" s="49"/>
      <c r="H958" s="59"/>
      <c r="I958" s="48"/>
      <c r="J958" s="64"/>
      <c r="K958" s="66"/>
      <c r="L958" s="23"/>
      <c r="M958" s="23"/>
      <c r="N958" s="23"/>
    </row>
    <row r="959" spans="1:14" ht="22.5" hidden="1" x14ac:dyDescent="0.2">
      <c r="A959" s="46"/>
      <c r="B959" s="33" t="s">
        <v>7</v>
      </c>
      <c r="C959" s="33"/>
      <c r="D959" s="33"/>
      <c r="E959" s="27" t="s">
        <v>8</v>
      </c>
      <c r="F959" s="28"/>
      <c r="G959" s="627" t="s">
        <v>14</v>
      </c>
      <c r="H959" s="627"/>
      <c r="I959" s="627"/>
      <c r="J959" s="627"/>
      <c r="K959" s="66"/>
      <c r="L959" s="23"/>
      <c r="M959" s="23"/>
      <c r="N959" s="23"/>
    </row>
    <row r="960" spans="1:14" hidden="1" x14ac:dyDescent="0.2">
      <c r="A960" s="28" t="s">
        <v>9</v>
      </c>
      <c r="B960" s="351">
        <v>4.4000000000000004</v>
      </c>
      <c r="C960" s="628" t="s">
        <v>43</v>
      </c>
      <c r="D960" s="629"/>
      <c r="E960" s="507">
        <v>3.5</v>
      </c>
      <c r="F960" s="29">
        <f>(E960-B960)/B960</f>
        <v>-0.20454545454545461</v>
      </c>
      <c r="G960" s="630"/>
      <c r="H960" s="631"/>
      <c r="I960" s="631"/>
      <c r="J960" s="632"/>
      <c r="K960" s="66"/>
      <c r="L960" s="23"/>
      <c r="M960" s="32" t="s">
        <v>9</v>
      </c>
      <c r="N960" s="32" t="s">
        <v>10</v>
      </c>
    </row>
    <row r="961" spans="1:14" hidden="1" x14ac:dyDescent="0.2">
      <c r="A961" s="28" t="s">
        <v>10</v>
      </c>
      <c r="B961" s="351">
        <v>4.4000000000000004</v>
      </c>
      <c r="C961" s="628" t="s">
        <v>43</v>
      </c>
      <c r="D961" s="629"/>
      <c r="E961" s="507">
        <f>1+3</f>
        <v>4</v>
      </c>
      <c r="F961" s="29">
        <f t="shared" ref="F961" si="54">(E961-B961)/B961</f>
        <v>-9.0909090909090981E-2</v>
      </c>
      <c r="G961" s="630"/>
      <c r="H961" s="631"/>
      <c r="I961" s="631"/>
      <c r="J961" s="632"/>
      <c r="K961" s="66"/>
      <c r="L961" s="23" t="s">
        <v>110</v>
      </c>
      <c r="M961" s="32">
        <f>20.4+8.4</f>
        <v>28.799999999999997</v>
      </c>
      <c r="N961" s="32">
        <f>20.4+8.4</f>
        <v>28.799999999999997</v>
      </c>
    </row>
    <row r="962" spans="1:14" hidden="1" x14ac:dyDescent="0.2">
      <c r="A962" s="28" t="s">
        <v>11</v>
      </c>
      <c r="B962" s="351">
        <v>0</v>
      </c>
      <c r="C962" s="628" t="s">
        <v>43</v>
      </c>
      <c r="D962" s="629"/>
      <c r="E962" s="507"/>
      <c r="F962" s="29">
        <v>0</v>
      </c>
      <c r="G962" s="630"/>
      <c r="H962" s="631"/>
      <c r="I962" s="631"/>
      <c r="J962" s="632"/>
      <c r="K962" s="66"/>
      <c r="L962" s="23"/>
    </row>
    <row r="963" spans="1:14" hidden="1" x14ac:dyDescent="0.2">
      <c r="A963" s="28" t="s">
        <v>12</v>
      </c>
      <c r="B963" s="351">
        <v>13.2</v>
      </c>
      <c r="C963" s="628"/>
      <c r="D963" s="629"/>
      <c r="E963" s="505">
        <f>2+2</f>
        <v>4</v>
      </c>
      <c r="F963" s="29">
        <f t="shared" ref="F963" si="55">(E963-B963)/B963</f>
        <v>-0.69696969696969691</v>
      </c>
      <c r="G963" s="630"/>
      <c r="H963" s="631"/>
      <c r="I963" s="631"/>
      <c r="J963" s="632"/>
      <c r="K963" s="66"/>
      <c r="L963" s="23" t="s">
        <v>112</v>
      </c>
      <c r="M963" s="32">
        <v>25.2</v>
      </c>
      <c r="N963" s="32">
        <v>25.2</v>
      </c>
    </row>
    <row r="964" spans="1:14" hidden="1" x14ac:dyDescent="0.2">
      <c r="A964" s="35" t="s">
        <v>15</v>
      </c>
      <c r="B964" s="507">
        <f>SUM(B960:B963)</f>
        <v>22</v>
      </c>
      <c r="C964" s="628"/>
      <c r="D964" s="629"/>
      <c r="E964" s="505">
        <f>SUM(E960:E963)</f>
        <v>11.5</v>
      </c>
      <c r="F964" s="29">
        <f>(E964-B964)/B964</f>
        <v>-0.47727272727272729</v>
      </c>
      <c r="G964" s="630"/>
      <c r="H964" s="631"/>
      <c r="I964" s="631"/>
      <c r="J964" s="632"/>
      <c r="K964" s="66"/>
      <c r="L964" s="23"/>
      <c r="M964" s="23"/>
      <c r="N964" s="23"/>
    </row>
    <row r="965" spans="1:14" x14ac:dyDescent="0.2">
      <c r="A965" s="39"/>
      <c r="B965" s="506"/>
      <c r="C965" s="459"/>
      <c r="D965" s="459"/>
      <c r="E965" s="506"/>
      <c r="F965" s="40"/>
      <c r="G965" s="506"/>
      <c r="H965" s="506"/>
      <c r="I965" s="506"/>
      <c r="J965" s="506"/>
      <c r="K965" s="66"/>
      <c r="L965" s="23"/>
      <c r="M965" s="23"/>
      <c r="N965" s="23"/>
    </row>
    <row r="966" spans="1:14" ht="12.75" customHeight="1" x14ac:dyDescent="0.2">
      <c r="A966" s="633" t="s">
        <v>205</v>
      </c>
      <c r="B966" s="634"/>
      <c r="C966" s="655" t="s">
        <v>141</v>
      </c>
      <c r="D966" s="653"/>
      <c r="E966" s="50" t="s">
        <v>18</v>
      </c>
      <c r="F966" s="67"/>
      <c r="G966" s="45" t="s">
        <v>16</v>
      </c>
      <c r="H966" s="58">
        <f>B973</f>
        <v>1</v>
      </c>
      <c r="I966" s="45" t="s">
        <v>17</v>
      </c>
      <c r="J966" s="63">
        <f>B973-E973</f>
        <v>0.5</v>
      </c>
      <c r="K966" s="331">
        <f>(E973-B973)/B973</f>
        <v>-0.5</v>
      </c>
      <c r="L966" s="645"/>
      <c r="M966" s="645"/>
      <c r="N966" s="646"/>
    </row>
    <row r="967" spans="1:14" hidden="1" x14ac:dyDescent="0.2">
      <c r="A967" s="635"/>
      <c r="B967" s="636"/>
      <c r="C967" s="655"/>
      <c r="D967" s="654"/>
      <c r="E967" s="47"/>
      <c r="F967" s="279"/>
      <c r="G967" s="49"/>
      <c r="H967" s="59"/>
      <c r="I967" s="48"/>
      <c r="J967" s="64"/>
      <c r="K967" s="66"/>
      <c r="L967" s="23"/>
      <c r="M967" s="23"/>
      <c r="N967" s="23"/>
    </row>
    <row r="968" spans="1:14" ht="22.5" hidden="1" x14ac:dyDescent="0.2">
      <c r="A968" s="46"/>
      <c r="B968" s="33" t="s">
        <v>7</v>
      </c>
      <c r="C968" s="33"/>
      <c r="D968" s="33"/>
      <c r="E968" s="27" t="s">
        <v>8</v>
      </c>
      <c r="F968" s="28"/>
      <c r="G968" s="627" t="s">
        <v>14</v>
      </c>
      <c r="H968" s="627"/>
      <c r="I968" s="627"/>
      <c r="J968" s="627"/>
      <c r="K968" s="66"/>
      <c r="L968" s="23"/>
      <c r="M968" s="23"/>
      <c r="N968" s="23"/>
    </row>
    <row r="969" spans="1:14" hidden="1" x14ac:dyDescent="0.2">
      <c r="A969" s="28" t="s">
        <v>9</v>
      </c>
      <c r="B969" s="351">
        <v>0.5</v>
      </c>
      <c r="C969" s="628" t="s">
        <v>43</v>
      </c>
      <c r="D969" s="629"/>
      <c r="E969" s="484">
        <v>0.25</v>
      </c>
      <c r="F969" s="29">
        <f>(E969-B969)/B969</f>
        <v>-0.5</v>
      </c>
      <c r="G969" s="630"/>
      <c r="H969" s="631"/>
      <c r="I969" s="631"/>
      <c r="J969" s="632"/>
      <c r="K969" s="66"/>
      <c r="L969" s="23"/>
      <c r="M969" s="32" t="s">
        <v>9</v>
      </c>
      <c r="N969" s="32" t="s">
        <v>10</v>
      </c>
    </row>
    <row r="970" spans="1:14" hidden="1" x14ac:dyDescent="0.2">
      <c r="A970" s="28" t="s">
        <v>10</v>
      </c>
      <c r="B970" s="351">
        <v>0.5</v>
      </c>
      <c r="C970" s="628" t="s">
        <v>43</v>
      </c>
      <c r="D970" s="629"/>
      <c r="E970" s="484">
        <v>0</v>
      </c>
      <c r="F970" s="29">
        <f t="shared" ref="F970" si="56">(E970-B970)/B970</f>
        <v>-1</v>
      </c>
      <c r="G970" s="630"/>
      <c r="H970" s="631"/>
      <c r="I970" s="631"/>
      <c r="J970" s="632"/>
      <c r="K970" s="66"/>
      <c r="L970" s="23" t="s">
        <v>110</v>
      </c>
      <c r="M970" s="32">
        <f>20.4+8.4</f>
        <v>28.799999999999997</v>
      </c>
      <c r="N970" s="32">
        <f>20.4+8.4</f>
        <v>28.799999999999997</v>
      </c>
    </row>
    <row r="971" spans="1:14" hidden="1" x14ac:dyDescent="0.2">
      <c r="A971" s="28" t="s">
        <v>11</v>
      </c>
      <c r="B971" s="351">
        <v>0</v>
      </c>
      <c r="C971" s="628" t="s">
        <v>43</v>
      </c>
      <c r="D971" s="629"/>
      <c r="E971" s="484"/>
      <c r="F971" s="29">
        <v>0</v>
      </c>
      <c r="G971" s="630"/>
      <c r="H971" s="631"/>
      <c r="I971" s="631"/>
      <c r="J971" s="632"/>
      <c r="K971" s="66"/>
      <c r="L971" s="23"/>
    </row>
    <row r="972" spans="1:14" hidden="1" x14ac:dyDescent="0.2">
      <c r="A972" s="28" t="s">
        <v>12</v>
      </c>
      <c r="B972" s="351">
        <v>0</v>
      </c>
      <c r="C972" s="628" t="s">
        <v>43</v>
      </c>
      <c r="D972" s="629"/>
      <c r="E972" s="481">
        <v>0.25</v>
      </c>
      <c r="F972" s="29"/>
      <c r="G972" s="630"/>
      <c r="H972" s="631"/>
      <c r="I972" s="631"/>
      <c r="J972" s="632"/>
      <c r="K972" s="66"/>
      <c r="L972" s="23" t="s">
        <v>112</v>
      </c>
      <c r="M972" s="32">
        <v>25.2</v>
      </c>
      <c r="N972" s="32">
        <v>25.2</v>
      </c>
    </row>
    <row r="973" spans="1:14" hidden="1" x14ac:dyDescent="0.2">
      <c r="A973" s="35" t="s">
        <v>15</v>
      </c>
      <c r="B973" s="484">
        <f>SUM(B969:B972)</f>
        <v>1</v>
      </c>
      <c r="C973" s="628"/>
      <c r="D973" s="629"/>
      <c r="E973" s="481">
        <f>SUM(E969:E972)</f>
        <v>0.5</v>
      </c>
      <c r="F973" s="29">
        <f>(E973-B973)/B973</f>
        <v>-0.5</v>
      </c>
      <c r="G973" s="630"/>
      <c r="H973" s="631"/>
      <c r="I973" s="631"/>
      <c r="J973" s="632"/>
      <c r="K973" s="66"/>
      <c r="L973" s="23"/>
      <c r="M973" s="23"/>
      <c r="N973" s="23"/>
    </row>
    <row r="974" spans="1:14" x14ac:dyDescent="0.2">
      <c r="A974" s="39"/>
      <c r="B974" s="483"/>
      <c r="C974" s="459"/>
      <c r="D974" s="459"/>
      <c r="E974" s="483"/>
      <c r="F974" s="40"/>
      <c r="G974" s="483"/>
      <c r="H974" s="483"/>
      <c r="I974" s="483"/>
      <c r="J974" s="483"/>
      <c r="K974" s="66"/>
      <c r="L974" s="23"/>
      <c r="M974" s="23"/>
      <c r="N974" s="23"/>
    </row>
    <row r="975" spans="1:14" ht="12.75" customHeight="1" x14ac:dyDescent="0.2">
      <c r="A975" s="633" t="s">
        <v>206</v>
      </c>
      <c r="B975" s="634"/>
      <c r="C975" s="644" t="s">
        <v>141</v>
      </c>
      <c r="D975" s="647"/>
      <c r="E975" s="50" t="s">
        <v>18</v>
      </c>
      <c r="F975" s="67">
        <v>2</v>
      </c>
      <c r="G975" s="45" t="s">
        <v>16</v>
      </c>
      <c r="H975" s="58">
        <f>B982</f>
        <v>6</v>
      </c>
      <c r="I975" s="45" t="s">
        <v>17</v>
      </c>
      <c r="J975" s="63">
        <f>B982-E982</f>
        <v>6</v>
      </c>
      <c r="K975" s="331">
        <f>(E982-B982)/B982</f>
        <v>-1</v>
      </c>
      <c r="L975" s="642"/>
      <c r="M975" s="642"/>
      <c r="N975" s="643"/>
    </row>
    <row r="976" spans="1:14" hidden="1" x14ac:dyDescent="0.2">
      <c r="A976" s="635"/>
      <c r="B976" s="636"/>
      <c r="C976" s="644"/>
      <c r="D976" s="648"/>
      <c r="E976" s="47"/>
      <c r="F976" s="279"/>
      <c r="G976" s="49"/>
      <c r="H976" s="59"/>
      <c r="I976" s="48"/>
      <c r="J976" s="64"/>
      <c r="K976" s="66"/>
      <c r="L976" s="23"/>
      <c r="M976" s="23"/>
      <c r="N976" s="23"/>
    </row>
    <row r="977" spans="1:14" ht="22.5" hidden="1" x14ac:dyDescent="0.2">
      <c r="A977" s="46"/>
      <c r="B977" s="33" t="s">
        <v>7</v>
      </c>
      <c r="C977" s="33"/>
      <c r="D977" s="33"/>
      <c r="E977" s="27" t="s">
        <v>8</v>
      </c>
      <c r="F977" s="28"/>
      <c r="G977" s="627" t="s">
        <v>14</v>
      </c>
      <c r="H977" s="627"/>
      <c r="I977" s="627"/>
      <c r="J977" s="627"/>
      <c r="K977" s="66"/>
      <c r="L977" s="23"/>
      <c r="M977" s="23"/>
      <c r="N977" s="23"/>
    </row>
    <row r="978" spans="1:14" hidden="1" x14ac:dyDescent="0.2">
      <c r="A978" s="28" t="s">
        <v>9</v>
      </c>
      <c r="B978" s="351">
        <v>0.5</v>
      </c>
      <c r="C978" s="628"/>
      <c r="D978" s="629"/>
      <c r="E978" s="484"/>
      <c r="F978" s="29">
        <f>(E978-B978)/B978</f>
        <v>-1</v>
      </c>
      <c r="G978" s="630"/>
      <c r="H978" s="631"/>
      <c r="I978" s="631"/>
      <c r="J978" s="632"/>
      <c r="K978" s="66"/>
      <c r="L978" s="23"/>
      <c r="M978" s="32" t="s">
        <v>9</v>
      </c>
      <c r="N978" s="32" t="s">
        <v>10</v>
      </c>
    </row>
    <row r="979" spans="1:14" hidden="1" x14ac:dyDescent="0.2">
      <c r="A979" s="28" t="s">
        <v>10</v>
      </c>
      <c r="B979" s="351">
        <v>0.5</v>
      </c>
      <c r="C979" s="628"/>
      <c r="D979" s="629"/>
      <c r="E979" s="484"/>
      <c r="F979" s="29">
        <f t="shared" ref="F979" si="57">(E979-B979)/B979</f>
        <v>-1</v>
      </c>
      <c r="G979" s="630"/>
      <c r="H979" s="631"/>
      <c r="I979" s="631"/>
      <c r="J979" s="632"/>
      <c r="K979" s="66"/>
      <c r="L979" s="23" t="s">
        <v>110</v>
      </c>
      <c r="M979" s="32">
        <f>20.4+8.4</f>
        <v>28.799999999999997</v>
      </c>
      <c r="N979" s="32">
        <f>20.4+8.4</f>
        <v>28.799999999999997</v>
      </c>
    </row>
    <row r="980" spans="1:14" hidden="1" x14ac:dyDescent="0.2">
      <c r="A980" s="28" t="s">
        <v>11</v>
      </c>
      <c r="B980" s="351">
        <v>0.5</v>
      </c>
      <c r="C980" s="628"/>
      <c r="D980" s="629"/>
      <c r="E980" s="484"/>
      <c r="F980" s="29">
        <v>0</v>
      </c>
      <c r="G980" s="630"/>
      <c r="H980" s="631"/>
      <c r="I980" s="631"/>
      <c r="J980" s="632"/>
      <c r="K980" s="66"/>
      <c r="L980" s="23"/>
    </row>
    <row r="981" spans="1:14" hidden="1" x14ac:dyDescent="0.2">
      <c r="A981" s="28" t="s">
        <v>12</v>
      </c>
      <c r="B981" s="351">
        <v>4.5</v>
      </c>
      <c r="C981" s="628"/>
      <c r="D981" s="629"/>
      <c r="E981" s="481"/>
      <c r="F981" s="29">
        <f t="shared" ref="F981" si="58">(E981-B981)/B981</f>
        <v>-1</v>
      </c>
      <c r="G981" s="630"/>
      <c r="H981" s="631"/>
      <c r="I981" s="631"/>
      <c r="J981" s="632"/>
      <c r="K981" s="66"/>
      <c r="L981" s="23" t="s">
        <v>112</v>
      </c>
      <c r="M981" s="32">
        <v>25.2</v>
      </c>
      <c r="N981" s="32">
        <v>25.2</v>
      </c>
    </row>
    <row r="982" spans="1:14" hidden="1" x14ac:dyDescent="0.2">
      <c r="A982" s="35" t="s">
        <v>15</v>
      </c>
      <c r="B982" s="484">
        <f>SUM(B978:B981)</f>
        <v>6</v>
      </c>
      <c r="C982" s="628"/>
      <c r="D982" s="629"/>
      <c r="E982" s="481">
        <f>SUM(E978:E981)</f>
        <v>0</v>
      </c>
      <c r="F982" s="29">
        <f>(E982-B982)/B982</f>
        <v>-1</v>
      </c>
      <c r="G982" s="630"/>
      <c r="H982" s="631"/>
      <c r="I982" s="631"/>
      <c r="J982" s="632"/>
      <c r="K982" s="66"/>
      <c r="L982" s="23"/>
      <c r="M982" s="23"/>
      <c r="N982" s="23"/>
    </row>
    <row r="983" spans="1:14" x14ac:dyDescent="0.2">
      <c r="A983" s="39"/>
      <c r="B983" s="483"/>
      <c r="C983" s="459"/>
      <c r="D983" s="459"/>
      <c r="E983" s="483"/>
      <c r="F983" s="40"/>
      <c r="G983" s="483"/>
      <c r="H983" s="483"/>
      <c r="I983" s="483"/>
      <c r="J983" s="483"/>
      <c r="K983" s="66"/>
      <c r="L983" s="23"/>
      <c r="M983" s="23"/>
      <c r="N983" s="23"/>
    </row>
    <row r="984" spans="1:14" ht="12.75" customHeight="1" x14ac:dyDescent="0.2">
      <c r="A984" s="633" t="s">
        <v>229</v>
      </c>
      <c r="B984" s="634"/>
      <c r="C984" s="644" t="s">
        <v>141</v>
      </c>
      <c r="D984" s="647"/>
      <c r="E984" s="50" t="s">
        <v>18</v>
      </c>
      <c r="F984" s="67">
        <v>18</v>
      </c>
      <c r="G984" s="45" t="s">
        <v>16</v>
      </c>
      <c r="H984" s="58">
        <f>B991</f>
        <v>158</v>
      </c>
      <c r="I984" s="45" t="s">
        <v>17</v>
      </c>
      <c r="J984" s="63">
        <f>B991-E991</f>
        <v>65.75</v>
      </c>
      <c r="K984" s="331">
        <f>(E991-B991)/B991</f>
        <v>-0.41613924050632911</v>
      </c>
      <c r="L984" s="651"/>
      <c r="M984" s="651"/>
      <c r="N984" s="652"/>
    </row>
    <row r="985" spans="1:14" hidden="1" x14ac:dyDescent="0.2">
      <c r="A985" s="635"/>
      <c r="B985" s="636"/>
      <c r="C985" s="644"/>
      <c r="D985" s="648"/>
      <c r="E985" s="47"/>
      <c r="F985" s="279"/>
      <c r="G985" s="49"/>
      <c r="H985" s="59"/>
      <c r="I985" s="48"/>
      <c r="J985" s="64"/>
      <c r="K985" s="66"/>
      <c r="L985" s="23"/>
      <c r="M985" s="23"/>
      <c r="N985" s="23"/>
    </row>
    <row r="986" spans="1:14" ht="22.5" hidden="1" x14ac:dyDescent="0.2">
      <c r="A986" s="46"/>
      <c r="B986" s="33" t="s">
        <v>7</v>
      </c>
      <c r="C986" s="33"/>
      <c r="D986" s="33"/>
      <c r="E986" s="27" t="s">
        <v>8</v>
      </c>
      <c r="F986" s="28"/>
      <c r="G986" s="627" t="s">
        <v>14</v>
      </c>
      <c r="H986" s="627"/>
      <c r="I986" s="627"/>
      <c r="J986" s="627"/>
      <c r="K986" s="66"/>
      <c r="L986" s="23"/>
      <c r="M986" s="23"/>
      <c r="N986" s="23"/>
    </row>
    <row r="987" spans="1:14" hidden="1" x14ac:dyDescent="0.2">
      <c r="A987" s="28" t="s">
        <v>9</v>
      </c>
      <c r="B987" s="351">
        <v>8</v>
      </c>
      <c r="C987" s="628" t="s">
        <v>44</v>
      </c>
      <c r="D987" s="629"/>
      <c r="E987" s="487">
        <v>27</v>
      </c>
      <c r="F987" s="29">
        <f>(E987-B987)/B987</f>
        <v>2.375</v>
      </c>
      <c r="G987" s="630" t="s">
        <v>181</v>
      </c>
      <c r="H987" s="631"/>
      <c r="I987" s="631"/>
      <c r="J987" s="632"/>
      <c r="K987" s="66"/>
      <c r="L987" s="23"/>
      <c r="M987" s="32" t="s">
        <v>9</v>
      </c>
      <c r="N987" s="32" t="s">
        <v>10</v>
      </c>
    </row>
    <row r="988" spans="1:14" hidden="1" x14ac:dyDescent="0.2">
      <c r="A988" s="28" t="s">
        <v>10</v>
      </c>
      <c r="B988" s="351">
        <v>24</v>
      </c>
      <c r="C988" s="628" t="s">
        <v>44</v>
      </c>
      <c r="D988" s="629"/>
      <c r="E988" s="487">
        <v>31</v>
      </c>
      <c r="F988" s="29">
        <f t="shared" ref="F988" si="59">(E988-B988)/B988</f>
        <v>0.29166666666666669</v>
      </c>
      <c r="G988" s="630"/>
      <c r="H988" s="631"/>
      <c r="I988" s="631"/>
      <c r="J988" s="632"/>
      <c r="K988" s="66"/>
      <c r="L988" s="23" t="s">
        <v>110</v>
      </c>
      <c r="M988" s="32">
        <f>20.4+8.4</f>
        <v>28.799999999999997</v>
      </c>
      <c r="N988" s="32">
        <f>20.4+8.4</f>
        <v>28.799999999999997</v>
      </c>
    </row>
    <row r="989" spans="1:14" hidden="1" x14ac:dyDescent="0.2">
      <c r="A989" s="28" t="s">
        <v>11</v>
      </c>
      <c r="B989" s="351">
        <v>0</v>
      </c>
      <c r="C989" s="628"/>
      <c r="D989" s="629"/>
      <c r="E989" s="487"/>
      <c r="F989" s="29">
        <v>0</v>
      </c>
      <c r="G989" s="630"/>
      <c r="H989" s="631"/>
      <c r="I989" s="631"/>
      <c r="J989" s="632"/>
      <c r="K989" s="66"/>
      <c r="L989" s="23"/>
    </row>
    <row r="990" spans="1:14" hidden="1" x14ac:dyDescent="0.2">
      <c r="A990" s="28" t="s">
        <v>12</v>
      </c>
      <c r="B990" s="351">
        <v>126</v>
      </c>
      <c r="C990" s="628" t="s">
        <v>44</v>
      </c>
      <c r="D990" s="629"/>
      <c r="E990" s="485">
        <f>3.75+8.25+8.75+5.75+7.75</f>
        <v>34.25</v>
      </c>
      <c r="F990" s="29">
        <f t="shared" ref="F990" si="60">(E990-B990)/B990</f>
        <v>-0.72817460317460314</v>
      </c>
      <c r="G990" s="630"/>
      <c r="H990" s="631"/>
      <c r="I990" s="631"/>
      <c r="J990" s="632"/>
      <c r="K990" s="66"/>
      <c r="L990" s="23" t="s">
        <v>112</v>
      </c>
      <c r="M990" s="32">
        <v>25.2</v>
      </c>
      <c r="N990" s="32">
        <v>25.2</v>
      </c>
    </row>
    <row r="991" spans="1:14" hidden="1" x14ac:dyDescent="0.2">
      <c r="A991" s="35" t="s">
        <v>15</v>
      </c>
      <c r="B991" s="487">
        <f>SUM(B987:B990)</f>
        <v>158</v>
      </c>
      <c r="C991" s="628"/>
      <c r="D991" s="629"/>
      <c r="E991" s="485">
        <f>SUM(E987:E990)</f>
        <v>92.25</v>
      </c>
      <c r="F991" s="29">
        <f>(E991-B991)/B991</f>
        <v>-0.41613924050632911</v>
      </c>
      <c r="G991" s="630"/>
      <c r="H991" s="631"/>
      <c r="I991" s="631"/>
      <c r="J991" s="632"/>
      <c r="K991" s="66"/>
      <c r="L991" s="23"/>
      <c r="M991" s="23"/>
      <c r="N991" s="23"/>
    </row>
    <row r="992" spans="1:14" x14ac:dyDescent="0.2">
      <c r="A992" s="39"/>
      <c r="B992" s="486"/>
      <c r="C992" s="459"/>
      <c r="D992" s="459"/>
      <c r="E992" s="486"/>
      <c r="F992" s="40"/>
      <c r="G992" s="486"/>
      <c r="H992" s="486"/>
      <c r="I992" s="486"/>
      <c r="J992" s="486"/>
      <c r="K992" s="66"/>
      <c r="L992" s="23"/>
      <c r="M992" s="23"/>
      <c r="N992" s="23"/>
    </row>
    <row r="993" spans="1:14" ht="12.75" customHeight="1" x14ac:dyDescent="0.2">
      <c r="A993" s="633" t="s">
        <v>220</v>
      </c>
      <c r="B993" s="634"/>
      <c r="C993" s="644" t="s">
        <v>141</v>
      </c>
      <c r="D993" s="647"/>
      <c r="E993" s="50" t="s">
        <v>18</v>
      </c>
      <c r="F993" s="67">
        <v>1</v>
      </c>
      <c r="G993" s="45" t="s">
        <v>16</v>
      </c>
      <c r="H993" s="58">
        <f>B1000</f>
        <v>5</v>
      </c>
      <c r="I993" s="45" t="s">
        <v>17</v>
      </c>
      <c r="J993" s="63">
        <f>B1000-E1000</f>
        <v>-3.25</v>
      </c>
      <c r="K993" s="331">
        <f>(E1000-B1000)/B1000</f>
        <v>0.65</v>
      </c>
      <c r="L993" s="645"/>
      <c r="M993" s="645"/>
      <c r="N993" s="646"/>
    </row>
    <row r="994" spans="1:14" hidden="1" x14ac:dyDescent="0.2">
      <c r="A994" s="635"/>
      <c r="B994" s="636"/>
      <c r="C994" s="644"/>
      <c r="D994" s="648"/>
      <c r="E994" s="47"/>
      <c r="F994" s="279"/>
      <c r="G994" s="49"/>
      <c r="H994" s="59"/>
      <c r="I994" s="48"/>
      <c r="J994" s="64"/>
      <c r="K994" s="66"/>
      <c r="L994" s="23"/>
      <c r="M994" s="23"/>
      <c r="N994" s="23"/>
    </row>
    <row r="995" spans="1:14" ht="22.5" hidden="1" x14ac:dyDescent="0.2">
      <c r="A995" s="46"/>
      <c r="B995" s="33" t="s">
        <v>7</v>
      </c>
      <c r="C995" s="33"/>
      <c r="D995" s="33"/>
      <c r="E995" s="27" t="s">
        <v>8</v>
      </c>
      <c r="F995" s="28"/>
      <c r="G995" s="627" t="s">
        <v>14</v>
      </c>
      <c r="H995" s="627"/>
      <c r="I995" s="627"/>
      <c r="J995" s="627"/>
      <c r="K995" s="66"/>
      <c r="L995" s="23"/>
      <c r="M995" s="23"/>
      <c r="N995" s="23"/>
    </row>
    <row r="996" spans="1:14" hidden="1" x14ac:dyDescent="0.2">
      <c r="A996" s="28" t="s">
        <v>9</v>
      </c>
      <c r="B996" s="351">
        <v>0.5</v>
      </c>
      <c r="C996" s="628" t="s">
        <v>43</v>
      </c>
      <c r="D996" s="629"/>
      <c r="E996" s="490">
        <v>1</v>
      </c>
      <c r="F996" s="29">
        <f>(E996-B996)/B996</f>
        <v>1</v>
      </c>
      <c r="G996" s="630"/>
      <c r="H996" s="631"/>
      <c r="I996" s="631"/>
      <c r="J996" s="632"/>
      <c r="K996" s="66"/>
      <c r="L996" s="23"/>
      <c r="M996" s="32" t="s">
        <v>9</v>
      </c>
      <c r="N996" s="32" t="s">
        <v>10</v>
      </c>
    </row>
    <row r="997" spans="1:14" hidden="1" x14ac:dyDescent="0.2">
      <c r="A997" s="28" t="s">
        <v>10</v>
      </c>
      <c r="B997" s="351">
        <v>0.5</v>
      </c>
      <c r="C997" s="628" t="s">
        <v>43</v>
      </c>
      <c r="D997" s="629"/>
      <c r="E997" s="490">
        <v>0.5</v>
      </c>
      <c r="F997" s="29">
        <f t="shared" ref="F997:F999" si="61">(E997-B997)/B997</f>
        <v>0</v>
      </c>
      <c r="G997" s="630"/>
      <c r="H997" s="631"/>
      <c r="I997" s="631"/>
      <c r="J997" s="632"/>
      <c r="K997" s="66"/>
      <c r="L997" s="23" t="s">
        <v>110</v>
      </c>
      <c r="M997" s="32">
        <f>20.4+8.4</f>
        <v>28.799999999999997</v>
      </c>
      <c r="N997" s="32">
        <f>20.4+8.4</f>
        <v>28.799999999999997</v>
      </c>
    </row>
    <row r="998" spans="1:14" hidden="1" x14ac:dyDescent="0.2">
      <c r="A998" s="28" t="s">
        <v>11</v>
      </c>
      <c r="B998" s="351">
        <v>0</v>
      </c>
      <c r="C998" s="628" t="s">
        <v>43</v>
      </c>
      <c r="D998" s="629"/>
      <c r="E998" s="490"/>
      <c r="F998" s="29">
        <v>0</v>
      </c>
      <c r="G998" s="630"/>
      <c r="H998" s="631"/>
      <c r="I998" s="631"/>
      <c r="J998" s="632"/>
      <c r="K998" s="66"/>
      <c r="L998" s="23"/>
    </row>
    <row r="999" spans="1:14" hidden="1" x14ac:dyDescent="0.2">
      <c r="A999" s="28" t="s">
        <v>12</v>
      </c>
      <c r="B999" s="351">
        <v>4</v>
      </c>
      <c r="C999" s="628" t="s">
        <v>43</v>
      </c>
      <c r="D999" s="629"/>
      <c r="E999" s="488">
        <f>3+3.75</f>
        <v>6.75</v>
      </c>
      <c r="F999" s="29">
        <f t="shared" si="61"/>
        <v>0.6875</v>
      </c>
      <c r="G999" s="630" t="s">
        <v>230</v>
      </c>
      <c r="H999" s="631"/>
      <c r="I999" s="631"/>
      <c r="J999" s="632"/>
      <c r="K999" s="66"/>
      <c r="L999" s="23" t="s">
        <v>112</v>
      </c>
      <c r="M999" s="32">
        <v>25.2</v>
      </c>
      <c r="N999" s="32">
        <v>25.2</v>
      </c>
    </row>
    <row r="1000" spans="1:14" hidden="1" x14ac:dyDescent="0.2">
      <c r="A1000" s="35" t="s">
        <v>15</v>
      </c>
      <c r="B1000" s="490">
        <f>SUM(B996:B999)</f>
        <v>5</v>
      </c>
      <c r="C1000" s="628"/>
      <c r="D1000" s="629"/>
      <c r="E1000" s="488">
        <f>SUM(E996:E999)</f>
        <v>8.25</v>
      </c>
      <c r="F1000" s="29">
        <f>(E1000-B1000)/B1000</f>
        <v>0.65</v>
      </c>
      <c r="G1000" s="630"/>
      <c r="H1000" s="631"/>
      <c r="I1000" s="631"/>
      <c r="J1000" s="632"/>
      <c r="K1000" s="66"/>
      <c r="L1000" s="23"/>
      <c r="M1000" s="23"/>
      <c r="N1000" s="23"/>
    </row>
    <row r="1001" spans="1:14" x14ac:dyDescent="0.2">
      <c r="A1001" s="39"/>
      <c r="B1001" s="489"/>
      <c r="C1001" s="459"/>
      <c r="D1001" s="459"/>
      <c r="E1001" s="489"/>
      <c r="F1001" s="40"/>
      <c r="G1001" s="489"/>
      <c r="H1001" s="489"/>
      <c r="I1001" s="489"/>
      <c r="J1001" s="489"/>
      <c r="K1001" s="66"/>
      <c r="L1001" s="23"/>
      <c r="M1001" s="23"/>
      <c r="N1001" s="23"/>
    </row>
    <row r="1002" spans="1:14" ht="12.75" customHeight="1" x14ac:dyDescent="0.2">
      <c r="A1002" s="633" t="s">
        <v>213</v>
      </c>
      <c r="B1002" s="634"/>
      <c r="C1002" s="644" t="s">
        <v>141</v>
      </c>
      <c r="D1002" s="647"/>
      <c r="E1002" s="50" t="s">
        <v>18</v>
      </c>
      <c r="F1002" s="67">
        <v>1</v>
      </c>
      <c r="G1002" s="45" t="s">
        <v>16</v>
      </c>
      <c r="H1002" s="58">
        <f>B1009</f>
        <v>6</v>
      </c>
      <c r="I1002" s="45" t="s">
        <v>17</v>
      </c>
      <c r="J1002" s="63">
        <f>B1009-E1009</f>
        <v>-1.5</v>
      </c>
      <c r="K1002" s="331">
        <f>(E1009-B1009)/B1009</f>
        <v>0.25</v>
      </c>
      <c r="L1002" s="645"/>
      <c r="M1002" s="645"/>
      <c r="N1002" s="646"/>
    </row>
    <row r="1003" spans="1:14" hidden="1" x14ac:dyDescent="0.2">
      <c r="A1003" s="635"/>
      <c r="B1003" s="636"/>
      <c r="C1003" s="644"/>
      <c r="D1003" s="648"/>
      <c r="E1003" s="47"/>
      <c r="F1003" s="279"/>
      <c r="G1003" s="49"/>
      <c r="H1003" s="59"/>
      <c r="I1003" s="48"/>
      <c r="J1003" s="64"/>
      <c r="K1003" s="66"/>
      <c r="L1003" s="23"/>
      <c r="M1003" s="23"/>
      <c r="N1003" s="23"/>
    </row>
    <row r="1004" spans="1:14" ht="22.5" hidden="1" x14ac:dyDescent="0.2">
      <c r="A1004" s="46"/>
      <c r="B1004" s="33" t="s">
        <v>7</v>
      </c>
      <c r="C1004" s="33"/>
      <c r="D1004" s="33"/>
      <c r="E1004" s="27" t="s">
        <v>8</v>
      </c>
      <c r="F1004" s="28"/>
      <c r="G1004" s="627" t="s">
        <v>14</v>
      </c>
      <c r="H1004" s="627"/>
      <c r="I1004" s="627"/>
      <c r="J1004" s="627"/>
      <c r="K1004" s="66"/>
      <c r="L1004" s="23"/>
      <c r="M1004" s="23"/>
      <c r="N1004" s="23"/>
    </row>
    <row r="1005" spans="1:14" hidden="1" x14ac:dyDescent="0.2">
      <c r="A1005" s="28" t="s">
        <v>9</v>
      </c>
      <c r="B1005" s="351">
        <v>1</v>
      </c>
      <c r="C1005" s="628" t="s">
        <v>43</v>
      </c>
      <c r="D1005" s="629"/>
      <c r="E1005" s="495">
        <v>1.5</v>
      </c>
      <c r="F1005" s="29">
        <f>(E1005-B1005)/B1005</f>
        <v>0.5</v>
      </c>
      <c r="G1005" s="630"/>
      <c r="H1005" s="631"/>
      <c r="I1005" s="631"/>
      <c r="J1005" s="632"/>
      <c r="K1005" s="66"/>
      <c r="L1005" s="23"/>
      <c r="M1005" s="32" t="s">
        <v>9</v>
      </c>
      <c r="N1005" s="32" t="s">
        <v>10</v>
      </c>
    </row>
    <row r="1006" spans="1:14" hidden="1" x14ac:dyDescent="0.2">
      <c r="A1006" s="28" t="s">
        <v>10</v>
      </c>
      <c r="B1006" s="351">
        <v>0.5</v>
      </c>
      <c r="C1006" s="628" t="s">
        <v>43</v>
      </c>
      <c r="D1006" s="629"/>
      <c r="E1006" s="495"/>
      <c r="F1006" s="29">
        <f t="shared" ref="F1006" si="62">(E1006-B1006)/B1006</f>
        <v>-1</v>
      </c>
      <c r="G1006" s="630"/>
      <c r="H1006" s="631"/>
      <c r="I1006" s="631"/>
      <c r="J1006" s="632"/>
      <c r="K1006" s="66"/>
      <c r="L1006" s="23" t="s">
        <v>110</v>
      </c>
      <c r="M1006" s="32">
        <f>20.4+8.4</f>
        <v>28.799999999999997</v>
      </c>
      <c r="N1006" s="32">
        <f>20.4+8.4</f>
        <v>28.799999999999997</v>
      </c>
    </row>
    <row r="1007" spans="1:14" hidden="1" x14ac:dyDescent="0.2">
      <c r="A1007" s="28" t="s">
        <v>11</v>
      </c>
      <c r="B1007" s="351">
        <v>0</v>
      </c>
      <c r="C1007" s="628" t="s">
        <v>43</v>
      </c>
      <c r="D1007" s="629"/>
      <c r="E1007" s="495"/>
      <c r="F1007" s="29">
        <v>0</v>
      </c>
      <c r="G1007" s="630"/>
      <c r="H1007" s="631"/>
      <c r="I1007" s="631"/>
      <c r="J1007" s="632"/>
      <c r="K1007" s="66"/>
      <c r="L1007" s="23"/>
    </row>
    <row r="1008" spans="1:14" hidden="1" x14ac:dyDescent="0.2">
      <c r="A1008" s="28" t="s">
        <v>12</v>
      </c>
      <c r="B1008" s="351">
        <v>4.5</v>
      </c>
      <c r="C1008" s="628" t="s">
        <v>43</v>
      </c>
      <c r="D1008" s="629"/>
      <c r="E1008" s="493">
        <v>6</v>
      </c>
      <c r="F1008" s="29">
        <f t="shared" ref="F1008" si="63">(E1008-B1008)/B1008</f>
        <v>0.33333333333333331</v>
      </c>
      <c r="G1008" s="630"/>
      <c r="H1008" s="631"/>
      <c r="I1008" s="631"/>
      <c r="J1008" s="632"/>
      <c r="K1008" s="66"/>
      <c r="L1008" s="23" t="s">
        <v>112</v>
      </c>
      <c r="M1008" s="32">
        <v>25.2</v>
      </c>
      <c r="N1008" s="32">
        <v>25.2</v>
      </c>
    </row>
    <row r="1009" spans="1:14" hidden="1" x14ac:dyDescent="0.2">
      <c r="A1009" s="35" t="s">
        <v>15</v>
      </c>
      <c r="B1009" s="495">
        <f>SUM(B1005:B1008)</f>
        <v>6</v>
      </c>
      <c r="C1009" s="628"/>
      <c r="D1009" s="629"/>
      <c r="E1009" s="493">
        <f>SUM(E1005:E1008)</f>
        <v>7.5</v>
      </c>
      <c r="F1009" s="29">
        <f>(E1009-B1009)/B1009</f>
        <v>0.25</v>
      </c>
      <c r="G1009" s="630"/>
      <c r="H1009" s="631"/>
      <c r="I1009" s="631"/>
      <c r="J1009" s="632"/>
      <c r="K1009" s="66"/>
      <c r="L1009" s="23"/>
      <c r="M1009" s="23"/>
      <c r="N1009" s="23"/>
    </row>
    <row r="1010" spans="1:14" x14ac:dyDescent="0.2">
      <c r="A1010" s="39"/>
      <c r="B1010" s="494"/>
      <c r="C1010" s="459"/>
      <c r="D1010" s="459"/>
      <c r="E1010" s="494"/>
      <c r="F1010" s="40"/>
      <c r="G1010" s="494"/>
      <c r="H1010" s="494"/>
      <c r="I1010" s="494"/>
      <c r="J1010" s="494"/>
      <c r="K1010" s="66"/>
      <c r="L1010" s="23"/>
      <c r="M1010" s="23"/>
      <c r="N1010" s="23"/>
    </row>
    <row r="1011" spans="1:14" ht="12.75" customHeight="1" x14ac:dyDescent="0.2">
      <c r="A1011" s="633" t="s">
        <v>227</v>
      </c>
      <c r="B1011" s="634"/>
      <c r="C1011" s="644" t="s">
        <v>141</v>
      </c>
      <c r="D1011" s="647"/>
      <c r="E1011" s="50" t="s">
        <v>18</v>
      </c>
      <c r="F1011" s="67">
        <v>5</v>
      </c>
      <c r="G1011" s="45" t="s">
        <v>16</v>
      </c>
      <c r="H1011" s="58">
        <f>B1018</f>
        <v>91</v>
      </c>
      <c r="I1011" s="45" t="s">
        <v>17</v>
      </c>
      <c r="J1011" s="63">
        <f>B1018-E1018</f>
        <v>91</v>
      </c>
      <c r="K1011" s="331">
        <f>(E1018-B1018)/B1018</f>
        <v>-1</v>
      </c>
      <c r="L1011" s="645"/>
      <c r="M1011" s="645"/>
      <c r="N1011" s="646"/>
    </row>
    <row r="1012" spans="1:14" hidden="1" x14ac:dyDescent="0.2">
      <c r="A1012" s="635"/>
      <c r="B1012" s="636"/>
      <c r="C1012" s="644"/>
      <c r="D1012" s="648"/>
      <c r="E1012" s="47"/>
      <c r="F1012" s="279"/>
      <c r="G1012" s="49"/>
      <c r="H1012" s="59"/>
      <c r="I1012" s="48"/>
      <c r="J1012" s="64"/>
      <c r="K1012" s="66"/>
      <c r="L1012" s="23"/>
      <c r="M1012" s="23"/>
      <c r="N1012" s="23"/>
    </row>
    <row r="1013" spans="1:14" ht="22.5" hidden="1" x14ac:dyDescent="0.2">
      <c r="A1013" s="46"/>
      <c r="B1013" s="33" t="s">
        <v>7</v>
      </c>
      <c r="C1013" s="33"/>
      <c r="D1013" s="33"/>
      <c r="E1013" s="27" t="s">
        <v>8</v>
      </c>
      <c r="F1013" s="28"/>
      <c r="G1013" s="627" t="s">
        <v>14</v>
      </c>
      <c r="H1013" s="627"/>
      <c r="I1013" s="627"/>
      <c r="J1013" s="627"/>
      <c r="K1013" s="66"/>
      <c r="L1013" s="23"/>
      <c r="M1013" s="23"/>
      <c r="N1013" s="23"/>
    </row>
    <row r="1014" spans="1:14" hidden="1" x14ac:dyDescent="0.2">
      <c r="A1014" s="28" t="s">
        <v>9</v>
      </c>
      <c r="B1014" s="351">
        <v>13</v>
      </c>
      <c r="C1014" s="628"/>
      <c r="D1014" s="629"/>
      <c r="E1014" s="520"/>
      <c r="F1014" s="29">
        <f>(E1014-B1014)/B1014</f>
        <v>-1</v>
      </c>
      <c r="G1014" s="630"/>
      <c r="H1014" s="631"/>
      <c r="I1014" s="631"/>
      <c r="J1014" s="632"/>
      <c r="K1014" s="66"/>
      <c r="L1014" s="23"/>
      <c r="M1014" s="32" t="s">
        <v>9</v>
      </c>
      <c r="N1014" s="32" t="s">
        <v>10</v>
      </c>
    </row>
    <row r="1015" spans="1:14" hidden="1" x14ac:dyDescent="0.2">
      <c r="A1015" s="28" t="s">
        <v>10</v>
      </c>
      <c r="B1015" s="351">
        <v>19.5</v>
      </c>
      <c r="C1015" s="628"/>
      <c r="D1015" s="629"/>
      <c r="E1015" s="520"/>
      <c r="F1015" s="29">
        <f t="shared" ref="F1015" si="64">(E1015-B1015)/B1015</f>
        <v>-1</v>
      </c>
      <c r="G1015" s="630"/>
      <c r="H1015" s="631"/>
      <c r="I1015" s="631"/>
      <c r="J1015" s="632"/>
      <c r="K1015" s="66"/>
      <c r="L1015" s="23" t="s">
        <v>110</v>
      </c>
      <c r="M1015" s="32">
        <f>20.4+8.4</f>
        <v>28.799999999999997</v>
      </c>
      <c r="N1015" s="32">
        <f>20.4+8.4</f>
        <v>28.799999999999997</v>
      </c>
    </row>
    <row r="1016" spans="1:14" hidden="1" x14ac:dyDescent="0.2">
      <c r="A1016" s="28" t="s">
        <v>11</v>
      </c>
      <c r="B1016" s="351">
        <v>0</v>
      </c>
      <c r="C1016" s="628"/>
      <c r="D1016" s="629"/>
      <c r="E1016" s="520"/>
      <c r="F1016" s="29">
        <v>0</v>
      </c>
      <c r="G1016" s="630"/>
      <c r="H1016" s="631"/>
      <c r="I1016" s="631"/>
      <c r="J1016" s="632"/>
      <c r="K1016" s="66"/>
      <c r="L1016" s="23"/>
    </row>
    <row r="1017" spans="1:14" hidden="1" x14ac:dyDescent="0.2">
      <c r="A1017" s="28" t="s">
        <v>12</v>
      </c>
      <c r="B1017" s="351">
        <v>58.5</v>
      </c>
      <c r="C1017" s="628"/>
      <c r="D1017" s="629"/>
      <c r="E1017" s="518"/>
      <c r="F1017" s="29">
        <f t="shared" ref="F1017" si="65">(E1017-B1017)/B1017</f>
        <v>-1</v>
      </c>
      <c r="G1017" s="630"/>
      <c r="H1017" s="631"/>
      <c r="I1017" s="631"/>
      <c r="J1017" s="632"/>
      <c r="K1017" s="66"/>
      <c r="L1017" s="23" t="s">
        <v>112</v>
      </c>
      <c r="M1017" s="32">
        <v>25.2</v>
      </c>
      <c r="N1017" s="32">
        <v>25.2</v>
      </c>
    </row>
    <row r="1018" spans="1:14" hidden="1" x14ac:dyDescent="0.2">
      <c r="A1018" s="35" t="s">
        <v>15</v>
      </c>
      <c r="B1018" s="520">
        <f>SUM(B1014:B1017)</f>
        <v>91</v>
      </c>
      <c r="C1018" s="628"/>
      <c r="D1018" s="629"/>
      <c r="E1018" s="518">
        <f>SUM(E1014:E1017)</f>
        <v>0</v>
      </c>
      <c r="F1018" s="29">
        <f>(E1018-B1018)/B1018</f>
        <v>-1</v>
      </c>
      <c r="G1018" s="630"/>
      <c r="H1018" s="631"/>
      <c r="I1018" s="631"/>
      <c r="J1018" s="632"/>
      <c r="K1018" s="66"/>
      <c r="L1018" s="23"/>
      <c r="M1018" s="23"/>
      <c r="N1018" s="23"/>
    </row>
    <row r="1019" spans="1:14" x14ac:dyDescent="0.2">
      <c r="A1019" s="39"/>
      <c r="B1019" s="519"/>
      <c r="C1019" s="459"/>
      <c r="D1019" s="459"/>
      <c r="E1019" s="519"/>
      <c r="F1019" s="40"/>
      <c r="G1019" s="519"/>
      <c r="H1019" s="519"/>
      <c r="I1019" s="519"/>
      <c r="J1019" s="519"/>
      <c r="K1019" s="66"/>
      <c r="L1019" s="23"/>
      <c r="M1019" s="23"/>
      <c r="N1019" s="23"/>
    </row>
    <row r="1020" spans="1:14" ht="12.75" customHeight="1" x14ac:dyDescent="0.2">
      <c r="A1020" s="633" t="s">
        <v>233</v>
      </c>
      <c r="B1020" s="634"/>
      <c r="C1020" s="644" t="s">
        <v>141</v>
      </c>
      <c r="D1020" s="639" t="s">
        <v>113</v>
      </c>
      <c r="E1020" s="50" t="s">
        <v>18</v>
      </c>
      <c r="F1020" s="67">
        <v>6</v>
      </c>
      <c r="G1020" s="45" t="s">
        <v>16</v>
      </c>
      <c r="H1020" s="58">
        <f>B1027</f>
        <v>58</v>
      </c>
      <c r="I1020" s="45" t="s">
        <v>17</v>
      </c>
      <c r="J1020" s="63">
        <f>B1027-E1027</f>
        <v>42.5</v>
      </c>
      <c r="K1020" s="331">
        <f>(E1027-B1027)/B1027</f>
        <v>-0.73275862068965514</v>
      </c>
      <c r="L1020" s="645"/>
      <c r="M1020" s="645"/>
      <c r="N1020" s="646"/>
    </row>
    <row r="1021" spans="1:14" hidden="1" x14ac:dyDescent="0.2">
      <c r="A1021" s="635"/>
      <c r="B1021" s="636"/>
      <c r="C1021" s="644"/>
      <c r="D1021" s="640"/>
      <c r="E1021" s="47"/>
      <c r="F1021" s="279"/>
      <c r="G1021" s="49"/>
      <c r="H1021" s="59"/>
      <c r="I1021" s="48"/>
      <c r="J1021" s="64"/>
      <c r="K1021" s="66"/>
      <c r="L1021" s="23"/>
      <c r="M1021" s="23"/>
      <c r="N1021" s="23"/>
    </row>
    <row r="1022" spans="1:14" ht="22.5" hidden="1" x14ac:dyDescent="0.2">
      <c r="A1022" s="46"/>
      <c r="B1022" s="33" t="s">
        <v>7</v>
      </c>
      <c r="C1022" s="33"/>
      <c r="D1022" s="33"/>
      <c r="E1022" s="27" t="s">
        <v>8</v>
      </c>
      <c r="F1022" s="28"/>
      <c r="G1022" s="627" t="s">
        <v>14</v>
      </c>
      <c r="H1022" s="627"/>
      <c r="I1022" s="627"/>
      <c r="J1022" s="627"/>
      <c r="K1022" s="66"/>
      <c r="L1022" s="23"/>
      <c r="M1022" s="23"/>
      <c r="N1022" s="23"/>
    </row>
    <row r="1023" spans="1:14" hidden="1" x14ac:dyDescent="0.2">
      <c r="A1023" s="28" t="s">
        <v>9</v>
      </c>
      <c r="B1023" s="351">
        <v>11.6</v>
      </c>
      <c r="C1023" s="628" t="s">
        <v>43</v>
      </c>
      <c r="D1023" s="629"/>
      <c r="E1023" s="569">
        <f>6+4.5</f>
        <v>10.5</v>
      </c>
      <c r="F1023" s="29">
        <f>(E1023-B1023)/B1023</f>
        <v>-9.4827586206896519E-2</v>
      </c>
      <c r="G1023" s="630"/>
      <c r="H1023" s="631"/>
      <c r="I1023" s="631"/>
      <c r="J1023" s="632"/>
      <c r="K1023" s="66"/>
      <c r="L1023" s="23"/>
      <c r="M1023" s="32" t="s">
        <v>9</v>
      </c>
      <c r="N1023" s="32" t="s">
        <v>10</v>
      </c>
    </row>
    <row r="1024" spans="1:14" hidden="1" x14ac:dyDescent="0.2">
      <c r="A1024" s="28" t="s">
        <v>10</v>
      </c>
      <c r="B1024" s="351">
        <v>11.6</v>
      </c>
      <c r="C1024" s="628" t="s">
        <v>44</v>
      </c>
      <c r="D1024" s="629"/>
      <c r="E1024" s="569">
        <f>5</f>
        <v>5</v>
      </c>
      <c r="F1024" s="29">
        <f t="shared" ref="F1024" si="66">(E1024-B1024)/B1024</f>
        <v>-0.56896551724137934</v>
      </c>
      <c r="G1024" s="630"/>
      <c r="H1024" s="631"/>
      <c r="I1024" s="631"/>
      <c r="J1024" s="632"/>
      <c r="K1024" s="66"/>
      <c r="L1024" s="23" t="s">
        <v>110</v>
      </c>
      <c r="M1024" s="32">
        <f>20.4+8.4</f>
        <v>28.799999999999997</v>
      </c>
      <c r="N1024" s="32">
        <f>20.4+8.4</f>
        <v>28.799999999999997</v>
      </c>
    </row>
    <row r="1025" spans="1:14" hidden="1" x14ac:dyDescent="0.2">
      <c r="A1025" s="28" t="s">
        <v>11</v>
      </c>
      <c r="B1025" s="351">
        <v>0</v>
      </c>
      <c r="C1025" s="628"/>
      <c r="D1025" s="629"/>
      <c r="E1025" s="569"/>
      <c r="F1025" s="29">
        <v>0</v>
      </c>
      <c r="G1025" s="630"/>
      <c r="H1025" s="631"/>
      <c r="I1025" s="631"/>
      <c r="J1025" s="632"/>
      <c r="K1025" s="66"/>
      <c r="L1025" s="23"/>
    </row>
    <row r="1026" spans="1:14" hidden="1" x14ac:dyDescent="0.2">
      <c r="A1026" s="28" t="s">
        <v>12</v>
      </c>
      <c r="B1026" s="351">
        <v>34.799999999999997</v>
      </c>
      <c r="C1026" s="628"/>
      <c r="D1026" s="629"/>
      <c r="E1026" s="567"/>
      <c r="F1026" s="29">
        <f t="shared" ref="F1026" si="67">(E1026-B1026)/B1026</f>
        <v>-1</v>
      </c>
      <c r="G1026" s="630"/>
      <c r="H1026" s="631"/>
      <c r="I1026" s="631"/>
      <c r="J1026" s="632"/>
      <c r="K1026" s="66"/>
      <c r="L1026" s="23" t="s">
        <v>112</v>
      </c>
      <c r="M1026" s="32">
        <v>25.2</v>
      </c>
      <c r="N1026" s="32">
        <v>25.2</v>
      </c>
    </row>
    <row r="1027" spans="1:14" hidden="1" x14ac:dyDescent="0.2">
      <c r="A1027" s="35" t="s">
        <v>15</v>
      </c>
      <c r="B1027" s="569">
        <f>SUM(B1023:B1026)</f>
        <v>58</v>
      </c>
      <c r="C1027" s="628"/>
      <c r="D1027" s="629"/>
      <c r="E1027" s="567">
        <f>SUM(E1023:E1026)</f>
        <v>15.5</v>
      </c>
      <c r="F1027" s="29">
        <f>(E1027-B1027)/B1027</f>
        <v>-0.73275862068965514</v>
      </c>
      <c r="G1027" s="630"/>
      <c r="H1027" s="631"/>
      <c r="I1027" s="631"/>
      <c r="J1027" s="632"/>
      <c r="K1027" s="66"/>
      <c r="L1027" s="23"/>
      <c r="M1027" s="23"/>
      <c r="N1027" s="23"/>
    </row>
    <row r="1028" spans="1:14" x14ac:dyDescent="0.2">
      <c r="A1028" s="39"/>
      <c r="B1028" s="568"/>
      <c r="C1028" s="459"/>
      <c r="D1028" s="459"/>
      <c r="E1028" s="568"/>
      <c r="F1028" s="40"/>
      <c r="G1028" s="568"/>
      <c r="H1028" s="568"/>
      <c r="I1028" s="568"/>
      <c r="J1028" s="568"/>
      <c r="K1028" s="66"/>
      <c r="L1028" s="23"/>
      <c r="M1028" s="23"/>
      <c r="N1028" s="23"/>
    </row>
    <row r="1029" spans="1:14" ht="12.75" customHeight="1" x14ac:dyDescent="0.2">
      <c r="A1029" s="633" t="s">
        <v>234</v>
      </c>
      <c r="B1029" s="634"/>
      <c r="C1029" s="644" t="s">
        <v>141</v>
      </c>
      <c r="D1029" s="639" t="s">
        <v>113</v>
      </c>
      <c r="E1029" s="50" t="s">
        <v>18</v>
      </c>
      <c r="F1029" s="67">
        <v>40</v>
      </c>
      <c r="G1029" s="45" t="s">
        <v>16</v>
      </c>
      <c r="H1029" s="58">
        <f>B1036</f>
        <v>221.75</v>
      </c>
      <c r="I1029" s="45" t="s">
        <v>17</v>
      </c>
      <c r="J1029" s="63">
        <f>B1036-E1036</f>
        <v>217.75</v>
      </c>
      <c r="K1029" s="331">
        <f>(E1036-B1036)/B1036</f>
        <v>-0.98196166854565947</v>
      </c>
      <c r="L1029" s="645"/>
      <c r="M1029" s="645"/>
      <c r="N1029" s="646"/>
    </row>
    <row r="1030" spans="1:14" hidden="1" x14ac:dyDescent="0.2">
      <c r="A1030" s="635"/>
      <c r="B1030" s="636"/>
      <c r="C1030" s="644"/>
      <c r="D1030" s="640"/>
      <c r="E1030" s="47"/>
      <c r="F1030" s="279"/>
      <c r="G1030" s="49"/>
      <c r="H1030" s="59"/>
      <c r="I1030" s="48"/>
      <c r="J1030" s="64"/>
      <c r="K1030" s="66"/>
      <c r="L1030" s="23"/>
      <c r="M1030" s="23"/>
      <c r="N1030" s="23"/>
    </row>
    <row r="1031" spans="1:14" ht="22.5" hidden="1" x14ac:dyDescent="0.2">
      <c r="A1031" s="46"/>
      <c r="B1031" s="33" t="s">
        <v>7</v>
      </c>
      <c r="C1031" s="33"/>
      <c r="D1031" s="33"/>
      <c r="E1031" s="27" t="s">
        <v>8</v>
      </c>
      <c r="F1031" s="28"/>
      <c r="G1031" s="627" t="s">
        <v>14</v>
      </c>
      <c r="H1031" s="627"/>
      <c r="I1031" s="627"/>
      <c r="J1031" s="627"/>
      <c r="K1031" s="66"/>
      <c r="L1031" s="23"/>
      <c r="M1031" s="23"/>
      <c r="N1031" s="23"/>
    </row>
    <row r="1032" spans="1:14" hidden="1" x14ac:dyDescent="0.2">
      <c r="A1032" s="28" t="s">
        <v>9</v>
      </c>
      <c r="B1032" s="351">
        <v>44.35</v>
      </c>
      <c r="C1032" s="628" t="s">
        <v>44</v>
      </c>
      <c r="D1032" s="629"/>
      <c r="E1032" s="569">
        <v>4</v>
      </c>
      <c r="F1032" s="29">
        <f>(E1032-B1032)/B1032</f>
        <v>-0.90980834272829758</v>
      </c>
      <c r="G1032" s="630"/>
      <c r="H1032" s="631"/>
      <c r="I1032" s="631"/>
      <c r="J1032" s="632"/>
      <c r="K1032" s="66"/>
      <c r="L1032" s="23"/>
      <c r="M1032" s="32" t="s">
        <v>9</v>
      </c>
      <c r="N1032" s="32" t="s">
        <v>10</v>
      </c>
    </row>
    <row r="1033" spans="1:14" hidden="1" x14ac:dyDescent="0.2">
      <c r="A1033" s="28" t="s">
        <v>10</v>
      </c>
      <c r="B1033" s="351">
        <v>44.35</v>
      </c>
      <c r="C1033" s="628"/>
      <c r="D1033" s="629"/>
      <c r="E1033" s="569"/>
      <c r="F1033" s="29">
        <f t="shared" ref="F1033" si="68">(E1033-B1033)/B1033</f>
        <v>-1</v>
      </c>
      <c r="G1033" s="630"/>
      <c r="H1033" s="631"/>
      <c r="I1033" s="631"/>
      <c r="J1033" s="632"/>
      <c r="K1033" s="66"/>
      <c r="L1033" s="23" t="s">
        <v>110</v>
      </c>
      <c r="M1033" s="32">
        <f>20.4+8.4</f>
        <v>28.799999999999997</v>
      </c>
      <c r="N1033" s="32">
        <f>20.4+8.4</f>
        <v>28.799999999999997</v>
      </c>
    </row>
    <row r="1034" spans="1:14" hidden="1" x14ac:dyDescent="0.2">
      <c r="A1034" s="28" t="s">
        <v>11</v>
      </c>
      <c r="B1034" s="351">
        <v>0</v>
      </c>
      <c r="C1034" s="628"/>
      <c r="D1034" s="629"/>
      <c r="E1034" s="569"/>
      <c r="F1034" s="29">
        <v>0</v>
      </c>
      <c r="G1034" s="630"/>
      <c r="H1034" s="631"/>
      <c r="I1034" s="631"/>
      <c r="J1034" s="632"/>
      <c r="K1034" s="66"/>
      <c r="L1034" s="23"/>
    </row>
    <row r="1035" spans="1:14" hidden="1" x14ac:dyDescent="0.2">
      <c r="A1035" s="28" t="s">
        <v>12</v>
      </c>
      <c r="B1035" s="351">
        <v>133.05000000000001</v>
      </c>
      <c r="C1035" s="628"/>
      <c r="D1035" s="629"/>
      <c r="E1035" s="567"/>
      <c r="F1035" s="29">
        <f t="shared" ref="F1035" si="69">(E1035-B1035)/B1035</f>
        <v>-1</v>
      </c>
      <c r="G1035" s="630"/>
      <c r="H1035" s="631"/>
      <c r="I1035" s="631"/>
      <c r="J1035" s="632"/>
      <c r="K1035" s="66"/>
      <c r="L1035" s="23" t="s">
        <v>112</v>
      </c>
      <c r="M1035" s="32">
        <v>25.2</v>
      </c>
      <c r="N1035" s="32">
        <v>25.2</v>
      </c>
    </row>
    <row r="1036" spans="1:14" hidden="1" x14ac:dyDescent="0.2">
      <c r="A1036" s="35" t="s">
        <v>15</v>
      </c>
      <c r="B1036" s="569">
        <f>SUM(B1032:B1035)</f>
        <v>221.75</v>
      </c>
      <c r="C1036" s="628"/>
      <c r="D1036" s="629"/>
      <c r="E1036" s="567">
        <f>SUM(E1032:E1035)</f>
        <v>4</v>
      </c>
      <c r="F1036" s="29">
        <f>(E1036-B1036)/B1036</f>
        <v>-0.98196166854565947</v>
      </c>
      <c r="G1036" s="630"/>
      <c r="H1036" s="631"/>
      <c r="I1036" s="631"/>
      <c r="J1036" s="632"/>
      <c r="K1036" s="66"/>
      <c r="L1036" s="23"/>
      <c r="M1036" s="23"/>
      <c r="N1036" s="23"/>
    </row>
    <row r="1037" spans="1:14" x14ac:dyDescent="0.2">
      <c r="A1037" s="39"/>
      <c r="B1037" s="568"/>
      <c r="C1037" s="459"/>
      <c r="D1037" s="459"/>
      <c r="E1037" s="568"/>
      <c r="F1037" s="40"/>
      <c r="G1037" s="568"/>
      <c r="H1037" s="568"/>
      <c r="I1037" s="568"/>
      <c r="J1037" s="568"/>
      <c r="K1037" s="66"/>
      <c r="L1037" s="23"/>
      <c r="M1037" s="23"/>
      <c r="N1037" s="23"/>
    </row>
    <row r="1038" spans="1:14" ht="12.75" customHeight="1" x14ac:dyDescent="0.2">
      <c r="A1038" s="633" t="s">
        <v>239</v>
      </c>
      <c r="B1038" s="634"/>
      <c r="C1038" s="644" t="s">
        <v>141</v>
      </c>
      <c r="D1038" s="639"/>
      <c r="E1038" s="50" t="s">
        <v>18</v>
      </c>
      <c r="F1038" s="67">
        <v>4</v>
      </c>
      <c r="G1038" s="45" t="s">
        <v>16</v>
      </c>
      <c r="H1038" s="58">
        <f>B1045</f>
        <v>12.5</v>
      </c>
      <c r="I1038" s="45" t="s">
        <v>17</v>
      </c>
      <c r="J1038" s="63">
        <f>B1045-E1045</f>
        <v>12.5</v>
      </c>
      <c r="K1038" s="331">
        <f>(E1045-B1045)/B1045</f>
        <v>-1</v>
      </c>
      <c r="L1038" s="642"/>
      <c r="M1038" s="642"/>
      <c r="N1038" s="643"/>
    </row>
    <row r="1039" spans="1:14" hidden="1" x14ac:dyDescent="0.2">
      <c r="A1039" s="635"/>
      <c r="B1039" s="636"/>
      <c r="C1039" s="644"/>
      <c r="D1039" s="640"/>
      <c r="E1039" s="47"/>
      <c r="F1039" s="279"/>
      <c r="G1039" s="49"/>
      <c r="H1039" s="59"/>
      <c r="I1039" s="48"/>
      <c r="J1039" s="64"/>
      <c r="K1039" s="66"/>
      <c r="L1039" s="23"/>
      <c r="M1039" s="23"/>
      <c r="N1039" s="23"/>
    </row>
    <row r="1040" spans="1:14" ht="22.5" hidden="1" x14ac:dyDescent="0.2">
      <c r="A1040" s="46"/>
      <c r="B1040" s="33" t="s">
        <v>7</v>
      </c>
      <c r="C1040" s="33"/>
      <c r="D1040" s="33"/>
      <c r="E1040" s="27" t="s">
        <v>8</v>
      </c>
      <c r="F1040" s="28"/>
      <c r="G1040" s="627" t="s">
        <v>14</v>
      </c>
      <c r="H1040" s="627"/>
      <c r="I1040" s="627"/>
      <c r="J1040" s="627"/>
      <c r="K1040" s="66"/>
      <c r="L1040" s="23"/>
      <c r="M1040" s="23"/>
      <c r="N1040" s="23"/>
    </row>
    <row r="1041" spans="1:14" hidden="1" x14ac:dyDescent="0.2">
      <c r="A1041" s="28" t="s">
        <v>9</v>
      </c>
      <c r="B1041" s="351">
        <v>1.5</v>
      </c>
      <c r="C1041" s="628"/>
      <c r="D1041" s="629"/>
      <c r="E1041" s="613"/>
      <c r="F1041" s="29">
        <f>(E1041-B1041)/B1041</f>
        <v>-1</v>
      </c>
      <c r="G1041" s="630"/>
      <c r="H1041" s="631"/>
      <c r="I1041" s="631"/>
      <c r="J1041" s="632"/>
      <c r="K1041" s="66"/>
      <c r="L1041" s="23"/>
      <c r="M1041" s="32" t="s">
        <v>9</v>
      </c>
      <c r="N1041" s="32" t="s">
        <v>10</v>
      </c>
    </row>
    <row r="1042" spans="1:14" hidden="1" x14ac:dyDescent="0.2">
      <c r="A1042" s="28" t="s">
        <v>10</v>
      </c>
      <c r="B1042" s="351">
        <v>1</v>
      </c>
      <c r="C1042" s="628"/>
      <c r="D1042" s="629"/>
      <c r="E1042" s="613"/>
      <c r="F1042" s="29">
        <f t="shared" ref="F1042" si="70">(E1042-B1042)/B1042</f>
        <v>-1</v>
      </c>
      <c r="G1042" s="630"/>
      <c r="H1042" s="631"/>
      <c r="I1042" s="631"/>
      <c r="J1042" s="632"/>
      <c r="K1042" s="66"/>
      <c r="L1042" s="23" t="s">
        <v>110</v>
      </c>
      <c r="M1042" s="32">
        <f>20.4+8.4</f>
        <v>28.799999999999997</v>
      </c>
      <c r="N1042" s="32">
        <f>20.4+8.4</f>
        <v>28.799999999999997</v>
      </c>
    </row>
    <row r="1043" spans="1:14" hidden="1" x14ac:dyDescent="0.2">
      <c r="A1043" s="28" t="s">
        <v>11</v>
      </c>
      <c r="B1043" s="351">
        <v>0</v>
      </c>
      <c r="C1043" s="628"/>
      <c r="D1043" s="629"/>
      <c r="E1043" s="613"/>
      <c r="F1043" s="29">
        <v>0</v>
      </c>
      <c r="G1043" s="630"/>
      <c r="H1043" s="631"/>
      <c r="I1043" s="631"/>
      <c r="J1043" s="632"/>
      <c r="K1043" s="66"/>
      <c r="L1043" s="23"/>
    </row>
    <row r="1044" spans="1:14" hidden="1" x14ac:dyDescent="0.2">
      <c r="A1044" s="28" t="s">
        <v>12</v>
      </c>
      <c r="B1044" s="351">
        <v>10</v>
      </c>
      <c r="C1044" s="628"/>
      <c r="D1044" s="629"/>
      <c r="E1044" s="611"/>
      <c r="F1044" s="29">
        <f t="shared" ref="F1044" si="71">(E1044-B1044)/B1044</f>
        <v>-1</v>
      </c>
      <c r="G1044" s="630"/>
      <c r="H1044" s="631"/>
      <c r="I1044" s="631"/>
      <c r="J1044" s="632"/>
      <c r="K1044" s="66"/>
      <c r="L1044" s="23" t="s">
        <v>112</v>
      </c>
      <c r="M1044" s="32">
        <v>25.2</v>
      </c>
      <c r="N1044" s="32">
        <v>25.2</v>
      </c>
    </row>
    <row r="1045" spans="1:14" hidden="1" x14ac:dyDescent="0.2">
      <c r="A1045" s="35" t="s">
        <v>15</v>
      </c>
      <c r="B1045" s="613">
        <f>SUM(B1041:B1044)</f>
        <v>12.5</v>
      </c>
      <c r="C1045" s="628"/>
      <c r="D1045" s="629"/>
      <c r="E1045" s="611">
        <f>SUM(E1041:E1044)</f>
        <v>0</v>
      </c>
      <c r="F1045" s="29">
        <f>(E1045-B1045)/B1045</f>
        <v>-1</v>
      </c>
      <c r="G1045" s="630"/>
      <c r="H1045" s="631"/>
      <c r="I1045" s="631"/>
      <c r="J1045" s="632"/>
      <c r="K1045" s="66"/>
      <c r="L1045" s="23"/>
      <c r="M1045" s="23"/>
      <c r="N1045" s="23"/>
    </row>
    <row r="1046" spans="1:14" x14ac:dyDescent="0.2">
      <c r="A1046" s="39"/>
      <c r="B1046" s="612"/>
      <c r="C1046" s="459"/>
      <c r="D1046" s="459"/>
      <c r="E1046" s="612"/>
      <c r="F1046" s="40"/>
      <c r="G1046" s="612"/>
      <c r="H1046" s="612"/>
      <c r="I1046" s="612"/>
      <c r="J1046" s="612"/>
      <c r="K1046" s="66"/>
      <c r="L1046" s="23"/>
      <c r="M1046" s="23"/>
      <c r="N1046" s="23"/>
    </row>
    <row r="1047" spans="1:14" ht="12.75" customHeight="1" x14ac:dyDescent="0.2">
      <c r="A1047" s="633" t="s">
        <v>240</v>
      </c>
      <c r="B1047" s="634"/>
      <c r="C1047" s="637" t="s">
        <v>141</v>
      </c>
      <c r="D1047" s="639"/>
      <c r="E1047" s="50" t="s">
        <v>18</v>
      </c>
      <c r="F1047" s="67">
        <v>4</v>
      </c>
      <c r="G1047" s="45" t="s">
        <v>16</v>
      </c>
      <c r="H1047" s="58">
        <f>B1054</f>
        <v>14.799999999999999</v>
      </c>
      <c r="I1047" s="45" t="s">
        <v>17</v>
      </c>
      <c r="J1047" s="63">
        <f>B1054-E1054</f>
        <v>14.799999999999999</v>
      </c>
      <c r="K1047" s="331">
        <f>(E1054-B1054)/B1054</f>
        <v>-1</v>
      </c>
      <c r="L1047" s="642"/>
      <c r="M1047" s="642"/>
      <c r="N1047" s="643"/>
    </row>
    <row r="1048" spans="1:14" hidden="1" x14ac:dyDescent="0.2">
      <c r="A1048" s="635"/>
      <c r="B1048" s="636"/>
      <c r="C1048" s="638"/>
      <c r="D1048" s="640"/>
      <c r="E1048" s="47"/>
      <c r="F1048" s="279"/>
      <c r="G1048" s="49"/>
      <c r="H1048" s="59"/>
      <c r="I1048" s="48"/>
      <c r="J1048" s="64"/>
      <c r="K1048" s="66"/>
      <c r="L1048" s="23"/>
      <c r="M1048" s="23"/>
      <c r="N1048" s="23"/>
    </row>
    <row r="1049" spans="1:14" ht="22.5" hidden="1" x14ac:dyDescent="0.2">
      <c r="A1049" s="46"/>
      <c r="B1049" s="33" t="s">
        <v>7</v>
      </c>
      <c r="C1049" s="33"/>
      <c r="D1049" s="33"/>
      <c r="E1049" s="27" t="s">
        <v>8</v>
      </c>
      <c r="F1049" s="28"/>
      <c r="G1049" s="627" t="s">
        <v>14</v>
      </c>
      <c r="H1049" s="627"/>
      <c r="I1049" s="627"/>
      <c r="J1049" s="627"/>
      <c r="K1049" s="66"/>
      <c r="L1049" s="23"/>
      <c r="M1049" s="23"/>
      <c r="N1049" s="23"/>
    </row>
    <row r="1050" spans="1:14" hidden="1" x14ac:dyDescent="0.2">
      <c r="A1050" s="28" t="s">
        <v>9</v>
      </c>
      <c r="B1050" s="351">
        <v>1.2</v>
      </c>
      <c r="C1050" s="628"/>
      <c r="D1050" s="629"/>
      <c r="E1050" s="613"/>
      <c r="F1050" s="29">
        <f>(E1050-B1050)/B1050</f>
        <v>-1</v>
      </c>
      <c r="G1050" s="630"/>
      <c r="H1050" s="631"/>
      <c r="I1050" s="631"/>
      <c r="J1050" s="632"/>
      <c r="K1050" s="66"/>
      <c r="L1050" s="23"/>
      <c r="M1050" s="32" t="s">
        <v>9</v>
      </c>
      <c r="N1050" s="32" t="s">
        <v>10</v>
      </c>
    </row>
    <row r="1051" spans="1:14" hidden="1" x14ac:dyDescent="0.2">
      <c r="A1051" s="28" t="s">
        <v>10</v>
      </c>
      <c r="B1051" s="351">
        <v>1.2</v>
      </c>
      <c r="C1051" s="628"/>
      <c r="D1051" s="629"/>
      <c r="E1051" s="613"/>
      <c r="F1051" s="29">
        <f t="shared" ref="F1051" si="72">(E1051-B1051)/B1051</f>
        <v>-1</v>
      </c>
      <c r="G1051" s="630"/>
      <c r="H1051" s="631"/>
      <c r="I1051" s="631"/>
      <c r="J1051" s="632"/>
      <c r="K1051" s="66"/>
      <c r="L1051" s="23" t="s">
        <v>110</v>
      </c>
      <c r="M1051" s="32">
        <f>20.4+8.4</f>
        <v>28.799999999999997</v>
      </c>
      <c r="N1051" s="32">
        <f>20.4+8.4</f>
        <v>28.799999999999997</v>
      </c>
    </row>
    <row r="1052" spans="1:14" hidden="1" x14ac:dyDescent="0.2">
      <c r="A1052" s="28" t="s">
        <v>11</v>
      </c>
      <c r="B1052" s="351">
        <v>1.2</v>
      </c>
      <c r="C1052" s="628"/>
      <c r="D1052" s="629"/>
      <c r="E1052" s="613"/>
      <c r="F1052" s="29">
        <v>0</v>
      </c>
      <c r="G1052" s="630"/>
      <c r="H1052" s="631"/>
      <c r="I1052" s="631"/>
      <c r="J1052" s="632"/>
      <c r="K1052" s="66"/>
      <c r="L1052" s="23"/>
    </row>
    <row r="1053" spans="1:14" hidden="1" x14ac:dyDescent="0.2">
      <c r="A1053" s="28" t="s">
        <v>12</v>
      </c>
      <c r="B1053" s="351">
        <v>11.2</v>
      </c>
      <c r="C1053" s="628"/>
      <c r="D1053" s="629"/>
      <c r="E1053" s="611"/>
      <c r="F1053" s="29">
        <f t="shared" ref="F1053" si="73">(E1053-B1053)/B1053</f>
        <v>-1</v>
      </c>
      <c r="G1053" s="630"/>
      <c r="H1053" s="631"/>
      <c r="I1053" s="631"/>
      <c r="J1053" s="632"/>
      <c r="K1053" s="66"/>
      <c r="L1053" s="23" t="s">
        <v>112</v>
      </c>
      <c r="M1053" s="32">
        <v>25.2</v>
      </c>
      <c r="N1053" s="32">
        <v>25.2</v>
      </c>
    </row>
    <row r="1054" spans="1:14" hidden="1" x14ac:dyDescent="0.2">
      <c r="A1054" s="35" t="s">
        <v>15</v>
      </c>
      <c r="B1054" s="613">
        <f>SUM(B1050:B1053)</f>
        <v>14.799999999999999</v>
      </c>
      <c r="C1054" s="628"/>
      <c r="D1054" s="629"/>
      <c r="E1054" s="611">
        <f>SUM(E1050:E1053)</f>
        <v>0</v>
      </c>
      <c r="F1054" s="29">
        <f>(E1054-B1054)/B1054</f>
        <v>-1</v>
      </c>
      <c r="G1054" s="630"/>
      <c r="H1054" s="631"/>
      <c r="I1054" s="631"/>
      <c r="J1054" s="632"/>
      <c r="K1054" s="66"/>
      <c r="L1054" s="23"/>
      <c r="M1054" s="23"/>
      <c r="N1054" s="23"/>
    </row>
    <row r="1055" spans="1:14" x14ac:dyDescent="0.2">
      <c r="A1055" s="39"/>
      <c r="B1055" s="612"/>
      <c r="C1055" s="459"/>
      <c r="D1055" s="459"/>
      <c r="E1055" s="612"/>
      <c r="F1055" s="40"/>
      <c r="G1055" s="612"/>
      <c r="H1055" s="612"/>
      <c r="I1055" s="612"/>
      <c r="J1055" s="612"/>
      <c r="K1055" s="66"/>
      <c r="L1055" s="23"/>
      <c r="M1055" s="23"/>
      <c r="N1055" s="23"/>
    </row>
    <row r="1056" spans="1:14" ht="12.75" customHeight="1" x14ac:dyDescent="0.2">
      <c r="A1056" s="633" t="s">
        <v>241</v>
      </c>
      <c r="B1056" s="634"/>
      <c r="C1056" s="637" t="s">
        <v>141</v>
      </c>
      <c r="D1056" s="639" t="s">
        <v>113</v>
      </c>
      <c r="E1056" s="50" t="s">
        <v>18</v>
      </c>
      <c r="F1056" s="67">
        <v>2</v>
      </c>
      <c r="G1056" s="45" t="s">
        <v>16</v>
      </c>
      <c r="H1056" s="58">
        <f>B1063</f>
        <v>43.8</v>
      </c>
      <c r="I1056" s="45" t="s">
        <v>17</v>
      </c>
      <c r="J1056" s="63">
        <f>B1063-E1063</f>
        <v>43.8</v>
      </c>
      <c r="K1056" s="331">
        <f>(E1063-B1063)/B1063</f>
        <v>-1</v>
      </c>
      <c r="L1056" s="642"/>
      <c r="M1056" s="642"/>
      <c r="N1056" s="643"/>
    </row>
    <row r="1057" spans="1:14" hidden="1" x14ac:dyDescent="0.2">
      <c r="A1057" s="635"/>
      <c r="B1057" s="636"/>
      <c r="C1057" s="638"/>
      <c r="D1057" s="640"/>
      <c r="E1057" s="47"/>
      <c r="F1057" s="279"/>
      <c r="G1057" s="49"/>
      <c r="H1057" s="59"/>
      <c r="I1057" s="48"/>
      <c r="J1057" s="64"/>
      <c r="K1057" s="66"/>
      <c r="L1057" s="23"/>
      <c r="M1057" s="23"/>
      <c r="N1057" s="23"/>
    </row>
    <row r="1058" spans="1:14" ht="22.5" hidden="1" x14ac:dyDescent="0.2">
      <c r="A1058" s="46"/>
      <c r="B1058" s="33" t="s">
        <v>7</v>
      </c>
      <c r="C1058" s="33"/>
      <c r="D1058" s="33"/>
      <c r="E1058" s="27" t="s">
        <v>8</v>
      </c>
      <c r="F1058" s="28"/>
      <c r="G1058" s="627" t="s">
        <v>14</v>
      </c>
      <c r="H1058" s="627"/>
      <c r="I1058" s="627"/>
      <c r="J1058" s="627"/>
      <c r="K1058" s="66"/>
      <c r="L1058" s="23"/>
      <c r="M1058" s="23"/>
      <c r="N1058" s="23"/>
    </row>
    <row r="1059" spans="1:14" hidden="1" x14ac:dyDescent="0.2">
      <c r="A1059" s="28" t="s">
        <v>9</v>
      </c>
      <c r="B1059" s="351">
        <v>0.6</v>
      </c>
      <c r="C1059" s="628"/>
      <c r="D1059" s="629"/>
      <c r="E1059" s="621"/>
      <c r="F1059" s="29">
        <f>(E1059-B1059)/B1059</f>
        <v>-1</v>
      </c>
      <c r="G1059" s="630"/>
      <c r="H1059" s="631"/>
      <c r="I1059" s="631"/>
      <c r="J1059" s="632"/>
      <c r="K1059" s="66"/>
      <c r="L1059" s="23"/>
      <c r="M1059" s="32" t="s">
        <v>9</v>
      </c>
      <c r="N1059" s="32" t="s">
        <v>10</v>
      </c>
    </row>
    <row r="1060" spans="1:14" hidden="1" x14ac:dyDescent="0.2">
      <c r="A1060" s="28" t="s">
        <v>10</v>
      </c>
      <c r="B1060" s="351">
        <v>0.6</v>
      </c>
      <c r="C1060" s="628"/>
      <c r="D1060" s="629"/>
      <c r="E1060" s="621"/>
      <c r="F1060" s="29">
        <f t="shared" ref="F1060:F1061" si="74">(E1060-B1060)/B1060</f>
        <v>-1</v>
      </c>
      <c r="G1060" s="630"/>
      <c r="H1060" s="631"/>
      <c r="I1060" s="631"/>
      <c r="J1060" s="632"/>
      <c r="K1060" s="66"/>
      <c r="L1060" s="23" t="s">
        <v>110</v>
      </c>
      <c r="M1060" s="32">
        <f>20.4+8.4</f>
        <v>28.799999999999997</v>
      </c>
      <c r="N1060" s="32">
        <f>20.4+8.4</f>
        <v>28.799999999999997</v>
      </c>
    </row>
    <row r="1061" spans="1:14" hidden="1" x14ac:dyDescent="0.2">
      <c r="A1061" s="28" t="s">
        <v>11</v>
      </c>
      <c r="B1061" s="351">
        <v>0.6</v>
      </c>
      <c r="C1061" s="628"/>
      <c r="D1061" s="629"/>
      <c r="E1061" s="621"/>
      <c r="F1061" s="29">
        <f t="shared" si="74"/>
        <v>-1</v>
      </c>
      <c r="G1061" s="630"/>
      <c r="H1061" s="631"/>
      <c r="I1061" s="631"/>
      <c r="J1061" s="632"/>
      <c r="K1061" s="66"/>
      <c r="L1061" s="23"/>
    </row>
    <row r="1062" spans="1:14" hidden="1" x14ac:dyDescent="0.2">
      <c r="A1062" s="28" t="s">
        <v>12</v>
      </c>
      <c r="B1062" s="351">
        <v>42</v>
      </c>
      <c r="C1062" s="628"/>
      <c r="D1062" s="629"/>
      <c r="E1062" s="619"/>
      <c r="F1062" s="29">
        <f t="shared" ref="F1062" si="75">(E1062-B1062)/B1062</f>
        <v>-1</v>
      </c>
      <c r="G1062" s="630"/>
      <c r="H1062" s="631"/>
      <c r="I1062" s="631"/>
      <c r="J1062" s="632"/>
      <c r="K1062" s="66"/>
      <c r="L1062" s="23" t="s">
        <v>112</v>
      </c>
      <c r="M1062" s="32">
        <v>25.2</v>
      </c>
      <c r="N1062" s="32">
        <v>25.2</v>
      </c>
    </row>
    <row r="1063" spans="1:14" hidden="1" x14ac:dyDescent="0.2">
      <c r="A1063" s="35" t="s">
        <v>15</v>
      </c>
      <c r="B1063" s="621">
        <f>SUM(B1059:B1062)</f>
        <v>43.8</v>
      </c>
      <c r="C1063" s="628"/>
      <c r="D1063" s="629"/>
      <c r="E1063" s="619">
        <f>SUM(E1059:E1062)</f>
        <v>0</v>
      </c>
      <c r="F1063" s="29">
        <f>(E1063-B1063)/B1063</f>
        <v>-1</v>
      </c>
      <c r="G1063" s="630"/>
      <c r="H1063" s="631"/>
      <c r="I1063" s="631"/>
      <c r="J1063" s="632"/>
      <c r="K1063" s="66"/>
      <c r="L1063" s="23"/>
      <c r="M1063" s="23"/>
      <c r="N1063" s="23"/>
    </row>
    <row r="1064" spans="1:14" x14ac:dyDescent="0.2">
      <c r="A1064" s="39"/>
      <c r="B1064" s="620"/>
      <c r="C1064" s="459"/>
      <c r="D1064" s="459"/>
      <c r="E1064" s="620"/>
      <c r="F1064" s="40"/>
      <c r="G1064" s="620"/>
      <c r="H1064" s="620"/>
      <c r="I1064" s="620"/>
      <c r="J1064" s="620"/>
      <c r="K1064" s="66"/>
      <c r="L1064" s="23"/>
      <c r="M1064" s="23"/>
      <c r="N1064" s="23"/>
    </row>
    <row r="1065" spans="1:14" ht="12.75" customHeight="1" x14ac:dyDescent="0.2">
      <c r="A1065" s="633" t="s">
        <v>242</v>
      </c>
      <c r="B1065" s="634"/>
      <c r="C1065" s="637" t="s">
        <v>141</v>
      </c>
      <c r="D1065" s="639" t="s">
        <v>113</v>
      </c>
      <c r="E1065" s="50" t="s">
        <v>18</v>
      </c>
      <c r="F1065" s="67">
        <v>16</v>
      </c>
      <c r="G1065" s="45" t="s">
        <v>16</v>
      </c>
      <c r="H1065" s="58">
        <f>B1072</f>
        <v>87</v>
      </c>
      <c r="I1065" s="45" t="s">
        <v>17</v>
      </c>
      <c r="J1065" s="63">
        <f>B1072-E1072</f>
        <v>87</v>
      </c>
      <c r="K1065" s="331">
        <f>(E1072-B1072)/B1072</f>
        <v>-1</v>
      </c>
      <c r="L1065" s="642"/>
      <c r="M1065" s="642"/>
      <c r="N1065" s="643"/>
    </row>
    <row r="1066" spans="1:14" hidden="1" x14ac:dyDescent="0.2">
      <c r="A1066" s="635"/>
      <c r="B1066" s="636"/>
      <c r="C1066" s="638"/>
      <c r="D1066" s="640"/>
      <c r="E1066" s="47"/>
      <c r="F1066" s="279"/>
      <c r="G1066" s="49"/>
      <c r="H1066" s="59"/>
      <c r="I1066" s="48"/>
      <c r="J1066" s="64"/>
      <c r="K1066" s="66"/>
      <c r="L1066" s="23"/>
      <c r="M1066" s="23"/>
      <c r="N1066" s="23"/>
    </row>
    <row r="1067" spans="1:14" ht="22.5" hidden="1" x14ac:dyDescent="0.2">
      <c r="A1067" s="46"/>
      <c r="B1067" s="33" t="s">
        <v>7</v>
      </c>
      <c r="C1067" s="33"/>
      <c r="D1067" s="33"/>
      <c r="E1067" s="27" t="s">
        <v>8</v>
      </c>
      <c r="F1067" s="28"/>
      <c r="G1067" s="627" t="s">
        <v>14</v>
      </c>
      <c r="H1067" s="627"/>
      <c r="I1067" s="627"/>
      <c r="J1067" s="627"/>
      <c r="K1067" s="66"/>
      <c r="L1067" s="23"/>
      <c r="M1067" s="23"/>
      <c r="N1067" s="23"/>
    </row>
    <row r="1068" spans="1:14" hidden="1" x14ac:dyDescent="0.2">
      <c r="A1068" s="28" t="s">
        <v>9</v>
      </c>
      <c r="B1068" s="351">
        <v>8.8000000000000007</v>
      </c>
      <c r="C1068" s="628"/>
      <c r="D1068" s="629"/>
      <c r="E1068" s="621"/>
      <c r="F1068" s="29">
        <f>(E1068-B1068)/B1068</f>
        <v>-1</v>
      </c>
      <c r="G1068" s="630"/>
      <c r="H1068" s="631"/>
      <c r="I1068" s="631"/>
      <c r="J1068" s="632"/>
      <c r="K1068" s="66"/>
      <c r="L1068" s="23"/>
      <c r="M1068" s="32" t="s">
        <v>9</v>
      </c>
      <c r="N1068" s="32" t="s">
        <v>10</v>
      </c>
    </row>
    <row r="1069" spans="1:14" hidden="1" x14ac:dyDescent="0.2">
      <c r="A1069" s="28" t="s">
        <v>10</v>
      </c>
      <c r="B1069" s="351">
        <v>8.8000000000000007</v>
      </c>
      <c r="C1069" s="628"/>
      <c r="D1069" s="629"/>
      <c r="E1069" s="621"/>
      <c r="F1069" s="29">
        <f t="shared" ref="F1069:F1071" si="76">(E1069-B1069)/B1069</f>
        <v>-1</v>
      </c>
      <c r="G1069" s="630"/>
      <c r="H1069" s="631"/>
      <c r="I1069" s="631"/>
      <c r="J1069" s="632"/>
      <c r="K1069" s="66"/>
      <c r="L1069" s="23" t="s">
        <v>110</v>
      </c>
      <c r="M1069" s="32">
        <f>20.4+8.4</f>
        <v>28.799999999999997</v>
      </c>
      <c r="N1069" s="32">
        <f>20.4+8.4</f>
        <v>28.799999999999997</v>
      </c>
    </row>
    <row r="1070" spans="1:14" hidden="1" x14ac:dyDescent="0.2">
      <c r="A1070" s="28" t="s">
        <v>11</v>
      </c>
      <c r="B1070" s="351">
        <v>0</v>
      </c>
      <c r="C1070" s="628"/>
      <c r="D1070" s="629"/>
      <c r="E1070" s="621"/>
      <c r="F1070" s="29" t="e">
        <f t="shared" si="76"/>
        <v>#DIV/0!</v>
      </c>
      <c r="G1070" s="630"/>
      <c r="H1070" s="631"/>
      <c r="I1070" s="631"/>
      <c r="J1070" s="632"/>
      <c r="K1070" s="66"/>
      <c r="L1070" s="23"/>
    </row>
    <row r="1071" spans="1:14" hidden="1" x14ac:dyDescent="0.2">
      <c r="A1071" s="28" t="s">
        <v>12</v>
      </c>
      <c r="B1071" s="351">
        <v>69.400000000000006</v>
      </c>
      <c r="C1071" s="628"/>
      <c r="D1071" s="629"/>
      <c r="E1071" s="619"/>
      <c r="F1071" s="29">
        <f t="shared" si="76"/>
        <v>-1</v>
      </c>
      <c r="G1071" s="630"/>
      <c r="H1071" s="631"/>
      <c r="I1071" s="631"/>
      <c r="J1071" s="632"/>
      <c r="K1071" s="66"/>
      <c r="L1071" s="23" t="s">
        <v>112</v>
      </c>
      <c r="M1071" s="32">
        <v>25.2</v>
      </c>
      <c r="N1071" s="32">
        <v>25.2</v>
      </c>
    </row>
    <row r="1072" spans="1:14" hidden="1" x14ac:dyDescent="0.2">
      <c r="A1072" s="35" t="s">
        <v>15</v>
      </c>
      <c r="B1072" s="621">
        <f>SUM(B1068:B1071)</f>
        <v>87</v>
      </c>
      <c r="C1072" s="628"/>
      <c r="D1072" s="629"/>
      <c r="E1072" s="619">
        <f>SUM(E1068:E1071)</f>
        <v>0</v>
      </c>
      <c r="F1072" s="29">
        <f>(E1072-B1072)/B1072</f>
        <v>-1</v>
      </c>
      <c r="G1072" s="630"/>
      <c r="H1072" s="631"/>
      <c r="I1072" s="631"/>
      <c r="J1072" s="632"/>
      <c r="K1072" s="66"/>
      <c r="L1072" s="23"/>
      <c r="M1072" s="23"/>
      <c r="N1072" s="23"/>
    </row>
    <row r="1073" spans="1:14" x14ac:dyDescent="0.2">
      <c r="A1073" s="39"/>
      <c r="B1073" s="620"/>
      <c r="C1073" s="459"/>
      <c r="D1073" s="459"/>
      <c r="E1073" s="620"/>
      <c r="F1073" s="40"/>
      <c r="G1073" s="620"/>
      <c r="H1073" s="620"/>
      <c r="I1073" s="620"/>
      <c r="J1073" s="620"/>
      <c r="K1073" s="66"/>
      <c r="L1073" s="23"/>
      <c r="M1073" s="23"/>
      <c r="N1073" s="23"/>
    </row>
  </sheetData>
  <mergeCells count="1489">
    <mergeCell ref="L885:N885"/>
    <mergeCell ref="G944:J944"/>
    <mergeCell ref="C945:D945"/>
    <mergeCell ref="G945:J945"/>
    <mergeCell ref="C946:D946"/>
    <mergeCell ref="G946:J946"/>
    <mergeCell ref="A948:B949"/>
    <mergeCell ref="C948:C949"/>
    <mergeCell ref="D948:D949"/>
    <mergeCell ref="L948:N948"/>
    <mergeCell ref="G950:J950"/>
    <mergeCell ref="C951:D951"/>
    <mergeCell ref="G951:J951"/>
    <mergeCell ref="C952:D952"/>
    <mergeCell ref="G952:J952"/>
    <mergeCell ref="L903:N903"/>
    <mergeCell ref="G905:J905"/>
    <mergeCell ref="C906:D906"/>
    <mergeCell ref="G906:J906"/>
    <mergeCell ref="C907:D907"/>
    <mergeCell ref="G907:J907"/>
    <mergeCell ref="C908:D908"/>
    <mergeCell ref="G908:J908"/>
    <mergeCell ref="C909:D909"/>
    <mergeCell ref="G909:J909"/>
    <mergeCell ref="C944:D944"/>
    <mergeCell ref="L930:N930"/>
    <mergeCell ref="A912:B913"/>
    <mergeCell ref="C912:C913"/>
    <mergeCell ref="D912:D913"/>
    <mergeCell ref="L912:N912"/>
    <mergeCell ref="G914:J914"/>
    <mergeCell ref="C915:D915"/>
    <mergeCell ref="G915:J915"/>
    <mergeCell ref="C916:D916"/>
    <mergeCell ref="G916:J916"/>
    <mergeCell ref="C917:D917"/>
    <mergeCell ref="G917:J917"/>
    <mergeCell ref="C918:D918"/>
    <mergeCell ref="G918:J918"/>
    <mergeCell ref="C919:D919"/>
    <mergeCell ref="G919:J919"/>
    <mergeCell ref="A921:B922"/>
    <mergeCell ref="C921:C922"/>
    <mergeCell ref="D921:D922"/>
    <mergeCell ref="C926:D926"/>
    <mergeCell ref="G926:J926"/>
    <mergeCell ref="C927:D927"/>
    <mergeCell ref="G927:J927"/>
    <mergeCell ref="A930:B931"/>
    <mergeCell ref="C930:C931"/>
    <mergeCell ref="D930:D931"/>
    <mergeCell ref="L984:N984"/>
    <mergeCell ref="G968:J968"/>
    <mergeCell ref="C969:D969"/>
    <mergeCell ref="G969:J969"/>
    <mergeCell ref="C970:D970"/>
    <mergeCell ref="G970:J970"/>
    <mergeCell ref="C971:D971"/>
    <mergeCell ref="G971:J971"/>
    <mergeCell ref="C972:D972"/>
    <mergeCell ref="G972:J972"/>
    <mergeCell ref="C973:D973"/>
    <mergeCell ref="G973:J973"/>
    <mergeCell ref="A975:B976"/>
    <mergeCell ref="A984:B985"/>
    <mergeCell ref="L966:N966"/>
    <mergeCell ref="G932:J932"/>
    <mergeCell ref="C933:D933"/>
    <mergeCell ref="G933:J933"/>
    <mergeCell ref="C934:D934"/>
    <mergeCell ref="G934:J934"/>
    <mergeCell ref="C935:D935"/>
    <mergeCell ref="G935:J935"/>
    <mergeCell ref="C964:D964"/>
    <mergeCell ref="G964:J964"/>
    <mergeCell ref="G986:J986"/>
    <mergeCell ref="C975:C976"/>
    <mergeCell ref="D975:D976"/>
    <mergeCell ref="L975:N975"/>
    <mergeCell ref="G977:J977"/>
    <mergeCell ref="C978:D978"/>
    <mergeCell ref="G978:J978"/>
    <mergeCell ref="C989:D989"/>
    <mergeCell ref="G989:J989"/>
    <mergeCell ref="C990:D990"/>
    <mergeCell ref="G990:J990"/>
    <mergeCell ref="C991:D991"/>
    <mergeCell ref="G991:J991"/>
    <mergeCell ref="C979:D979"/>
    <mergeCell ref="G979:J979"/>
    <mergeCell ref="C980:D980"/>
    <mergeCell ref="G980:J980"/>
    <mergeCell ref="C981:D981"/>
    <mergeCell ref="G981:J981"/>
    <mergeCell ref="C982:D982"/>
    <mergeCell ref="G982:J982"/>
    <mergeCell ref="C984:C985"/>
    <mergeCell ref="D984:D985"/>
    <mergeCell ref="L921:N921"/>
    <mergeCell ref="G923:J923"/>
    <mergeCell ref="C924:D924"/>
    <mergeCell ref="G924:J924"/>
    <mergeCell ref="C925:D925"/>
    <mergeCell ref="G925:J925"/>
    <mergeCell ref="C954:D954"/>
    <mergeCell ref="G954:J954"/>
    <mergeCell ref="C955:D955"/>
    <mergeCell ref="G955:J955"/>
    <mergeCell ref="C939:C940"/>
    <mergeCell ref="D939:D940"/>
    <mergeCell ref="C936:D936"/>
    <mergeCell ref="G936:J936"/>
    <mergeCell ref="C937:D937"/>
    <mergeCell ref="G937:J937"/>
    <mergeCell ref="L939:N939"/>
    <mergeCell ref="G941:J941"/>
    <mergeCell ref="C942:D942"/>
    <mergeCell ref="C953:D953"/>
    <mergeCell ref="G953:J953"/>
    <mergeCell ref="G942:J942"/>
    <mergeCell ref="C943:D943"/>
    <mergeCell ref="G943:J943"/>
    <mergeCell ref="C928:D928"/>
    <mergeCell ref="G928:J928"/>
    <mergeCell ref="G816:J816"/>
    <mergeCell ref="C881:D881"/>
    <mergeCell ref="G881:J881"/>
    <mergeCell ref="C882:D882"/>
    <mergeCell ref="G882:J882"/>
    <mergeCell ref="C883:D883"/>
    <mergeCell ref="G883:J883"/>
    <mergeCell ref="G817:J817"/>
    <mergeCell ref="G833:J833"/>
    <mergeCell ref="C825:D825"/>
    <mergeCell ref="G825:J825"/>
    <mergeCell ref="C826:D826"/>
    <mergeCell ref="G851:J851"/>
    <mergeCell ref="C837:D837"/>
    <mergeCell ref="D840:D841"/>
    <mergeCell ref="D894:D895"/>
    <mergeCell ref="G874:J874"/>
    <mergeCell ref="G826:J826"/>
    <mergeCell ref="C827:D827"/>
    <mergeCell ref="G842:J842"/>
    <mergeCell ref="G891:J891"/>
    <mergeCell ref="C892:D892"/>
    <mergeCell ref="G892:J892"/>
    <mergeCell ref="G870:J870"/>
    <mergeCell ref="C871:D871"/>
    <mergeCell ref="G871:J871"/>
    <mergeCell ref="C867:C868"/>
    <mergeCell ref="D867:D868"/>
    <mergeCell ref="C863:D863"/>
    <mergeCell ref="G863:J863"/>
    <mergeCell ref="G837:J837"/>
    <mergeCell ref="C834:D834"/>
    <mergeCell ref="L894:N894"/>
    <mergeCell ref="L822:N822"/>
    <mergeCell ref="L831:N831"/>
    <mergeCell ref="L849:N849"/>
    <mergeCell ref="C864:D864"/>
    <mergeCell ref="G864:J864"/>
    <mergeCell ref="C865:D865"/>
    <mergeCell ref="G865:J865"/>
    <mergeCell ref="C873:D873"/>
    <mergeCell ref="G873:J873"/>
    <mergeCell ref="G820:J820"/>
    <mergeCell ref="L777:N777"/>
    <mergeCell ref="G834:J834"/>
    <mergeCell ref="C835:D835"/>
    <mergeCell ref="G835:J835"/>
    <mergeCell ref="C836:D836"/>
    <mergeCell ref="G836:J836"/>
    <mergeCell ref="C819:D819"/>
    <mergeCell ref="G887:J887"/>
    <mergeCell ref="C888:D888"/>
    <mergeCell ref="G888:J888"/>
    <mergeCell ref="C889:D889"/>
    <mergeCell ref="G889:J889"/>
    <mergeCell ref="C890:D890"/>
    <mergeCell ref="C822:C823"/>
    <mergeCell ref="C844:D844"/>
    <mergeCell ref="G844:J844"/>
    <mergeCell ref="C845:D845"/>
    <mergeCell ref="G845:J845"/>
    <mergeCell ref="C846:D846"/>
    <mergeCell ref="G846:J846"/>
    <mergeCell ref="C874:D874"/>
    <mergeCell ref="A789:B790"/>
    <mergeCell ref="C789:C790"/>
    <mergeCell ref="C820:D820"/>
    <mergeCell ref="G806:J806"/>
    <mergeCell ref="C795:D795"/>
    <mergeCell ref="G795:J795"/>
    <mergeCell ref="C796:D796"/>
    <mergeCell ref="G796:J796"/>
    <mergeCell ref="C793:D793"/>
    <mergeCell ref="G793:J793"/>
    <mergeCell ref="G780:J780"/>
    <mergeCell ref="L840:N840"/>
    <mergeCell ref="C813:C814"/>
    <mergeCell ref="D813:D814"/>
    <mergeCell ref="C781:D781"/>
    <mergeCell ref="C806:D806"/>
    <mergeCell ref="G808:J808"/>
    <mergeCell ref="G804:J804"/>
    <mergeCell ref="G805:J805"/>
    <mergeCell ref="G784:J784"/>
    <mergeCell ref="G782:J782"/>
    <mergeCell ref="C838:D838"/>
    <mergeCell ref="G838:J838"/>
    <mergeCell ref="A831:B832"/>
    <mergeCell ref="C831:C832"/>
    <mergeCell ref="D831:D832"/>
    <mergeCell ref="G827:J827"/>
    <mergeCell ref="C807:D807"/>
    <mergeCell ref="G807:J807"/>
    <mergeCell ref="C808:D808"/>
    <mergeCell ref="G815:J815"/>
    <mergeCell ref="C816:D816"/>
    <mergeCell ref="C756:D756"/>
    <mergeCell ref="L801:N801"/>
    <mergeCell ref="L789:N789"/>
    <mergeCell ref="G773:J773"/>
    <mergeCell ref="G819:J819"/>
    <mergeCell ref="C783:D783"/>
    <mergeCell ref="C782:D782"/>
    <mergeCell ref="G824:J824"/>
    <mergeCell ref="G755:J755"/>
    <mergeCell ref="C705:C706"/>
    <mergeCell ref="C741:C742"/>
    <mergeCell ref="D741:D742"/>
    <mergeCell ref="G752:J752"/>
    <mergeCell ref="C753:D753"/>
    <mergeCell ref="G734:J734"/>
    <mergeCell ref="G735:J735"/>
    <mergeCell ref="A777:B778"/>
    <mergeCell ref="A723:B724"/>
    <mergeCell ref="D723:D724"/>
    <mergeCell ref="G725:J725"/>
    <mergeCell ref="G719:J719"/>
    <mergeCell ref="G779:J779"/>
    <mergeCell ref="C780:D780"/>
    <mergeCell ref="C818:D818"/>
    <mergeCell ref="G818:J818"/>
    <mergeCell ref="L813:N813"/>
    <mergeCell ref="L768:N768"/>
    <mergeCell ref="A822:B823"/>
    <mergeCell ref="G756:J756"/>
    <mergeCell ref="G757:J757"/>
    <mergeCell ref="C764:D764"/>
    <mergeCell ref="C817:D817"/>
    <mergeCell ref="G772:J772"/>
    <mergeCell ref="C771:D771"/>
    <mergeCell ref="G803:J803"/>
    <mergeCell ref="G775:J775"/>
    <mergeCell ref="C774:D774"/>
    <mergeCell ref="C773:D773"/>
    <mergeCell ref="G791:J791"/>
    <mergeCell ref="C792:D792"/>
    <mergeCell ref="G792:J792"/>
    <mergeCell ref="D777:D778"/>
    <mergeCell ref="D768:D769"/>
    <mergeCell ref="C777:C778"/>
    <mergeCell ref="G783:J783"/>
    <mergeCell ref="D789:D790"/>
    <mergeCell ref="G781:J781"/>
    <mergeCell ref="G770:J770"/>
    <mergeCell ref="G771:J771"/>
    <mergeCell ref="C775:D775"/>
    <mergeCell ref="G762:J762"/>
    <mergeCell ref="G763:J763"/>
    <mergeCell ref="G764:J764"/>
    <mergeCell ref="G765:J765"/>
    <mergeCell ref="G766:J766"/>
    <mergeCell ref="C763:D763"/>
    <mergeCell ref="G774:J774"/>
    <mergeCell ref="G665:J665"/>
    <mergeCell ref="G702:J702"/>
    <mergeCell ref="G707:J707"/>
    <mergeCell ref="G703:J703"/>
    <mergeCell ref="G701:J701"/>
    <mergeCell ref="G690:J690"/>
    <mergeCell ref="G691:J691"/>
    <mergeCell ref="G692:J692"/>
    <mergeCell ref="G689:J689"/>
    <mergeCell ref="G646:J646"/>
    <mergeCell ref="C759:C760"/>
    <mergeCell ref="G761:J761"/>
    <mergeCell ref="C757:D757"/>
    <mergeCell ref="G693:J693"/>
    <mergeCell ref="D705:D706"/>
    <mergeCell ref="C672:D672"/>
    <mergeCell ref="C673:D673"/>
    <mergeCell ref="C674:D674"/>
    <mergeCell ref="C675:D675"/>
    <mergeCell ref="G736:J736"/>
    <mergeCell ref="D750:D751"/>
    <mergeCell ref="C702:D702"/>
    <mergeCell ref="D687:D688"/>
    <mergeCell ref="G721:J721"/>
    <mergeCell ref="G671:J671"/>
    <mergeCell ref="C738:D738"/>
    <mergeCell ref="C739:D739"/>
    <mergeCell ref="G712:J712"/>
    <mergeCell ref="C755:D755"/>
    <mergeCell ref="G717:J717"/>
    <mergeCell ref="G718:J718"/>
    <mergeCell ref="G645:J645"/>
    <mergeCell ref="G647:J647"/>
    <mergeCell ref="G675:J675"/>
    <mergeCell ref="G685:J685"/>
    <mergeCell ref="G676:J676"/>
    <mergeCell ref="G681:J681"/>
    <mergeCell ref="G672:J672"/>
    <mergeCell ref="G698:J698"/>
    <mergeCell ref="G613:J613"/>
    <mergeCell ref="C651:C652"/>
    <mergeCell ref="G746:J746"/>
    <mergeCell ref="G729:J729"/>
    <mergeCell ref="C747:D747"/>
    <mergeCell ref="G747:J747"/>
    <mergeCell ref="G744:J744"/>
    <mergeCell ref="G739:J739"/>
    <mergeCell ref="C701:D701"/>
    <mergeCell ref="G699:J699"/>
    <mergeCell ref="G709:J709"/>
    <mergeCell ref="D696:D697"/>
    <mergeCell ref="G720:J720"/>
    <mergeCell ref="G710:J710"/>
    <mergeCell ref="G711:J711"/>
    <mergeCell ref="G738:J738"/>
    <mergeCell ref="C723:C724"/>
    <mergeCell ref="C681:D681"/>
    <mergeCell ref="A759:B760"/>
    <mergeCell ref="A768:B769"/>
    <mergeCell ref="C765:D765"/>
    <mergeCell ref="G753:J753"/>
    <mergeCell ref="C754:D754"/>
    <mergeCell ref="G754:J754"/>
    <mergeCell ref="C772:D772"/>
    <mergeCell ref="G730:J730"/>
    <mergeCell ref="G743:J743"/>
    <mergeCell ref="A741:B742"/>
    <mergeCell ref="G618:J618"/>
    <mergeCell ref="G619:J619"/>
    <mergeCell ref="G617:J617"/>
    <mergeCell ref="G748:J748"/>
    <mergeCell ref="C750:C751"/>
    <mergeCell ref="G673:J673"/>
    <mergeCell ref="C714:C715"/>
    <mergeCell ref="A750:B751"/>
    <mergeCell ref="C766:D766"/>
    <mergeCell ref="C664:D664"/>
    <mergeCell ref="D714:D715"/>
    <mergeCell ref="G716:J716"/>
    <mergeCell ref="G666:J666"/>
    <mergeCell ref="G667:J667"/>
    <mergeCell ref="A732:B733"/>
    <mergeCell ref="C732:C733"/>
    <mergeCell ref="D732:D733"/>
    <mergeCell ref="G727:J727"/>
    <mergeCell ref="G728:J728"/>
    <mergeCell ref="G726:J726"/>
    <mergeCell ref="G745:J745"/>
    <mergeCell ref="C746:D746"/>
    <mergeCell ref="G44:J44"/>
    <mergeCell ref="A813:B814"/>
    <mergeCell ref="A471:B472"/>
    <mergeCell ref="C471:C472"/>
    <mergeCell ref="D471:D472"/>
    <mergeCell ref="C474:D474"/>
    <mergeCell ref="C475:D475"/>
    <mergeCell ref="C476:D476"/>
    <mergeCell ref="C477:D477"/>
    <mergeCell ref="A801:B802"/>
    <mergeCell ref="C540:D540"/>
    <mergeCell ref="C804:D804"/>
    <mergeCell ref="C805:D805"/>
    <mergeCell ref="C735:D735"/>
    <mergeCell ref="C736:D736"/>
    <mergeCell ref="C801:C802"/>
    <mergeCell ref="D801:D802"/>
    <mergeCell ref="C784:D784"/>
    <mergeCell ref="C744:D744"/>
    <mergeCell ref="C748:D748"/>
    <mergeCell ref="C745:D745"/>
    <mergeCell ref="C768:C769"/>
    <mergeCell ref="C762:D762"/>
    <mergeCell ref="A651:B652"/>
    <mergeCell ref="D642:D643"/>
    <mergeCell ref="C642:C643"/>
    <mergeCell ref="C645:D645"/>
    <mergeCell ref="A516:B517"/>
    <mergeCell ref="C654:D654"/>
    <mergeCell ref="C655:D655"/>
    <mergeCell ref="C656:D656"/>
    <mergeCell ref="A633:B634"/>
    <mergeCell ref="G215:J215"/>
    <mergeCell ref="G271:J271"/>
    <mergeCell ref="C6:C7"/>
    <mergeCell ref="C307:D307"/>
    <mergeCell ref="C308:D308"/>
    <mergeCell ref="C272:D272"/>
    <mergeCell ref="G337:J337"/>
    <mergeCell ref="C264:D264"/>
    <mergeCell ref="C219:D219"/>
    <mergeCell ref="G219:J219"/>
    <mergeCell ref="G220:J220"/>
    <mergeCell ref="C195:C196"/>
    <mergeCell ref="C402:D402"/>
    <mergeCell ref="C403:D403"/>
    <mergeCell ref="C289:D289"/>
    <mergeCell ref="G228:J228"/>
    <mergeCell ref="G233:J233"/>
    <mergeCell ref="G229:J229"/>
    <mergeCell ref="G218:J218"/>
    <mergeCell ref="G261:J261"/>
    <mergeCell ref="G333:J333"/>
    <mergeCell ref="G334:J334"/>
    <mergeCell ref="C165:D165"/>
    <mergeCell ref="G165:J165"/>
    <mergeCell ref="C166:D166"/>
    <mergeCell ref="G143:J143"/>
    <mergeCell ref="G144:J144"/>
    <mergeCell ref="G154:J154"/>
    <mergeCell ref="G179:J179"/>
    <mergeCell ref="C357:D357"/>
    <mergeCell ref="C261:D261"/>
    <mergeCell ref="C324:D324"/>
    <mergeCell ref="G216:J216"/>
    <mergeCell ref="C216:D216"/>
    <mergeCell ref="C459:D459"/>
    <mergeCell ref="C405:D405"/>
    <mergeCell ref="G460:J460"/>
    <mergeCell ref="C358:D358"/>
    <mergeCell ref="C359:D359"/>
    <mergeCell ref="C344:D344"/>
    <mergeCell ref="C336:D336"/>
    <mergeCell ref="C213:C214"/>
    <mergeCell ref="C421:D421"/>
    <mergeCell ref="C246:D246"/>
    <mergeCell ref="C309:D309"/>
    <mergeCell ref="C549:D549"/>
    <mergeCell ref="C417:C418"/>
    <mergeCell ref="C435:C436"/>
    <mergeCell ref="C414:D414"/>
    <mergeCell ref="C513:D513"/>
    <mergeCell ref="C375:D375"/>
    <mergeCell ref="C385:D385"/>
    <mergeCell ref="C386:D386"/>
    <mergeCell ref="C412:D412"/>
    <mergeCell ref="C456:D456"/>
    <mergeCell ref="C485:D485"/>
    <mergeCell ref="C486:D486"/>
    <mergeCell ref="C217:D217"/>
    <mergeCell ref="C270:D270"/>
    <mergeCell ref="C258:C259"/>
    <mergeCell ref="C345:D345"/>
    <mergeCell ref="G235:J235"/>
    <mergeCell ref="G327:J327"/>
    <mergeCell ref="C236:D236"/>
    <mergeCell ref="G227:J227"/>
    <mergeCell ref="C228:D228"/>
    <mergeCell ref="C229:D229"/>
    <mergeCell ref="G206:J206"/>
    <mergeCell ref="G264:J264"/>
    <mergeCell ref="G54:J54"/>
    <mergeCell ref="G67:J67"/>
    <mergeCell ref="C2:E2"/>
    <mergeCell ref="G224:J224"/>
    <mergeCell ref="G396:J396"/>
    <mergeCell ref="C429:D429"/>
    <mergeCell ref="C299:D299"/>
    <mergeCell ref="C413:D413"/>
    <mergeCell ref="A4:B4"/>
    <mergeCell ref="C315:D315"/>
    <mergeCell ref="C423:D423"/>
    <mergeCell ref="G509:J509"/>
    <mergeCell ref="G486:J486"/>
    <mergeCell ref="G482:J482"/>
    <mergeCell ref="G483:J483"/>
    <mergeCell ref="C453:C454"/>
    <mergeCell ref="C432:D432"/>
    <mergeCell ref="C447:D447"/>
    <mergeCell ref="C448:D448"/>
    <mergeCell ref="C449:D449"/>
    <mergeCell ref="C342:D342"/>
    <mergeCell ref="C343:D343"/>
    <mergeCell ref="G341:J341"/>
    <mergeCell ref="G336:J336"/>
    <mergeCell ref="G328:J328"/>
    <mergeCell ref="C330:C331"/>
    <mergeCell ref="G342:J342"/>
    <mergeCell ref="A381:B382"/>
    <mergeCell ref="G375:J375"/>
    <mergeCell ref="C376:D376"/>
    <mergeCell ref="G376:J376"/>
    <mergeCell ref="C377:D377"/>
    <mergeCell ref="G377:J377"/>
    <mergeCell ref="C378:D378"/>
    <mergeCell ref="G466:J466"/>
    <mergeCell ref="G467:J467"/>
    <mergeCell ref="G438:J438"/>
    <mergeCell ref="G439:J439"/>
    <mergeCell ref="G440:J440"/>
    <mergeCell ref="C420:D420"/>
    <mergeCell ref="G112:J112"/>
    <mergeCell ref="L1:O1"/>
    <mergeCell ref="G242:J242"/>
    <mergeCell ref="G243:J243"/>
    <mergeCell ref="C325:D325"/>
    <mergeCell ref="C326:D326"/>
    <mergeCell ref="G234:J234"/>
    <mergeCell ref="C312:C313"/>
    <mergeCell ref="G323:J323"/>
    <mergeCell ref="G324:J324"/>
    <mergeCell ref="C317:D317"/>
    <mergeCell ref="G209:J209"/>
    <mergeCell ref="G210:J210"/>
    <mergeCell ref="G332:J332"/>
    <mergeCell ref="C255:D255"/>
    <mergeCell ref="G256:J256"/>
    <mergeCell ref="G225:J225"/>
    <mergeCell ref="G262:J262"/>
    <mergeCell ref="G245:J245"/>
    <mergeCell ref="D258:D259"/>
    <mergeCell ref="D267:D268"/>
    <mergeCell ref="C273:D273"/>
    <mergeCell ref="C281:D281"/>
    <mergeCell ref="G273:J273"/>
    <mergeCell ref="G282:J282"/>
    <mergeCell ref="G272:J272"/>
    <mergeCell ref="C306:D306"/>
    <mergeCell ref="A303:B304"/>
    <mergeCell ref="G305:J305"/>
    <mergeCell ref="C271:D271"/>
    <mergeCell ref="G292:J292"/>
    <mergeCell ref="G290:J290"/>
    <mergeCell ref="A294:B295"/>
    <mergeCell ref="A276:B277"/>
    <mergeCell ref="A312:B313"/>
    <mergeCell ref="A321:B322"/>
    <mergeCell ref="C316:D316"/>
    <mergeCell ref="C318:D318"/>
    <mergeCell ref="G317:J317"/>
    <mergeCell ref="G287:J287"/>
    <mergeCell ref="C288:D288"/>
    <mergeCell ref="G288:J288"/>
    <mergeCell ref="G289:J289"/>
    <mergeCell ref="G291:J291"/>
    <mergeCell ref="C291:D291"/>
    <mergeCell ref="C290:D290"/>
    <mergeCell ref="G283:J283"/>
    <mergeCell ref="C282:D282"/>
    <mergeCell ref="C300:D300"/>
    <mergeCell ref="G315:J315"/>
    <mergeCell ref="G316:J316"/>
    <mergeCell ref="P1:S1"/>
    <mergeCell ref="A462:B463"/>
    <mergeCell ref="C462:C463"/>
    <mergeCell ref="A33:B34"/>
    <mergeCell ref="A6:B7"/>
    <mergeCell ref="A24:B25"/>
    <mergeCell ref="G9:J9"/>
    <mergeCell ref="G10:J10"/>
    <mergeCell ref="G11:J11"/>
    <mergeCell ref="F34:G34"/>
    <mergeCell ref="C24:C25"/>
    <mergeCell ref="G63:J63"/>
    <mergeCell ref="G99:J99"/>
    <mergeCell ref="G93:J93"/>
    <mergeCell ref="G94:J94"/>
    <mergeCell ref="G53:J53"/>
    <mergeCell ref="G71:J71"/>
    <mergeCell ref="G237:J237"/>
    <mergeCell ref="G236:J236"/>
    <mergeCell ref="C247:D247"/>
    <mergeCell ref="C252:D252"/>
    <mergeCell ref="C110:D110"/>
    <mergeCell ref="C111:D111"/>
    <mergeCell ref="G207:J207"/>
    <mergeCell ref="G134:J134"/>
    <mergeCell ref="G111:J111"/>
    <mergeCell ref="G152:J152"/>
    <mergeCell ref="G173:J173"/>
    <mergeCell ref="C4:D4"/>
    <mergeCell ref="C3:D3"/>
    <mergeCell ref="G164:J164"/>
    <mergeCell ref="G263:J263"/>
    <mergeCell ref="G49:J49"/>
    <mergeCell ref="G47:J47"/>
    <mergeCell ref="G145:J145"/>
    <mergeCell ref="G45:J45"/>
    <mergeCell ref="G46:J46"/>
    <mergeCell ref="G48:J48"/>
    <mergeCell ref="G55:J55"/>
    <mergeCell ref="G62:J62"/>
    <mergeCell ref="G64:J64"/>
    <mergeCell ref="G84:J84"/>
    <mergeCell ref="G85:J85"/>
    <mergeCell ref="G102:J102"/>
    <mergeCell ref="G89:J89"/>
    <mergeCell ref="G90:J90"/>
    <mergeCell ref="G75:J75"/>
    <mergeCell ref="G91:J91"/>
    <mergeCell ref="G92:J92"/>
    <mergeCell ref="G117:J120"/>
    <mergeCell ref="G107:J107"/>
    <mergeCell ref="G76:J76"/>
    <mergeCell ref="G80:J80"/>
    <mergeCell ref="G58:J58"/>
    <mergeCell ref="C27:D27"/>
    <mergeCell ref="C28:D28"/>
    <mergeCell ref="C29:D29"/>
    <mergeCell ref="C30:D30"/>
    <mergeCell ref="C45:D45"/>
    <mergeCell ref="C46:D46"/>
    <mergeCell ref="C47:D47"/>
    <mergeCell ref="C48:D48"/>
    <mergeCell ref="C54:D54"/>
    <mergeCell ref="G100:J100"/>
    <mergeCell ref="G98:J98"/>
    <mergeCell ref="G72:J72"/>
    <mergeCell ref="G65:J65"/>
    <mergeCell ref="G66:J66"/>
    <mergeCell ref="G103:J103"/>
    <mergeCell ref="G130:J130"/>
    <mergeCell ref="G108:J108"/>
    <mergeCell ref="G73:J73"/>
    <mergeCell ref="G56:J56"/>
    <mergeCell ref="G57:J57"/>
    <mergeCell ref="C65:D65"/>
    <mergeCell ref="C66:D66"/>
    <mergeCell ref="C72:D72"/>
    <mergeCell ref="C73:D73"/>
    <mergeCell ref="C74:D74"/>
    <mergeCell ref="C75:D75"/>
    <mergeCell ref="C102:D102"/>
    <mergeCell ref="C100:D100"/>
    <mergeCell ref="G74:J74"/>
    <mergeCell ref="G81:J81"/>
    <mergeCell ref="G82:J82"/>
    <mergeCell ref="G83:J83"/>
    <mergeCell ref="G8:J8"/>
    <mergeCell ref="A15:B16"/>
    <mergeCell ref="F25:G25"/>
    <mergeCell ref="G19:J19"/>
    <mergeCell ref="G20:J20"/>
    <mergeCell ref="G12:J12"/>
    <mergeCell ref="G13:J13"/>
    <mergeCell ref="G21:J21"/>
    <mergeCell ref="G22:J22"/>
    <mergeCell ref="G17:J17"/>
    <mergeCell ref="G18:J18"/>
    <mergeCell ref="C15:C16"/>
    <mergeCell ref="C9:D9"/>
    <mergeCell ref="C10:D10"/>
    <mergeCell ref="C11:D11"/>
    <mergeCell ref="C12:D12"/>
    <mergeCell ref="C18:D18"/>
    <mergeCell ref="C19:D19"/>
    <mergeCell ref="C20:D20"/>
    <mergeCell ref="C21:D21"/>
    <mergeCell ref="A42:B43"/>
    <mergeCell ref="A78:B79"/>
    <mergeCell ref="A69:B70"/>
    <mergeCell ref="C78:C79"/>
    <mergeCell ref="A87:B88"/>
    <mergeCell ref="A96:B97"/>
    <mergeCell ref="C96:C97"/>
    <mergeCell ref="A105:B106"/>
    <mergeCell ref="C105:C106"/>
    <mergeCell ref="A51:B52"/>
    <mergeCell ref="C69:C70"/>
    <mergeCell ref="C42:C43"/>
    <mergeCell ref="C60:C61"/>
    <mergeCell ref="C51:C52"/>
    <mergeCell ref="C56:D56"/>
    <mergeCell ref="C57:D57"/>
    <mergeCell ref="C63:D63"/>
    <mergeCell ref="C87:C88"/>
    <mergeCell ref="A60:B61"/>
    <mergeCell ref="C81:D81"/>
    <mergeCell ref="C82:D82"/>
    <mergeCell ref="C83:D83"/>
    <mergeCell ref="C84:D84"/>
    <mergeCell ref="C90:D90"/>
    <mergeCell ref="C91:D91"/>
    <mergeCell ref="C92:D92"/>
    <mergeCell ref="C93:D93"/>
    <mergeCell ref="C64:D64"/>
    <mergeCell ref="C55:D55"/>
    <mergeCell ref="C101:D101"/>
    <mergeCell ref="C119:D119"/>
    <mergeCell ref="C120:D120"/>
    <mergeCell ref="C99:D99"/>
    <mergeCell ref="C141:C142"/>
    <mergeCell ref="C127:D127"/>
    <mergeCell ref="C128:D128"/>
    <mergeCell ref="C129:D129"/>
    <mergeCell ref="C123:C124"/>
    <mergeCell ref="C126:D126"/>
    <mergeCell ref="G137:J137"/>
    <mergeCell ref="G138:J138"/>
    <mergeCell ref="G139:J139"/>
    <mergeCell ref="G126:J126"/>
    <mergeCell ref="G127:J127"/>
    <mergeCell ref="C114:C115"/>
    <mergeCell ref="G116:J116"/>
    <mergeCell ref="G121:J121"/>
    <mergeCell ref="G128:J128"/>
    <mergeCell ref="G125:J125"/>
    <mergeCell ref="G101:J101"/>
    <mergeCell ref="C108:D108"/>
    <mergeCell ref="C109:D109"/>
    <mergeCell ref="G136:J136"/>
    <mergeCell ref="C117:D117"/>
    <mergeCell ref="C118:D118"/>
    <mergeCell ref="G109:J109"/>
    <mergeCell ref="G110:J110"/>
    <mergeCell ref="G129:J129"/>
    <mergeCell ref="A186:B187"/>
    <mergeCell ref="C186:C187"/>
    <mergeCell ref="C177:C178"/>
    <mergeCell ref="G147:J147"/>
    <mergeCell ref="G174:J174"/>
    <mergeCell ref="A195:B196"/>
    <mergeCell ref="C132:C133"/>
    <mergeCell ref="A213:B214"/>
    <mergeCell ref="C173:D173"/>
    <mergeCell ref="C174:D174"/>
    <mergeCell ref="C157:D157"/>
    <mergeCell ref="A177:B178"/>
    <mergeCell ref="A168:B169"/>
    <mergeCell ref="C155:D155"/>
    <mergeCell ref="C156:D156"/>
    <mergeCell ref="C192:D192"/>
    <mergeCell ref="A159:B160"/>
    <mergeCell ref="C164:D164"/>
    <mergeCell ref="G197:J197"/>
    <mergeCell ref="G198:J198"/>
    <mergeCell ref="G199:J199"/>
    <mergeCell ref="G200:J200"/>
    <mergeCell ref="G201:J201"/>
    <mergeCell ref="G180:J180"/>
    <mergeCell ref="C180:D180"/>
    <mergeCell ref="C181:D181"/>
    <mergeCell ref="C182:D182"/>
    <mergeCell ref="C183:D183"/>
    <mergeCell ref="G202:J202"/>
    <mergeCell ref="G192:J192"/>
    <mergeCell ref="G193:J193"/>
    <mergeCell ref="G148:J148"/>
    <mergeCell ref="A114:B115"/>
    <mergeCell ref="G156:J156"/>
    <mergeCell ref="G157:J157"/>
    <mergeCell ref="G175:J175"/>
    <mergeCell ref="G166:J166"/>
    <mergeCell ref="G190:J190"/>
    <mergeCell ref="G146:J146"/>
    <mergeCell ref="C189:D189"/>
    <mergeCell ref="C162:D162"/>
    <mergeCell ref="G162:J162"/>
    <mergeCell ref="C163:D163"/>
    <mergeCell ref="G163:J163"/>
    <mergeCell ref="G153:J153"/>
    <mergeCell ref="G171:J171"/>
    <mergeCell ref="G172:J172"/>
    <mergeCell ref="G189:J189"/>
    <mergeCell ref="A231:B232"/>
    <mergeCell ref="A222:B223"/>
    <mergeCell ref="C225:D225"/>
    <mergeCell ref="C226:D226"/>
    <mergeCell ref="C227:D227"/>
    <mergeCell ref="C231:C232"/>
    <mergeCell ref="G226:J226"/>
    <mergeCell ref="G181:J181"/>
    <mergeCell ref="G182:J182"/>
    <mergeCell ref="G183:J183"/>
    <mergeCell ref="G155:J155"/>
    <mergeCell ref="G161:J161"/>
    <mergeCell ref="G188:J188"/>
    <mergeCell ref="G191:J191"/>
    <mergeCell ref="G208:J208"/>
    <mergeCell ref="G217:J217"/>
    <mergeCell ref="G170:J170"/>
    <mergeCell ref="A123:B124"/>
    <mergeCell ref="A132:B133"/>
    <mergeCell ref="A150:B151"/>
    <mergeCell ref="C150:C151"/>
    <mergeCell ref="G135:J135"/>
    <mergeCell ref="G184:J184"/>
    <mergeCell ref="C198:D198"/>
    <mergeCell ref="C199:D199"/>
    <mergeCell ref="C200:D200"/>
    <mergeCell ref="C201:D201"/>
    <mergeCell ref="C207:D207"/>
    <mergeCell ref="C208:D208"/>
    <mergeCell ref="C209:D209"/>
    <mergeCell ref="C210:D210"/>
    <mergeCell ref="D222:D223"/>
    <mergeCell ref="C218:D218"/>
    <mergeCell ref="C222:C223"/>
    <mergeCell ref="C168:C169"/>
    <mergeCell ref="D159:D160"/>
    <mergeCell ref="C153:D153"/>
    <mergeCell ref="C154:D154"/>
    <mergeCell ref="A204:B205"/>
    <mergeCell ref="C204:C205"/>
    <mergeCell ref="G211:J211"/>
    <mergeCell ref="A141:B142"/>
    <mergeCell ref="C191:D191"/>
    <mergeCell ref="D177:D178"/>
    <mergeCell ref="C171:D171"/>
    <mergeCell ref="C172:D172"/>
    <mergeCell ref="C190:D190"/>
    <mergeCell ref="C159:C160"/>
    <mergeCell ref="C234:D234"/>
    <mergeCell ref="C235:D235"/>
    <mergeCell ref="C238:D238"/>
    <mergeCell ref="C240:C241"/>
    <mergeCell ref="C249:C250"/>
    <mergeCell ref="C245:D245"/>
    <mergeCell ref="G244:J244"/>
    <mergeCell ref="A240:B241"/>
    <mergeCell ref="D240:D241"/>
    <mergeCell ref="C237:D237"/>
    <mergeCell ref="G246:J246"/>
    <mergeCell ref="G247:J247"/>
    <mergeCell ref="C253:D253"/>
    <mergeCell ref="C254:D254"/>
    <mergeCell ref="C263:D263"/>
    <mergeCell ref="G270:J270"/>
    <mergeCell ref="C243:D243"/>
    <mergeCell ref="G251:J251"/>
    <mergeCell ref="G254:J254"/>
    <mergeCell ref="G255:J255"/>
    <mergeCell ref="A267:B268"/>
    <mergeCell ref="C262:D262"/>
    <mergeCell ref="A249:B250"/>
    <mergeCell ref="G252:J252"/>
    <mergeCell ref="G265:J265"/>
    <mergeCell ref="G260:J260"/>
    <mergeCell ref="G253:J253"/>
    <mergeCell ref="G238:J238"/>
    <mergeCell ref="C267:C268"/>
    <mergeCell ref="G269:J269"/>
    <mergeCell ref="C244:D244"/>
    <mergeCell ref="A258:B259"/>
    <mergeCell ref="C276:C277"/>
    <mergeCell ref="D276:D277"/>
    <mergeCell ref="G278:J278"/>
    <mergeCell ref="G279:J279"/>
    <mergeCell ref="G280:J280"/>
    <mergeCell ref="G307:J307"/>
    <mergeCell ref="A330:B331"/>
    <mergeCell ref="G308:J308"/>
    <mergeCell ref="G274:J274"/>
    <mergeCell ref="G309:J309"/>
    <mergeCell ref="G310:J310"/>
    <mergeCell ref="G349:J349"/>
    <mergeCell ref="G319:J319"/>
    <mergeCell ref="C339:C340"/>
    <mergeCell ref="C279:D279"/>
    <mergeCell ref="C280:D280"/>
    <mergeCell ref="G318:J318"/>
    <mergeCell ref="G314:J314"/>
    <mergeCell ref="G306:J306"/>
    <mergeCell ref="C303:C304"/>
    <mergeCell ref="A339:B340"/>
    <mergeCell ref="G326:J326"/>
    <mergeCell ref="G281:J281"/>
    <mergeCell ref="A285:B286"/>
    <mergeCell ref="C285:C286"/>
    <mergeCell ref="D285:D286"/>
    <mergeCell ref="C321:C322"/>
    <mergeCell ref="G343:J343"/>
    <mergeCell ref="G350:J350"/>
    <mergeCell ref="G351:J351"/>
    <mergeCell ref="G348:J348"/>
    <mergeCell ref="G335:J335"/>
    <mergeCell ref="G385:J385"/>
    <mergeCell ref="G386:J386"/>
    <mergeCell ref="G392:J392"/>
    <mergeCell ref="G384:J384"/>
    <mergeCell ref="G352:J352"/>
    <mergeCell ref="G393:J393"/>
    <mergeCell ref="G347:J347"/>
    <mergeCell ref="C294:C295"/>
    <mergeCell ref="D294:D295"/>
    <mergeCell ref="G296:J296"/>
    <mergeCell ref="C297:D297"/>
    <mergeCell ref="G297:J297"/>
    <mergeCell ref="G298:J298"/>
    <mergeCell ref="G299:J299"/>
    <mergeCell ref="G300:J300"/>
    <mergeCell ref="G301:J301"/>
    <mergeCell ref="C298:D298"/>
    <mergeCell ref="G325:J325"/>
    <mergeCell ref="C354:C355"/>
    <mergeCell ref="G356:J356"/>
    <mergeCell ref="G357:J357"/>
    <mergeCell ref="G358:J358"/>
    <mergeCell ref="G359:J359"/>
    <mergeCell ref="G360:J360"/>
    <mergeCell ref="G361:J361"/>
    <mergeCell ref="G378:J378"/>
    <mergeCell ref="G388:J388"/>
    <mergeCell ref="C387:D387"/>
    <mergeCell ref="A435:B436"/>
    <mergeCell ref="C415:D415"/>
    <mergeCell ref="A399:B400"/>
    <mergeCell ref="A444:B445"/>
    <mergeCell ref="G410:J410"/>
    <mergeCell ref="G430:J430"/>
    <mergeCell ref="D444:D445"/>
    <mergeCell ref="G405:J405"/>
    <mergeCell ref="G428:J428"/>
    <mergeCell ref="G413:J413"/>
    <mergeCell ref="C381:C382"/>
    <mergeCell ref="C327:D327"/>
    <mergeCell ref="G344:J344"/>
    <mergeCell ref="G345:J345"/>
    <mergeCell ref="G346:J346"/>
    <mergeCell ref="G402:J402"/>
    <mergeCell ref="C390:C391"/>
    <mergeCell ref="C333:D333"/>
    <mergeCell ref="C334:D334"/>
    <mergeCell ref="C335:D335"/>
    <mergeCell ref="C395:D395"/>
    <mergeCell ref="C396:D396"/>
    <mergeCell ref="G394:J394"/>
    <mergeCell ref="C399:C400"/>
    <mergeCell ref="G403:J403"/>
    <mergeCell ref="G404:J404"/>
    <mergeCell ref="G383:J383"/>
    <mergeCell ref="G395:J395"/>
    <mergeCell ref="G387:J387"/>
    <mergeCell ref="C394:D394"/>
    <mergeCell ref="G379:J379"/>
    <mergeCell ref="A354:B355"/>
    <mergeCell ref="A390:B391"/>
    <mergeCell ref="C384:D384"/>
    <mergeCell ref="C422:D422"/>
    <mergeCell ref="C431:D431"/>
    <mergeCell ref="C444:C445"/>
    <mergeCell ref="G442:J442"/>
    <mergeCell ref="C430:D430"/>
    <mergeCell ref="G415:J415"/>
    <mergeCell ref="D399:D400"/>
    <mergeCell ref="G473:J473"/>
    <mergeCell ref="G424:J424"/>
    <mergeCell ref="G455:J455"/>
    <mergeCell ref="G450:J450"/>
    <mergeCell ref="C467:D467"/>
    <mergeCell ref="D462:D463"/>
    <mergeCell ref="C457:D457"/>
    <mergeCell ref="C465:D465"/>
    <mergeCell ref="G465:J465"/>
    <mergeCell ref="G468:J468"/>
    <mergeCell ref="G469:J469"/>
    <mergeCell ref="G456:J456"/>
    <mergeCell ref="G457:J457"/>
    <mergeCell ref="G464:J464"/>
    <mergeCell ref="A426:B427"/>
    <mergeCell ref="C426:C427"/>
    <mergeCell ref="A417:B418"/>
    <mergeCell ref="G419:J419"/>
    <mergeCell ref="G420:J420"/>
    <mergeCell ref="G421:J421"/>
    <mergeCell ref="G397:J397"/>
    <mergeCell ref="G406:J406"/>
    <mergeCell ref="G411:J411"/>
    <mergeCell ref="C404:D404"/>
    <mergeCell ref="C408:C409"/>
    <mergeCell ref="G422:J422"/>
    <mergeCell ref="G423:J423"/>
    <mergeCell ref="G437:J437"/>
    <mergeCell ref="G446:J446"/>
    <mergeCell ref="G441:J441"/>
    <mergeCell ref="G447:J447"/>
    <mergeCell ref="G429:J429"/>
    <mergeCell ref="G414:J414"/>
    <mergeCell ref="C458:D458"/>
    <mergeCell ref="G510:J510"/>
    <mergeCell ref="C523:D523"/>
    <mergeCell ref="C529:D529"/>
    <mergeCell ref="G555:J555"/>
    <mergeCell ref="G556:J556"/>
    <mergeCell ref="C537:D537"/>
    <mergeCell ref="G523:J523"/>
    <mergeCell ref="G518:J518"/>
    <mergeCell ref="G519:J519"/>
    <mergeCell ref="G520:J520"/>
    <mergeCell ref="G532:J532"/>
    <mergeCell ref="D408:D409"/>
    <mergeCell ref="G412:J412"/>
    <mergeCell ref="G514:J514"/>
    <mergeCell ref="G505:J505"/>
    <mergeCell ref="C519:D519"/>
    <mergeCell ref="G527:J527"/>
    <mergeCell ref="C547:D547"/>
    <mergeCell ref="G528:J528"/>
    <mergeCell ref="G537:J537"/>
    <mergeCell ref="C525:C526"/>
    <mergeCell ref="G496:J496"/>
    <mergeCell ref="G511:J511"/>
    <mergeCell ref="G512:J512"/>
    <mergeCell ref="C534:C535"/>
    <mergeCell ref="G536:J536"/>
    <mergeCell ref="G522:J522"/>
    <mergeCell ref="G539:J539"/>
    <mergeCell ref="C530:D530"/>
    <mergeCell ref="C592:D592"/>
    <mergeCell ref="G550:J550"/>
    <mergeCell ref="G566:J566"/>
    <mergeCell ref="C555:D555"/>
    <mergeCell ref="G575:J575"/>
    <mergeCell ref="G576:J576"/>
    <mergeCell ref="G586:J586"/>
    <mergeCell ref="G573:J573"/>
    <mergeCell ref="G574:J574"/>
    <mergeCell ref="G563:J563"/>
    <mergeCell ref="G565:J565"/>
    <mergeCell ref="G592:J592"/>
    <mergeCell ref="C514:D514"/>
    <mergeCell ref="G521:J521"/>
    <mergeCell ref="G529:J529"/>
    <mergeCell ref="C507:C508"/>
    <mergeCell ref="C548:D548"/>
    <mergeCell ref="G530:J530"/>
    <mergeCell ref="G531:J531"/>
    <mergeCell ref="C538:D538"/>
    <mergeCell ref="G538:J538"/>
    <mergeCell ref="C543:C544"/>
    <mergeCell ref="G545:J545"/>
    <mergeCell ref="G546:J546"/>
    <mergeCell ref="G737:J737"/>
    <mergeCell ref="G682:J682"/>
    <mergeCell ref="G683:J683"/>
    <mergeCell ref="G684:J684"/>
    <mergeCell ref="G662:J662"/>
    <mergeCell ref="C663:D663"/>
    <mergeCell ref="G663:J663"/>
    <mergeCell ref="G664:J664"/>
    <mergeCell ref="C666:D666"/>
    <mergeCell ref="C667:D667"/>
    <mergeCell ref="G658:J658"/>
    <mergeCell ref="C657:D657"/>
    <mergeCell ref="G657:J657"/>
    <mergeCell ref="C658:D658"/>
    <mergeCell ref="G694:J694"/>
    <mergeCell ref="C696:C697"/>
    <mergeCell ref="G591:J591"/>
    <mergeCell ref="A678:B679"/>
    <mergeCell ref="C678:C679"/>
    <mergeCell ref="D678:D679"/>
    <mergeCell ref="C669:C670"/>
    <mergeCell ref="A669:B670"/>
    <mergeCell ref="D669:D670"/>
    <mergeCell ref="G674:J674"/>
    <mergeCell ref="A660:B661"/>
    <mergeCell ref="C737:D737"/>
    <mergeCell ref="G611:J611"/>
    <mergeCell ref="D660:D661"/>
    <mergeCell ref="A552:B553"/>
    <mergeCell ref="A507:B508"/>
    <mergeCell ref="G564:J564"/>
    <mergeCell ref="G513:J513"/>
    <mergeCell ref="G541:J541"/>
    <mergeCell ref="G540:J540"/>
    <mergeCell ref="G557:J557"/>
    <mergeCell ref="C516:C517"/>
    <mergeCell ref="C531:D531"/>
    <mergeCell ref="C579:C580"/>
    <mergeCell ref="G568:J568"/>
    <mergeCell ref="G599:J599"/>
    <mergeCell ref="G600:J600"/>
    <mergeCell ref="C564:D564"/>
    <mergeCell ref="G608:J608"/>
    <mergeCell ref="G635:J635"/>
    <mergeCell ref="C561:C562"/>
    <mergeCell ref="A642:B643"/>
    <mergeCell ref="C588:C589"/>
    <mergeCell ref="G590:J590"/>
    <mergeCell ref="G547:J547"/>
    <mergeCell ref="G549:J549"/>
    <mergeCell ref="A543:B544"/>
    <mergeCell ref="G593:J593"/>
    <mergeCell ref="G594:J594"/>
    <mergeCell ref="C597:C598"/>
    <mergeCell ref="G567:J567"/>
    <mergeCell ref="C570:C571"/>
    <mergeCell ref="G572:J572"/>
    <mergeCell ref="G585:J585"/>
    <mergeCell ref="G554:J554"/>
    <mergeCell ref="G559:J559"/>
    <mergeCell ref="G558:J558"/>
    <mergeCell ref="A624:B625"/>
    <mergeCell ref="C624:C625"/>
    <mergeCell ref="A534:B535"/>
    <mergeCell ref="G601:J601"/>
    <mergeCell ref="C520:D520"/>
    <mergeCell ref="G548:J548"/>
    <mergeCell ref="C600:D600"/>
    <mergeCell ref="C601:D601"/>
    <mergeCell ref="G582:J582"/>
    <mergeCell ref="A714:B715"/>
    <mergeCell ref="A696:B697"/>
    <mergeCell ref="A687:B688"/>
    <mergeCell ref="A705:B706"/>
    <mergeCell ref="C552:C553"/>
    <mergeCell ref="G654:J654"/>
    <mergeCell ref="G655:J655"/>
    <mergeCell ref="G656:J656"/>
    <mergeCell ref="G577:J577"/>
    <mergeCell ref="G584:J584"/>
    <mergeCell ref="D651:D652"/>
    <mergeCell ref="G653:J653"/>
    <mergeCell ref="G649:J649"/>
    <mergeCell ref="G629:J629"/>
    <mergeCell ref="G630:J630"/>
    <mergeCell ref="G637:J637"/>
    <mergeCell ref="G609:J609"/>
    <mergeCell ref="C682:D682"/>
    <mergeCell ref="G708:J708"/>
    <mergeCell ref="C556:D556"/>
    <mergeCell ref="C557:D557"/>
    <mergeCell ref="C565:D565"/>
    <mergeCell ref="C566:D566"/>
    <mergeCell ref="C683:D683"/>
    <mergeCell ref="C684:D684"/>
    <mergeCell ref="G648:J648"/>
    <mergeCell ref="A615:B616"/>
    <mergeCell ref="C615:C616"/>
    <mergeCell ref="A597:B598"/>
    <mergeCell ref="A579:B580"/>
    <mergeCell ref="C567:D567"/>
    <mergeCell ref="G610:J610"/>
    <mergeCell ref="C495:D495"/>
    <mergeCell ref="C522:D522"/>
    <mergeCell ref="D489:D490"/>
    <mergeCell ref="C492:D492"/>
    <mergeCell ref="C493:D493"/>
    <mergeCell ref="C591:D591"/>
    <mergeCell ref="C521:D521"/>
    <mergeCell ref="A606:B607"/>
    <mergeCell ref="C606:C607"/>
    <mergeCell ref="C558:D558"/>
    <mergeCell ref="C528:D528"/>
    <mergeCell ref="C489:C490"/>
    <mergeCell ref="C539:D539"/>
    <mergeCell ref="C510:D510"/>
    <mergeCell ref="C511:D511"/>
    <mergeCell ref="C532:D532"/>
    <mergeCell ref="C512:D512"/>
    <mergeCell ref="A561:B562"/>
    <mergeCell ref="A489:B490"/>
    <mergeCell ref="A570:B571"/>
    <mergeCell ref="C546:D546"/>
    <mergeCell ref="A498:B499"/>
    <mergeCell ref="C498:C499"/>
    <mergeCell ref="C602:D602"/>
    <mergeCell ref="C603:D603"/>
    <mergeCell ref="A525:B526"/>
    <mergeCell ref="A588:B589"/>
    <mergeCell ref="A453:B454"/>
    <mergeCell ref="A408:B409"/>
    <mergeCell ref="C699:D699"/>
    <mergeCell ref="C700:D700"/>
    <mergeCell ref="G627:J627"/>
    <mergeCell ref="G628:J628"/>
    <mergeCell ref="G631:J631"/>
    <mergeCell ref="C646:D646"/>
    <mergeCell ref="G581:J581"/>
    <mergeCell ref="G583:J583"/>
    <mergeCell ref="G612:J612"/>
    <mergeCell ref="C648:D648"/>
    <mergeCell ref="G620:J620"/>
    <mergeCell ref="G621:J621"/>
    <mergeCell ref="C665:D665"/>
    <mergeCell ref="C660:C661"/>
    <mergeCell ref="C647:D647"/>
    <mergeCell ref="G638:J638"/>
    <mergeCell ref="G680:J680"/>
    <mergeCell ref="G640:J640"/>
    <mergeCell ref="G639:J639"/>
    <mergeCell ref="G644:J644"/>
    <mergeCell ref="C687:C688"/>
    <mergeCell ref="G700:J700"/>
    <mergeCell ref="G622:J622"/>
    <mergeCell ref="G626:J626"/>
    <mergeCell ref="C633:C634"/>
    <mergeCell ref="G636:J636"/>
    <mergeCell ref="G595:J595"/>
    <mergeCell ref="G602:J602"/>
    <mergeCell ref="G603:J603"/>
    <mergeCell ref="G604:J604"/>
    <mergeCell ref="C393:D393"/>
    <mergeCell ref="C504:D504"/>
    <mergeCell ref="G504:J504"/>
    <mergeCell ref="G500:J500"/>
    <mergeCell ref="C501:D501"/>
    <mergeCell ref="G501:J501"/>
    <mergeCell ref="C502:D502"/>
    <mergeCell ref="C466:D466"/>
    <mergeCell ref="C480:C481"/>
    <mergeCell ref="C484:D484"/>
    <mergeCell ref="C494:D494"/>
    <mergeCell ref="G494:J494"/>
    <mergeCell ref="G451:J451"/>
    <mergeCell ref="G448:J448"/>
    <mergeCell ref="G449:J449"/>
    <mergeCell ref="G431:J431"/>
    <mergeCell ref="C450:D450"/>
    <mergeCell ref="G502:J502"/>
    <mergeCell ref="C503:D503"/>
    <mergeCell ref="G485:J485"/>
    <mergeCell ref="G487:J487"/>
    <mergeCell ref="G491:J491"/>
    <mergeCell ref="G492:J492"/>
    <mergeCell ref="G493:J493"/>
    <mergeCell ref="G433:J433"/>
    <mergeCell ref="C411:D411"/>
    <mergeCell ref="G401:J401"/>
    <mergeCell ref="D498:D499"/>
    <mergeCell ref="G495:J495"/>
    <mergeCell ref="G503:J503"/>
    <mergeCell ref="G484:J484"/>
    <mergeCell ref="G458:J458"/>
    <mergeCell ref="A363:B364"/>
    <mergeCell ref="C363:C364"/>
    <mergeCell ref="G365:J365"/>
    <mergeCell ref="G366:J366"/>
    <mergeCell ref="C367:D367"/>
    <mergeCell ref="G367:J367"/>
    <mergeCell ref="C368:D368"/>
    <mergeCell ref="G368:J368"/>
    <mergeCell ref="G369:J369"/>
    <mergeCell ref="G370:J370"/>
    <mergeCell ref="D363:D364"/>
    <mergeCell ref="C366:D366"/>
    <mergeCell ref="C369:D369"/>
    <mergeCell ref="A372:B373"/>
    <mergeCell ref="C372:C373"/>
    <mergeCell ref="D372:D373"/>
    <mergeCell ref="G374:J374"/>
    <mergeCell ref="G459:J459"/>
    <mergeCell ref="C468:D468"/>
    <mergeCell ref="G476:J476"/>
    <mergeCell ref="G477:J477"/>
    <mergeCell ref="G478:J478"/>
    <mergeCell ref="G474:J474"/>
    <mergeCell ref="G475:J475"/>
    <mergeCell ref="C483:D483"/>
    <mergeCell ref="A480:B481"/>
    <mergeCell ref="C1008:D1008"/>
    <mergeCell ref="G1008:J1008"/>
    <mergeCell ref="C1009:D1009"/>
    <mergeCell ref="G1009:J1009"/>
    <mergeCell ref="G995:J995"/>
    <mergeCell ref="C996:D996"/>
    <mergeCell ref="G996:J996"/>
    <mergeCell ref="C997:D997"/>
    <mergeCell ref="G997:J997"/>
    <mergeCell ref="C998:D998"/>
    <mergeCell ref="G998:J998"/>
    <mergeCell ref="C999:D999"/>
    <mergeCell ref="G999:J999"/>
    <mergeCell ref="C1000:D1000"/>
    <mergeCell ref="G1000:J1000"/>
    <mergeCell ref="C828:D828"/>
    <mergeCell ref="G828:J828"/>
    <mergeCell ref="C829:D829"/>
    <mergeCell ref="G829:J829"/>
    <mergeCell ref="G847:J847"/>
    <mergeCell ref="G878:J878"/>
    <mergeCell ref="C879:D879"/>
    <mergeCell ref="G879:J879"/>
    <mergeCell ref="G1004:J1004"/>
    <mergeCell ref="C1005:D1005"/>
    <mergeCell ref="G1005:J1005"/>
    <mergeCell ref="C1006:D1006"/>
    <mergeCell ref="G1006:J1006"/>
    <mergeCell ref="C1007:D1007"/>
    <mergeCell ref="G1007:J1007"/>
    <mergeCell ref="A867:B868"/>
    <mergeCell ref="D885:D886"/>
    <mergeCell ref="C910:D910"/>
    <mergeCell ref="G910:J910"/>
    <mergeCell ref="A894:B895"/>
    <mergeCell ref="A903:B904"/>
    <mergeCell ref="D903:D904"/>
    <mergeCell ref="A966:B967"/>
    <mergeCell ref="C966:C967"/>
    <mergeCell ref="D966:D967"/>
    <mergeCell ref="A939:B940"/>
    <mergeCell ref="C987:D987"/>
    <mergeCell ref="G987:J987"/>
    <mergeCell ref="C988:D988"/>
    <mergeCell ref="G988:J988"/>
    <mergeCell ref="A1002:B1003"/>
    <mergeCell ref="C1002:C1003"/>
    <mergeCell ref="D1002:D1003"/>
    <mergeCell ref="C880:D880"/>
    <mergeCell ref="G880:J880"/>
    <mergeCell ref="C894:C895"/>
    <mergeCell ref="G896:J896"/>
    <mergeCell ref="G963:J963"/>
    <mergeCell ref="G890:J890"/>
    <mergeCell ref="C891:D891"/>
    <mergeCell ref="L1002:N1002"/>
    <mergeCell ref="A993:B994"/>
    <mergeCell ref="C993:C994"/>
    <mergeCell ref="D993:D994"/>
    <mergeCell ref="L993:N993"/>
    <mergeCell ref="L876:N876"/>
    <mergeCell ref="L867:N867"/>
    <mergeCell ref="L858:N858"/>
    <mergeCell ref="G860:J860"/>
    <mergeCell ref="C861:D861"/>
    <mergeCell ref="G861:J861"/>
    <mergeCell ref="C862:D862"/>
    <mergeCell ref="G862:J862"/>
    <mergeCell ref="A858:B859"/>
    <mergeCell ref="C858:C859"/>
    <mergeCell ref="D858:D859"/>
    <mergeCell ref="C847:D847"/>
    <mergeCell ref="A840:B841"/>
    <mergeCell ref="C840:C841"/>
    <mergeCell ref="C852:D852"/>
    <mergeCell ref="G852:J852"/>
    <mergeCell ref="C853:D853"/>
    <mergeCell ref="G853:J853"/>
    <mergeCell ref="C854:D854"/>
    <mergeCell ref="G854:J854"/>
    <mergeCell ref="C855:D855"/>
    <mergeCell ref="G855:J855"/>
    <mergeCell ref="C856:D856"/>
    <mergeCell ref="G856:J856"/>
    <mergeCell ref="C843:D843"/>
    <mergeCell ref="G843:J843"/>
    <mergeCell ref="C872:D872"/>
    <mergeCell ref="G872:J872"/>
    <mergeCell ref="C876:C877"/>
    <mergeCell ref="D876:D877"/>
    <mergeCell ref="G869:J869"/>
    <mergeCell ref="C870:D870"/>
    <mergeCell ref="A849:B850"/>
    <mergeCell ref="C849:C850"/>
    <mergeCell ref="D849:D850"/>
    <mergeCell ref="A876:B877"/>
    <mergeCell ref="A885:B886"/>
    <mergeCell ref="C885:C886"/>
    <mergeCell ref="C897:D897"/>
    <mergeCell ref="G897:J897"/>
    <mergeCell ref="C898:D898"/>
    <mergeCell ref="G898:J898"/>
    <mergeCell ref="C899:D899"/>
    <mergeCell ref="G899:J899"/>
    <mergeCell ref="C900:D900"/>
    <mergeCell ref="G900:J900"/>
    <mergeCell ref="C901:D901"/>
    <mergeCell ref="G901:J901"/>
    <mergeCell ref="C903:C904"/>
    <mergeCell ref="A1011:B1012"/>
    <mergeCell ref="C1011:C1012"/>
    <mergeCell ref="D1011:D1012"/>
    <mergeCell ref="L1011:N1011"/>
    <mergeCell ref="G1013:J1013"/>
    <mergeCell ref="C1014:D1014"/>
    <mergeCell ref="G1014:J1014"/>
    <mergeCell ref="C1015:D1015"/>
    <mergeCell ref="G1015:J1015"/>
    <mergeCell ref="C1016:D1016"/>
    <mergeCell ref="G1016:J1016"/>
    <mergeCell ref="C1017:D1017"/>
    <mergeCell ref="G1017:J1017"/>
    <mergeCell ref="C1018:D1018"/>
    <mergeCell ref="G1018:J1018"/>
    <mergeCell ref="C593:D593"/>
    <mergeCell ref="C594:D594"/>
    <mergeCell ref="A957:B958"/>
    <mergeCell ref="C957:C958"/>
    <mergeCell ref="D957:D958"/>
    <mergeCell ref="L957:N957"/>
    <mergeCell ref="G959:J959"/>
    <mergeCell ref="C960:D960"/>
    <mergeCell ref="G960:J960"/>
    <mergeCell ref="C961:D961"/>
    <mergeCell ref="G961:J961"/>
    <mergeCell ref="C962:D962"/>
    <mergeCell ref="G962:J962"/>
    <mergeCell ref="C963:D963"/>
    <mergeCell ref="D822:D823"/>
    <mergeCell ref="C794:D794"/>
    <mergeCell ref="G794:J794"/>
    <mergeCell ref="G1031:J1031"/>
    <mergeCell ref="C1032:D1032"/>
    <mergeCell ref="G1032:J1032"/>
    <mergeCell ref="C1033:D1033"/>
    <mergeCell ref="G1033:J1033"/>
    <mergeCell ref="C1034:D1034"/>
    <mergeCell ref="G1034:J1034"/>
    <mergeCell ref="C1035:D1035"/>
    <mergeCell ref="G1035:J1035"/>
    <mergeCell ref="C1036:D1036"/>
    <mergeCell ref="G1036:J1036"/>
    <mergeCell ref="A1020:B1021"/>
    <mergeCell ref="C1020:C1021"/>
    <mergeCell ref="D1020:D1021"/>
    <mergeCell ref="L1020:N1020"/>
    <mergeCell ref="G1022:J1022"/>
    <mergeCell ref="C1023:D1023"/>
    <mergeCell ref="G1023:J1023"/>
    <mergeCell ref="C1024:D1024"/>
    <mergeCell ref="G1024:J1024"/>
    <mergeCell ref="C1025:D1025"/>
    <mergeCell ref="G1025:J1025"/>
    <mergeCell ref="C1026:D1026"/>
    <mergeCell ref="G1026:J1026"/>
    <mergeCell ref="C1027:D1027"/>
    <mergeCell ref="G1027:J1027"/>
    <mergeCell ref="A1029:B1030"/>
    <mergeCell ref="C1029:C1030"/>
    <mergeCell ref="D1029:D1030"/>
    <mergeCell ref="L1029:N1029"/>
    <mergeCell ref="G1049:J1049"/>
    <mergeCell ref="C1050:D1050"/>
    <mergeCell ref="G1050:J1050"/>
    <mergeCell ref="C1051:D1051"/>
    <mergeCell ref="G1051:J1051"/>
    <mergeCell ref="C1052:D1052"/>
    <mergeCell ref="G1052:J1052"/>
    <mergeCell ref="C1053:D1053"/>
    <mergeCell ref="G1053:J1053"/>
    <mergeCell ref="C1054:D1054"/>
    <mergeCell ref="G1054:J1054"/>
    <mergeCell ref="A1038:B1039"/>
    <mergeCell ref="C1038:C1039"/>
    <mergeCell ref="D1038:D1039"/>
    <mergeCell ref="L1038:N1038"/>
    <mergeCell ref="G1040:J1040"/>
    <mergeCell ref="C1041:D1041"/>
    <mergeCell ref="G1041:J1041"/>
    <mergeCell ref="C1042:D1042"/>
    <mergeCell ref="G1042:J1042"/>
    <mergeCell ref="C1043:D1043"/>
    <mergeCell ref="G1043:J1043"/>
    <mergeCell ref="C1044:D1044"/>
    <mergeCell ref="G1044:J1044"/>
    <mergeCell ref="C1045:D1045"/>
    <mergeCell ref="G1045:J1045"/>
    <mergeCell ref="A1047:B1048"/>
    <mergeCell ref="C1047:C1048"/>
    <mergeCell ref="D1047:D1048"/>
    <mergeCell ref="L1047:N1047"/>
    <mergeCell ref="G1067:J1067"/>
    <mergeCell ref="C1068:D1068"/>
    <mergeCell ref="G1068:J1068"/>
    <mergeCell ref="C1069:D1069"/>
    <mergeCell ref="G1069:J1069"/>
    <mergeCell ref="C1070:D1070"/>
    <mergeCell ref="G1070:J1070"/>
    <mergeCell ref="C1071:D1071"/>
    <mergeCell ref="G1071:J1071"/>
    <mergeCell ref="C1072:D1072"/>
    <mergeCell ref="G1072:J1072"/>
    <mergeCell ref="A1056:B1057"/>
    <mergeCell ref="C1056:C1057"/>
    <mergeCell ref="D1056:D1057"/>
    <mergeCell ref="L1056:N1056"/>
    <mergeCell ref="G1058:J1058"/>
    <mergeCell ref="C1059:D1059"/>
    <mergeCell ref="G1059:J1059"/>
    <mergeCell ref="C1060:D1060"/>
    <mergeCell ref="G1060:J1060"/>
    <mergeCell ref="C1061:D1061"/>
    <mergeCell ref="G1061:J1061"/>
    <mergeCell ref="C1062:D1062"/>
    <mergeCell ref="G1062:J1062"/>
    <mergeCell ref="C1063:D1063"/>
    <mergeCell ref="G1063:J1063"/>
    <mergeCell ref="A1065:B1066"/>
    <mergeCell ref="C1065:C1066"/>
    <mergeCell ref="D1065:D1066"/>
    <mergeCell ref="L1065:N1065"/>
  </mergeCells>
  <conditionalFormatting sqref="F23 F140 F113">
    <cfRule type="cellIs" dxfId="1089" priority="1854" stopIfTrue="1" operator="greaterThan">
      <formula>0</formula>
    </cfRule>
  </conditionalFormatting>
  <conditionalFormatting sqref="E28">
    <cfRule type="cellIs" dxfId="1088" priority="1605" stopIfTrue="1" operator="greaterThan">
      <formula>#REF!</formula>
    </cfRule>
  </conditionalFormatting>
  <conditionalFormatting sqref="F27:F31">
    <cfRule type="cellIs" dxfId="1087" priority="1606" stopIfTrue="1" operator="greaterThan">
      <formula>0</formula>
    </cfRule>
  </conditionalFormatting>
  <conditionalFormatting sqref="K24">
    <cfRule type="cellIs" dxfId="1086" priority="1602" operator="lessThan">
      <formula>0</formula>
    </cfRule>
    <cfRule type="cellIs" dxfId="1085" priority="1603" operator="greaterThan">
      <formula>0</formula>
    </cfRule>
    <cfRule type="cellIs" dxfId="1084" priority="1604" operator="greaterThan">
      <formula>0</formula>
    </cfRule>
  </conditionalFormatting>
  <conditionalFormatting sqref="E37">
    <cfRule type="cellIs" dxfId="1083" priority="1600" stopIfTrue="1" operator="greaterThan">
      <formula>#REF!</formula>
    </cfRule>
  </conditionalFormatting>
  <conditionalFormatting sqref="F36:F40">
    <cfRule type="cellIs" dxfId="1082" priority="1601" stopIfTrue="1" operator="greaterThan">
      <formula>0</formula>
    </cfRule>
  </conditionalFormatting>
  <conditionalFormatting sqref="K33">
    <cfRule type="cellIs" dxfId="1081" priority="1597" operator="lessThan">
      <formula>0</formula>
    </cfRule>
    <cfRule type="cellIs" dxfId="1080" priority="1598" operator="greaterThan">
      <formula>0</formula>
    </cfRule>
    <cfRule type="cellIs" dxfId="1079" priority="1599" operator="greaterThan">
      <formula>0</formula>
    </cfRule>
  </conditionalFormatting>
  <conditionalFormatting sqref="F45:F49">
    <cfRule type="cellIs" dxfId="1078" priority="1439" stopIfTrue="1" operator="greaterThan">
      <formula>0</formula>
    </cfRule>
  </conditionalFormatting>
  <conditionalFormatting sqref="K42">
    <cfRule type="cellIs" dxfId="1077" priority="1434" operator="lessThan">
      <formula>0</formula>
    </cfRule>
    <cfRule type="cellIs" dxfId="1076" priority="1435" operator="greaterThan">
      <formula>0</formula>
    </cfRule>
    <cfRule type="cellIs" dxfId="1075" priority="1436" operator="greaterThan">
      <formula>0</formula>
    </cfRule>
  </conditionalFormatting>
  <conditionalFormatting sqref="F54:F58">
    <cfRule type="cellIs" dxfId="1074" priority="1395" stopIfTrue="1" operator="greaterThan">
      <formula>0</formula>
    </cfRule>
  </conditionalFormatting>
  <conditionalFormatting sqref="K51">
    <cfRule type="cellIs" dxfId="1073" priority="1390" operator="lessThan">
      <formula>0</formula>
    </cfRule>
    <cfRule type="cellIs" dxfId="1072" priority="1391" operator="greaterThan">
      <formula>0</formula>
    </cfRule>
    <cfRule type="cellIs" dxfId="1071" priority="1392" operator="greaterThan">
      <formula>0</formula>
    </cfRule>
  </conditionalFormatting>
  <conditionalFormatting sqref="F63:F67">
    <cfRule type="cellIs" dxfId="1070" priority="1389" stopIfTrue="1" operator="greaterThan">
      <formula>0</formula>
    </cfRule>
  </conditionalFormatting>
  <conditionalFormatting sqref="K60">
    <cfRule type="cellIs" dxfId="1069" priority="1384" operator="lessThan">
      <formula>0</formula>
    </cfRule>
    <cfRule type="cellIs" dxfId="1068" priority="1385" operator="greaterThan">
      <formula>0</formula>
    </cfRule>
    <cfRule type="cellIs" dxfId="1067" priority="1386" operator="greaterThan">
      <formula>0</formula>
    </cfRule>
  </conditionalFormatting>
  <conditionalFormatting sqref="F72:F76">
    <cfRule type="cellIs" dxfId="1066" priority="1349" stopIfTrue="1" operator="greaterThan">
      <formula>0</formula>
    </cfRule>
  </conditionalFormatting>
  <conditionalFormatting sqref="K69">
    <cfRule type="cellIs" dxfId="1065" priority="1344" operator="lessThan">
      <formula>0</formula>
    </cfRule>
    <cfRule type="cellIs" dxfId="1064" priority="1345" operator="greaterThan">
      <formula>0</formula>
    </cfRule>
    <cfRule type="cellIs" dxfId="1063" priority="1346" operator="greaterThan">
      <formula>0</formula>
    </cfRule>
  </conditionalFormatting>
  <conditionalFormatting sqref="E10">
    <cfRule type="cellIs" dxfId="1062" priority="1324" stopIfTrue="1" operator="greaterThan">
      <formula>#REF!</formula>
    </cfRule>
  </conditionalFormatting>
  <conditionalFormatting sqref="F9:F14">
    <cfRule type="cellIs" dxfId="1061" priority="1325" stopIfTrue="1" operator="greaterThan">
      <formula>0</formula>
    </cfRule>
  </conditionalFormatting>
  <conditionalFormatting sqref="K6">
    <cfRule type="cellIs" dxfId="1060" priority="1321" operator="lessThan">
      <formula>0</formula>
    </cfRule>
    <cfRule type="cellIs" dxfId="1059" priority="1322" operator="greaterThan">
      <formula>0</formula>
    </cfRule>
    <cfRule type="cellIs" dxfId="1058" priority="1323" operator="greaterThan">
      <formula>0</formula>
    </cfRule>
  </conditionalFormatting>
  <conditionalFormatting sqref="F81:F85">
    <cfRule type="cellIs" dxfId="1057" priority="1312" stopIfTrue="1" operator="greaterThan">
      <formula>0</formula>
    </cfRule>
  </conditionalFormatting>
  <conditionalFormatting sqref="K78">
    <cfRule type="cellIs" dxfId="1056" priority="1309" operator="lessThan">
      <formula>0</formula>
    </cfRule>
    <cfRule type="cellIs" dxfId="1055" priority="1310" operator="greaterThan">
      <formula>0</formula>
    </cfRule>
    <cfRule type="cellIs" dxfId="1054" priority="1311" operator="greaterThan">
      <formula>0</formula>
    </cfRule>
  </conditionalFormatting>
  <conditionalFormatting sqref="F90:F95">
    <cfRule type="cellIs" dxfId="1053" priority="1294" stopIfTrue="1" operator="greaterThan">
      <formula>0</formula>
    </cfRule>
  </conditionalFormatting>
  <conditionalFormatting sqref="K87">
    <cfRule type="cellIs" dxfId="1052" priority="1291" operator="lessThan">
      <formula>0</formula>
    </cfRule>
    <cfRule type="cellIs" dxfId="1051" priority="1292" operator="greaterThan">
      <formula>0</formula>
    </cfRule>
    <cfRule type="cellIs" dxfId="1050" priority="1293" operator="greaterThan">
      <formula>0</formula>
    </cfRule>
  </conditionalFormatting>
  <conditionalFormatting sqref="F99:F104">
    <cfRule type="cellIs" dxfId="1049" priority="1270" stopIfTrue="1" operator="greaterThan">
      <formula>0</formula>
    </cfRule>
  </conditionalFormatting>
  <conditionalFormatting sqref="K96">
    <cfRule type="cellIs" dxfId="1048" priority="1267" operator="lessThan">
      <formula>0</formula>
    </cfRule>
    <cfRule type="cellIs" dxfId="1047" priority="1268" operator="greaterThan">
      <formula>0</formula>
    </cfRule>
    <cfRule type="cellIs" dxfId="1046" priority="1269" operator="greaterThan">
      <formula>0</formula>
    </cfRule>
  </conditionalFormatting>
  <conditionalFormatting sqref="F126:F131">
    <cfRule type="cellIs" dxfId="1045" priority="1264" stopIfTrue="1" operator="greaterThan">
      <formula>0</formula>
    </cfRule>
  </conditionalFormatting>
  <conditionalFormatting sqref="K123">
    <cfRule type="cellIs" dxfId="1044" priority="1261" operator="lessThan">
      <formula>0</formula>
    </cfRule>
    <cfRule type="cellIs" dxfId="1043" priority="1262" operator="greaterThan">
      <formula>0</formula>
    </cfRule>
    <cfRule type="cellIs" dxfId="1042" priority="1263" operator="greaterThan">
      <formula>0</formula>
    </cfRule>
  </conditionalFormatting>
  <conditionalFormatting sqref="F144:F148">
    <cfRule type="cellIs" dxfId="1041" priority="1258" stopIfTrue="1" operator="greaterThan">
      <formula>0</formula>
    </cfRule>
  </conditionalFormatting>
  <conditionalFormatting sqref="K141">
    <cfRule type="cellIs" dxfId="1040" priority="1255" operator="lessThan">
      <formula>0</formula>
    </cfRule>
    <cfRule type="cellIs" dxfId="1039" priority="1256" operator="greaterThan">
      <formula>0</formula>
    </cfRule>
    <cfRule type="cellIs" dxfId="1038" priority="1257" operator="greaterThan">
      <formula>0</formula>
    </cfRule>
  </conditionalFormatting>
  <conditionalFormatting sqref="E19:E20">
    <cfRule type="cellIs" dxfId="1037" priority="1253" stopIfTrue="1" operator="greaterThan">
      <formula>#REF!</formula>
    </cfRule>
  </conditionalFormatting>
  <conditionalFormatting sqref="F18:F22">
    <cfRule type="cellIs" dxfId="1036" priority="1254" stopIfTrue="1" operator="greaterThan">
      <formula>0</formula>
    </cfRule>
  </conditionalFormatting>
  <conditionalFormatting sqref="K15">
    <cfRule type="cellIs" dxfId="1035" priority="1250" operator="lessThan">
      <formula>0</formula>
    </cfRule>
    <cfRule type="cellIs" dxfId="1034" priority="1251" operator="greaterThan">
      <formula>0</formula>
    </cfRule>
    <cfRule type="cellIs" dxfId="1033" priority="1252" operator="greaterThan">
      <formula>0</formula>
    </cfRule>
  </conditionalFormatting>
  <conditionalFormatting sqref="F171:F176 F185">
    <cfRule type="cellIs" dxfId="1032" priority="1247" stopIfTrue="1" operator="greaterThan">
      <formula>0</formula>
    </cfRule>
  </conditionalFormatting>
  <conditionalFormatting sqref="K168">
    <cfRule type="cellIs" dxfId="1031" priority="1244" operator="lessThan">
      <formula>0</formula>
    </cfRule>
    <cfRule type="cellIs" dxfId="1030" priority="1245" operator="greaterThan">
      <formula>0</formula>
    </cfRule>
    <cfRule type="cellIs" dxfId="1029" priority="1246" operator="greaterThan">
      <formula>0</formula>
    </cfRule>
  </conditionalFormatting>
  <conditionalFormatting sqref="F135:F139">
    <cfRule type="cellIs" dxfId="1028" priority="1241" stopIfTrue="1" operator="greaterThan">
      <formula>0</formula>
    </cfRule>
  </conditionalFormatting>
  <conditionalFormatting sqref="K132">
    <cfRule type="cellIs" dxfId="1027" priority="1238" operator="lessThan">
      <formula>0</formula>
    </cfRule>
    <cfRule type="cellIs" dxfId="1026" priority="1239" operator="greaterThan">
      <formula>0</formula>
    </cfRule>
    <cfRule type="cellIs" dxfId="1025" priority="1240" operator="greaterThan">
      <formula>0</formula>
    </cfRule>
  </conditionalFormatting>
  <conditionalFormatting sqref="F189:F194 F203 F221">
    <cfRule type="cellIs" dxfId="1024" priority="1235" stopIfTrue="1" operator="greaterThan">
      <formula>0</formula>
    </cfRule>
  </conditionalFormatting>
  <conditionalFormatting sqref="K186">
    <cfRule type="cellIs" dxfId="1023" priority="1232" operator="lessThan">
      <formula>0</formula>
    </cfRule>
    <cfRule type="cellIs" dxfId="1022" priority="1233" operator="greaterThan">
      <formula>0</formula>
    </cfRule>
    <cfRule type="cellIs" dxfId="1021" priority="1234" operator="greaterThan">
      <formula>0</formula>
    </cfRule>
  </conditionalFormatting>
  <conditionalFormatting sqref="F180:F184">
    <cfRule type="cellIs" dxfId="1020" priority="1229" stopIfTrue="1" operator="greaterThan">
      <formula>0</formula>
    </cfRule>
  </conditionalFormatting>
  <conditionalFormatting sqref="K177">
    <cfRule type="cellIs" dxfId="1019" priority="1226" operator="lessThan">
      <formula>0</formula>
    </cfRule>
    <cfRule type="cellIs" dxfId="1018" priority="1227" operator="greaterThan">
      <formula>0</formula>
    </cfRule>
    <cfRule type="cellIs" dxfId="1017" priority="1228" operator="greaterThan">
      <formula>0</formula>
    </cfRule>
  </conditionalFormatting>
  <conditionalFormatting sqref="F306:F311">
    <cfRule type="cellIs" dxfId="1016" priority="1223" stopIfTrue="1" operator="greaterThan">
      <formula>0</formula>
    </cfRule>
  </conditionalFormatting>
  <conditionalFormatting sqref="K303">
    <cfRule type="cellIs" dxfId="1015" priority="1220" operator="lessThan">
      <formula>0</formula>
    </cfRule>
    <cfRule type="cellIs" dxfId="1014" priority="1221" operator="greaterThan">
      <formula>0</formula>
    </cfRule>
    <cfRule type="cellIs" dxfId="1013" priority="1222" operator="greaterThan">
      <formula>0</formula>
    </cfRule>
  </conditionalFormatting>
  <conditionalFormatting sqref="F348:F353 F362">
    <cfRule type="cellIs" dxfId="1012" priority="1217" stopIfTrue="1" operator="greaterThan">
      <formula>0</formula>
    </cfRule>
  </conditionalFormatting>
  <conditionalFormatting sqref="F198:F202">
    <cfRule type="cellIs" dxfId="1011" priority="1211" stopIfTrue="1" operator="greaterThan">
      <formula>0</formula>
    </cfRule>
  </conditionalFormatting>
  <conditionalFormatting sqref="K195">
    <cfRule type="cellIs" dxfId="1010" priority="1208" operator="lessThan">
      <formula>0</formula>
    </cfRule>
    <cfRule type="cellIs" dxfId="1009" priority="1209" operator="greaterThan">
      <formula>0</formula>
    </cfRule>
    <cfRule type="cellIs" dxfId="1008" priority="1210" operator="greaterThan">
      <formula>0</formula>
    </cfRule>
  </conditionalFormatting>
  <conditionalFormatting sqref="F216:F220">
    <cfRule type="cellIs" dxfId="1007" priority="1199" stopIfTrue="1" operator="greaterThan">
      <formula>0</formula>
    </cfRule>
  </conditionalFormatting>
  <conditionalFormatting sqref="K213">
    <cfRule type="cellIs" dxfId="1006" priority="1196" operator="lessThan">
      <formula>0</formula>
    </cfRule>
    <cfRule type="cellIs" dxfId="1005" priority="1197" operator="greaterThan">
      <formula>0</formula>
    </cfRule>
    <cfRule type="cellIs" dxfId="1004" priority="1198" operator="greaterThan">
      <formula>0</formula>
    </cfRule>
  </conditionalFormatting>
  <conditionalFormatting sqref="F225:F230">
    <cfRule type="cellIs" dxfId="1003" priority="1193" stopIfTrue="1" operator="greaterThan">
      <formula>0</formula>
    </cfRule>
  </conditionalFormatting>
  <conditionalFormatting sqref="K222">
    <cfRule type="cellIs" dxfId="1002" priority="1190" operator="lessThan">
      <formula>0</formula>
    </cfRule>
    <cfRule type="cellIs" dxfId="1001" priority="1191" operator="greaterThan">
      <formula>0</formula>
    </cfRule>
    <cfRule type="cellIs" dxfId="1000" priority="1192" operator="greaterThan">
      <formula>0</formula>
    </cfRule>
  </conditionalFormatting>
  <conditionalFormatting sqref="F248 F234:F239">
    <cfRule type="cellIs" dxfId="999" priority="1187" stopIfTrue="1" operator="greaterThan">
      <formula>0</formula>
    </cfRule>
  </conditionalFormatting>
  <conditionalFormatting sqref="K231">
    <cfRule type="cellIs" dxfId="998" priority="1184" operator="lessThan">
      <formula>0</formula>
    </cfRule>
    <cfRule type="cellIs" dxfId="997" priority="1185" operator="greaterThan">
      <formula>0</formula>
    </cfRule>
    <cfRule type="cellIs" dxfId="996" priority="1186" operator="greaterThan">
      <formula>0</formula>
    </cfRule>
  </conditionalFormatting>
  <conditionalFormatting sqref="F243:F247">
    <cfRule type="cellIs" dxfId="995" priority="1181" stopIfTrue="1" operator="greaterThan">
      <formula>0</formula>
    </cfRule>
  </conditionalFormatting>
  <conditionalFormatting sqref="K240">
    <cfRule type="cellIs" dxfId="994" priority="1178" operator="lessThan">
      <formula>0</formula>
    </cfRule>
    <cfRule type="cellIs" dxfId="993" priority="1179" operator="greaterThan">
      <formula>0</formula>
    </cfRule>
    <cfRule type="cellIs" dxfId="992" priority="1180" operator="greaterThan">
      <formula>0</formula>
    </cfRule>
  </conditionalFormatting>
  <conditionalFormatting sqref="F252:F257 F266">
    <cfRule type="cellIs" dxfId="991" priority="1175" stopIfTrue="1" operator="greaterThan">
      <formula>0</formula>
    </cfRule>
  </conditionalFormatting>
  <conditionalFormatting sqref="K249">
    <cfRule type="cellIs" dxfId="990" priority="1172" operator="lessThan">
      <formula>0</formula>
    </cfRule>
    <cfRule type="cellIs" dxfId="989" priority="1173" operator="greaterThan">
      <formula>0</formula>
    </cfRule>
    <cfRule type="cellIs" dxfId="988" priority="1174" operator="greaterThan">
      <formula>0</formula>
    </cfRule>
  </conditionalFormatting>
  <conditionalFormatting sqref="F261:F265">
    <cfRule type="cellIs" dxfId="987" priority="1169" stopIfTrue="1" operator="greaterThan">
      <formula>0</formula>
    </cfRule>
  </conditionalFormatting>
  <conditionalFormatting sqref="K258">
    <cfRule type="cellIs" dxfId="986" priority="1166" operator="lessThan">
      <formula>0</formula>
    </cfRule>
    <cfRule type="cellIs" dxfId="985" priority="1167" operator="greaterThan">
      <formula>0</formula>
    </cfRule>
    <cfRule type="cellIs" dxfId="984" priority="1168" operator="greaterThan">
      <formula>0</formula>
    </cfRule>
  </conditionalFormatting>
  <conditionalFormatting sqref="F315:F320 F329">
    <cfRule type="cellIs" dxfId="983" priority="1163" stopIfTrue="1" operator="greaterThan">
      <formula>0</formula>
    </cfRule>
  </conditionalFormatting>
  <conditionalFormatting sqref="K312">
    <cfRule type="cellIs" dxfId="982" priority="1160" operator="lessThan">
      <formula>0</formula>
    </cfRule>
    <cfRule type="cellIs" dxfId="981" priority="1161" operator="greaterThan">
      <formula>0</formula>
    </cfRule>
    <cfRule type="cellIs" dxfId="980" priority="1162" operator="greaterThan">
      <formula>0</formula>
    </cfRule>
  </conditionalFormatting>
  <conditionalFormatting sqref="F384:F389">
    <cfRule type="cellIs" dxfId="979" priority="1157" stopIfTrue="1" operator="greaterThan">
      <formula>0</formula>
    </cfRule>
  </conditionalFormatting>
  <conditionalFormatting sqref="K381">
    <cfRule type="cellIs" dxfId="978" priority="1154" operator="lessThan">
      <formula>0</formula>
    </cfRule>
    <cfRule type="cellIs" dxfId="977" priority="1155" operator="greaterThan">
      <formula>0</formula>
    </cfRule>
    <cfRule type="cellIs" dxfId="976" priority="1156" operator="greaterThan">
      <formula>0</formula>
    </cfRule>
  </conditionalFormatting>
  <conditionalFormatting sqref="F324:F328">
    <cfRule type="cellIs" dxfId="975" priority="1151" stopIfTrue="1" operator="greaterThan">
      <formula>0</formula>
    </cfRule>
  </conditionalFormatting>
  <conditionalFormatting sqref="K321">
    <cfRule type="cellIs" dxfId="974" priority="1148" operator="lessThan">
      <formula>0</formula>
    </cfRule>
    <cfRule type="cellIs" dxfId="973" priority="1149" operator="greaterThan">
      <formula>0</formula>
    </cfRule>
    <cfRule type="cellIs" dxfId="972" priority="1150" operator="greaterThan">
      <formula>0</formula>
    </cfRule>
  </conditionalFormatting>
  <conditionalFormatting sqref="F333:F338">
    <cfRule type="cellIs" dxfId="971" priority="1145" stopIfTrue="1" operator="greaterThan">
      <formula>0</formula>
    </cfRule>
  </conditionalFormatting>
  <conditionalFormatting sqref="K330">
    <cfRule type="cellIs" dxfId="970" priority="1142" operator="lessThan">
      <formula>0</formula>
    </cfRule>
    <cfRule type="cellIs" dxfId="969" priority="1143" operator="greaterThan">
      <formula>0</formula>
    </cfRule>
    <cfRule type="cellIs" dxfId="968" priority="1144" operator="greaterThan">
      <formula>0</formula>
    </cfRule>
  </conditionalFormatting>
  <conditionalFormatting sqref="F420:F424">
    <cfRule type="cellIs" dxfId="967" priority="1139" stopIfTrue="1" operator="greaterThan">
      <formula>0</formula>
    </cfRule>
  </conditionalFormatting>
  <conditionalFormatting sqref="K417">
    <cfRule type="cellIs" dxfId="966" priority="1136" operator="lessThan">
      <formula>0</formula>
    </cfRule>
    <cfRule type="cellIs" dxfId="965" priority="1137" operator="greaterThan">
      <formula>0</formula>
    </cfRule>
    <cfRule type="cellIs" dxfId="964" priority="1138" operator="greaterThan">
      <formula>0</formula>
    </cfRule>
  </conditionalFormatting>
  <conditionalFormatting sqref="F429:F433">
    <cfRule type="cellIs" dxfId="963" priority="1133" stopIfTrue="1" operator="greaterThan">
      <formula>0</formula>
    </cfRule>
  </conditionalFormatting>
  <conditionalFormatting sqref="K426">
    <cfRule type="cellIs" dxfId="962" priority="1130" operator="lessThan">
      <formula>0</formula>
    </cfRule>
    <cfRule type="cellIs" dxfId="961" priority="1131" operator="greaterThan">
      <formula>0</formula>
    </cfRule>
    <cfRule type="cellIs" dxfId="960" priority="1132" operator="greaterThan">
      <formula>0</formula>
    </cfRule>
  </conditionalFormatting>
  <conditionalFormatting sqref="F108:F112">
    <cfRule type="cellIs" dxfId="959" priority="1127" stopIfTrue="1" operator="greaterThan">
      <formula>0</formula>
    </cfRule>
  </conditionalFormatting>
  <conditionalFormatting sqref="K105">
    <cfRule type="cellIs" dxfId="958" priority="1124" operator="lessThan">
      <formula>0</formula>
    </cfRule>
    <cfRule type="cellIs" dxfId="957" priority="1125" operator="greaterThan">
      <formula>0</formula>
    </cfRule>
    <cfRule type="cellIs" dxfId="956" priority="1126" operator="greaterThan">
      <formula>0</formula>
    </cfRule>
  </conditionalFormatting>
  <conditionalFormatting sqref="F393:F398 F407">
    <cfRule type="cellIs" dxfId="955" priority="1121" stopIfTrue="1" operator="greaterThan">
      <formula>0</formula>
    </cfRule>
  </conditionalFormatting>
  <conditionalFormatting sqref="K390">
    <cfRule type="cellIs" dxfId="954" priority="1118" operator="lessThan">
      <formula>0</formula>
    </cfRule>
    <cfRule type="cellIs" dxfId="953" priority="1119" operator="greaterThan">
      <formula>0</formula>
    </cfRule>
    <cfRule type="cellIs" dxfId="952" priority="1120" operator="greaterThan">
      <formula>0</formula>
    </cfRule>
  </conditionalFormatting>
  <conditionalFormatting sqref="C9">
    <cfRule type="cellIs" dxfId="951" priority="1117" operator="equal">
      <formula>"T"</formula>
    </cfRule>
  </conditionalFormatting>
  <conditionalFormatting sqref="C108">
    <cfRule type="cellIs" dxfId="950" priority="1105" operator="equal">
      <formula>"t"</formula>
    </cfRule>
  </conditionalFormatting>
  <conditionalFormatting sqref="C135:D138">
    <cfRule type="cellIs" dxfId="949" priority="1104" operator="equal">
      <formula>"t"</formula>
    </cfRule>
  </conditionalFormatting>
  <conditionalFormatting sqref="C144:D147">
    <cfRule type="cellIs" dxfId="948" priority="1103" operator="equal">
      <formula>"t"</formula>
    </cfRule>
  </conditionalFormatting>
  <conditionalFormatting sqref="C171">
    <cfRule type="cellIs" dxfId="947" priority="1102" operator="equal">
      <formula>"t"</formula>
    </cfRule>
  </conditionalFormatting>
  <conditionalFormatting sqref="C402">
    <cfRule type="cellIs" dxfId="946" priority="1061" operator="equal">
      <formula>"t"</formula>
    </cfRule>
  </conditionalFormatting>
  <conditionalFormatting sqref="C189">
    <cfRule type="cellIs" dxfId="945" priority="1100" operator="equal">
      <formula>"t"</formula>
    </cfRule>
  </conditionalFormatting>
  <conditionalFormatting sqref="C403">
    <cfRule type="cellIs" dxfId="944" priority="1060" operator="equal">
      <formula>"t"</formula>
    </cfRule>
  </conditionalFormatting>
  <conditionalFormatting sqref="C216">
    <cfRule type="cellIs" dxfId="943" priority="1098" operator="equal">
      <formula>"t"</formula>
    </cfRule>
  </conditionalFormatting>
  <conditionalFormatting sqref="C306">
    <cfRule type="cellIs" dxfId="942" priority="1097" operator="equal">
      <formula>"t"</formula>
    </cfRule>
  </conditionalFormatting>
  <conditionalFormatting sqref="C393">
    <cfRule type="cellIs" dxfId="941" priority="1088" operator="equal">
      <formula>"t"</formula>
    </cfRule>
  </conditionalFormatting>
  <conditionalFormatting sqref="C420">
    <cfRule type="cellIs" dxfId="940" priority="1085" operator="equal">
      <formula>"t"</formula>
    </cfRule>
  </conditionalFormatting>
  <conditionalFormatting sqref="C429">
    <cfRule type="cellIs" dxfId="939" priority="1082" operator="equal">
      <formula>"t"</formula>
    </cfRule>
  </conditionalFormatting>
  <conditionalFormatting sqref="F402:F406">
    <cfRule type="cellIs" dxfId="938" priority="1065" stopIfTrue="1" operator="greaterThan">
      <formula>0</formula>
    </cfRule>
  </conditionalFormatting>
  <conditionalFormatting sqref="K399">
    <cfRule type="cellIs" dxfId="937" priority="1062" operator="lessThan">
      <formula>0</formula>
    </cfRule>
    <cfRule type="cellIs" dxfId="936" priority="1063" operator="greaterThan">
      <formula>0</formula>
    </cfRule>
    <cfRule type="cellIs" dxfId="935" priority="1064" operator="greaterThan">
      <formula>0</formula>
    </cfRule>
  </conditionalFormatting>
  <conditionalFormatting sqref="F342:F346">
    <cfRule type="cellIs" dxfId="934" priority="1056" stopIfTrue="1" operator="greaterThan">
      <formula>0</formula>
    </cfRule>
  </conditionalFormatting>
  <conditionalFormatting sqref="K339">
    <cfRule type="cellIs" dxfId="933" priority="1053" operator="lessThan">
      <formula>0</formula>
    </cfRule>
    <cfRule type="cellIs" dxfId="932" priority="1054" operator="greaterThan">
      <formula>0</formula>
    </cfRule>
    <cfRule type="cellIs" dxfId="931" priority="1055" operator="greaterThan">
      <formula>0</formula>
    </cfRule>
  </conditionalFormatting>
  <conditionalFormatting sqref="C342">
    <cfRule type="cellIs" dxfId="930" priority="1052" operator="equal">
      <formula>"t"</formula>
    </cfRule>
  </conditionalFormatting>
  <conditionalFormatting sqref="F357:F361">
    <cfRule type="cellIs" dxfId="929" priority="1047" stopIfTrue="1" operator="greaterThan">
      <formula>0</formula>
    </cfRule>
  </conditionalFormatting>
  <conditionalFormatting sqref="K354">
    <cfRule type="cellIs" dxfId="928" priority="1044" operator="lessThan">
      <formula>0</formula>
    </cfRule>
    <cfRule type="cellIs" dxfId="927" priority="1045" operator="greaterThan">
      <formula>0</formula>
    </cfRule>
    <cfRule type="cellIs" dxfId="926" priority="1046" operator="greaterThan">
      <formula>0</formula>
    </cfRule>
  </conditionalFormatting>
  <conditionalFormatting sqref="C357">
    <cfRule type="cellIs" dxfId="925" priority="1043" operator="equal">
      <formula>"t"</formula>
    </cfRule>
  </conditionalFormatting>
  <conditionalFormatting sqref="F465:F469">
    <cfRule type="cellIs" dxfId="924" priority="1023" stopIfTrue="1" operator="greaterThan">
      <formula>0</formula>
    </cfRule>
  </conditionalFormatting>
  <conditionalFormatting sqref="K462">
    <cfRule type="cellIs" dxfId="923" priority="1020" operator="lessThan">
      <formula>0</formula>
    </cfRule>
    <cfRule type="cellIs" dxfId="922" priority="1021" operator="greaterThan">
      <formula>0</formula>
    </cfRule>
    <cfRule type="cellIs" dxfId="921" priority="1022" operator="greaterThan">
      <formula>0</formula>
    </cfRule>
  </conditionalFormatting>
  <conditionalFormatting sqref="C465:C466">
    <cfRule type="cellIs" dxfId="920" priority="1019" operator="equal">
      <formula>"t"</formula>
    </cfRule>
  </conditionalFormatting>
  <conditionalFormatting sqref="F483:F487">
    <cfRule type="cellIs" dxfId="919" priority="1013" stopIfTrue="1" operator="greaterThan">
      <formula>0</formula>
    </cfRule>
  </conditionalFormatting>
  <conditionalFormatting sqref="K480">
    <cfRule type="cellIs" dxfId="918" priority="1010" operator="lessThan">
      <formula>0</formula>
    </cfRule>
    <cfRule type="cellIs" dxfId="917" priority="1011" operator="greaterThan">
      <formula>0</formula>
    </cfRule>
    <cfRule type="cellIs" dxfId="916" priority="1012" operator="greaterThan">
      <formula>0</formula>
    </cfRule>
  </conditionalFormatting>
  <conditionalFormatting sqref="C483">
    <cfRule type="cellIs" dxfId="915" priority="1009" operator="equal">
      <formula>"t"</formula>
    </cfRule>
  </conditionalFormatting>
  <conditionalFormatting sqref="C484">
    <cfRule type="cellIs" dxfId="914" priority="1008" operator="equal">
      <formula>"t"</formula>
    </cfRule>
  </conditionalFormatting>
  <conditionalFormatting sqref="C485:C486">
    <cfRule type="cellIs" dxfId="913" priority="1007" operator="equal">
      <formula>"t"</formula>
    </cfRule>
  </conditionalFormatting>
  <conditionalFormatting sqref="F117:F121">
    <cfRule type="cellIs" dxfId="912" priority="1003" stopIfTrue="1" operator="greaterThan">
      <formula>0</formula>
    </cfRule>
  </conditionalFormatting>
  <conditionalFormatting sqref="K114">
    <cfRule type="cellIs" dxfId="911" priority="1000" operator="lessThan">
      <formula>0</formula>
    </cfRule>
    <cfRule type="cellIs" dxfId="910" priority="1001" operator="greaterThan">
      <formula>0</formula>
    </cfRule>
    <cfRule type="cellIs" dxfId="909" priority="1002" operator="greaterThan">
      <formula>0</formula>
    </cfRule>
  </conditionalFormatting>
  <conditionalFormatting sqref="C117">
    <cfRule type="cellIs" dxfId="908" priority="999" operator="equal">
      <formula>"t"</formula>
    </cfRule>
  </conditionalFormatting>
  <conditionalFormatting sqref="C440:D440">
    <cfRule type="cellIs" dxfId="907" priority="977" operator="equal">
      <formula>"t"</formula>
    </cfRule>
  </conditionalFormatting>
  <conditionalFormatting sqref="F510:F514">
    <cfRule type="cellIs" dxfId="906" priority="993" stopIfTrue="1" operator="greaterThan">
      <formula>0</formula>
    </cfRule>
  </conditionalFormatting>
  <conditionalFormatting sqref="K507">
    <cfRule type="cellIs" dxfId="905" priority="990" operator="lessThan">
      <formula>0</formula>
    </cfRule>
    <cfRule type="cellIs" dxfId="904" priority="991" operator="greaterThan">
      <formula>0</formula>
    </cfRule>
    <cfRule type="cellIs" dxfId="903" priority="992" operator="greaterThan">
      <formula>0</formula>
    </cfRule>
  </conditionalFormatting>
  <conditionalFormatting sqref="C510">
    <cfRule type="cellIs" dxfId="902" priority="989" operator="equal">
      <formula>"t"</formula>
    </cfRule>
  </conditionalFormatting>
  <conditionalFormatting sqref="F438:F443">
    <cfRule type="cellIs" dxfId="901" priority="983" stopIfTrue="1" operator="greaterThan">
      <formula>0</formula>
    </cfRule>
  </conditionalFormatting>
  <conditionalFormatting sqref="K435">
    <cfRule type="cellIs" dxfId="900" priority="980" operator="lessThan">
      <formula>0</formula>
    </cfRule>
    <cfRule type="cellIs" dxfId="899" priority="981" operator="greaterThan">
      <formula>0</formula>
    </cfRule>
    <cfRule type="cellIs" dxfId="898" priority="982" operator="greaterThan">
      <formula>0</formula>
    </cfRule>
  </conditionalFormatting>
  <conditionalFormatting sqref="C438:D438">
    <cfRule type="cellIs" dxfId="897" priority="979" operator="equal">
      <formula>"t"</formula>
    </cfRule>
  </conditionalFormatting>
  <conditionalFormatting sqref="C439:D439">
    <cfRule type="cellIs" dxfId="896" priority="978" operator="equal">
      <formula>"t"</formula>
    </cfRule>
  </conditionalFormatting>
  <conditionalFormatting sqref="D441">
    <cfRule type="cellIs" dxfId="895" priority="976" operator="equal">
      <formula>"E"</formula>
    </cfRule>
  </conditionalFormatting>
  <conditionalFormatting sqref="C358">
    <cfRule type="cellIs" dxfId="894" priority="975" operator="equal">
      <formula>"t"</formula>
    </cfRule>
  </conditionalFormatting>
  <conditionalFormatting sqref="F519:F523">
    <cfRule type="cellIs" dxfId="893" priority="972" stopIfTrue="1" operator="greaterThan">
      <formula>0</formula>
    </cfRule>
  </conditionalFormatting>
  <conditionalFormatting sqref="K516">
    <cfRule type="cellIs" dxfId="892" priority="969" operator="lessThan">
      <formula>0</formula>
    </cfRule>
    <cfRule type="cellIs" dxfId="891" priority="970" operator="greaterThan">
      <formula>0</formula>
    </cfRule>
    <cfRule type="cellIs" dxfId="890" priority="971" operator="greaterThan">
      <formula>0</formula>
    </cfRule>
  </conditionalFormatting>
  <conditionalFormatting sqref="C519">
    <cfRule type="cellIs" dxfId="889" priority="968" operator="equal">
      <formula>"t"</formula>
    </cfRule>
  </conditionalFormatting>
  <conditionalFormatting sqref="C521 C523">
    <cfRule type="cellIs" dxfId="888" priority="967" operator="equal">
      <formula>"t"</formula>
    </cfRule>
  </conditionalFormatting>
  <conditionalFormatting sqref="F447:F452">
    <cfRule type="cellIs" dxfId="887" priority="959" stopIfTrue="1" operator="greaterThan">
      <formula>0</formula>
    </cfRule>
  </conditionalFormatting>
  <conditionalFormatting sqref="K444">
    <cfRule type="cellIs" dxfId="886" priority="956" operator="lessThan">
      <formula>0</formula>
    </cfRule>
    <cfRule type="cellIs" dxfId="885" priority="957" operator="greaterThan">
      <formula>0</formula>
    </cfRule>
    <cfRule type="cellIs" dxfId="884" priority="958" operator="greaterThan">
      <formula>0</formula>
    </cfRule>
  </conditionalFormatting>
  <conditionalFormatting sqref="C529">
    <cfRule type="cellIs" dxfId="883" priority="944" operator="equal">
      <formula>"t"</formula>
    </cfRule>
  </conditionalFormatting>
  <conditionalFormatting sqref="F528:F532">
    <cfRule type="cellIs" dxfId="882" priority="949" stopIfTrue="1" operator="greaterThan">
      <formula>0</formula>
    </cfRule>
  </conditionalFormatting>
  <conditionalFormatting sqref="K525">
    <cfRule type="cellIs" dxfId="881" priority="946" operator="lessThan">
      <formula>0</formula>
    </cfRule>
    <cfRule type="cellIs" dxfId="880" priority="947" operator="greaterThan">
      <formula>0</formula>
    </cfRule>
    <cfRule type="cellIs" dxfId="879" priority="948" operator="greaterThan">
      <formula>0</formula>
    </cfRule>
  </conditionalFormatting>
  <conditionalFormatting sqref="C528">
    <cfRule type="cellIs" dxfId="878" priority="945" operator="equal">
      <formula>"t"</formula>
    </cfRule>
  </conditionalFormatting>
  <conditionalFormatting sqref="C531">
    <cfRule type="cellIs" dxfId="877" priority="942" operator="equal">
      <formula>"E"</formula>
    </cfRule>
  </conditionalFormatting>
  <conditionalFormatting sqref="F537:F541">
    <cfRule type="cellIs" dxfId="876" priority="939" stopIfTrue="1" operator="greaterThan">
      <formula>0</formula>
    </cfRule>
  </conditionalFormatting>
  <conditionalFormatting sqref="K534">
    <cfRule type="cellIs" dxfId="875" priority="936" operator="lessThan">
      <formula>0</formula>
    </cfRule>
    <cfRule type="cellIs" dxfId="874" priority="937" operator="greaterThan">
      <formula>0</formula>
    </cfRule>
    <cfRule type="cellIs" dxfId="873" priority="938" operator="greaterThan">
      <formula>0</formula>
    </cfRule>
  </conditionalFormatting>
  <conditionalFormatting sqref="C537">
    <cfRule type="cellIs" dxfId="872" priority="935" operator="equal">
      <formula>"t"</formula>
    </cfRule>
  </conditionalFormatting>
  <conditionalFormatting sqref="F546:F550">
    <cfRule type="cellIs" dxfId="871" priority="929" stopIfTrue="1" operator="greaterThan">
      <formula>0</formula>
    </cfRule>
  </conditionalFormatting>
  <conditionalFormatting sqref="K543">
    <cfRule type="cellIs" dxfId="870" priority="926" operator="lessThan">
      <formula>0</formula>
    </cfRule>
    <cfRule type="cellIs" dxfId="869" priority="927" operator="greaterThan">
      <formula>0</formula>
    </cfRule>
    <cfRule type="cellIs" dxfId="868" priority="928" operator="greaterThan">
      <formula>0</formula>
    </cfRule>
  </conditionalFormatting>
  <conditionalFormatting sqref="C546">
    <cfRule type="cellIs" dxfId="867" priority="925" operator="equal">
      <formula>"t"</formula>
    </cfRule>
  </conditionalFormatting>
  <conditionalFormatting sqref="F555:F559">
    <cfRule type="cellIs" dxfId="866" priority="919" stopIfTrue="1" operator="greaterThan">
      <formula>0</formula>
    </cfRule>
  </conditionalFormatting>
  <conditionalFormatting sqref="K552">
    <cfRule type="cellIs" dxfId="865" priority="916" operator="lessThan">
      <formula>0</formula>
    </cfRule>
    <cfRule type="cellIs" dxfId="864" priority="917" operator="greaterThan">
      <formula>0</formula>
    </cfRule>
    <cfRule type="cellIs" dxfId="863" priority="918" operator="greaterThan">
      <formula>0</formula>
    </cfRule>
  </conditionalFormatting>
  <conditionalFormatting sqref="C555">
    <cfRule type="cellIs" dxfId="862" priority="915" operator="equal">
      <formula>"t"</formula>
    </cfRule>
  </conditionalFormatting>
  <conditionalFormatting sqref="F564:F568">
    <cfRule type="cellIs" dxfId="861" priority="909" stopIfTrue="1" operator="greaterThan">
      <formula>0</formula>
    </cfRule>
  </conditionalFormatting>
  <conditionalFormatting sqref="K561">
    <cfRule type="cellIs" dxfId="860" priority="906" operator="lessThan">
      <formula>0</formula>
    </cfRule>
    <cfRule type="cellIs" dxfId="859" priority="907" operator="greaterThan">
      <formula>0</formula>
    </cfRule>
    <cfRule type="cellIs" dxfId="858" priority="908" operator="greaterThan">
      <formula>0</formula>
    </cfRule>
  </conditionalFormatting>
  <conditionalFormatting sqref="C566">
    <cfRule type="cellIs" dxfId="857" priority="903" operator="equal">
      <formula>"t"</formula>
    </cfRule>
  </conditionalFormatting>
  <conditionalFormatting sqref="F762:F766">
    <cfRule type="cellIs" dxfId="856" priority="898" stopIfTrue="1" operator="greaterThan">
      <formula>0</formula>
    </cfRule>
  </conditionalFormatting>
  <conditionalFormatting sqref="K759">
    <cfRule type="cellIs" dxfId="855" priority="895" operator="lessThan">
      <formula>0</formula>
    </cfRule>
    <cfRule type="cellIs" dxfId="854" priority="896" operator="greaterThan">
      <formula>0</formula>
    </cfRule>
    <cfRule type="cellIs" dxfId="853" priority="897" operator="greaterThan">
      <formula>0</formula>
    </cfRule>
  </conditionalFormatting>
  <conditionalFormatting sqref="F771:F775">
    <cfRule type="cellIs" dxfId="852" priority="888" stopIfTrue="1" operator="greaterThan">
      <formula>0</formula>
    </cfRule>
  </conditionalFormatting>
  <conditionalFormatting sqref="K768">
    <cfRule type="cellIs" dxfId="851" priority="885" operator="lessThan">
      <formula>0</formula>
    </cfRule>
    <cfRule type="cellIs" dxfId="850" priority="886" operator="greaterThan">
      <formula>0</formula>
    </cfRule>
    <cfRule type="cellIs" dxfId="849" priority="887" operator="greaterThan">
      <formula>0</formula>
    </cfRule>
  </conditionalFormatting>
  <conditionalFormatting sqref="C771">
    <cfRule type="cellIs" dxfId="848" priority="884" operator="equal">
      <formula>"t"</formula>
    </cfRule>
  </conditionalFormatting>
  <conditionalFormatting sqref="C772">
    <cfRule type="cellIs" dxfId="847" priority="883" operator="equal">
      <formula>"t"</formula>
    </cfRule>
  </conditionalFormatting>
  <conditionalFormatting sqref="F212">
    <cfRule type="cellIs" dxfId="846" priority="880" stopIfTrue="1" operator="greaterThan">
      <formula>0</formula>
    </cfRule>
  </conditionalFormatting>
  <conditionalFormatting sqref="F207:F211">
    <cfRule type="cellIs" dxfId="845" priority="877" stopIfTrue="1" operator="greaterThan">
      <formula>0</formula>
    </cfRule>
  </conditionalFormatting>
  <conditionalFormatting sqref="K204">
    <cfRule type="cellIs" dxfId="844" priority="874" operator="lessThan">
      <formula>0</formula>
    </cfRule>
    <cfRule type="cellIs" dxfId="843" priority="875" operator="greaterThan">
      <formula>0</formula>
    </cfRule>
    <cfRule type="cellIs" dxfId="842" priority="876" operator="greaterThan">
      <formula>0</formula>
    </cfRule>
  </conditionalFormatting>
  <conditionalFormatting sqref="C583:D583">
    <cfRule type="cellIs" dxfId="841" priority="827" operator="equal">
      <formula>"t"</formula>
    </cfRule>
  </conditionalFormatting>
  <conditionalFormatting sqref="C582:D582">
    <cfRule type="cellIs" dxfId="840" priority="828" operator="equal">
      <formula>"t"</formula>
    </cfRule>
  </conditionalFormatting>
  <conditionalFormatting sqref="F456:F461">
    <cfRule type="cellIs" dxfId="839" priority="855" stopIfTrue="1" operator="greaterThan">
      <formula>0</formula>
    </cfRule>
  </conditionalFormatting>
  <conditionalFormatting sqref="K453">
    <cfRule type="cellIs" dxfId="838" priority="852" operator="lessThan">
      <formula>0</formula>
    </cfRule>
    <cfRule type="cellIs" dxfId="837" priority="853" operator="greaterThan">
      <formula>0</formula>
    </cfRule>
    <cfRule type="cellIs" dxfId="836" priority="854" operator="greaterThan">
      <formula>0</formula>
    </cfRule>
  </conditionalFormatting>
  <conditionalFormatting sqref="C456">
    <cfRule type="cellIs" dxfId="835" priority="851" operator="equal">
      <formula>"t"</formula>
    </cfRule>
  </conditionalFormatting>
  <conditionalFormatting sqref="C457">
    <cfRule type="cellIs" dxfId="834" priority="850" operator="equal">
      <formula>"t"</formula>
    </cfRule>
  </conditionalFormatting>
  <conditionalFormatting sqref="C600">
    <cfRule type="cellIs" dxfId="833" priority="808" operator="equal">
      <formula>"t"</formula>
    </cfRule>
  </conditionalFormatting>
  <conditionalFormatting sqref="F573:F578">
    <cfRule type="cellIs" dxfId="832" priority="842" stopIfTrue="1" operator="greaterThan">
      <formula>0</formula>
    </cfRule>
  </conditionalFormatting>
  <conditionalFormatting sqref="K570">
    <cfRule type="cellIs" dxfId="831" priority="839" operator="lessThan">
      <formula>0</formula>
    </cfRule>
    <cfRule type="cellIs" dxfId="830" priority="840" operator="greaterThan">
      <formula>0</formula>
    </cfRule>
    <cfRule type="cellIs" dxfId="829" priority="841" operator="greaterThan">
      <formula>0</formula>
    </cfRule>
  </conditionalFormatting>
  <conditionalFormatting sqref="C573:D573">
    <cfRule type="cellIs" dxfId="828" priority="838" operator="equal">
      <formula>"t"</formula>
    </cfRule>
  </conditionalFormatting>
  <conditionalFormatting sqref="C574:D574">
    <cfRule type="cellIs" dxfId="827" priority="837" operator="equal">
      <formula>"t"</formula>
    </cfRule>
  </conditionalFormatting>
  <conditionalFormatting sqref="C575:D575">
    <cfRule type="cellIs" dxfId="826" priority="836" operator="equal">
      <formula>"t"</formula>
    </cfRule>
  </conditionalFormatting>
  <conditionalFormatting sqref="C576:D576">
    <cfRule type="cellIs" dxfId="825" priority="835" operator="equal">
      <formula>"E"</formula>
    </cfRule>
  </conditionalFormatting>
  <conditionalFormatting sqref="F582:F587">
    <cfRule type="cellIs" dxfId="824" priority="832" stopIfTrue="1" operator="greaterThan">
      <formula>0</formula>
    </cfRule>
  </conditionalFormatting>
  <conditionalFormatting sqref="K579">
    <cfRule type="cellIs" dxfId="823" priority="829" operator="lessThan">
      <formula>0</formula>
    </cfRule>
    <cfRule type="cellIs" dxfId="822" priority="830" operator="greaterThan">
      <formula>0</formula>
    </cfRule>
    <cfRule type="cellIs" dxfId="821" priority="831" operator="greaterThan">
      <formula>0</formula>
    </cfRule>
  </conditionalFormatting>
  <conditionalFormatting sqref="C584:D584">
    <cfRule type="cellIs" dxfId="820" priority="826" operator="equal">
      <formula>"t"</formula>
    </cfRule>
  </conditionalFormatting>
  <conditionalFormatting sqref="C585:D585">
    <cfRule type="cellIs" dxfId="819" priority="825" operator="equal">
      <formula>"E"</formula>
    </cfRule>
  </conditionalFormatting>
  <conditionalFormatting sqref="F591:F596">
    <cfRule type="cellIs" dxfId="818" priority="822" stopIfTrue="1" operator="greaterThan">
      <formula>0</formula>
    </cfRule>
  </conditionalFormatting>
  <conditionalFormatting sqref="K588">
    <cfRule type="cellIs" dxfId="817" priority="819" operator="lessThan">
      <formula>0</formula>
    </cfRule>
    <cfRule type="cellIs" dxfId="816" priority="820" operator="greaterThan">
      <formula>0</formula>
    </cfRule>
    <cfRule type="cellIs" dxfId="815" priority="821" operator="greaterThan">
      <formula>0</formula>
    </cfRule>
  </conditionalFormatting>
  <conditionalFormatting sqref="C591">
    <cfRule type="cellIs" dxfId="814" priority="818" operator="equal">
      <formula>"t"</formula>
    </cfRule>
  </conditionalFormatting>
  <conditionalFormatting sqref="C592">
    <cfRule type="cellIs" dxfId="813" priority="817" operator="equal">
      <formula>"t"</formula>
    </cfRule>
  </conditionalFormatting>
  <conditionalFormatting sqref="C593">
    <cfRule type="cellIs" dxfId="812" priority="816" operator="equal">
      <formula>"t"</formula>
    </cfRule>
  </conditionalFormatting>
  <conditionalFormatting sqref="C594">
    <cfRule type="cellIs" dxfId="811" priority="815" operator="equal">
      <formula>"E"</formula>
    </cfRule>
  </conditionalFormatting>
  <conditionalFormatting sqref="F600:F605">
    <cfRule type="cellIs" dxfId="810" priority="812" stopIfTrue="1" operator="greaterThan">
      <formula>0</formula>
    </cfRule>
  </conditionalFormatting>
  <conditionalFormatting sqref="K597">
    <cfRule type="cellIs" dxfId="809" priority="809" operator="lessThan">
      <formula>0</formula>
    </cfRule>
    <cfRule type="cellIs" dxfId="808" priority="810" operator="greaterThan">
      <formula>0</formula>
    </cfRule>
    <cfRule type="cellIs" dxfId="807" priority="811" operator="greaterThan">
      <formula>0</formula>
    </cfRule>
  </conditionalFormatting>
  <conditionalFormatting sqref="C601">
    <cfRule type="cellIs" dxfId="806" priority="807" operator="equal">
      <formula>"t"</formula>
    </cfRule>
  </conditionalFormatting>
  <conditionalFormatting sqref="C602">
    <cfRule type="cellIs" dxfId="805" priority="806" operator="equal">
      <formula>"t"</formula>
    </cfRule>
  </conditionalFormatting>
  <conditionalFormatting sqref="C603">
    <cfRule type="cellIs" dxfId="804" priority="805" operator="equal">
      <formula>"E"</formula>
    </cfRule>
  </conditionalFormatting>
  <conditionalFormatting sqref="F609:F614">
    <cfRule type="cellIs" dxfId="803" priority="802" stopIfTrue="1" operator="greaterThan">
      <formula>0</formula>
    </cfRule>
  </conditionalFormatting>
  <conditionalFormatting sqref="K606">
    <cfRule type="cellIs" dxfId="802" priority="799" operator="lessThan">
      <formula>0</formula>
    </cfRule>
    <cfRule type="cellIs" dxfId="801" priority="800" operator="greaterThan">
      <formula>0</formula>
    </cfRule>
    <cfRule type="cellIs" dxfId="800" priority="801" operator="greaterThan">
      <formula>0</formula>
    </cfRule>
  </conditionalFormatting>
  <conditionalFormatting sqref="C609:D609">
    <cfRule type="cellIs" dxfId="799" priority="798" operator="equal">
      <formula>"t"</formula>
    </cfRule>
  </conditionalFormatting>
  <conditionalFormatting sqref="C610:D610">
    <cfRule type="cellIs" dxfId="798" priority="797" operator="equal">
      <formula>"t"</formula>
    </cfRule>
  </conditionalFormatting>
  <conditionalFormatting sqref="C611:D611">
    <cfRule type="cellIs" dxfId="797" priority="796" operator="equal">
      <formula>"t"</formula>
    </cfRule>
  </conditionalFormatting>
  <conditionalFormatting sqref="C612:D612">
    <cfRule type="cellIs" dxfId="796" priority="795" operator="equal">
      <formula>"E"</formula>
    </cfRule>
  </conditionalFormatting>
  <conditionalFormatting sqref="F627:F632">
    <cfRule type="cellIs" dxfId="795" priority="791" stopIfTrue="1" operator="greaterThan">
      <formula>0</formula>
    </cfRule>
  </conditionalFormatting>
  <conditionalFormatting sqref="K624">
    <cfRule type="cellIs" dxfId="794" priority="788" operator="lessThan">
      <formula>0</formula>
    </cfRule>
    <cfRule type="cellIs" dxfId="793" priority="789" operator="greaterThan">
      <formula>0</formula>
    </cfRule>
    <cfRule type="cellIs" dxfId="792" priority="790" operator="greaterThan">
      <formula>0</formula>
    </cfRule>
  </conditionalFormatting>
  <conditionalFormatting sqref="C627:D627">
    <cfRule type="cellIs" dxfId="791" priority="787" operator="equal">
      <formula>"t"</formula>
    </cfRule>
  </conditionalFormatting>
  <conditionalFormatting sqref="C628:D628">
    <cfRule type="cellIs" dxfId="790" priority="786" operator="equal">
      <formula>"t"</formula>
    </cfRule>
  </conditionalFormatting>
  <conditionalFormatting sqref="C629:D629">
    <cfRule type="cellIs" dxfId="789" priority="785" operator="equal">
      <formula>"t"</formula>
    </cfRule>
  </conditionalFormatting>
  <conditionalFormatting sqref="C630:D630">
    <cfRule type="cellIs" dxfId="788" priority="784" operator="equal">
      <formula>"E"</formula>
    </cfRule>
  </conditionalFormatting>
  <conditionalFormatting sqref="F636:F641">
    <cfRule type="cellIs" dxfId="787" priority="781" stopIfTrue="1" operator="greaterThan">
      <formula>0</formula>
    </cfRule>
  </conditionalFormatting>
  <conditionalFormatting sqref="K633">
    <cfRule type="cellIs" dxfId="786" priority="778" operator="lessThan">
      <formula>0</formula>
    </cfRule>
    <cfRule type="cellIs" dxfId="785" priority="779" operator="greaterThan">
      <formula>0</formula>
    </cfRule>
    <cfRule type="cellIs" dxfId="784" priority="780" operator="greaterThan">
      <formula>0</formula>
    </cfRule>
  </conditionalFormatting>
  <conditionalFormatting sqref="C636:D636">
    <cfRule type="cellIs" dxfId="783" priority="777" operator="equal">
      <formula>"t"</formula>
    </cfRule>
  </conditionalFormatting>
  <conditionalFormatting sqref="C637:D637">
    <cfRule type="cellIs" dxfId="782" priority="776" operator="equal">
      <formula>"t"</formula>
    </cfRule>
  </conditionalFormatting>
  <conditionalFormatting sqref="C638:D638">
    <cfRule type="cellIs" dxfId="781" priority="775" operator="equal">
      <formula>"t"</formula>
    </cfRule>
  </conditionalFormatting>
  <conditionalFormatting sqref="C639:D639">
    <cfRule type="cellIs" dxfId="780" priority="774" operator="equal">
      <formula>"E"</formula>
    </cfRule>
  </conditionalFormatting>
  <conditionalFormatting sqref="F645:F650">
    <cfRule type="cellIs" dxfId="779" priority="771" stopIfTrue="1" operator="greaterThan">
      <formula>0</formula>
    </cfRule>
  </conditionalFormatting>
  <conditionalFormatting sqref="K642">
    <cfRule type="cellIs" dxfId="778" priority="768" operator="lessThan">
      <formula>0</formula>
    </cfRule>
    <cfRule type="cellIs" dxfId="777" priority="769" operator="greaterThan">
      <formula>0</formula>
    </cfRule>
    <cfRule type="cellIs" dxfId="776" priority="770" operator="greaterThan">
      <formula>0</formula>
    </cfRule>
  </conditionalFormatting>
  <conditionalFormatting sqref="C645">
    <cfRule type="cellIs" dxfId="775" priority="767" operator="equal">
      <formula>"t"</formula>
    </cfRule>
  </conditionalFormatting>
  <conditionalFormatting sqref="C646">
    <cfRule type="cellIs" dxfId="774" priority="766" operator="equal">
      <formula>"t"</formula>
    </cfRule>
  </conditionalFormatting>
  <conditionalFormatting sqref="C647">
    <cfRule type="cellIs" dxfId="773" priority="765" operator="equal">
      <formula>"t"</formula>
    </cfRule>
  </conditionalFormatting>
  <conditionalFormatting sqref="C648">
    <cfRule type="cellIs" dxfId="772" priority="764" operator="equal">
      <formula>"E"</formula>
    </cfRule>
  </conditionalFormatting>
  <conditionalFormatting sqref="F672:F677">
    <cfRule type="cellIs" dxfId="771" priority="761" stopIfTrue="1" operator="greaterThan">
      <formula>0</formula>
    </cfRule>
  </conditionalFormatting>
  <conditionalFormatting sqref="K669">
    <cfRule type="cellIs" dxfId="770" priority="758" operator="lessThan">
      <formula>0</formula>
    </cfRule>
    <cfRule type="cellIs" dxfId="769" priority="759" operator="greaterThan">
      <formula>0</formula>
    </cfRule>
    <cfRule type="cellIs" dxfId="768" priority="760" operator="greaterThan">
      <formula>0</formula>
    </cfRule>
  </conditionalFormatting>
  <conditionalFormatting sqref="C672">
    <cfRule type="cellIs" dxfId="767" priority="757" operator="equal">
      <formula>"t"</formula>
    </cfRule>
  </conditionalFormatting>
  <conditionalFormatting sqref="F681:F686">
    <cfRule type="cellIs" dxfId="766" priority="751" stopIfTrue="1" operator="greaterThan">
      <formula>0</formula>
    </cfRule>
  </conditionalFormatting>
  <conditionalFormatting sqref="K678">
    <cfRule type="cellIs" dxfId="765" priority="748" operator="lessThan">
      <formula>0</formula>
    </cfRule>
    <cfRule type="cellIs" dxfId="764" priority="749" operator="greaterThan">
      <formula>0</formula>
    </cfRule>
    <cfRule type="cellIs" dxfId="763" priority="750" operator="greaterThan">
      <formula>0</formula>
    </cfRule>
  </conditionalFormatting>
  <conditionalFormatting sqref="C681">
    <cfRule type="cellIs" dxfId="762" priority="747" operator="equal">
      <formula>"t"</formula>
    </cfRule>
  </conditionalFormatting>
  <conditionalFormatting sqref="C682">
    <cfRule type="cellIs" dxfId="761" priority="746" operator="equal">
      <formula>"t"</formula>
    </cfRule>
  </conditionalFormatting>
  <conditionalFormatting sqref="C683">
    <cfRule type="cellIs" dxfId="760" priority="745" operator="equal">
      <formula>"t"</formula>
    </cfRule>
  </conditionalFormatting>
  <conditionalFormatting sqref="C684">
    <cfRule type="cellIs" dxfId="759" priority="744" operator="equal">
      <formula>"E"</formula>
    </cfRule>
  </conditionalFormatting>
  <conditionalFormatting sqref="F690:F695">
    <cfRule type="cellIs" dxfId="758" priority="741" stopIfTrue="1" operator="greaterThan">
      <formula>0</formula>
    </cfRule>
  </conditionalFormatting>
  <conditionalFormatting sqref="K687">
    <cfRule type="cellIs" dxfId="757" priority="738" operator="lessThan">
      <formula>0</formula>
    </cfRule>
    <cfRule type="cellIs" dxfId="756" priority="739" operator="greaterThan">
      <formula>0</formula>
    </cfRule>
    <cfRule type="cellIs" dxfId="755" priority="740" operator="greaterThan">
      <formula>0</formula>
    </cfRule>
  </conditionalFormatting>
  <conditionalFormatting sqref="C690:D690">
    <cfRule type="cellIs" dxfId="754" priority="737" operator="equal">
      <formula>"t"</formula>
    </cfRule>
  </conditionalFormatting>
  <conditionalFormatting sqref="C691:D691">
    <cfRule type="cellIs" dxfId="753" priority="736" operator="equal">
      <formula>"t"</formula>
    </cfRule>
  </conditionalFormatting>
  <conditionalFormatting sqref="C692:D692">
    <cfRule type="cellIs" dxfId="752" priority="735" operator="equal">
      <formula>"t"</formula>
    </cfRule>
  </conditionalFormatting>
  <conditionalFormatting sqref="C693:D693">
    <cfRule type="cellIs" dxfId="751" priority="734" operator="equal">
      <formula>"E"</formula>
    </cfRule>
  </conditionalFormatting>
  <conditionalFormatting sqref="C520">
    <cfRule type="cellIs" dxfId="750" priority="733" operator="equal">
      <formula>"t"</formula>
    </cfRule>
  </conditionalFormatting>
  <conditionalFormatting sqref="F699:F704">
    <cfRule type="cellIs" dxfId="749" priority="730" stopIfTrue="1" operator="greaterThan">
      <formula>0</formula>
    </cfRule>
  </conditionalFormatting>
  <conditionalFormatting sqref="K696">
    <cfRule type="cellIs" dxfId="748" priority="727" operator="lessThan">
      <formula>0</formula>
    </cfRule>
    <cfRule type="cellIs" dxfId="747" priority="728" operator="greaterThan">
      <formula>0</formula>
    </cfRule>
    <cfRule type="cellIs" dxfId="746" priority="729" operator="greaterThan">
      <formula>0</formula>
    </cfRule>
  </conditionalFormatting>
  <conditionalFormatting sqref="C699">
    <cfRule type="cellIs" dxfId="745" priority="726" operator="equal">
      <formula>"t"</formula>
    </cfRule>
  </conditionalFormatting>
  <conditionalFormatting sqref="C700">
    <cfRule type="cellIs" dxfId="744" priority="725" operator="equal">
      <formula>"t"</formula>
    </cfRule>
  </conditionalFormatting>
  <conditionalFormatting sqref="C701">
    <cfRule type="cellIs" dxfId="743" priority="724" operator="equal">
      <formula>"t"</formula>
    </cfRule>
  </conditionalFormatting>
  <conditionalFormatting sqref="C702">
    <cfRule type="cellIs" dxfId="742" priority="723" operator="equal">
      <formula>"E"</formula>
    </cfRule>
  </conditionalFormatting>
  <conditionalFormatting sqref="F708:F713">
    <cfRule type="cellIs" dxfId="741" priority="721" stopIfTrue="1" operator="greaterThan">
      <formula>0</formula>
    </cfRule>
  </conditionalFormatting>
  <conditionalFormatting sqref="K705">
    <cfRule type="cellIs" dxfId="740" priority="718" operator="lessThan">
      <formula>0</formula>
    </cfRule>
    <cfRule type="cellIs" dxfId="739" priority="719" operator="greaterThan">
      <formula>0</formula>
    </cfRule>
    <cfRule type="cellIs" dxfId="738" priority="720" operator="greaterThan">
      <formula>0</formula>
    </cfRule>
  </conditionalFormatting>
  <conditionalFormatting sqref="C708:D708">
    <cfRule type="cellIs" dxfId="737" priority="717" operator="equal">
      <formula>"t"</formula>
    </cfRule>
  </conditionalFormatting>
  <conditionalFormatting sqref="C709:D709">
    <cfRule type="cellIs" dxfId="736" priority="716" operator="equal">
      <formula>"t"</formula>
    </cfRule>
  </conditionalFormatting>
  <conditionalFormatting sqref="C710:D710">
    <cfRule type="cellIs" dxfId="735" priority="715" operator="equal">
      <formula>"t"</formula>
    </cfRule>
  </conditionalFormatting>
  <conditionalFormatting sqref="C711:D711">
    <cfRule type="cellIs" dxfId="734" priority="714" operator="equal">
      <formula>"E"</formula>
    </cfRule>
  </conditionalFormatting>
  <conditionalFormatting sqref="F717:F722">
    <cfRule type="cellIs" dxfId="733" priority="712" stopIfTrue="1" operator="greaterThan">
      <formula>0</formula>
    </cfRule>
  </conditionalFormatting>
  <conditionalFormatting sqref="K714">
    <cfRule type="cellIs" dxfId="732" priority="709" operator="lessThan">
      <formula>0</formula>
    </cfRule>
    <cfRule type="cellIs" dxfId="731" priority="710" operator="greaterThan">
      <formula>0</formula>
    </cfRule>
    <cfRule type="cellIs" dxfId="730" priority="711" operator="greaterThan">
      <formula>0</formula>
    </cfRule>
  </conditionalFormatting>
  <conditionalFormatting sqref="C717:D717">
    <cfRule type="cellIs" dxfId="729" priority="708" operator="equal">
      <formula>"t"</formula>
    </cfRule>
  </conditionalFormatting>
  <conditionalFormatting sqref="C718:D718">
    <cfRule type="cellIs" dxfId="728" priority="707" operator="equal">
      <formula>"t"</formula>
    </cfRule>
  </conditionalFormatting>
  <conditionalFormatting sqref="C719:D719">
    <cfRule type="cellIs" dxfId="727" priority="706" operator="equal">
      <formula>"t"</formula>
    </cfRule>
  </conditionalFormatting>
  <conditionalFormatting sqref="C720:D720">
    <cfRule type="cellIs" dxfId="726" priority="705" operator="equal">
      <formula>"E"</formula>
    </cfRule>
  </conditionalFormatting>
  <conditionalFormatting sqref="F726:F731">
    <cfRule type="cellIs" dxfId="725" priority="703" stopIfTrue="1" operator="greaterThan">
      <formula>0</formula>
    </cfRule>
  </conditionalFormatting>
  <conditionalFormatting sqref="K723">
    <cfRule type="cellIs" dxfId="724" priority="700" operator="lessThan">
      <formula>0</formula>
    </cfRule>
    <cfRule type="cellIs" dxfId="723" priority="701" operator="greaterThan">
      <formula>0</formula>
    </cfRule>
    <cfRule type="cellIs" dxfId="722" priority="702" operator="greaterThan">
      <formula>0</formula>
    </cfRule>
  </conditionalFormatting>
  <conditionalFormatting sqref="C726:D726">
    <cfRule type="cellIs" dxfId="721" priority="699" operator="equal">
      <formula>"t"</formula>
    </cfRule>
  </conditionalFormatting>
  <conditionalFormatting sqref="C727:D727">
    <cfRule type="cellIs" dxfId="720" priority="698" operator="equal">
      <formula>"t"</formula>
    </cfRule>
  </conditionalFormatting>
  <conditionalFormatting sqref="C728:D728">
    <cfRule type="cellIs" dxfId="719" priority="697" operator="equal">
      <formula>"t"</formula>
    </cfRule>
  </conditionalFormatting>
  <conditionalFormatting sqref="C729:D729">
    <cfRule type="cellIs" dxfId="718" priority="696" operator="equal">
      <formula>"E"</formula>
    </cfRule>
  </conditionalFormatting>
  <conditionalFormatting sqref="F735:F740">
    <cfRule type="cellIs" dxfId="717" priority="694" stopIfTrue="1" operator="greaterThan">
      <formula>0</formula>
    </cfRule>
  </conditionalFormatting>
  <conditionalFormatting sqref="K732">
    <cfRule type="cellIs" dxfId="716" priority="691" operator="lessThan">
      <formula>0</formula>
    </cfRule>
    <cfRule type="cellIs" dxfId="715" priority="692" operator="greaterThan">
      <formula>0</formula>
    </cfRule>
    <cfRule type="cellIs" dxfId="714" priority="693" operator="greaterThan">
      <formula>0</formula>
    </cfRule>
  </conditionalFormatting>
  <conditionalFormatting sqref="C735">
    <cfRule type="cellIs" dxfId="713" priority="690" operator="equal">
      <formula>"t"</formula>
    </cfRule>
  </conditionalFormatting>
  <conditionalFormatting sqref="C522">
    <cfRule type="cellIs" dxfId="712" priority="679" operator="equal">
      <formula>"t"</formula>
    </cfRule>
  </conditionalFormatting>
  <conditionalFormatting sqref="F275">
    <cfRule type="cellIs" dxfId="711" priority="686" stopIfTrue="1" operator="greaterThan">
      <formula>0</formula>
    </cfRule>
  </conditionalFormatting>
  <conditionalFormatting sqref="F270:F274">
    <cfRule type="cellIs" dxfId="710" priority="683" stopIfTrue="1" operator="greaterThan">
      <formula>0</formula>
    </cfRule>
  </conditionalFormatting>
  <conditionalFormatting sqref="K267">
    <cfRule type="cellIs" dxfId="709" priority="680" operator="lessThan">
      <formula>0</formula>
    </cfRule>
    <cfRule type="cellIs" dxfId="708" priority="681" operator="greaterThan">
      <formula>0</formula>
    </cfRule>
    <cfRule type="cellIs" dxfId="707" priority="682" operator="greaterThan">
      <formula>0</formula>
    </cfRule>
  </conditionalFormatting>
  <conditionalFormatting sqref="F618:F623">
    <cfRule type="cellIs" dxfId="706" priority="675" stopIfTrue="1" operator="greaterThan">
      <formula>0</formula>
    </cfRule>
  </conditionalFormatting>
  <conditionalFormatting sqref="K615">
    <cfRule type="cellIs" dxfId="705" priority="672" operator="lessThan">
      <formula>0</formula>
    </cfRule>
    <cfRule type="cellIs" dxfId="704" priority="673" operator="greaterThan">
      <formula>0</formula>
    </cfRule>
    <cfRule type="cellIs" dxfId="703" priority="674" operator="greaterThan">
      <formula>0</formula>
    </cfRule>
  </conditionalFormatting>
  <conditionalFormatting sqref="C618:D618">
    <cfRule type="cellIs" dxfId="702" priority="671" operator="equal">
      <formula>"t"</formula>
    </cfRule>
  </conditionalFormatting>
  <conditionalFormatting sqref="C619:D619">
    <cfRule type="cellIs" dxfId="701" priority="670" operator="equal">
      <formula>"t"</formula>
    </cfRule>
  </conditionalFormatting>
  <conditionalFormatting sqref="C620:D620">
    <cfRule type="cellIs" dxfId="700" priority="669" operator="equal">
      <formula>"t"</formula>
    </cfRule>
  </conditionalFormatting>
  <conditionalFormatting sqref="C621:D621">
    <cfRule type="cellIs" dxfId="699" priority="668" operator="equal">
      <formula>"E"</formula>
    </cfRule>
  </conditionalFormatting>
  <conditionalFormatting sqref="C773">
    <cfRule type="cellIs" dxfId="698" priority="667" operator="equal">
      <formula>"t"</formula>
    </cfRule>
  </conditionalFormatting>
  <conditionalFormatting sqref="F780:F784">
    <cfRule type="cellIs" dxfId="697" priority="664" stopIfTrue="1" operator="greaterThan">
      <formula>0</formula>
    </cfRule>
  </conditionalFormatting>
  <conditionalFormatting sqref="K777">
    <cfRule type="cellIs" dxfId="696" priority="661" operator="lessThan">
      <formula>0</formula>
    </cfRule>
    <cfRule type="cellIs" dxfId="695" priority="662" operator="greaterThan">
      <formula>0</formula>
    </cfRule>
    <cfRule type="cellIs" dxfId="694" priority="663" operator="greaterThan">
      <formula>0</formula>
    </cfRule>
  </conditionalFormatting>
  <conditionalFormatting sqref="C780:C783">
    <cfRule type="cellIs" dxfId="693" priority="660" operator="equal">
      <formula>"t"</formula>
    </cfRule>
  </conditionalFormatting>
  <conditionalFormatting sqref="C441">
    <cfRule type="cellIs" dxfId="692" priority="656" operator="equal">
      <formula>"t"</formula>
    </cfRule>
  </conditionalFormatting>
  <conditionalFormatting sqref="F416">
    <cfRule type="cellIs" dxfId="691" priority="653" stopIfTrue="1" operator="greaterThan">
      <formula>0</formula>
    </cfRule>
  </conditionalFormatting>
  <conditionalFormatting sqref="F411:F415">
    <cfRule type="cellIs" dxfId="690" priority="650" stopIfTrue="1" operator="greaterThan">
      <formula>0</formula>
    </cfRule>
  </conditionalFormatting>
  <conditionalFormatting sqref="K408">
    <cfRule type="cellIs" dxfId="689" priority="647" operator="lessThan">
      <formula>0</formula>
    </cfRule>
    <cfRule type="cellIs" dxfId="688" priority="648" operator="greaterThan">
      <formula>0</formula>
    </cfRule>
    <cfRule type="cellIs" dxfId="687" priority="649" operator="greaterThan">
      <formula>0</formula>
    </cfRule>
  </conditionalFormatting>
  <conditionalFormatting sqref="C411">
    <cfRule type="cellIs" dxfId="686" priority="646" operator="equal">
      <formula>"t"</formula>
    </cfRule>
  </conditionalFormatting>
  <conditionalFormatting sqref="C413:C415">
    <cfRule type="cellIs" dxfId="685" priority="643" operator="equal">
      <formula>"t"</formula>
    </cfRule>
  </conditionalFormatting>
  <conditionalFormatting sqref="C412">
    <cfRule type="cellIs" dxfId="684" priority="642" operator="equal">
      <formula>"t"</formula>
    </cfRule>
  </conditionalFormatting>
  <conditionalFormatting sqref="C532">
    <cfRule type="cellIs" dxfId="683" priority="640" operator="equal">
      <formula>"E"</formula>
    </cfRule>
  </conditionalFormatting>
  <conditionalFormatting sqref="C530">
    <cfRule type="cellIs" dxfId="682" priority="639" operator="equal">
      <formula>"t"</formula>
    </cfRule>
  </conditionalFormatting>
  <conditionalFormatting sqref="C343">
    <cfRule type="cellIs" dxfId="681" priority="638" operator="equal">
      <formula>"t"</formula>
    </cfRule>
  </conditionalFormatting>
  <conditionalFormatting sqref="C344">
    <cfRule type="cellIs" dxfId="680" priority="637" operator="equal">
      <formula>"t"</formula>
    </cfRule>
  </conditionalFormatting>
  <conditionalFormatting sqref="C345">
    <cfRule type="cellIs" dxfId="679" priority="636" operator="equal">
      <formula>"t"</formula>
    </cfRule>
  </conditionalFormatting>
  <conditionalFormatting sqref="C537">
    <cfRule type="cellIs" dxfId="678" priority="635" operator="equal">
      <formula>"E"</formula>
    </cfRule>
  </conditionalFormatting>
  <conditionalFormatting sqref="C784">
    <cfRule type="cellIs" dxfId="677" priority="634" operator="equal">
      <formula>"t"</formula>
    </cfRule>
  </conditionalFormatting>
  <conditionalFormatting sqref="C780:D783">
    <cfRule type="cellIs" dxfId="676" priority="633" operator="equal">
      <formula>"E"</formula>
    </cfRule>
  </conditionalFormatting>
  <conditionalFormatting sqref="C735:D735">
    <cfRule type="cellIs" dxfId="675" priority="618" operator="equal">
      <formula>"E"</formula>
    </cfRule>
    <cfRule type="cellIs" dxfId="674" priority="619" operator="equal">
      <formula>"T"</formula>
    </cfRule>
  </conditionalFormatting>
  <conditionalFormatting sqref="C736">
    <cfRule type="cellIs" dxfId="673" priority="617" operator="equal">
      <formula>"t"</formula>
    </cfRule>
  </conditionalFormatting>
  <conditionalFormatting sqref="C736:D736">
    <cfRule type="cellIs" dxfId="672" priority="615" operator="equal">
      <formula>"E"</formula>
    </cfRule>
    <cfRule type="cellIs" dxfId="671" priority="616" operator="equal">
      <formula>"T"</formula>
    </cfRule>
  </conditionalFormatting>
  <conditionalFormatting sqref="C737">
    <cfRule type="cellIs" dxfId="670" priority="614" operator="equal">
      <formula>"t"</formula>
    </cfRule>
  </conditionalFormatting>
  <conditionalFormatting sqref="C737:D737">
    <cfRule type="cellIs" dxfId="669" priority="612" operator="equal">
      <formula>"E"</formula>
    </cfRule>
    <cfRule type="cellIs" dxfId="668" priority="613" operator="equal">
      <formula>"T"</formula>
    </cfRule>
  </conditionalFormatting>
  <conditionalFormatting sqref="C738">
    <cfRule type="cellIs" dxfId="667" priority="611" operator="equal">
      <formula>"t"</formula>
    </cfRule>
  </conditionalFormatting>
  <conditionalFormatting sqref="C738:D738">
    <cfRule type="cellIs" dxfId="666" priority="609" operator="equal">
      <formula>"E"</formula>
    </cfRule>
    <cfRule type="cellIs" dxfId="665" priority="610" operator="equal">
      <formula>"T"</formula>
    </cfRule>
  </conditionalFormatting>
  <conditionalFormatting sqref="C739">
    <cfRule type="cellIs" dxfId="664" priority="608" operator="equal">
      <formula>"t"</formula>
    </cfRule>
  </conditionalFormatting>
  <conditionalFormatting sqref="C739:D739">
    <cfRule type="cellIs" dxfId="663" priority="606" operator="equal">
      <formula>"E"</formula>
    </cfRule>
    <cfRule type="cellIs" dxfId="662" priority="607" operator="equal">
      <formula>"T"</formula>
    </cfRule>
  </conditionalFormatting>
  <conditionalFormatting sqref="F744:F749">
    <cfRule type="cellIs" dxfId="661" priority="604" stopIfTrue="1" operator="greaterThan">
      <formula>0</formula>
    </cfRule>
  </conditionalFormatting>
  <conditionalFormatting sqref="K741">
    <cfRule type="cellIs" dxfId="660" priority="601" operator="lessThan">
      <formula>0</formula>
    </cfRule>
    <cfRule type="cellIs" dxfId="659" priority="602" operator="greaterThan">
      <formula>0</formula>
    </cfRule>
    <cfRule type="cellIs" dxfId="658" priority="603" operator="greaterThan">
      <formula>0</formula>
    </cfRule>
  </conditionalFormatting>
  <conditionalFormatting sqref="C744">
    <cfRule type="cellIs" dxfId="657" priority="600" operator="equal">
      <formula>"t"</formula>
    </cfRule>
  </conditionalFormatting>
  <conditionalFormatting sqref="C744:D744">
    <cfRule type="cellIs" dxfId="656" priority="598" operator="equal">
      <formula>"E"</formula>
    </cfRule>
    <cfRule type="cellIs" dxfId="655" priority="599" operator="equal">
      <formula>"T"</formula>
    </cfRule>
  </conditionalFormatting>
  <conditionalFormatting sqref="C745">
    <cfRule type="cellIs" dxfId="654" priority="597" operator="equal">
      <formula>"t"</formula>
    </cfRule>
  </conditionalFormatting>
  <conditionalFormatting sqref="C745:D745">
    <cfRule type="cellIs" dxfId="653" priority="595" operator="equal">
      <formula>"E"</formula>
    </cfRule>
    <cfRule type="cellIs" dxfId="652" priority="596" operator="equal">
      <formula>"T"</formula>
    </cfRule>
  </conditionalFormatting>
  <conditionalFormatting sqref="C746">
    <cfRule type="cellIs" dxfId="651" priority="594" operator="equal">
      <formula>"t"</formula>
    </cfRule>
  </conditionalFormatting>
  <conditionalFormatting sqref="C746:D746">
    <cfRule type="cellIs" dxfId="650" priority="592" operator="equal">
      <formula>"E"</formula>
    </cfRule>
    <cfRule type="cellIs" dxfId="649" priority="593" operator="equal">
      <formula>"T"</formula>
    </cfRule>
  </conditionalFormatting>
  <conditionalFormatting sqref="C747">
    <cfRule type="cellIs" dxfId="648" priority="591" operator="equal">
      <formula>"t"</formula>
    </cfRule>
  </conditionalFormatting>
  <conditionalFormatting sqref="C747:D747">
    <cfRule type="cellIs" dxfId="647" priority="589" operator="equal">
      <formula>"E"</formula>
    </cfRule>
    <cfRule type="cellIs" dxfId="646" priority="590" operator="equal">
      <formula>"T"</formula>
    </cfRule>
  </conditionalFormatting>
  <conditionalFormatting sqref="C748">
    <cfRule type="cellIs" dxfId="645" priority="588" operator="equal">
      <formula>"t"</formula>
    </cfRule>
  </conditionalFormatting>
  <conditionalFormatting sqref="C748:D748">
    <cfRule type="cellIs" dxfId="644" priority="586" operator="equal">
      <formula>"E"</formula>
    </cfRule>
    <cfRule type="cellIs" dxfId="643" priority="587" operator="equal">
      <formula>"T"</formula>
    </cfRule>
  </conditionalFormatting>
  <conditionalFormatting sqref="F753:F758">
    <cfRule type="cellIs" dxfId="642" priority="584" stopIfTrue="1" operator="greaterThan">
      <formula>0</formula>
    </cfRule>
  </conditionalFormatting>
  <conditionalFormatting sqref="K750">
    <cfRule type="cellIs" dxfId="641" priority="581" operator="lessThan">
      <formula>0</formula>
    </cfRule>
    <cfRule type="cellIs" dxfId="640" priority="582" operator="greaterThan">
      <formula>0</formula>
    </cfRule>
    <cfRule type="cellIs" dxfId="639" priority="583" operator="greaterThan">
      <formula>0</formula>
    </cfRule>
  </conditionalFormatting>
  <conditionalFormatting sqref="C753">
    <cfRule type="cellIs" dxfId="638" priority="580" operator="equal">
      <formula>"t"</formula>
    </cfRule>
  </conditionalFormatting>
  <conditionalFormatting sqref="C753:D753">
    <cfRule type="cellIs" dxfId="637" priority="578" operator="equal">
      <formula>"E"</formula>
    </cfRule>
    <cfRule type="cellIs" dxfId="636" priority="579" operator="equal">
      <formula>"T"</formula>
    </cfRule>
  </conditionalFormatting>
  <conditionalFormatting sqref="C754">
    <cfRule type="cellIs" dxfId="635" priority="577" operator="equal">
      <formula>"t"</formula>
    </cfRule>
  </conditionalFormatting>
  <conditionalFormatting sqref="C754:D754">
    <cfRule type="cellIs" dxfId="634" priority="575" operator="equal">
      <formula>"E"</formula>
    </cfRule>
    <cfRule type="cellIs" dxfId="633" priority="576" operator="equal">
      <formula>"T"</formula>
    </cfRule>
  </conditionalFormatting>
  <conditionalFormatting sqref="C755">
    <cfRule type="cellIs" dxfId="632" priority="574" operator="equal">
      <formula>"t"</formula>
    </cfRule>
  </conditionalFormatting>
  <conditionalFormatting sqref="C755:D755">
    <cfRule type="cellIs" dxfId="631" priority="572" operator="equal">
      <formula>"E"</formula>
    </cfRule>
    <cfRule type="cellIs" dxfId="630" priority="573" operator="equal">
      <formula>"T"</formula>
    </cfRule>
  </conditionalFormatting>
  <conditionalFormatting sqref="C756">
    <cfRule type="cellIs" dxfId="629" priority="571" operator="equal">
      <formula>"t"</formula>
    </cfRule>
  </conditionalFormatting>
  <conditionalFormatting sqref="C756:D756">
    <cfRule type="cellIs" dxfId="628" priority="569" operator="equal">
      <formula>"E"</formula>
    </cfRule>
    <cfRule type="cellIs" dxfId="627" priority="570" operator="equal">
      <formula>"T"</formula>
    </cfRule>
  </conditionalFormatting>
  <conditionalFormatting sqref="C757">
    <cfRule type="cellIs" dxfId="626" priority="568" operator="equal">
      <formula>"t"</formula>
    </cfRule>
  </conditionalFormatting>
  <conditionalFormatting sqref="C757:D757">
    <cfRule type="cellIs" dxfId="625" priority="566" operator="equal">
      <formula>"E"</formula>
    </cfRule>
    <cfRule type="cellIs" dxfId="624" priority="567" operator="equal">
      <formula>"T"</formula>
    </cfRule>
  </conditionalFormatting>
  <conditionalFormatting sqref="C225:D225">
    <cfRule type="cellIs" dxfId="623" priority="564" operator="equal">
      <formula>"E"</formula>
    </cfRule>
    <cfRule type="cellIs" dxfId="622" priority="565" operator="equal">
      <formula>"T"</formula>
    </cfRule>
  </conditionalFormatting>
  <conditionalFormatting sqref="C226:D229">
    <cfRule type="cellIs" dxfId="621" priority="562" operator="equal">
      <formula>"E"</formula>
    </cfRule>
    <cfRule type="cellIs" dxfId="620" priority="563" operator="equal">
      <formula>"T"</formula>
    </cfRule>
  </conditionalFormatting>
  <conditionalFormatting sqref="C556">
    <cfRule type="cellIs" dxfId="619" priority="561" operator="equal">
      <formula>"t"</formula>
    </cfRule>
  </conditionalFormatting>
  <conditionalFormatting sqref="C557">
    <cfRule type="cellIs" dxfId="618" priority="560" operator="equal">
      <formula>"t"</formula>
    </cfRule>
  </conditionalFormatting>
  <conditionalFormatting sqref="C190">
    <cfRule type="cellIs" dxfId="617" priority="556" operator="equal">
      <formula>"t"</formula>
    </cfRule>
  </conditionalFormatting>
  <conditionalFormatting sqref="C191">
    <cfRule type="cellIs" dxfId="616" priority="555" operator="equal">
      <formula>"t"</formula>
    </cfRule>
  </conditionalFormatting>
  <conditionalFormatting sqref="C192">
    <cfRule type="cellIs" dxfId="615" priority="554" operator="equal">
      <formula>"t"</formula>
    </cfRule>
  </conditionalFormatting>
  <conditionalFormatting sqref="C234:D234">
    <cfRule type="cellIs" dxfId="614" priority="552" operator="equal">
      <formula>"E"</formula>
    </cfRule>
    <cfRule type="cellIs" dxfId="613" priority="553" operator="equal">
      <formula>"T"</formula>
    </cfRule>
  </conditionalFormatting>
  <conditionalFormatting sqref="C235:D235">
    <cfRule type="cellIs" dxfId="612" priority="550" operator="equal">
      <formula>"E"</formula>
    </cfRule>
    <cfRule type="cellIs" dxfId="611" priority="551" operator="equal">
      <formula>"T"</formula>
    </cfRule>
  </conditionalFormatting>
  <conditionalFormatting sqref="C236:D236">
    <cfRule type="cellIs" dxfId="610" priority="548" operator="equal">
      <formula>"E"</formula>
    </cfRule>
    <cfRule type="cellIs" dxfId="609" priority="549" operator="equal">
      <formula>"T"</formula>
    </cfRule>
  </conditionalFormatting>
  <conditionalFormatting sqref="C237:D237">
    <cfRule type="cellIs" dxfId="608" priority="546" operator="equal">
      <formula>"E"</formula>
    </cfRule>
    <cfRule type="cellIs" dxfId="607" priority="547" operator="equal">
      <formula>"T"</formula>
    </cfRule>
  </conditionalFormatting>
  <conditionalFormatting sqref="C238:D238">
    <cfRule type="cellIs" dxfId="606" priority="544" operator="equal">
      <formula>"E"</formula>
    </cfRule>
    <cfRule type="cellIs" dxfId="605" priority="545" operator="equal">
      <formula>"T"</formula>
    </cfRule>
  </conditionalFormatting>
  <conditionalFormatting sqref="C118">
    <cfRule type="cellIs" dxfId="604" priority="542" operator="equal">
      <formula>"t"</formula>
    </cfRule>
  </conditionalFormatting>
  <conditionalFormatting sqref="C119">
    <cfRule type="cellIs" dxfId="603" priority="541" operator="equal">
      <formula>"t"</formula>
    </cfRule>
  </conditionalFormatting>
  <conditionalFormatting sqref="C120">
    <cfRule type="cellIs" dxfId="602" priority="540" operator="equal">
      <formula>"t"</formula>
    </cfRule>
  </conditionalFormatting>
  <conditionalFormatting sqref="F153:F157">
    <cfRule type="cellIs" dxfId="601" priority="537" stopIfTrue="1" operator="greaterThan">
      <formula>0</formula>
    </cfRule>
  </conditionalFormatting>
  <conditionalFormatting sqref="K150">
    <cfRule type="cellIs" dxfId="600" priority="534" operator="lessThan">
      <formula>0</formula>
    </cfRule>
    <cfRule type="cellIs" dxfId="599" priority="535" operator="greaterThan">
      <formula>0</formula>
    </cfRule>
    <cfRule type="cellIs" dxfId="598" priority="536" operator="greaterThan">
      <formula>0</formula>
    </cfRule>
  </conditionalFormatting>
  <conditionalFormatting sqref="C153">
    <cfRule type="cellIs" dxfId="597" priority="533" operator="equal">
      <formula>"t"</formula>
    </cfRule>
  </conditionalFormatting>
  <conditionalFormatting sqref="C154">
    <cfRule type="cellIs" dxfId="596" priority="532" operator="equal">
      <formula>"t"</formula>
    </cfRule>
  </conditionalFormatting>
  <conditionalFormatting sqref="C155">
    <cfRule type="cellIs" dxfId="595" priority="531" operator="equal">
      <formula>"t"</formula>
    </cfRule>
  </conditionalFormatting>
  <conditionalFormatting sqref="C156">
    <cfRule type="cellIs" dxfId="594" priority="530" operator="equal">
      <formula>"t"</formula>
    </cfRule>
  </conditionalFormatting>
  <conditionalFormatting sqref="F492:F496">
    <cfRule type="cellIs" dxfId="593" priority="529" stopIfTrue="1" operator="greaterThan">
      <formula>0</formula>
    </cfRule>
  </conditionalFormatting>
  <conditionalFormatting sqref="K489">
    <cfRule type="cellIs" dxfId="592" priority="526" operator="lessThan">
      <formula>0</formula>
    </cfRule>
    <cfRule type="cellIs" dxfId="591" priority="527" operator="greaterThan">
      <formula>0</formula>
    </cfRule>
    <cfRule type="cellIs" dxfId="590" priority="528" operator="greaterThan">
      <formula>0</formula>
    </cfRule>
  </conditionalFormatting>
  <conditionalFormatting sqref="C492:C495">
    <cfRule type="cellIs" dxfId="589" priority="525" operator="equal">
      <formula>"t"</formula>
    </cfRule>
  </conditionalFormatting>
  <conditionalFormatting sqref="C243:D243">
    <cfRule type="cellIs" dxfId="588" priority="521" operator="equal">
      <formula>"T"</formula>
    </cfRule>
  </conditionalFormatting>
  <conditionalFormatting sqref="C109">
    <cfRule type="cellIs" dxfId="587" priority="520" operator="equal">
      <formula>"t"</formula>
    </cfRule>
  </conditionalFormatting>
  <conditionalFormatting sqref="C110">
    <cfRule type="cellIs" dxfId="586" priority="519" operator="equal">
      <formula>"t"</formula>
    </cfRule>
  </conditionalFormatting>
  <conditionalFormatting sqref="C111">
    <cfRule type="cellIs" dxfId="585" priority="518" operator="equal">
      <formula>"t"</formula>
    </cfRule>
  </conditionalFormatting>
  <conditionalFormatting sqref="C252">
    <cfRule type="cellIs" dxfId="584" priority="517" operator="equal">
      <formula>"t"</formula>
    </cfRule>
  </conditionalFormatting>
  <conditionalFormatting sqref="C253">
    <cfRule type="cellIs" dxfId="583" priority="516" operator="equal">
      <formula>"t"</formula>
    </cfRule>
  </conditionalFormatting>
  <conditionalFormatting sqref="C254">
    <cfRule type="cellIs" dxfId="582" priority="515" operator="equal">
      <formula>"t"</formula>
    </cfRule>
  </conditionalFormatting>
  <conditionalFormatting sqref="C255">
    <cfRule type="cellIs" dxfId="581" priority="514" operator="equal">
      <formula>"t"</formula>
    </cfRule>
  </conditionalFormatting>
  <conditionalFormatting sqref="C762">
    <cfRule type="cellIs" dxfId="580" priority="511" operator="equal">
      <formula>"t"</formula>
    </cfRule>
  </conditionalFormatting>
  <conditionalFormatting sqref="C762:D762">
    <cfRule type="cellIs" dxfId="579" priority="510" operator="equal">
      <formula>"E"</formula>
    </cfRule>
  </conditionalFormatting>
  <conditionalFormatting sqref="C763">
    <cfRule type="cellIs" dxfId="578" priority="509" operator="equal">
      <formula>"t"</formula>
    </cfRule>
  </conditionalFormatting>
  <conditionalFormatting sqref="C763:D763">
    <cfRule type="cellIs" dxfId="577" priority="508" operator="equal">
      <formula>"E"</formula>
    </cfRule>
  </conditionalFormatting>
  <conditionalFormatting sqref="C764">
    <cfRule type="cellIs" dxfId="576" priority="507" operator="equal">
      <formula>"t"</formula>
    </cfRule>
  </conditionalFormatting>
  <conditionalFormatting sqref="C764:D764">
    <cfRule type="cellIs" dxfId="575" priority="506" operator="equal">
      <formula>"E"</formula>
    </cfRule>
  </conditionalFormatting>
  <conditionalFormatting sqref="C765">
    <cfRule type="cellIs" dxfId="574" priority="505" operator="equal">
      <formula>"t"</formula>
    </cfRule>
  </conditionalFormatting>
  <conditionalFormatting sqref="C765:D765">
    <cfRule type="cellIs" dxfId="573" priority="504" operator="equal">
      <formula>"E"</formula>
    </cfRule>
  </conditionalFormatting>
  <conditionalFormatting sqref="C467">
    <cfRule type="cellIs" dxfId="572" priority="502" operator="equal">
      <formula>"t"</formula>
    </cfRule>
  </conditionalFormatting>
  <conditionalFormatting sqref="C774">
    <cfRule type="cellIs" dxfId="571" priority="500" operator="equal">
      <formula>"t"</formula>
    </cfRule>
  </conditionalFormatting>
  <conditionalFormatting sqref="F284">
    <cfRule type="cellIs" dxfId="570" priority="498" stopIfTrue="1" operator="greaterThan">
      <formula>0</formula>
    </cfRule>
  </conditionalFormatting>
  <conditionalFormatting sqref="F279:F283">
    <cfRule type="cellIs" dxfId="569" priority="495" stopIfTrue="1" operator="greaterThan">
      <formula>0</formula>
    </cfRule>
  </conditionalFormatting>
  <conditionalFormatting sqref="K276">
    <cfRule type="cellIs" dxfId="568" priority="492" operator="lessThan">
      <formula>0</formula>
    </cfRule>
    <cfRule type="cellIs" dxfId="567" priority="493" operator="greaterThan">
      <formula>0</formula>
    </cfRule>
    <cfRule type="cellIs" dxfId="566" priority="494" operator="greaterThan">
      <formula>0</formula>
    </cfRule>
  </conditionalFormatting>
  <conditionalFormatting sqref="F792:F796">
    <cfRule type="cellIs" dxfId="565" priority="489" stopIfTrue="1" operator="greaterThan">
      <formula>0</formula>
    </cfRule>
  </conditionalFormatting>
  <conditionalFormatting sqref="K789">
    <cfRule type="cellIs" dxfId="564" priority="486" operator="lessThan">
      <formula>0</formula>
    </cfRule>
    <cfRule type="cellIs" dxfId="563" priority="487" operator="greaterThan">
      <formula>0</formula>
    </cfRule>
    <cfRule type="cellIs" dxfId="562" priority="488" operator="greaterThan">
      <formula>0</formula>
    </cfRule>
  </conditionalFormatting>
  <conditionalFormatting sqref="C792:C795">
    <cfRule type="cellIs" dxfId="561" priority="485" operator="equal">
      <formula>"t"</formula>
    </cfRule>
  </conditionalFormatting>
  <conditionalFormatting sqref="C796">
    <cfRule type="cellIs" dxfId="560" priority="484" operator="equal">
      <formula>"t"</formula>
    </cfRule>
  </conditionalFormatting>
  <conditionalFormatting sqref="C792:D795">
    <cfRule type="cellIs" dxfId="559" priority="483" operator="equal">
      <formula>"E"</formula>
    </cfRule>
  </conditionalFormatting>
  <conditionalFormatting sqref="C217">
    <cfRule type="cellIs" dxfId="558" priority="482" operator="equal">
      <formula>"t"</formula>
    </cfRule>
  </conditionalFormatting>
  <conditionalFormatting sqref="C218">
    <cfRule type="cellIs" dxfId="557" priority="481" operator="equal">
      <formula>"t"</formula>
    </cfRule>
  </conditionalFormatting>
  <conditionalFormatting sqref="C219">
    <cfRule type="cellIs" dxfId="556" priority="480" operator="equal">
      <formula>"t"</formula>
    </cfRule>
  </conditionalFormatting>
  <conditionalFormatting sqref="C511">
    <cfRule type="cellIs" dxfId="555" priority="479" operator="equal">
      <formula>"t"</formula>
    </cfRule>
  </conditionalFormatting>
  <conditionalFormatting sqref="C512">
    <cfRule type="cellIs" dxfId="554" priority="478" operator="equal">
      <formula>"t"</formula>
    </cfRule>
  </conditionalFormatting>
  <conditionalFormatting sqref="C513">
    <cfRule type="cellIs" dxfId="553" priority="477" operator="equal">
      <formula>"t"</formula>
    </cfRule>
  </conditionalFormatting>
  <conditionalFormatting sqref="C514">
    <cfRule type="cellIs" dxfId="552" priority="475" operator="equal">
      <formula>"t"</formula>
    </cfRule>
  </conditionalFormatting>
  <conditionalFormatting sqref="C430">
    <cfRule type="cellIs" dxfId="551" priority="434" operator="equal">
      <formula>"t"</formula>
    </cfRule>
  </conditionalFormatting>
  <conditionalFormatting sqref="C172">
    <cfRule type="cellIs" dxfId="550" priority="473" operator="equal">
      <formula>"t"</formula>
    </cfRule>
  </conditionalFormatting>
  <conditionalFormatting sqref="C173">
    <cfRule type="cellIs" dxfId="549" priority="472" operator="equal">
      <formula>"t"</formula>
    </cfRule>
  </conditionalFormatting>
  <conditionalFormatting sqref="C174">
    <cfRule type="cellIs" dxfId="548" priority="471" operator="equal">
      <formula>"t"</formula>
    </cfRule>
  </conditionalFormatting>
  <conditionalFormatting sqref="C10:C12">
    <cfRule type="cellIs" dxfId="547" priority="470" operator="equal">
      <formula>"T"</formula>
    </cfRule>
  </conditionalFormatting>
  <conditionalFormatting sqref="C18:C21">
    <cfRule type="cellIs" dxfId="546" priority="469" operator="equal">
      <formula>"T"</formula>
    </cfRule>
  </conditionalFormatting>
  <conditionalFormatting sqref="C27:C30">
    <cfRule type="cellIs" dxfId="545" priority="468" operator="equal">
      <formula>"T"</formula>
    </cfRule>
  </conditionalFormatting>
  <conditionalFormatting sqref="C45:C48">
    <cfRule type="cellIs" dxfId="544" priority="467" operator="equal">
      <formula>"T"</formula>
    </cfRule>
  </conditionalFormatting>
  <conditionalFormatting sqref="C54:C57">
    <cfRule type="cellIs" dxfId="543" priority="466" operator="equal">
      <formula>"T"</formula>
    </cfRule>
  </conditionalFormatting>
  <conditionalFormatting sqref="C63:C66">
    <cfRule type="cellIs" dxfId="542" priority="465" operator="equal">
      <formula>"T"</formula>
    </cfRule>
  </conditionalFormatting>
  <conditionalFormatting sqref="C72:C75">
    <cfRule type="cellIs" dxfId="541" priority="464" operator="equal">
      <formula>"T"</formula>
    </cfRule>
  </conditionalFormatting>
  <conditionalFormatting sqref="C81:C84">
    <cfRule type="cellIs" dxfId="540" priority="463" operator="equal">
      <formula>"T"</formula>
    </cfRule>
  </conditionalFormatting>
  <conditionalFormatting sqref="C90:C93">
    <cfRule type="cellIs" dxfId="539" priority="462" operator="equal">
      <formula>"T"</formula>
    </cfRule>
  </conditionalFormatting>
  <conditionalFormatting sqref="C99:C102">
    <cfRule type="cellIs" dxfId="538" priority="461" operator="equal">
      <formula>"T"</formula>
    </cfRule>
  </conditionalFormatting>
  <conditionalFormatting sqref="C180:C183">
    <cfRule type="cellIs" dxfId="537" priority="460" operator="equal">
      <formula>"T"</formula>
    </cfRule>
  </conditionalFormatting>
  <conditionalFormatting sqref="C198:C201">
    <cfRule type="cellIs" dxfId="536" priority="459" operator="equal">
      <formula>"T"</formula>
    </cfRule>
  </conditionalFormatting>
  <conditionalFormatting sqref="C207:C210">
    <cfRule type="cellIs" dxfId="535" priority="458" operator="equal">
      <formula>"T"</formula>
    </cfRule>
  </conditionalFormatting>
  <conditionalFormatting sqref="C307">
    <cfRule type="cellIs" dxfId="534" priority="457" operator="equal">
      <formula>"t"</formula>
    </cfRule>
  </conditionalFormatting>
  <conditionalFormatting sqref="C308">
    <cfRule type="cellIs" dxfId="533" priority="456" operator="equal">
      <formula>"t"</formula>
    </cfRule>
  </conditionalFormatting>
  <conditionalFormatting sqref="C309">
    <cfRule type="cellIs" dxfId="532" priority="455" operator="equal">
      <formula>"t"</formula>
    </cfRule>
  </conditionalFormatting>
  <conditionalFormatting sqref="C315">
    <cfRule type="cellIs" dxfId="531" priority="454" operator="equal">
      <formula>"t"</formula>
    </cfRule>
  </conditionalFormatting>
  <conditionalFormatting sqref="C316">
    <cfRule type="cellIs" dxfId="530" priority="453" operator="equal">
      <formula>"t"</formula>
    </cfRule>
  </conditionalFormatting>
  <conditionalFormatting sqref="C317">
    <cfRule type="cellIs" dxfId="529" priority="452" operator="equal">
      <formula>"t"</formula>
    </cfRule>
  </conditionalFormatting>
  <conditionalFormatting sqref="C318">
    <cfRule type="cellIs" dxfId="528" priority="451" operator="equal">
      <formula>"t"</formula>
    </cfRule>
  </conditionalFormatting>
  <conditionalFormatting sqref="C324">
    <cfRule type="cellIs" dxfId="527" priority="450" operator="equal">
      <formula>"t"</formula>
    </cfRule>
  </conditionalFormatting>
  <conditionalFormatting sqref="C325">
    <cfRule type="cellIs" dxfId="526" priority="449" operator="equal">
      <formula>"t"</formula>
    </cfRule>
  </conditionalFormatting>
  <conditionalFormatting sqref="C326">
    <cfRule type="cellIs" dxfId="525" priority="448" operator="equal">
      <formula>"t"</formula>
    </cfRule>
  </conditionalFormatting>
  <conditionalFormatting sqref="C327">
    <cfRule type="cellIs" dxfId="524" priority="447" operator="equal">
      <formula>"t"</formula>
    </cfRule>
  </conditionalFormatting>
  <conditionalFormatting sqref="C333">
    <cfRule type="cellIs" dxfId="523" priority="446" operator="equal">
      <formula>"t"</formula>
    </cfRule>
  </conditionalFormatting>
  <conditionalFormatting sqref="C334">
    <cfRule type="cellIs" dxfId="522" priority="445" operator="equal">
      <formula>"t"</formula>
    </cfRule>
  </conditionalFormatting>
  <conditionalFormatting sqref="C335">
    <cfRule type="cellIs" dxfId="521" priority="444" operator="equal">
      <formula>"t"</formula>
    </cfRule>
  </conditionalFormatting>
  <conditionalFormatting sqref="C359">
    <cfRule type="cellIs" dxfId="520" priority="443" operator="equal">
      <formula>"t"</formula>
    </cfRule>
  </conditionalFormatting>
  <conditionalFormatting sqref="C384">
    <cfRule type="cellIs" dxfId="519" priority="442" operator="equal">
      <formula>"t"</formula>
    </cfRule>
  </conditionalFormatting>
  <conditionalFormatting sqref="C385">
    <cfRule type="cellIs" dxfId="518" priority="441" operator="equal">
      <formula>"t"</formula>
    </cfRule>
  </conditionalFormatting>
  <conditionalFormatting sqref="C386:C387">
    <cfRule type="cellIs" dxfId="517" priority="440" operator="equal">
      <formula>"t"</formula>
    </cfRule>
  </conditionalFormatting>
  <conditionalFormatting sqref="C394">
    <cfRule type="cellIs" dxfId="516" priority="439" operator="equal">
      <formula>"t"</formula>
    </cfRule>
  </conditionalFormatting>
  <conditionalFormatting sqref="C395">
    <cfRule type="cellIs" dxfId="515" priority="438" operator="equal">
      <formula>"t"</formula>
    </cfRule>
  </conditionalFormatting>
  <conditionalFormatting sqref="C421">
    <cfRule type="cellIs" dxfId="514" priority="437" operator="equal">
      <formula>"t"</formula>
    </cfRule>
  </conditionalFormatting>
  <conditionalFormatting sqref="C422">
    <cfRule type="cellIs" dxfId="513" priority="436" operator="equal">
      <formula>"t"</formula>
    </cfRule>
  </conditionalFormatting>
  <conditionalFormatting sqref="C423">
    <cfRule type="cellIs" dxfId="512" priority="435" operator="equal">
      <formula>"t"</formula>
    </cfRule>
  </conditionalFormatting>
  <conditionalFormatting sqref="C431">
    <cfRule type="cellIs" dxfId="511" priority="433" operator="equal">
      <formula>"t"</formula>
    </cfRule>
  </conditionalFormatting>
  <conditionalFormatting sqref="C432">
    <cfRule type="cellIs" dxfId="510" priority="432" operator="equal">
      <formula>"t"</formula>
    </cfRule>
  </conditionalFormatting>
  <conditionalFormatting sqref="C447">
    <cfRule type="cellIs" dxfId="509" priority="431" operator="equal">
      <formula>"t"</formula>
    </cfRule>
  </conditionalFormatting>
  <conditionalFormatting sqref="C448">
    <cfRule type="cellIs" dxfId="508" priority="430" operator="equal">
      <formula>"t"</formula>
    </cfRule>
  </conditionalFormatting>
  <conditionalFormatting sqref="C449">
    <cfRule type="cellIs" dxfId="507" priority="429" operator="equal">
      <formula>"t"</formula>
    </cfRule>
  </conditionalFormatting>
  <conditionalFormatting sqref="C450">
    <cfRule type="cellIs" dxfId="506" priority="428" operator="equal">
      <formula>"t"</formula>
    </cfRule>
  </conditionalFormatting>
  <conditionalFormatting sqref="C538:C540">
    <cfRule type="cellIs" dxfId="505" priority="427" operator="equal">
      <formula>"t"</formula>
    </cfRule>
  </conditionalFormatting>
  <conditionalFormatting sqref="C538:C540">
    <cfRule type="cellIs" dxfId="504" priority="426" operator="equal">
      <formula>"E"</formula>
    </cfRule>
  </conditionalFormatting>
  <conditionalFormatting sqref="C564">
    <cfRule type="cellIs" dxfId="503" priority="425" operator="equal">
      <formula>"t"</formula>
    </cfRule>
  </conditionalFormatting>
  <conditionalFormatting sqref="C564">
    <cfRule type="cellIs" dxfId="502" priority="424" operator="equal">
      <formula>"E"</formula>
    </cfRule>
  </conditionalFormatting>
  <conditionalFormatting sqref="C565">
    <cfRule type="cellIs" dxfId="501" priority="423" operator="equal">
      <formula>"t"</formula>
    </cfRule>
  </conditionalFormatting>
  <conditionalFormatting sqref="C565">
    <cfRule type="cellIs" dxfId="500" priority="422" operator="equal">
      <formula>"E"</formula>
    </cfRule>
  </conditionalFormatting>
  <conditionalFormatting sqref="C244:D244">
    <cfRule type="cellIs" dxfId="499" priority="421" operator="equal">
      <formula>"T"</formula>
    </cfRule>
  </conditionalFormatting>
  <conditionalFormatting sqref="C404:C405">
    <cfRule type="cellIs" dxfId="498" priority="420" operator="equal">
      <formula>"t"</formula>
    </cfRule>
  </conditionalFormatting>
  <conditionalFormatting sqref="C547">
    <cfRule type="cellIs" dxfId="497" priority="417" operator="equal">
      <formula>"t"</formula>
    </cfRule>
  </conditionalFormatting>
  <conditionalFormatting sqref="C548">
    <cfRule type="cellIs" dxfId="496" priority="416" operator="equal">
      <formula>"t"</formula>
    </cfRule>
  </conditionalFormatting>
  <conditionalFormatting sqref="C549">
    <cfRule type="cellIs" dxfId="495" priority="415" operator="equal">
      <formula>"t"</formula>
    </cfRule>
  </conditionalFormatting>
  <conditionalFormatting sqref="C270">
    <cfRule type="cellIs" dxfId="494" priority="414" operator="equal">
      <formula>"T"</formula>
    </cfRule>
  </conditionalFormatting>
  <conditionalFormatting sqref="C271">
    <cfRule type="cellIs" dxfId="493" priority="413" operator="equal">
      <formula>"T"</formula>
    </cfRule>
  </conditionalFormatting>
  <conditionalFormatting sqref="C336">
    <cfRule type="cellIs" dxfId="492" priority="412" operator="equal">
      <formula>"t"</formula>
    </cfRule>
  </conditionalFormatting>
  <conditionalFormatting sqref="F804:F808">
    <cfRule type="cellIs" dxfId="491" priority="408" stopIfTrue="1" operator="greaterThan">
      <formula>0</formula>
    </cfRule>
  </conditionalFormatting>
  <conditionalFormatting sqref="K801">
    <cfRule type="cellIs" dxfId="490" priority="405" operator="lessThan">
      <formula>0</formula>
    </cfRule>
    <cfRule type="cellIs" dxfId="489" priority="406" operator="greaterThan">
      <formula>0</formula>
    </cfRule>
    <cfRule type="cellIs" dxfId="488" priority="407" operator="greaterThan">
      <formula>0</formula>
    </cfRule>
  </conditionalFormatting>
  <conditionalFormatting sqref="C804:C807">
    <cfRule type="cellIs" dxfId="487" priority="404" operator="equal">
      <formula>"t"</formula>
    </cfRule>
  </conditionalFormatting>
  <conditionalFormatting sqref="C808">
    <cfRule type="cellIs" dxfId="486" priority="403" operator="equal">
      <formula>"t"</formula>
    </cfRule>
  </conditionalFormatting>
  <conditionalFormatting sqref="C804:D807">
    <cfRule type="cellIs" dxfId="485" priority="402" operator="equal">
      <formula>"E"</formula>
    </cfRule>
  </conditionalFormatting>
  <conditionalFormatting sqref="F816:F820">
    <cfRule type="cellIs" dxfId="484" priority="390" stopIfTrue="1" operator="greaterThan">
      <formula>0</formula>
    </cfRule>
  </conditionalFormatting>
  <conditionalFormatting sqref="K813">
    <cfRule type="cellIs" dxfId="483" priority="387" operator="lessThan">
      <formula>0</formula>
    </cfRule>
    <cfRule type="cellIs" dxfId="482" priority="388" operator="greaterThan">
      <formula>0</formula>
    </cfRule>
    <cfRule type="cellIs" dxfId="481" priority="389" operator="greaterThan">
      <formula>0</formula>
    </cfRule>
  </conditionalFormatting>
  <conditionalFormatting sqref="C816:C819">
    <cfRule type="cellIs" dxfId="480" priority="386" operator="equal">
      <formula>"t"</formula>
    </cfRule>
  </conditionalFormatting>
  <conditionalFormatting sqref="C820">
    <cfRule type="cellIs" dxfId="479" priority="385" operator="equal">
      <formula>"t"</formula>
    </cfRule>
  </conditionalFormatting>
  <conditionalFormatting sqref="C816:D819">
    <cfRule type="cellIs" dxfId="478" priority="384" operator="equal">
      <formula>"E"</formula>
    </cfRule>
  </conditionalFormatting>
  <conditionalFormatting sqref="F293">
    <cfRule type="cellIs" dxfId="477" priority="383" stopIfTrue="1" operator="greaterThan">
      <formula>0</formula>
    </cfRule>
  </conditionalFormatting>
  <conditionalFormatting sqref="F288:F292">
    <cfRule type="cellIs" dxfId="476" priority="380" stopIfTrue="1" operator="greaterThan">
      <formula>0</formula>
    </cfRule>
  </conditionalFormatting>
  <conditionalFormatting sqref="K285">
    <cfRule type="cellIs" dxfId="475" priority="377" operator="lessThan">
      <formula>0</formula>
    </cfRule>
    <cfRule type="cellIs" dxfId="474" priority="378" operator="greaterThan">
      <formula>0</formula>
    </cfRule>
    <cfRule type="cellIs" dxfId="473" priority="379" operator="greaterThan">
      <formula>0</formula>
    </cfRule>
  </conditionalFormatting>
  <conditionalFormatting sqref="C468">
    <cfRule type="cellIs" dxfId="472" priority="376" operator="equal">
      <formula>"t"</formula>
    </cfRule>
  </conditionalFormatting>
  <conditionalFormatting sqref="C458">
    <cfRule type="cellIs" dxfId="471" priority="375" operator="equal">
      <formula>"t"</formula>
    </cfRule>
  </conditionalFormatting>
  <conditionalFormatting sqref="C459">
    <cfRule type="cellIs" dxfId="470" priority="374" operator="equal">
      <formula>"t"</formula>
    </cfRule>
  </conditionalFormatting>
  <conditionalFormatting sqref="F825:F829">
    <cfRule type="cellIs" dxfId="469" priority="370" stopIfTrue="1" operator="greaterThan">
      <formula>0</formula>
    </cfRule>
  </conditionalFormatting>
  <conditionalFormatting sqref="K822">
    <cfRule type="cellIs" dxfId="468" priority="367" operator="lessThan">
      <formula>0</formula>
    </cfRule>
    <cfRule type="cellIs" dxfId="467" priority="368" operator="greaterThan">
      <formula>0</formula>
    </cfRule>
    <cfRule type="cellIs" dxfId="466" priority="369" operator="greaterThan">
      <formula>0</formula>
    </cfRule>
  </conditionalFormatting>
  <conditionalFormatting sqref="C825:C828">
    <cfRule type="cellIs" dxfId="465" priority="366" operator="equal">
      <formula>"t"</formula>
    </cfRule>
  </conditionalFormatting>
  <conditionalFormatting sqref="C829">
    <cfRule type="cellIs" dxfId="464" priority="365" operator="equal">
      <formula>"t"</formula>
    </cfRule>
  </conditionalFormatting>
  <conditionalFormatting sqref="C825:D828">
    <cfRule type="cellIs" dxfId="463" priority="364" operator="equal">
      <formula>"E"</formula>
    </cfRule>
  </conditionalFormatting>
  <conditionalFormatting sqref="F834:F838">
    <cfRule type="cellIs" dxfId="462" priority="361" stopIfTrue="1" operator="greaterThan">
      <formula>0</formula>
    </cfRule>
  </conditionalFormatting>
  <conditionalFormatting sqref="K831">
    <cfRule type="cellIs" dxfId="461" priority="358" operator="lessThan">
      <formula>0</formula>
    </cfRule>
    <cfRule type="cellIs" dxfId="460" priority="359" operator="greaterThan">
      <formula>0</formula>
    </cfRule>
    <cfRule type="cellIs" dxfId="459" priority="360" operator="greaterThan">
      <formula>0</formula>
    </cfRule>
  </conditionalFormatting>
  <conditionalFormatting sqref="C834:C837">
    <cfRule type="cellIs" dxfId="458" priority="357" operator="equal">
      <formula>"t"</formula>
    </cfRule>
  </conditionalFormatting>
  <conditionalFormatting sqref="C838">
    <cfRule type="cellIs" dxfId="457" priority="356" operator="equal">
      <formula>"t"</formula>
    </cfRule>
  </conditionalFormatting>
  <conditionalFormatting sqref="C834:D837">
    <cfRule type="cellIs" dxfId="456" priority="355" operator="equal">
      <formula>"E"</formula>
    </cfRule>
  </conditionalFormatting>
  <conditionalFormatting sqref="F501:F505">
    <cfRule type="cellIs" dxfId="455" priority="354" stopIfTrue="1" operator="greaterThan">
      <formula>0</formula>
    </cfRule>
  </conditionalFormatting>
  <conditionalFormatting sqref="K498">
    <cfRule type="cellIs" dxfId="454" priority="351" operator="lessThan">
      <formula>0</formula>
    </cfRule>
    <cfRule type="cellIs" dxfId="453" priority="352" operator="greaterThan">
      <formula>0</formula>
    </cfRule>
    <cfRule type="cellIs" dxfId="452" priority="353" operator="greaterThan">
      <formula>0</formula>
    </cfRule>
  </conditionalFormatting>
  <conditionalFormatting sqref="C501:C504">
    <cfRule type="cellIs" dxfId="451" priority="350" operator="equal">
      <formula>"t"</formula>
    </cfRule>
  </conditionalFormatting>
  <conditionalFormatting sqref="F302">
    <cfRule type="cellIs" dxfId="450" priority="348" stopIfTrue="1" operator="greaterThan">
      <formula>0</formula>
    </cfRule>
  </conditionalFormatting>
  <conditionalFormatting sqref="F297:F301">
    <cfRule type="cellIs" dxfId="449" priority="345" stopIfTrue="1" operator="greaterThan">
      <formula>0</formula>
    </cfRule>
  </conditionalFormatting>
  <conditionalFormatting sqref="K294">
    <cfRule type="cellIs" dxfId="448" priority="342" operator="lessThan">
      <formula>0</formula>
    </cfRule>
    <cfRule type="cellIs" dxfId="447" priority="343" operator="greaterThan">
      <formula>0</formula>
    </cfRule>
    <cfRule type="cellIs" dxfId="446" priority="344" operator="greaterThan">
      <formula>0</formula>
    </cfRule>
  </conditionalFormatting>
  <conditionalFormatting sqref="F663:F668">
    <cfRule type="cellIs" dxfId="445" priority="339" stopIfTrue="1" operator="greaterThan">
      <formula>0</formula>
    </cfRule>
  </conditionalFormatting>
  <conditionalFormatting sqref="K660">
    <cfRule type="cellIs" dxfId="444" priority="336" operator="lessThan">
      <formula>0</formula>
    </cfRule>
    <cfRule type="cellIs" dxfId="443" priority="337" operator="greaterThan">
      <formula>0</formula>
    </cfRule>
    <cfRule type="cellIs" dxfId="442" priority="338" operator="greaterThan">
      <formula>0</formula>
    </cfRule>
  </conditionalFormatting>
  <conditionalFormatting sqref="C663">
    <cfRule type="cellIs" dxfId="441" priority="335" operator="equal">
      <formula>"t"</formula>
    </cfRule>
  </conditionalFormatting>
  <conditionalFormatting sqref="C665">
    <cfRule type="cellIs" dxfId="440" priority="330" operator="equal">
      <formula>"t"</formula>
    </cfRule>
  </conditionalFormatting>
  <conditionalFormatting sqref="C664">
    <cfRule type="cellIs" dxfId="439" priority="331" operator="equal">
      <formula>"t"</formula>
    </cfRule>
  </conditionalFormatting>
  <conditionalFormatting sqref="C666">
    <cfRule type="cellIs" dxfId="438" priority="329" operator="equal">
      <formula>"t"</formula>
    </cfRule>
  </conditionalFormatting>
  <conditionalFormatting sqref="C667">
    <cfRule type="cellIs" dxfId="437" priority="328" operator="equal">
      <formula>"t"</formula>
    </cfRule>
  </conditionalFormatting>
  <conditionalFormatting sqref="F654:F659">
    <cfRule type="cellIs" dxfId="436" priority="325" stopIfTrue="1" operator="greaterThan">
      <formula>0</formula>
    </cfRule>
  </conditionalFormatting>
  <conditionalFormatting sqref="K651">
    <cfRule type="cellIs" dxfId="435" priority="322" operator="lessThan">
      <formula>0</formula>
    </cfRule>
    <cfRule type="cellIs" dxfId="434" priority="323" operator="greaterThan">
      <formula>0</formula>
    </cfRule>
    <cfRule type="cellIs" dxfId="433" priority="324" operator="greaterThan">
      <formula>0</formula>
    </cfRule>
  </conditionalFormatting>
  <conditionalFormatting sqref="C654">
    <cfRule type="cellIs" dxfId="432" priority="321" operator="equal">
      <formula>"t"</formula>
    </cfRule>
  </conditionalFormatting>
  <conditionalFormatting sqref="C656">
    <cfRule type="cellIs" dxfId="431" priority="319" operator="equal">
      <formula>"t"</formula>
    </cfRule>
  </conditionalFormatting>
  <conditionalFormatting sqref="C655">
    <cfRule type="cellIs" dxfId="430" priority="320" operator="equal">
      <formula>"t"</formula>
    </cfRule>
  </conditionalFormatting>
  <conditionalFormatting sqref="C657">
    <cfRule type="cellIs" dxfId="429" priority="318" operator="equal">
      <formula>"t"</formula>
    </cfRule>
  </conditionalFormatting>
  <conditionalFormatting sqref="C658">
    <cfRule type="cellIs" dxfId="428" priority="317" operator="equal">
      <formula>"t"</formula>
    </cfRule>
  </conditionalFormatting>
  <conditionalFormatting sqref="F162:F166">
    <cfRule type="cellIs" dxfId="427" priority="312" stopIfTrue="1" operator="greaterThan">
      <formula>0</formula>
    </cfRule>
  </conditionalFormatting>
  <conditionalFormatting sqref="K159">
    <cfRule type="cellIs" dxfId="426" priority="309" operator="lessThan">
      <formula>0</formula>
    </cfRule>
    <cfRule type="cellIs" dxfId="425" priority="310" operator="greaterThan">
      <formula>0</formula>
    </cfRule>
    <cfRule type="cellIs" dxfId="424" priority="311" operator="greaterThan">
      <formula>0</formula>
    </cfRule>
  </conditionalFormatting>
  <conditionalFormatting sqref="C162:C165">
    <cfRule type="cellIs" dxfId="423" priority="308" operator="equal">
      <formula>"t"</formula>
    </cfRule>
  </conditionalFormatting>
  <conditionalFormatting sqref="F843:F847">
    <cfRule type="cellIs" dxfId="422" priority="301" stopIfTrue="1" operator="greaterThan">
      <formula>0</formula>
    </cfRule>
  </conditionalFormatting>
  <conditionalFormatting sqref="K840">
    <cfRule type="cellIs" dxfId="421" priority="298" operator="lessThan">
      <formula>0</formula>
    </cfRule>
    <cfRule type="cellIs" dxfId="420" priority="299" operator="greaterThan">
      <formula>0</formula>
    </cfRule>
    <cfRule type="cellIs" dxfId="419" priority="300" operator="greaterThan">
      <formula>0</formula>
    </cfRule>
  </conditionalFormatting>
  <conditionalFormatting sqref="C843:C846">
    <cfRule type="cellIs" dxfId="418" priority="297" operator="equal">
      <formula>"t"</formula>
    </cfRule>
  </conditionalFormatting>
  <conditionalFormatting sqref="C847">
    <cfRule type="cellIs" dxfId="417" priority="296" operator="equal">
      <formula>"t"</formula>
    </cfRule>
  </conditionalFormatting>
  <conditionalFormatting sqref="C843:D846">
    <cfRule type="cellIs" dxfId="416" priority="295" operator="equal">
      <formula>"E"</formula>
    </cfRule>
  </conditionalFormatting>
  <conditionalFormatting sqref="C673">
    <cfRule type="cellIs" dxfId="415" priority="293" operator="equal">
      <formula>"t"</formula>
    </cfRule>
  </conditionalFormatting>
  <conditionalFormatting sqref="C674">
    <cfRule type="cellIs" dxfId="414" priority="292" operator="equal">
      <formula>"t"</formula>
    </cfRule>
  </conditionalFormatting>
  <conditionalFormatting sqref="C675">
    <cfRule type="cellIs" dxfId="413" priority="291" operator="equal">
      <formula>"t"</formula>
    </cfRule>
  </conditionalFormatting>
  <conditionalFormatting sqref="C262:D262">
    <cfRule type="cellIs" dxfId="412" priority="289" operator="equal">
      <formula>"T"</formula>
    </cfRule>
    <cfRule type="cellIs" dxfId="411" priority="290" operator="equal">
      <formula>"E"</formula>
    </cfRule>
  </conditionalFormatting>
  <conditionalFormatting sqref="F474:F478">
    <cfRule type="cellIs" dxfId="410" priority="286" stopIfTrue="1" operator="greaterThan">
      <formula>0</formula>
    </cfRule>
  </conditionalFormatting>
  <conditionalFormatting sqref="K471">
    <cfRule type="cellIs" dxfId="409" priority="283" operator="lessThan">
      <formula>0</formula>
    </cfRule>
    <cfRule type="cellIs" dxfId="408" priority="284" operator="greaterThan">
      <formula>0</formula>
    </cfRule>
    <cfRule type="cellIs" dxfId="407" priority="285" operator="greaterThan">
      <formula>0</formula>
    </cfRule>
  </conditionalFormatting>
  <conditionalFormatting sqref="C474:C475">
    <cfRule type="cellIs" dxfId="406" priority="282" operator="equal">
      <formula>"t"</formula>
    </cfRule>
  </conditionalFormatting>
  <conditionalFormatting sqref="C476">
    <cfRule type="cellIs" dxfId="405" priority="281" operator="equal">
      <formula>"t"</formula>
    </cfRule>
  </conditionalFormatting>
  <conditionalFormatting sqref="C477">
    <cfRule type="cellIs" dxfId="404" priority="280" operator="equal">
      <formula>"t"</formula>
    </cfRule>
  </conditionalFormatting>
  <conditionalFormatting sqref="C474:D474">
    <cfRule type="cellIs" dxfId="403" priority="279" operator="equal">
      <formula>"e"</formula>
    </cfRule>
  </conditionalFormatting>
  <conditionalFormatting sqref="C272">
    <cfRule type="cellIs" dxfId="402" priority="278" operator="equal">
      <formula>"T"</formula>
    </cfRule>
  </conditionalFormatting>
  <conditionalFormatting sqref="F870:F874">
    <cfRule type="cellIs" dxfId="401" priority="275" stopIfTrue="1" operator="greaterThan">
      <formula>0</formula>
    </cfRule>
  </conditionalFormatting>
  <conditionalFormatting sqref="K867">
    <cfRule type="cellIs" dxfId="400" priority="272" operator="lessThan">
      <formula>0</formula>
    </cfRule>
    <cfRule type="cellIs" dxfId="399" priority="273" operator="greaterThan">
      <formula>0</formula>
    </cfRule>
    <cfRule type="cellIs" dxfId="398" priority="274" operator="greaterThan">
      <formula>0</formula>
    </cfRule>
  </conditionalFormatting>
  <conditionalFormatting sqref="C870:C873">
    <cfRule type="cellIs" dxfId="397" priority="271" operator="equal">
      <formula>"t"</formula>
    </cfRule>
  </conditionalFormatting>
  <conditionalFormatting sqref="C874">
    <cfRule type="cellIs" dxfId="396" priority="270" operator="equal">
      <formula>"t"</formula>
    </cfRule>
  </conditionalFormatting>
  <conditionalFormatting sqref="C870:D873">
    <cfRule type="cellIs" dxfId="395" priority="269" operator="equal">
      <formula>"E"</formula>
    </cfRule>
  </conditionalFormatting>
  <conditionalFormatting sqref="C245:D245">
    <cfRule type="cellIs" dxfId="394" priority="268" operator="equal">
      <formula>"T"</formula>
    </cfRule>
  </conditionalFormatting>
  <conditionalFormatting sqref="C126">
    <cfRule type="cellIs" dxfId="393" priority="267" operator="equal">
      <formula>"t"</formula>
    </cfRule>
  </conditionalFormatting>
  <conditionalFormatting sqref="C127">
    <cfRule type="cellIs" dxfId="392" priority="266" operator="equal">
      <formula>"t"</formula>
    </cfRule>
  </conditionalFormatting>
  <conditionalFormatting sqref="C128">
    <cfRule type="cellIs" dxfId="391" priority="265" operator="equal">
      <formula>"t"</formula>
    </cfRule>
  </conditionalFormatting>
  <conditionalFormatting sqref="F879:F883">
    <cfRule type="cellIs" dxfId="390" priority="261" stopIfTrue="1" operator="greaterThan">
      <formula>0</formula>
    </cfRule>
  </conditionalFormatting>
  <conditionalFormatting sqref="K876">
    <cfRule type="cellIs" dxfId="389" priority="258" operator="lessThan">
      <formula>0</formula>
    </cfRule>
    <cfRule type="cellIs" dxfId="388" priority="259" operator="greaterThan">
      <formula>0</formula>
    </cfRule>
    <cfRule type="cellIs" dxfId="387" priority="260" operator="greaterThan">
      <formula>0</formula>
    </cfRule>
  </conditionalFormatting>
  <conditionalFormatting sqref="C879:C882">
    <cfRule type="cellIs" dxfId="386" priority="257" operator="equal">
      <formula>"t"</formula>
    </cfRule>
  </conditionalFormatting>
  <conditionalFormatting sqref="C883">
    <cfRule type="cellIs" dxfId="385" priority="256" operator="equal">
      <formula>"t"</formula>
    </cfRule>
  </conditionalFormatting>
  <conditionalFormatting sqref="C879:D882">
    <cfRule type="cellIs" dxfId="384" priority="255" operator="equal">
      <formula>"E"</formula>
    </cfRule>
  </conditionalFormatting>
  <conditionalFormatting sqref="F888:F892">
    <cfRule type="cellIs" dxfId="383" priority="252" stopIfTrue="1" operator="greaterThan">
      <formula>0</formula>
    </cfRule>
  </conditionalFormatting>
  <conditionalFormatting sqref="K885">
    <cfRule type="cellIs" dxfId="382" priority="249" operator="lessThan">
      <formula>0</formula>
    </cfRule>
    <cfRule type="cellIs" dxfId="381" priority="250" operator="greaterThan">
      <formula>0</formula>
    </cfRule>
    <cfRule type="cellIs" dxfId="380" priority="251" operator="greaterThan">
      <formula>0</formula>
    </cfRule>
  </conditionalFormatting>
  <conditionalFormatting sqref="C888:C891">
    <cfRule type="cellIs" dxfId="379" priority="248" operator="equal">
      <formula>"t"</formula>
    </cfRule>
  </conditionalFormatting>
  <conditionalFormatting sqref="C892">
    <cfRule type="cellIs" dxfId="378" priority="247" operator="equal">
      <formula>"t"</formula>
    </cfRule>
  </conditionalFormatting>
  <conditionalFormatting sqref="C888:D891">
    <cfRule type="cellIs" dxfId="377" priority="246" operator="equal">
      <formula>"E"</formula>
    </cfRule>
  </conditionalFormatting>
  <conditionalFormatting sqref="C558">
    <cfRule type="cellIs" dxfId="376" priority="245" operator="equal">
      <formula>"t"</formula>
    </cfRule>
  </conditionalFormatting>
  <conditionalFormatting sqref="F852:F856">
    <cfRule type="cellIs" dxfId="375" priority="239" stopIfTrue="1" operator="greaterThan">
      <formula>0</formula>
    </cfRule>
  </conditionalFormatting>
  <conditionalFormatting sqref="K849">
    <cfRule type="cellIs" dxfId="374" priority="236" operator="lessThan">
      <formula>0</formula>
    </cfRule>
    <cfRule type="cellIs" dxfId="373" priority="237" operator="greaterThan">
      <formula>0</formula>
    </cfRule>
    <cfRule type="cellIs" dxfId="372" priority="238" operator="greaterThan">
      <formula>0</formula>
    </cfRule>
  </conditionalFormatting>
  <conditionalFormatting sqref="C852:C855">
    <cfRule type="cellIs" dxfId="371" priority="235" operator="equal">
      <formula>"t"</formula>
    </cfRule>
  </conditionalFormatting>
  <conditionalFormatting sqref="C856">
    <cfRule type="cellIs" dxfId="370" priority="234" operator="equal">
      <formula>"t"</formula>
    </cfRule>
  </conditionalFormatting>
  <conditionalFormatting sqref="C852:D855">
    <cfRule type="cellIs" dxfId="369" priority="233" operator="equal">
      <formula>"E"</formula>
    </cfRule>
  </conditionalFormatting>
  <conditionalFormatting sqref="F897:F901">
    <cfRule type="cellIs" dxfId="368" priority="230" stopIfTrue="1" operator="greaterThan">
      <formula>0</formula>
    </cfRule>
  </conditionalFormatting>
  <conditionalFormatting sqref="K894">
    <cfRule type="cellIs" dxfId="367" priority="227" operator="lessThan">
      <formula>0</formula>
    </cfRule>
    <cfRule type="cellIs" dxfId="366" priority="228" operator="greaterThan">
      <formula>0</formula>
    </cfRule>
    <cfRule type="cellIs" dxfId="365" priority="229" operator="greaterThan">
      <formula>0</formula>
    </cfRule>
  </conditionalFormatting>
  <conditionalFormatting sqref="C897:C900">
    <cfRule type="cellIs" dxfId="364" priority="226" operator="equal">
      <formula>"t"</formula>
    </cfRule>
  </conditionalFormatting>
  <conditionalFormatting sqref="C901">
    <cfRule type="cellIs" dxfId="363" priority="225" operator="equal">
      <formula>"t"</formula>
    </cfRule>
  </conditionalFormatting>
  <conditionalFormatting sqref="C897:D900">
    <cfRule type="cellIs" dxfId="362" priority="224" operator="equal">
      <formula>"E"</formula>
    </cfRule>
  </conditionalFormatting>
  <conditionalFormatting sqref="F906:F911">
    <cfRule type="cellIs" dxfId="361" priority="221" stopIfTrue="1" operator="greaterThan">
      <formula>0</formula>
    </cfRule>
  </conditionalFormatting>
  <conditionalFormatting sqref="K903">
    <cfRule type="cellIs" dxfId="360" priority="218" operator="lessThan">
      <formula>0</formula>
    </cfRule>
    <cfRule type="cellIs" dxfId="359" priority="219" operator="greaterThan">
      <formula>0</formula>
    </cfRule>
    <cfRule type="cellIs" dxfId="358" priority="220" operator="greaterThan">
      <formula>0</formula>
    </cfRule>
  </conditionalFormatting>
  <conditionalFormatting sqref="C906:C909">
    <cfRule type="cellIs" dxfId="357" priority="217" operator="equal">
      <formula>"t"</formula>
    </cfRule>
  </conditionalFormatting>
  <conditionalFormatting sqref="C910:C911">
    <cfRule type="cellIs" dxfId="356" priority="216" operator="equal">
      <formula>"t"</formula>
    </cfRule>
  </conditionalFormatting>
  <conditionalFormatting sqref="C906:D909">
    <cfRule type="cellIs" dxfId="355" priority="215" operator="equal">
      <formula>"E"</formula>
    </cfRule>
  </conditionalFormatting>
  <conditionalFormatting sqref="F915:F920">
    <cfRule type="cellIs" dxfId="354" priority="212" stopIfTrue="1" operator="greaterThan">
      <formula>0</formula>
    </cfRule>
  </conditionalFormatting>
  <conditionalFormatting sqref="K912">
    <cfRule type="cellIs" dxfId="353" priority="209" operator="lessThan">
      <formula>0</formula>
    </cfRule>
    <cfRule type="cellIs" dxfId="352" priority="210" operator="greaterThan">
      <formula>0</formula>
    </cfRule>
    <cfRule type="cellIs" dxfId="351" priority="211" operator="greaterThan">
      <formula>0</formula>
    </cfRule>
  </conditionalFormatting>
  <conditionalFormatting sqref="C915:C918">
    <cfRule type="cellIs" dxfId="350" priority="208" operator="equal">
      <formula>"t"</formula>
    </cfRule>
  </conditionalFormatting>
  <conditionalFormatting sqref="C919:C920">
    <cfRule type="cellIs" dxfId="349" priority="207" operator="equal">
      <formula>"t"</formula>
    </cfRule>
  </conditionalFormatting>
  <conditionalFormatting sqref="C915:D918">
    <cfRule type="cellIs" dxfId="348" priority="206" operator="equal">
      <formula>"E"</formula>
    </cfRule>
  </conditionalFormatting>
  <conditionalFormatting sqref="F371">
    <cfRule type="cellIs" dxfId="347" priority="205" stopIfTrue="1" operator="greaterThan">
      <formula>0</formula>
    </cfRule>
  </conditionalFormatting>
  <conditionalFormatting sqref="F366:F370">
    <cfRule type="cellIs" dxfId="346" priority="203" stopIfTrue="1" operator="greaterThan">
      <formula>0</formula>
    </cfRule>
  </conditionalFormatting>
  <conditionalFormatting sqref="K363">
    <cfRule type="cellIs" dxfId="345" priority="200" operator="lessThan">
      <formula>0</formula>
    </cfRule>
    <cfRule type="cellIs" dxfId="344" priority="201" operator="greaterThan">
      <formula>0</formula>
    </cfRule>
    <cfRule type="cellIs" dxfId="343" priority="202" operator="greaterThan">
      <formula>0</formula>
    </cfRule>
  </conditionalFormatting>
  <conditionalFormatting sqref="C367">
    <cfRule type="cellIs" dxfId="342" priority="198" operator="equal">
      <formula>"t"</formula>
    </cfRule>
  </conditionalFormatting>
  <conditionalFormatting sqref="C368">
    <cfRule type="cellIs" dxfId="341" priority="197" operator="equal">
      <formula>"t"</formula>
    </cfRule>
  </conditionalFormatting>
  <conditionalFormatting sqref="C366">
    <cfRule type="cellIs" dxfId="340" priority="196" operator="equal">
      <formula>"t"</formula>
    </cfRule>
  </conditionalFormatting>
  <conditionalFormatting sqref="F380">
    <cfRule type="cellIs" dxfId="339" priority="195" stopIfTrue="1" operator="greaterThan">
      <formula>0</formula>
    </cfRule>
  </conditionalFormatting>
  <conditionalFormatting sqref="F375:F379">
    <cfRule type="cellIs" dxfId="338" priority="193" stopIfTrue="1" operator="greaterThan">
      <formula>0</formula>
    </cfRule>
  </conditionalFormatting>
  <conditionalFormatting sqref="K372">
    <cfRule type="cellIs" dxfId="337" priority="190" operator="lessThan">
      <formula>0</formula>
    </cfRule>
    <cfRule type="cellIs" dxfId="336" priority="191" operator="greaterThan">
      <formula>0</formula>
    </cfRule>
    <cfRule type="cellIs" dxfId="335" priority="192" operator="greaterThan">
      <formula>0</formula>
    </cfRule>
  </conditionalFormatting>
  <conditionalFormatting sqref="C376">
    <cfRule type="cellIs" dxfId="334" priority="189" operator="equal">
      <formula>"t"</formula>
    </cfRule>
  </conditionalFormatting>
  <conditionalFormatting sqref="C377">
    <cfRule type="cellIs" dxfId="333" priority="188" operator="equal">
      <formula>"t"</formula>
    </cfRule>
  </conditionalFormatting>
  <conditionalFormatting sqref="C375">
    <cfRule type="cellIs" dxfId="332" priority="187" operator="equal">
      <formula>"t"</formula>
    </cfRule>
  </conditionalFormatting>
  <conditionalFormatting sqref="C246:D246">
    <cfRule type="cellIs" dxfId="331" priority="186" operator="equal">
      <formula>"T"</formula>
    </cfRule>
  </conditionalFormatting>
  <conditionalFormatting sqref="F924:F929">
    <cfRule type="cellIs" dxfId="330" priority="183" stopIfTrue="1" operator="greaterThan">
      <formula>0</formula>
    </cfRule>
  </conditionalFormatting>
  <conditionalFormatting sqref="K921">
    <cfRule type="cellIs" dxfId="329" priority="180" operator="lessThan">
      <formula>0</formula>
    </cfRule>
    <cfRule type="cellIs" dxfId="328" priority="181" operator="greaterThan">
      <formula>0</formula>
    </cfRule>
    <cfRule type="cellIs" dxfId="327" priority="182" operator="greaterThan">
      <formula>0</formula>
    </cfRule>
  </conditionalFormatting>
  <conditionalFormatting sqref="C924:C927">
    <cfRule type="cellIs" dxfId="326" priority="179" operator="equal">
      <formula>"t"</formula>
    </cfRule>
  </conditionalFormatting>
  <conditionalFormatting sqref="C928:C929">
    <cfRule type="cellIs" dxfId="325" priority="178" operator="equal">
      <formula>"t"</formula>
    </cfRule>
  </conditionalFormatting>
  <conditionalFormatting sqref="C924:D927">
    <cfRule type="cellIs" dxfId="324" priority="177" operator="equal">
      <formula>"E"</formula>
    </cfRule>
  </conditionalFormatting>
  <conditionalFormatting sqref="F933:F938">
    <cfRule type="cellIs" dxfId="323" priority="174" stopIfTrue="1" operator="greaterThan">
      <formula>0</formula>
    </cfRule>
  </conditionalFormatting>
  <conditionalFormatting sqref="K930">
    <cfRule type="cellIs" dxfId="322" priority="171" operator="lessThan">
      <formula>0</formula>
    </cfRule>
    <cfRule type="cellIs" dxfId="321" priority="172" operator="greaterThan">
      <formula>0</formula>
    </cfRule>
    <cfRule type="cellIs" dxfId="320" priority="173" operator="greaterThan">
      <formula>0</formula>
    </cfRule>
  </conditionalFormatting>
  <conditionalFormatting sqref="C933:C936">
    <cfRule type="cellIs" dxfId="319" priority="170" operator="equal">
      <formula>"t"</formula>
    </cfRule>
  </conditionalFormatting>
  <conditionalFormatting sqref="C937:C938">
    <cfRule type="cellIs" dxfId="318" priority="169" operator="equal">
      <formula>"t"</formula>
    </cfRule>
  </conditionalFormatting>
  <conditionalFormatting sqref="C933:D936">
    <cfRule type="cellIs" dxfId="317" priority="168" operator="equal">
      <formula>"E"</formula>
    </cfRule>
  </conditionalFormatting>
  <conditionalFormatting sqref="F861:F865">
    <cfRule type="cellIs" dxfId="316" priority="165" stopIfTrue="1" operator="greaterThan">
      <formula>0</formula>
    </cfRule>
  </conditionalFormatting>
  <conditionalFormatting sqref="K858">
    <cfRule type="cellIs" dxfId="315" priority="162" operator="lessThan">
      <formula>0</formula>
    </cfRule>
    <cfRule type="cellIs" dxfId="314" priority="163" operator="greaterThan">
      <formula>0</formula>
    </cfRule>
    <cfRule type="cellIs" dxfId="313" priority="164" operator="greaterThan">
      <formula>0</formula>
    </cfRule>
  </conditionalFormatting>
  <conditionalFormatting sqref="C861:C864">
    <cfRule type="cellIs" dxfId="312" priority="161" operator="equal">
      <formula>"t"</formula>
    </cfRule>
  </conditionalFormatting>
  <conditionalFormatting sqref="C865">
    <cfRule type="cellIs" dxfId="311" priority="160" operator="equal">
      <formula>"t"</formula>
    </cfRule>
  </conditionalFormatting>
  <conditionalFormatting sqref="C861:D864">
    <cfRule type="cellIs" dxfId="310" priority="159" operator="equal">
      <formula>"E"</formula>
    </cfRule>
  </conditionalFormatting>
  <conditionalFormatting sqref="F969:F974">
    <cfRule type="cellIs" dxfId="309" priority="156" stopIfTrue="1" operator="greaterThan">
      <formula>0</formula>
    </cfRule>
  </conditionalFormatting>
  <conditionalFormatting sqref="K966">
    <cfRule type="cellIs" dxfId="308" priority="153" operator="lessThan">
      <formula>0</formula>
    </cfRule>
    <cfRule type="cellIs" dxfId="307" priority="154" operator="greaterThan">
      <formula>0</formula>
    </cfRule>
    <cfRule type="cellIs" dxfId="306" priority="155" operator="greaterThan">
      <formula>0</formula>
    </cfRule>
  </conditionalFormatting>
  <conditionalFormatting sqref="C969:C972">
    <cfRule type="cellIs" dxfId="305" priority="152" operator="equal">
      <formula>"t"</formula>
    </cfRule>
  </conditionalFormatting>
  <conditionalFormatting sqref="C973:C974">
    <cfRule type="cellIs" dxfId="304" priority="151" operator="equal">
      <formula>"t"</formula>
    </cfRule>
  </conditionalFormatting>
  <conditionalFormatting sqref="C969:D972">
    <cfRule type="cellIs" dxfId="303" priority="150" operator="equal">
      <formula>"E"</formula>
    </cfRule>
  </conditionalFormatting>
  <conditionalFormatting sqref="F978:F983">
    <cfRule type="cellIs" dxfId="302" priority="147" stopIfTrue="1" operator="greaterThan">
      <formula>0</formula>
    </cfRule>
  </conditionalFormatting>
  <conditionalFormatting sqref="K975">
    <cfRule type="cellIs" dxfId="301" priority="144" operator="lessThan">
      <formula>0</formula>
    </cfRule>
    <cfRule type="cellIs" dxfId="300" priority="145" operator="greaterThan">
      <formula>0</formula>
    </cfRule>
    <cfRule type="cellIs" dxfId="299" priority="146" operator="greaterThan">
      <formula>0</formula>
    </cfRule>
  </conditionalFormatting>
  <conditionalFormatting sqref="C978:C981">
    <cfRule type="cellIs" dxfId="298" priority="143" operator="equal">
      <formula>"t"</formula>
    </cfRule>
  </conditionalFormatting>
  <conditionalFormatting sqref="C982:C983">
    <cfRule type="cellIs" dxfId="297" priority="142" operator="equal">
      <formula>"t"</formula>
    </cfRule>
  </conditionalFormatting>
  <conditionalFormatting sqref="C978:D981">
    <cfRule type="cellIs" dxfId="296" priority="141" operator="equal">
      <formula>"E"</formula>
    </cfRule>
  </conditionalFormatting>
  <conditionalFormatting sqref="F987:F992">
    <cfRule type="cellIs" dxfId="295" priority="138" stopIfTrue="1" operator="greaterThan">
      <formula>0</formula>
    </cfRule>
  </conditionalFormatting>
  <conditionalFormatting sqref="K984">
    <cfRule type="cellIs" dxfId="294" priority="135" operator="lessThan">
      <formula>0</formula>
    </cfRule>
    <cfRule type="cellIs" dxfId="293" priority="136" operator="greaterThan">
      <formula>0</formula>
    </cfRule>
    <cfRule type="cellIs" dxfId="292" priority="137" operator="greaterThan">
      <formula>0</formula>
    </cfRule>
  </conditionalFormatting>
  <conditionalFormatting sqref="C987:C990">
    <cfRule type="cellIs" dxfId="291" priority="134" operator="equal">
      <formula>"t"</formula>
    </cfRule>
  </conditionalFormatting>
  <conditionalFormatting sqref="C991:C992">
    <cfRule type="cellIs" dxfId="290" priority="133" operator="equal">
      <formula>"t"</formula>
    </cfRule>
  </conditionalFormatting>
  <conditionalFormatting sqref="C987:D990">
    <cfRule type="cellIs" dxfId="289" priority="132" operator="equal">
      <formula>"E"</formula>
    </cfRule>
  </conditionalFormatting>
  <conditionalFormatting sqref="F996:F1001">
    <cfRule type="cellIs" dxfId="288" priority="120" stopIfTrue="1" operator="greaterThan">
      <formula>0</formula>
    </cfRule>
  </conditionalFormatting>
  <conditionalFormatting sqref="K993">
    <cfRule type="cellIs" dxfId="287" priority="117" operator="lessThan">
      <formula>0</formula>
    </cfRule>
    <cfRule type="cellIs" dxfId="286" priority="118" operator="greaterThan">
      <formula>0</formula>
    </cfRule>
    <cfRule type="cellIs" dxfId="285" priority="119" operator="greaterThan">
      <formula>0</formula>
    </cfRule>
  </conditionalFormatting>
  <conditionalFormatting sqref="C996:C999">
    <cfRule type="cellIs" dxfId="284" priority="116" operator="equal">
      <formula>"t"</formula>
    </cfRule>
  </conditionalFormatting>
  <conditionalFormatting sqref="C1000:C1001">
    <cfRule type="cellIs" dxfId="283" priority="115" operator="equal">
      <formula>"t"</formula>
    </cfRule>
  </conditionalFormatting>
  <conditionalFormatting sqref="C996:D999">
    <cfRule type="cellIs" dxfId="282" priority="114" operator="equal">
      <formula>"E"</formula>
    </cfRule>
  </conditionalFormatting>
  <conditionalFormatting sqref="F1005:F1010">
    <cfRule type="cellIs" dxfId="281" priority="108" stopIfTrue="1" operator="greaterThan">
      <formula>0</formula>
    </cfRule>
  </conditionalFormatting>
  <conditionalFormatting sqref="K1002">
    <cfRule type="cellIs" dxfId="280" priority="105" operator="lessThan">
      <formula>0</formula>
    </cfRule>
    <cfRule type="cellIs" dxfId="279" priority="106" operator="greaterThan">
      <formula>0</formula>
    </cfRule>
    <cfRule type="cellIs" dxfId="278" priority="107" operator="greaterThan">
      <formula>0</formula>
    </cfRule>
  </conditionalFormatting>
  <conditionalFormatting sqref="C1005:C1008">
    <cfRule type="cellIs" dxfId="277" priority="104" operator="equal">
      <formula>"t"</formula>
    </cfRule>
  </conditionalFormatting>
  <conditionalFormatting sqref="C1009:C1010">
    <cfRule type="cellIs" dxfId="276" priority="103" operator="equal">
      <formula>"t"</formula>
    </cfRule>
  </conditionalFormatting>
  <conditionalFormatting sqref="C1005:D1008">
    <cfRule type="cellIs" dxfId="275" priority="102" operator="equal">
      <formula>"E"</formula>
    </cfRule>
  </conditionalFormatting>
  <conditionalFormatting sqref="F942:F947">
    <cfRule type="cellIs" dxfId="274" priority="99" stopIfTrue="1" operator="greaterThan">
      <formula>0</formula>
    </cfRule>
  </conditionalFormatting>
  <conditionalFormatting sqref="K939">
    <cfRule type="cellIs" dxfId="273" priority="96" operator="lessThan">
      <formula>0</formula>
    </cfRule>
    <cfRule type="cellIs" dxfId="272" priority="97" operator="greaterThan">
      <formula>0</formula>
    </cfRule>
    <cfRule type="cellIs" dxfId="271" priority="98" operator="greaterThan">
      <formula>0</formula>
    </cfRule>
  </conditionalFormatting>
  <conditionalFormatting sqref="C942:C945">
    <cfRule type="cellIs" dxfId="270" priority="95" operator="equal">
      <formula>"t"</formula>
    </cfRule>
  </conditionalFormatting>
  <conditionalFormatting sqref="C946:C947">
    <cfRule type="cellIs" dxfId="269" priority="94" operator="equal">
      <formula>"t"</formula>
    </cfRule>
  </conditionalFormatting>
  <conditionalFormatting sqref="C942:D945">
    <cfRule type="cellIs" dxfId="268" priority="93" operator="equal">
      <formula>"E"</formula>
    </cfRule>
  </conditionalFormatting>
  <conditionalFormatting sqref="F951:F956">
    <cfRule type="cellIs" dxfId="267" priority="90" stopIfTrue="1" operator="greaterThan">
      <formula>0</formula>
    </cfRule>
  </conditionalFormatting>
  <conditionalFormatting sqref="K948">
    <cfRule type="cellIs" dxfId="266" priority="87" operator="lessThan">
      <formula>0</formula>
    </cfRule>
    <cfRule type="cellIs" dxfId="265" priority="88" operator="greaterThan">
      <formula>0</formula>
    </cfRule>
    <cfRule type="cellIs" dxfId="264" priority="89" operator="greaterThan">
      <formula>0</formula>
    </cfRule>
  </conditionalFormatting>
  <conditionalFormatting sqref="C951:C954">
    <cfRule type="cellIs" dxfId="263" priority="86" operator="equal">
      <formula>"t"</formula>
    </cfRule>
  </conditionalFormatting>
  <conditionalFormatting sqref="C955:C956">
    <cfRule type="cellIs" dxfId="262" priority="85" operator="equal">
      <formula>"t"</formula>
    </cfRule>
  </conditionalFormatting>
  <conditionalFormatting sqref="C951:D954">
    <cfRule type="cellIs" dxfId="261" priority="84" operator="equal">
      <formula>"E"</formula>
    </cfRule>
  </conditionalFormatting>
  <conditionalFormatting sqref="C129">
    <cfRule type="cellIs" dxfId="260" priority="83" operator="equal">
      <formula>"t"</formula>
    </cfRule>
  </conditionalFormatting>
  <conditionalFormatting sqref="F960:F965">
    <cfRule type="cellIs" dxfId="259" priority="80" stopIfTrue="1" operator="greaterThan">
      <formula>0</formula>
    </cfRule>
  </conditionalFormatting>
  <conditionalFormatting sqref="K957">
    <cfRule type="cellIs" dxfId="258" priority="77" operator="lessThan">
      <formula>0</formula>
    </cfRule>
    <cfRule type="cellIs" dxfId="257" priority="78" operator="greaterThan">
      <formula>0</formula>
    </cfRule>
    <cfRule type="cellIs" dxfId="256" priority="79" operator="greaterThan">
      <formula>0</formula>
    </cfRule>
  </conditionalFormatting>
  <conditionalFormatting sqref="C960:C963">
    <cfRule type="cellIs" dxfId="255" priority="76" operator="equal">
      <formula>"t"</formula>
    </cfRule>
  </conditionalFormatting>
  <conditionalFormatting sqref="C964:C965">
    <cfRule type="cellIs" dxfId="254" priority="75" operator="equal">
      <formula>"t"</formula>
    </cfRule>
  </conditionalFormatting>
  <conditionalFormatting sqref="C960:D963">
    <cfRule type="cellIs" dxfId="253" priority="74" operator="equal">
      <formula>"E"</formula>
    </cfRule>
  </conditionalFormatting>
  <conditionalFormatting sqref="C263:D263">
    <cfRule type="cellIs" dxfId="252" priority="72" operator="equal">
      <formula>"T"</formula>
    </cfRule>
    <cfRule type="cellIs" dxfId="251" priority="73" operator="equal">
      <formula>"E"</formula>
    </cfRule>
  </conditionalFormatting>
  <conditionalFormatting sqref="C264:D264">
    <cfRule type="cellIs" dxfId="250" priority="70" operator="equal">
      <formula>"T"</formula>
    </cfRule>
    <cfRule type="cellIs" dxfId="249" priority="71" operator="equal">
      <formula>"E"</formula>
    </cfRule>
  </conditionalFormatting>
  <conditionalFormatting sqref="F1014:F1019">
    <cfRule type="cellIs" dxfId="248" priority="65" stopIfTrue="1" operator="greaterThan">
      <formula>0</formula>
    </cfRule>
  </conditionalFormatting>
  <conditionalFormatting sqref="K1011">
    <cfRule type="cellIs" dxfId="247" priority="62" operator="lessThan">
      <formula>0</formula>
    </cfRule>
    <cfRule type="cellIs" dxfId="246" priority="63" operator="greaterThan">
      <formula>0</formula>
    </cfRule>
    <cfRule type="cellIs" dxfId="245" priority="64" operator="greaterThan">
      <formula>0</formula>
    </cfRule>
  </conditionalFormatting>
  <conditionalFormatting sqref="C1014:C1017">
    <cfRule type="cellIs" dxfId="244" priority="61" operator="equal">
      <formula>"t"</formula>
    </cfRule>
  </conditionalFormatting>
  <conditionalFormatting sqref="C1018:C1019">
    <cfRule type="cellIs" dxfId="243" priority="60" operator="equal">
      <formula>"t"</formula>
    </cfRule>
  </conditionalFormatting>
  <conditionalFormatting sqref="C1014:D1017">
    <cfRule type="cellIs" dxfId="242" priority="59" operator="equal">
      <formula>"E"</formula>
    </cfRule>
  </conditionalFormatting>
  <conditionalFormatting sqref="C273">
    <cfRule type="cellIs" dxfId="241" priority="58" operator="equal">
      <formula>"T"</formula>
    </cfRule>
  </conditionalFormatting>
  <conditionalFormatting sqref="C261:D261">
    <cfRule type="cellIs" dxfId="240" priority="56" operator="equal">
      <formula>"T"</formula>
    </cfRule>
    <cfRule type="cellIs" dxfId="239" priority="57" operator="equal">
      <formula>"E"</formula>
    </cfRule>
  </conditionalFormatting>
  <conditionalFormatting sqref="F1023:F1028">
    <cfRule type="cellIs" dxfId="238" priority="53" stopIfTrue="1" operator="greaterThan">
      <formula>0</formula>
    </cfRule>
  </conditionalFormatting>
  <conditionalFormatting sqref="K1020">
    <cfRule type="cellIs" dxfId="237" priority="50" operator="lessThan">
      <formula>0</formula>
    </cfRule>
    <cfRule type="cellIs" dxfId="236" priority="51" operator="greaterThan">
      <formula>0</formula>
    </cfRule>
    <cfRule type="cellIs" dxfId="235" priority="52" operator="greaterThan">
      <formula>0</formula>
    </cfRule>
  </conditionalFormatting>
  <conditionalFormatting sqref="C1023:C1026">
    <cfRule type="cellIs" dxfId="234" priority="49" operator="equal">
      <formula>"t"</formula>
    </cfRule>
  </conditionalFormatting>
  <conditionalFormatting sqref="C1027:C1028">
    <cfRule type="cellIs" dxfId="233" priority="48" operator="equal">
      <formula>"t"</formula>
    </cfRule>
  </conditionalFormatting>
  <conditionalFormatting sqref="C1023:D1026">
    <cfRule type="cellIs" dxfId="232" priority="47" operator="equal">
      <formula>"E"</formula>
    </cfRule>
  </conditionalFormatting>
  <conditionalFormatting sqref="F1032:F1037">
    <cfRule type="cellIs" dxfId="231" priority="44" stopIfTrue="1" operator="greaterThan">
      <formula>0</formula>
    </cfRule>
  </conditionalFormatting>
  <conditionalFormatting sqref="K1029">
    <cfRule type="cellIs" dxfId="230" priority="41" operator="lessThan">
      <formula>0</formula>
    </cfRule>
    <cfRule type="cellIs" dxfId="229" priority="42" operator="greaterThan">
      <formula>0</formula>
    </cfRule>
    <cfRule type="cellIs" dxfId="228" priority="43" operator="greaterThan">
      <formula>0</formula>
    </cfRule>
  </conditionalFormatting>
  <conditionalFormatting sqref="C1032:C1035">
    <cfRule type="cellIs" dxfId="227" priority="40" operator="equal">
      <formula>"t"</formula>
    </cfRule>
  </conditionalFormatting>
  <conditionalFormatting sqref="C1036:C1037">
    <cfRule type="cellIs" dxfId="226" priority="39" operator="equal">
      <formula>"t"</formula>
    </cfRule>
  </conditionalFormatting>
  <conditionalFormatting sqref="C1032:D1035">
    <cfRule type="cellIs" dxfId="225" priority="38" operator="equal">
      <formula>"E"</formula>
    </cfRule>
  </conditionalFormatting>
  <conditionalFormatting sqref="C567">
    <cfRule type="cellIs" dxfId="224" priority="37" operator="equal">
      <formula>"t"</formula>
    </cfRule>
  </conditionalFormatting>
  <conditionalFormatting sqref="F1041:F1046">
    <cfRule type="cellIs" dxfId="223" priority="34" stopIfTrue="1" operator="greaterThan">
      <formula>0</formula>
    </cfRule>
  </conditionalFormatting>
  <conditionalFormatting sqref="K1038">
    <cfRule type="cellIs" dxfId="222" priority="31" operator="lessThan">
      <formula>0</formula>
    </cfRule>
    <cfRule type="cellIs" dxfId="221" priority="32" operator="greaterThan">
      <formula>0</formula>
    </cfRule>
    <cfRule type="cellIs" dxfId="220" priority="33" operator="greaterThan">
      <formula>0</formula>
    </cfRule>
  </conditionalFormatting>
  <conditionalFormatting sqref="C1041:C1044">
    <cfRule type="cellIs" dxfId="219" priority="30" operator="equal">
      <formula>"t"</formula>
    </cfRule>
  </conditionalFormatting>
  <conditionalFormatting sqref="C1045:C1046">
    <cfRule type="cellIs" dxfId="218" priority="29" operator="equal">
      <formula>"t"</formula>
    </cfRule>
  </conditionalFormatting>
  <conditionalFormatting sqref="C1041:D1044">
    <cfRule type="cellIs" dxfId="217" priority="28" operator="equal">
      <formula>"E"</formula>
    </cfRule>
  </conditionalFormatting>
  <conditionalFormatting sqref="F1050:F1055">
    <cfRule type="cellIs" dxfId="216" priority="25" stopIfTrue="1" operator="greaterThan">
      <formula>0</formula>
    </cfRule>
  </conditionalFormatting>
  <conditionalFormatting sqref="K1047">
    <cfRule type="cellIs" dxfId="215" priority="22" operator="lessThan">
      <formula>0</formula>
    </cfRule>
    <cfRule type="cellIs" dxfId="214" priority="23" operator="greaterThan">
      <formula>0</formula>
    </cfRule>
    <cfRule type="cellIs" dxfId="213" priority="24" operator="greaterThan">
      <formula>0</formula>
    </cfRule>
  </conditionalFormatting>
  <conditionalFormatting sqref="C1050:C1053">
    <cfRule type="cellIs" dxfId="212" priority="21" operator="equal">
      <formula>"t"</formula>
    </cfRule>
  </conditionalFormatting>
  <conditionalFormatting sqref="C1054:C1055">
    <cfRule type="cellIs" dxfId="211" priority="20" operator="equal">
      <formula>"t"</formula>
    </cfRule>
  </conditionalFormatting>
  <conditionalFormatting sqref="C1050:D1053">
    <cfRule type="cellIs" dxfId="210" priority="19" operator="equal">
      <formula>"E"</formula>
    </cfRule>
  </conditionalFormatting>
  <conditionalFormatting sqref="F1059:F1064">
    <cfRule type="cellIs" dxfId="209" priority="16" stopIfTrue="1" operator="greaterThan">
      <formula>0</formula>
    </cfRule>
  </conditionalFormatting>
  <conditionalFormatting sqref="K1056">
    <cfRule type="cellIs" dxfId="208" priority="13" operator="lessThan">
      <formula>0</formula>
    </cfRule>
    <cfRule type="cellIs" dxfId="207" priority="14" operator="greaterThan">
      <formula>0</formula>
    </cfRule>
    <cfRule type="cellIs" dxfId="206" priority="15" operator="greaterThan">
      <formula>0</formula>
    </cfRule>
  </conditionalFormatting>
  <conditionalFormatting sqref="C1059:C1062">
    <cfRule type="cellIs" dxfId="205" priority="12" operator="equal">
      <formula>"t"</formula>
    </cfRule>
  </conditionalFormatting>
  <conditionalFormatting sqref="C1063:C1064">
    <cfRule type="cellIs" dxfId="204" priority="11" operator="equal">
      <formula>"t"</formula>
    </cfRule>
  </conditionalFormatting>
  <conditionalFormatting sqref="C1059:D1062">
    <cfRule type="cellIs" dxfId="203" priority="10" operator="equal">
      <formula>"E"</formula>
    </cfRule>
  </conditionalFormatting>
  <conditionalFormatting sqref="F1068:F1073">
    <cfRule type="cellIs" dxfId="202" priority="7" stopIfTrue="1" operator="greaterThan">
      <formula>0</formula>
    </cfRule>
  </conditionalFormatting>
  <conditionalFormatting sqref="K1065">
    <cfRule type="cellIs" dxfId="201" priority="4" operator="lessThan">
      <formula>0</formula>
    </cfRule>
    <cfRule type="cellIs" dxfId="200" priority="5" operator="greaterThan">
      <formula>0</formula>
    </cfRule>
    <cfRule type="cellIs" dxfId="199" priority="6" operator="greaterThan">
      <formula>0</formula>
    </cfRule>
  </conditionalFormatting>
  <conditionalFormatting sqref="C1068:C1071">
    <cfRule type="cellIs" dxfId="198" priority="3" operator="equal">
      <formula>"t"</formula>
    </cfRule>
  </conditionalFormatting>
  <conditionalFormatting sqref="C1072:C1073">
    <cfRule type="cellIs" dxfId="197" priority="2" operator="equal">
      <formula>"t"</formula>
    </cfRule>
  </conditionalFormatting>
  <conditionalFormatting sqref="C1068:D1071">
    <cfRule type="cellIs" dxfId="196" priority="1" operator="equal">
      <formula>"E"</formula>
    </cfRule>
  </conditionalFormatting>
  <hyperlinks>
    <hyperlink ref="C759:C760" r:id="rId1" display="FSP"/>
    <hyperlink ref="C303:C304" r:id="rId2" display="FSP"/>
    <hyperlink ref="C444:C445" r:id="rId3" display="FSP"/>
    <hyperlink ref="D303" r:id="rId4"/>
    <hyperlink ref="C312:C313" r:id="rId5" display="FSP"/>
    <hyperlink ref="D312" r:id="rId6"/>
    <hyperlink ref="C321:C322" r:id="rId7" display="FSP"/>
    <hyperlink ref="C330:C331" r:id="rId8" display="FSP"/>
    <hyperlink ref="C339:C340" r:id="rId9" display="FSP"/>
    <hyperlink ref="C354:C355" r:id="rId10" display="FSP"/>
    <hyperlink ref="C453" r:id="rId11" display="FSP"/>
    <hyperlink ref="C426:C427" r:id="rId12" display="FDS"/>
    <hyperlink ref="D426" r:id="rId13"/>
    <hyperlink ref="C507:C508" r:id="rId14" display="FSP"/>
    <hyperlink ref="D507" r:id="rId15"/>
    <hyperlink ref="C516:C517" r:id="rId16" display="FSP"/>
    <hyperlink ref="C525:C526" r:id="rId17" display="FSP"/>
    <hyperlink ref="C534:C535" r:id="rId18" display="FSP"/>
    <hyperlink ref="C543:C544" r:id="rId19" display="FSP"/>
    <hyperlink ref="C552:C553" r:id="rId20" display="FSP"/>
    <hyperlink ref="C561:C562" r:id="rId21" display="FSP"/>
    <hyperlink ref="C570:C571" r:id="rId22" display="FSP"/>
    <hyperlink ref="C579:C580" r:id="rId23" display="FSP"/>
    <hyperlink ref="C588:C589" r:id="rId24" display="FSP"/>
    <hyperlink ref="C597:C598" r:id="rId25" display="FSP"/>
    <hyperlink ref="C606:C607" r:id="rId26" display="FSP"/>
    <hyperlink ref="C624:C625" r:id="rId27" display="FSP"/>
    <hyperlink ref="C633:C634" r:id="rId28" display="FSP"/>
    <hyperlink ref="C381:C382" r:id="rId29" display="FSP"/>
    <hyperlink ref="C480:C481" r:id="rId30" display="FSP"/>
    <hyperlink ref="C462:C463" r:id="rId31" display="FSP"/>
    <hyperlink ref="C417:C418" r:id="rId32" display="FSP"/>
    <hyperlink ref="C141:C142" r:id="rId33" display="FSP"/>
    <hyperlink ref="C168:C169" r:id="rId34" display="FSP"/>
    <hyperlink ref="D168" r:id="rId35"/>
    <hyperlink ref="D141" r:id="rId36"/>
    <hyperlink ref="C177:C178" r:id="rId37" display="FSP"/>
    <hyperlink ref="C186:C187" r:id="rId38" display="FSP"/>
    <hyperlink ref="C195:C196" r:id="rId39" display="FSP"/>
    <hyperlink ref="C204:C205" r:id="rId40" display="FSP"/>
    <hyperlink ref="C213:C214" r:id="rId41" display="FSP"/>
    <hyperlink ref="C222:C223" r:id="rId42" display="FSP"/>
    <hyperlink ref="C231:C232" r:id="rId43" display="FSP"/>
    <hyperlink ref="C240:C241" r:id="rId44" display="FSP"/>
    <hyperlink ref="C249:C250" r:id="rId45" display="FSP"/>
    <hyperlink ref="C258:C259" r:id="rId46" display="FSP"/>
    <hyperlink ref="C123:C124" r:id="rId47" display="FSP"/>
    <hyperlink ref="C132:C133" r:id="rId48" display="FSP"/>
    <hyperlink ref="C642:C643" r:id="rId49" display="FSP"/>
    <hyperlink ref="D642:D643" r:id="rId50" display="DF"/>
    <hyperlink ref="C669:C670" r:id="rId51" display="FSP"/>
    <hyperlink ref="D669:D670" r:id="rId52" display="DF"/>
    <hyperlink ref="C678:C679" r:id="rId53" display="FSP"/>
    <hyperlink ref="D678:D679" r:id="rId54" display="DF"/>
    <hyperlink ref="D516" r:id="rId55"/>
    <hyperlink ref="D525" r:id="rId56"/>
    <hyperlink ref="D534" r:id="rId57"/>
    <hyperlink ref="D687:D688" r:id="rId58" display="DF"/>
    <hyperlink ref="C687:C688" r:id="rId59" display="FSP"/>
    <hyperlink ref="D696:D697" r:id="rId60" display="DF"/>
    <hyperlink ref="C696:C697" r:id="rId61" display="FSP"/>
    <hyperlink ref="D705:D706" r:id="rId62" display="DF"/>
    <hyperlink ref="C705:C706" r:id="rId63" display="FSP"/>
    <hyperlink ref="D714:D715" r:id="rId64" display="DF"/>
    <hyperlink ref="C714:C715" r:id="rId65" display="FSP"/>
    <hyperlink ref="D723:D724" r:id="rId66" display="DF"/>
    <hyperlink ref="C723:C724" r:id="rId67" display="FSP"/>
    <hyperlink ref="D732:D733" r:id="rId68" display="DF"/>
    <hyperlink ref="C732:C733" r:id="rId69" display="FSP"/>
    <hyperlink ref="D543" r:id="rId70"/>
    <hyperlink ref="D552" r:id="rId71"/>
    <hyperlink ref="D561" r:id="rId72"/>
    <hyperlink ref="D570" r:id="rId73"/>
    <hyperlink ref="D579" r:id="rId74"/>
    <hyperlink ref="D588" r:id="rId75"/>
    <hyperlink ref="D597" r:id="rId76"/>
    <hyperlink ref="D606" r:id="rId77"/>
    <hyperlink ref="D624" r:id="rId78"/>
    <hyperlink ref="D633" r:id="rId79"/>
    <hyperlink ref="D462" r:id="rId80"/>
    <hyperlink ref="D480" r:id="rId81"/>
    <hyperlink ref="D435" r:id="rId82"/>
    <hyperlink ref="C435:C436" r:id="rId83" display="FSP"/>
    <hyperlink ref="D417" r:id="rId84"/>
    <hyperlink ref="C399:C400" r:id="rId85" display="FSP"/>
    <hyperlink ref="C390:C391" r:id="rId86" display="FSP"/>
    <hyperlink ref="D177" r:id="rId87"/>
    <hyperlink ref="D186" r:id="rId88"/>
    <hyperlink ref="D195" r:id="rId89"/>
    <hyperlink ref="D204" r:id="rId90"/>
    <hyperlink ref="D213" r:id="rId91"/>
    <hyperlink ref="D222" r:id="rId92"/>
    <hyperlink ref="D231" r:id="rId93"/>
    <hyperlink ref="D240" r:id="rId94"/>
    <hyperlink ref="D249" r:id="rId95"/>
    <hyperlink ref="D258" r:id="rId96"/>
    <hyperlink ref="D768:D769" r:id="rId97" display="DF"/>
    <hyperlink ref="C768:C769" r:id="rId98" display="FSP"/>
    <hyperlink ref="D267:D268" r:id="rId99" display="DF"/>
    <hyperlink ref="C267:C268" r:id="rId100" display="FSP"/>
    <hyperlink ref="D321" r:id="rId101"/>
    <hyperlink ref="D330" r:id="rId102"/>
    <hyperlink ref="D354" r:id="rId103"/>
    <hyperlink ref="D381" r:id="rId104"/>
    <hyperlink ref="D759" r:id="rId105"/>
    <hyperlink ref="C69:C70" r:id="rId106" display="FSP"/>
    <hyperlink ref="C78:C79" r:id="rId107" display="FSP"/>
    <hyperlink ref="C87:C88" r:id="rId108" display="FSP"/>
    <hyperlink ref="C96:C97" r:id="rId109" display="FSP"/>
    <hyperlink ref="C105:C106" r:id="rId110" display="FSP"/>
    <hyperlink ref="C114:C115" r:id="rId111" display="FSP"/>
    <hyperlink ref="C51:C52" r:id="rId112" display="FSP"/>
    <hyperlink ref="C60:C61" r:id="rId113" display="FSC"/>
    <hyperlink ref="C615:C616" r:id="rId114" display="FSV"/>
    <hyperlink ref="D615" r:id="rId115"/>
    <hyperlink ref="D777:D778" r:id="rId116" display="DF"/>
    <hyperlink ref="C777:C778" r:id="rId117" display="FSV"/>
    <hyperlink ref="D114" r:id="rId118"/>
    <hyperlink ref="D105" r:id="rId119"/>
    <hyperlink ref="D96" r:id="rId120"/>
    <hyperlink ref="D87" r:id="rId121"/>
    <hyperlink ref="D78" r:id="rId122"/>
    <hyperlink ref="D69" r:id="rId123"/>
    <hyperlink ref="D60" r:id="rId124"/>
    <hyperlink ref="D51" r:id="rId125"/>
    <hyperlink ref="D132" r:id="rId126"/>
    <hyperlink ref="D123" r:id="rId127"/>
    <hyperlink ref="D42" r:id="rId128"/>
    <hyperlink ref="C42:C43" r:id="rId129" display="FSV"/>
    <hyperlink ref="C6:C7" r:id="rId130" display="FSC"/>
    <hyperlink ref="D6" r:id="rId131"/>
    <hyperlink ref="D15" r:id="rId132"/>
    <hyperlink ref="C15:C16" r:id="rId133" display="FSC"/>
    <hyperlink ref="C408:C409" r:id="rId134" display="FSC"/>
    <hyperlink ref="D741:D742" r:id="rId135" display="DF"/>
    <hyperlink ref="D750:D751" r:id="rId136" display="DF"/>
    <hyperlink ref="C750:C751" r:id="rId137" display="FSC"/>
    <hyperlink ref="C741:C742" r:id="rId138" display="FSC"/>
    <hyperlink ref="C150:C151" r:id="rId139" display="FSC"/>
    <hyperlink ref="D150" r:id="rId140"/>
    <hyperlink ref="D489" r:id="rId141"/>
    <hyperlink ref="D276:D277" r:id="rId142" display="DF"/>
    <hyperlink ref="C276:C277" r:id="rId143" display="FSC"/>
    <hyperlink ref="D789:D790" r:id="rId144" display="DF"/>
    <hyperlink ref="C789:C790" r:id="rId145" display="FSC"/>
    <hyperlink ref="D801:D802" r:id="rId146" display="DF"/>
    <hyperlink ref="C801:C802" r:id="rId147" display="FSC"/>
    <hyperlink ref="D285:D286" r:id="rId148" display="DF"/>
    <hyperlink ref="C285:C286" r:id="rId149" display="FSC"/>
    <hyperlink ref="D822:D823" r:id="rId150" display="DF"/>
    <hyperlink ref="C822:C823" r:id="rId151" display="FSC"/>
    <hyperlink ref="D831:D832" r:id="rId152" display="DF"/>
    <hyperlink ref="C831:C832" r:id="rId153" display="FSC"/>
    <hyperlink ref="D498" r:id="rId154"/>
    <hyperlink ref="D498:D499" r:id="rId155" display="DF"/>
    <hyperlink ref="C498:C499" r:id="rId156" display="FSC"/>
    <hyperlink ref="D294:D295" r:id="rId157" display="DF"/>
    <hyperlink ref="C294:C295" r:id="rId158" display="FSC"/>
    <hyperlink ref="C660:C661" r:id="rId159" display="FSC"/>
    <hyperlink ref="D660:D661" r:id="rId160" display="DF"/>
    <hyperlink ref="C651:C652" r:id="rId161" display="FSC"/>
    <hyperlink ref="D651:D652" r:id="rId162" display="DF"/>
    <hyperlink ref="C489:C490" r:id="rId163" display="FSC"/>
    <hyperlink ref="C159:C160" r:id="rId164" display="FSC"/>
    <hyperlink ref="D159" r:id="rId165"/>
    <hyperlink ref="D840:D841" r:id="rId166" display="DF"/>
    <hyperlink ref="C840:C841" r:id="rId167" display="FSC"/>
    <hyperlink ref="D399:D400" r:id="rId168" display="DF"/>
    <hyperlink ref="C471:C472" r:id="rId169" display="FSC"/>
    <hyperlink ref="D867:D868" r:id="rId170" display="DF"/>
    <hyperlink ref="C867:C868" r:id="rId171" display="FSC"/>
    <hyperlink ref="C876:C877" r:id="rId172" display="FSC"/>
    <hyperlink ref="C885:C886" r:id="rId173" display="FSC"/>
    <hyperlink ref="D876:D877" r:id="rId174" display="DF"/>
    <hyperlink ref="D885:D886" r:id="rId175" display="DF"/>
    <hyperlink ref="D849:D850" r:id="rId176" display="DF"/>
    <hyperlink ref="C849:C850" r:id="rId177" display="FSC"/>
    <hyperlink ref="C894:C895" r:id="rId178" display="FSC"/>
    <hyperlink ref="D894:D895" r:id="rId179" display="DF"/>
    <hyperlink ref="C903:C904" r:id="rId180" display="FSC"/>
    <hyperlink ref="D903:D904" r:id="rId181" display="DF"/>
    <hyperlink ref="C912:C913" r:id="rId182" display="FSC"/>
    <hyperlink ref="C363:C364" r:id="rId183" display="FSP"/>
    <hyperlink ref="D363" r:id="rId184"/>
    <hyperlink ref="C372:C373" r:id="rId185" display="FSC"/>
    <hyperlink ref="D372" r:id="rId186"/>
    <hyperlink ref="D372:D373" r:id="rId187" display="DF"/>
    <hyperlink ref="C921:C922" r:id="rId188" display="FSC"/>
    <hyperlink ref="C930:C931" r:id="rId189" display="FSC"/>
    <hyperlink ref="C858:C859" r:id="rId190" display="FSC"/>
    <hyperlink ref="C975:C976" r:id="rId191" display="FSC"/>
    <hyperlink ref="C966:C967" r:id="rId192" display="FSC"/>
    <hyperlink ref="C984:C985" r:id="rId193" display="FSC"/>
    <hyperlink ref="C993:C994" r:id="rId194" display="FSC"/>
    <hyperlink ref="C1002:C1003" r:id="rId195" display="FSC"/>
    <hyperlink ref="C939:C940" r:id="rId196" display="FSC"/>
    <hyperlink ref="C948:C949" r:id="rId197" display="FSC"/>
    <hyperlink ref="D930:D931" r:id="rId198" display="DF"/>
    <hyperlink ref="D939:D940" r:id="rId199" display="DF"/>
    <hyperlink ref="D948:D949" r:id="rId200" display="DF"/>
    <hyperlink ref="C957:C958" r:id="rId201" display="FSC"/>
    <hyperlink ref="D957:D958" r:id="rId202" display="DF"/>
    <hyperlink ref="C1011:C1012" r:id="rId203" display="FSC"/>
    <hyperlink ref="C1020:C1021" r:id="rId204" display="FSC"/>
    <hyperlink ref="D1020:D1021" r:id="rId205" display="K:\60 - Affaires en cours\3 912 006 - GAÏA\02 - Plans Labastere\04_Méthode\3912006-GAIA-MR.pdf"/>
    <hyperlink ref="C1029:C1030" r:id="rId206" display="FSC"/>
    <hyperlink ref="D1029:D1030" r:id="rId207" display="DF"/>
    <hyperlink ref="C1038:C1039" r:id="rId208" display="FSC"/>
    <hyperlink ref="C1047:C1048" r:id="rId209" display="FSC"/>
    <hyperlink ref="C1056:C1057" r:id="rId210" display="FSC"/>
    <hyperlink ref="D1056:D1057" r:id="rId211" display="K:\60 - Affaires en cours\3 911 015 - FERRAND\02 - Plans Labastere\04_Méthode\3911015-FERRAND_fab.pdf"/>
    <hyperlink ref="C1065:C1066" r:id="rId212" display="FSC"/>
    <hyperlink ref="D1065:D1066" r:id="rId213" display="DF"/>
  </hyperlinks>
  <pageMargins left="0.23622047244094491" right="0.23622047244094491" top="0.35433070866141736" bottom="0.35433070866141736" header="0.31496062992125984" footer="0.31496062992125984"/>
  <pageSetup paperSize="9" scale="60" orientation="landscape" r:id="rId214"/>
  <drawing r:id="rId215"/>
  <legacyDrawing r:id="rId2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217" name="Button 1">
              <controlPr defaultSize="0" print="0" autoFill="0" autoPict="0" macro="[0]!CompterBis">
                <anchor moveWithCells="1" sizeWithCells="1">
                  <from>
                    <xdr:col>8</xdr:col>
                    <xdr:colOff>38100</xdr:colOff>
                    <xdr:row>1</xdr:row>
                    <xdr:rowOff>295275</xdr:rowOff>
                  </from>
                  <to>
                    <xdr:col>9</xdr:col>
                    <xdr:colOff>333375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55" operator="greaterThan" id="{DFBD7DA6-A8B4-4E41-AD0A-584844972F2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E45 E54 E63 E72</xm:sqref>
        </x14:conditionalFormatting>
        <x14:conditionalFormatting xmlns:xm="http://schemas.microsoft.com/office/excel/2006/main">
          <x14:cfRule type="cellIs" priority="1872" operator="greaterThan" id="{99D10197-CAB6-4C69-AA3B-7E44C778A28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E55 E64 E73</xm:sqref>
        </x14:conditionalFormatting>
        <x14:conditionalFormatting xmlns:xm="http://schemas.microsoft.com/office/excel/2006/main">
          <x14:cfRule type="cellIs" priority="1313" operator="greaterThan" id="{3727456E-7FC3-4E5D-BA4F-834D974D045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E81</xm:sqref>
        </x14:conditionalFormatting>
        <x14:conditionalFormatting xmlns:xm="http://schemas.microsoft.com/office/excel/2006/main">
          <x14:cfRule type="cellIs" priority="1314" operator="greaterThan" id="{47424BD2-ED20-49D3-B79D-749B1C8AC4E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E82</xm:sqref>
        </x14:conditionalFormatting>
        <x14:conditionalFormatting xmlns:xm="http://schemas.microsoft.com/office/excel/2006/main">
          <x14:cfRule type="cellIs" priority="1295" operator="greaterThan" id="{57EF3177-D25C-47D6-8842-C5699073DE52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E90</xm:sqref>
        </x14:conditionalFormatting>
        <x14:conditionalFormatting xmlns:xm="http://schemas.microsoft.com/office/excel/2006/main">
          <x14:cfRule type="cellIs" priority="1296" operator="greaterThan" id="{880C72B8-E9AF-4FDD-8ED6-682D3F7C802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E91</xm:sqref>
        </x14:conditionalFormatting>
        <x14:conditionalFormatting xmlns:xm="http://schemas.microsoft.com/office/excel/2006/main">
          <x14:cfRule type="cellIs" priority="1271" operator="greaterThan" id="{281C6F81-7F05-45AD-8964-657E027E669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E99</xm:sqref>
        </x14:conditionalFormatting>
        <x14:conditionalFormatting xmlns:xm="http://schemas.microsoft.com/office/excel/2006/main">
          <x14:cfRule type="cellIs" priority="1272" operator="greaterThan" id="{FD2B0097-53DF-4137-AE04-4E1B14D6BD7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E100</xm:sqref>
        </x14:conditionalFormatting>
        <x14:conditionalFormatting xmlns:xm="http://schemas.microsoft.com/office/excel/2006/main">
          <x14:cfRule type="cellIs" priority="1265" operator="greaterThan" id="{D72CE6CD-78B2-4FFA-84DE-6159E7B9A18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E126</xm:sqref>
        </x14:conditionalFormatting>
        <x14:conditionalFormatting xmlns:xm="http://schemas.microsoft.com/office/excel/2006/main">
          <x14:cfRule type="cellIs" priority="1266" operator="greaterThan" id="{914E0D57-8F42-477C-946C-E1364263C8B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E127</xm:sqref>
        </x14:conditionalFormatting>
        <x14:conditionalFormatting xmlns:xm="http://schemas.microsoft.com/office/excel/2006/main">
          <x14:cfRule type="cellIs" priority="1259" operator="greaterThan" id="{B5D0EF3F-7D5E-4CA1-844A-EB15BED88BE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E144</xm:sqref>
        </x14:conditionalFormatting>
        <x14:conditionalFormatting xmlns:xm="http://schemas.microsoft.com/office/excel/2006/main">
          <x14:cfRule type="cellIs" priority="1260" operator="greaterThan" id="{8DC59DCF-A0CB-4463-94E8-5DD169DE596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E145</xm:sqref>
        </x14:conditionalFormatting>
        <x14:conditionalFormatting xmlns:xm="http://schemas.microsoft.com/office/excel/2006/main">
          <x14:cfRule type="cellIs" priority="1248" operator="greaterThan" id="{0BFB76C2-FD3F-417C-9611-0737C02EAA0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E171</xm:sqref>
        </x14:conditionalFormatting>
        <x14:conditionalFormatting xmlns:xm="http://schemas.microsoft.com/office/excel/2006/main">
          <x14:cfRule type="cellIs" priority="1249" operator="greaterThan" id="{F83AAECB-0D10-48F4-A99C-5A1CDA44146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E172</xm:sqref>
        </x14:conditionalFormatting>
        <x14:conditionalFormatting xmlns:xm="http://schemas.microsoft.com/office/excel/2006/main">
          <x14:cfRule type="cellIs" priority="1242" operator="greaterThan" id="{659434D4-C668-4976-B878-4C3110C4752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E135</xm:sqref>
        </x14:conditionalFormatting>
        <x14:conditionalFormatting xmlns:xm="http://schemas.microsoft.com/office/excel/2006/main">
          <x14:cfRule type="cellIs" priority="1243" operator="greaterThan" id="{B4F94078-B9FC-4A91-B229-46DA57822F1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E136</xm:sqref>
        </x14:conditionalFormatting>
        <x14:conditionalFormatting xmlns:xm="http://schemas.microsoft.com/office/excel/2006/main">
          <x14:cfRule type="cellIs" priority="1236" operator="greaterThan" id="{75B5F660-8731-4B25-8DAF-F27DE271175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E189</xm:sqref>
        </x14:conditionalFormatting>
        <x14:conditionalFormatting xmlns:xm="http://schemas.microsoft.com/office/excel/2006/main">
          <x14:cfRule type="cellIs" priority="1237" operator="greaterThan" id="{4B7250A3-5F41-4568-804F-360EA346ECC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E190</xm:sqref>
        </x14:conditionalFormatting>
        <x14:conditionalFormatting xmlns:xm="http://schemas.microsoft.com/office/excel/2006/main">
          <x14:cfRule type="cellIs" priority="1230" operator="greaterThan" id="{C1C1DD1E-1982-414F-8AE7-32633EC9FDF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E180</xm:sqref>
        </x14:conditionalFormatting>
        <x14:conditionalFormatting xmlns:xm="http://schemas.microsoft.com/office/excel/2006/main">
          <x14:cfRule type="cellIs" priority="1231" operator="greaterThan" id="{0CE9963F-9456-46E3-A678-C99EEF25D54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E181</xm:sqref>
        </x14:conditionalFormatting>
        <x14:conditionalFormatting xmlns:xm="http://schemas.microsoft.com/office/excel/2006/main">
          <x14:cfRule type="cellIs" priority="1224" operator="greaterThan" id="{8542E581-7CB0-44EA-ABD0-B52315B3A63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E306</xm:sqref>
        </x14:conditionalFormatting>
        <x14:conditionalFormatting xmlns:xm="http://schemas.microsoft.com/office/excel/2006/main">
          <x14:cfRule type="cellIs" priority="1225" operator="greaterThan" id="{5E7C37EB-D36F-456B-86F4-C8524208D56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E307</xm:sqref>
        </x14:conditionalFormatting>
        <x14:conditionalFormatting xmlns:xm="http://schemas.microsoft.com/office/excel/2006/main">
          <x14:cfRule type="cellIs" priority="1218" operator="greaterThan" id="{23AE1353-1824-4A8A-AB92-3C6D4527700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E348</xm:sqref>
        </x14:conditionalFormatting>
        <x14:conditionalFormatting xmlns:xm="http://schemas.microsoft.com/office/excel/2006/main">
          <x14:cfRule type="cellIs" priority="1219" operator="greaterThan" id="{50DE2427-2252-416C-ADD2-B274CD59765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E349</xm:sqref>
        </x14:conditionalFormatting>
        <x14:conditionalFormatting xmlns:xm="http://schemas.microsoft.com/office/excel/2006/main">
          <x14:cfRule type="cellIs" priority="1212" operator="greaterThan" id="{854FD704-A671-45FA-B865-859C62CBBA3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E198</xm:sqref>
        </x14:conditionalFormatting>
        <x14:conditionalFormatting xmlns:xm="http://schemas.microsoft.com/office/excel/2006/main">
          <x14:cfRule type="cellIs" priority="1213" operator="greaterThan" id="{A458A388-F375-4A19-B270-F68378AA7542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E199</xm:sqref>
        </x14:conditionalFormatting>
        <x14:conditionalFormatting xmlns:xm="http://schemas.microsoft.com/office/excel/2006/main">
          <x14:cfRule type="cellIs" priority="1200" operator="greaterThan" id="{22C4702F-4564-4F7A-A859-7A68FAAC59C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E216</xm:sqref>
        </x14:conditionalFormatting>
        <x14:conditionalFormatting xmlns:xm="http://schemas.microsoft.com/office/excel/2006/main">
          <x14:cfRule type="cellIs" priority="1201" operator="greaterThan" id="{DC3D66B2-947E-4D25-8CEE-E74A7F3EBFB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E217</xm:sqref>
        </x14:conditionalFormatting>
        <x14:conditionalFormatting xmlns:xm="http://schemas.microsoft.com/office/excel/2006/main">
          <x14:cfRule type="cellIs" priority="1194" operator="greaterThan" id="{6E4D6623-AB46-450D-9DEA-B7CDB040751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E225</xm:sqref>
        </x14:conditionalFormatting>
        <x14:conditionalFormatting xmlns:xm="http://schemas.microsoft.com/office/excel/2006/main">
          <x14:cfRule type="cellIs" priority="1195" operator="greaterThan" id="{E57F4505-3472-48DC-8CA5-E493FB0BB172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E226</xm:sqref>
        </x14:conditionalFormatting>
        <x14:conditionalFormatting xmlns:xm="http://schemas.microsoft.com/office/excel/2006/main">
          <x14:cfRule type="cellIs" priority="1188" operator="greaterThan" id="{D4ECCA1D-E527-4CCC-906A-013597340B1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E234</xm:sqref>
        </x14:conditionalFormatting>
        <x14:conditionalFormatting xmlns:xm="http://schemas.microsoft.com/office/excel/2006/main">
          <x14:cfRule type="cellIs" priority="1189" operator="greaterThan" id="{E02AA224-1E87-4D19-AA52-3F9762C6FE6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E235</xm:sqref>
        </x14:conditionalFormatting>
        <x14:conditionalFormatting xmlns:xm="http://schemas.microsoft.com/office/excel/2006/main">
          <x14:cfRule type="cellIs" priority="1182" operator="greaterThan" id="{3CCC0E9E-104B-4C70-9664-35C7DBBEC73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E243</xm:sqref>
        </x14:conditionalFormatting>
        <x14:conditionalFormatting xmlns:xm="http://schemas.microsoft.com/office/excel/2006/main">
          <x14:cfRule type="cellIs" priority="1183" operator="greaterThan" id="{3508E5F7-2993-495C-8141-CCBF03F6B27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E244</xm:sqref>
        </x14:conditionalFormatting>
        <x14:conditionalFormatting xmlns:xm="http://schemas.microsoft.com/office/excel/2006/main">
          <x14:cfRule type="cellIs" priority="1176" operator="greaterThan" id="{EB04F361-E194-4C7A-A0E2-FDAD37272F8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E252</xm:sqref>
        </x14:conditionalFormatting>
        <x14:conditionalFormatting xmlns:xm="http://schemas.microsoft.com/office/excel/2006/main">
          <x14:cfRule type="cellIs" priority="1177" operator="greaterThan" id="{CD5ED441-69C1-41DD-A448-744C9DDBA28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E253</xm:sqref>
        </x14:conditionalFormatting>
        <x14:conditionalFormatting xmlns:xm="http://schemas.microsoft.com/office/excel/2006/main">
          <x14:cfRule type="cellIs" priority="1170" operator="greaterThan" id="{B07FD75A-5C07-42C8-AAE7-913577299F4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E261</xm:sqref>
        </x14:conditionalFormatting>
        <x14:conditionalFormatting xmlns:xm="http://schemas.microsoft.com/office/excel/2006/main">
          <x14:cfRule type="cellIs" priority="1164" operator="greaterThan" id="{262F8AC4-7595-4F77-A74D-ECF0CD94EB0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E315</xm:sqref>
        </x14:conditionalFormatting>
        <x14:conditionalFormatting xmlns:xm="http://schemas.microsoft.com/office/excel/2006/main">
          <x14:cfRule type="cellIs" priority="1165" operator="greaterThan" id="{76BEA719-19D6-47CF-A33E-3175950D135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E316</xm:sqref>
        </x14:conditionalFormatting>
        <x14:conditionalFormatting xmlns:xm="http://schemas.microsoft.com/office/excel/2006/main">
          <x14:cfRule type="cellIs" priority="1158" operator="greaterThan" id="{38A0E182-971A-41BE-B35F-3347A5C5746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E384</xm:sqref>
        </x14:conditionalFormatting>
        <x14:conditionalFormatting xmlns:xm="http://schemas.microsoft.com/office/excel/2006/main">
          <x14:cfRule type="cellIs" priority="1159" operator="greaterThan" id="{C08510A6-4F15-4550-9ABD-B981B03BD9C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E385</xm:sqref>
        </x14:conditionalFormatting>
        <x14:conditionalFormatting xmlns:xm="http://schemas.microsoft.com/office/excel/2006/main">
          <x14:cfRule type="cellIs" priority="1152" operator="greaterThan" id="{294BAC35-6D57-47BE-A4BE-8C39669382B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E324</xm:sqref>
        </x14:conditionalFormatting>
        <x14:conditionalFormatting xmlns:xm="http://schemas.microsoft.com/office/excel/2006/main">
          <x14:cfRule type="cellIs" priority="1153" operator="greaterThan" id="{3CB3A2E5-F5F0-435A-934A-46CFBE9052E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E325</xm:sqref>
        </x14:conditionalFormatting>
        <x14:conditionalFormatting xmlns:xm="http://schemas.microsoft.com/office/excel/2006/main">
          <x14:cfRule type="cellIs" priority="1146" operator="greaterThan" id="{D6680552-7801-437F-AE83-230AE33A7E3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E333</xm:sqref>
        </x14:conditionalFormatting>
        <x14:conditionalFormatting xmlns:xm="http://schemas.microsoft.com/office/excel/2006/main">
          <x14:cfRule type="cellIs" priority="1147" operator="greaterThan" id="{7F340B25-296C-4C64-B7C7-7C307E9B931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E334</xm:sqref>
        </x14:conditionalFormatting>
        <x14:conditionalFormatting xmlns:xm="http://schemas.microsoft.com/office/excel/2006/main">
          <x14:cfRule type="cellIs" priority="1140" operator="greaterThan" id="{5918E6E3-6CAE-4FC2-8F55-EF75F21D742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E420</xm:sqref>
        </x14:conditionalFormatting>
        <x14:conditionalFormatting xmlns:xm="http://schemas.microsoft.com/office/excel/2006/main">
          <x14:cfRule type="cellIs" priority="1141" operator="greaterThan" id="{CF3BCAB4-2AF5-472C-9883-F033D28F270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E421</xm:sqref>
        </x14:conditionalFormatting>
        <x14:conditionalFormatting xmlns:xm="http://schemas.microsoft.com/office/excel/2006/main">
          <x14:cfRule type="cellIs" priority="1134" operator="greaterThan" id="{B43843C9-7739-4E34-960C-6EE6AA927FE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E429</xm:sqref>
        </x14:conditionalFormatting>
        <x14:conditionalFormatting xmlns:xm="http://schemas.microsoft.com/office/excel/2006/main">
          <x14:cfRule type="cellIs" priority="1135" operator="greaterThan" id="{5D74FEFC-B83C-4F23-A906-546ADDF35C1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E430</xm:sqref>
        </x14:conditionalFormatting>
        <x14:conditionalFormatting xmlns:xm="http://schemas.microsoft.com/office/excel/2006/main">
          <x14:cfRule type="cellIs" priority="1128" operator="greaterThan" id="{0E57C353-02F6-4CBA-94E3-3D1B52473E0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E108</xm:sqref>
        </x14:conditionalFormatting>
        <x14:conditionalFormatting xmlns:xm="http://schemas.microsoft.com/office/excel/2006/main">
          <x14:cfRule type="cellIs" priority="1129" operator="greaterThan" id="{FD2A0ACD-44EB-4386-AF6C-A908D2EB75E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E109</xm:sqref>
        </x14:conditionalFormatting>
        <x14:conditionalFormatting xmlns:xm="http://schemas.microsoft.com/office/excel/2006/main">
          <x14:cfRule type="cellIs" priority="1122" operator="greaterThan" id="{A37A3DF5-95F4-45F7-9A4E-F32C6377191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E393</xm:sqref>
        </x14:conditionalFormatting>
        <x14:conditionalFormatting xmlns:xm="http://schemas.microsoft.com/office/excel/2006/main">
          <x14:cfRule type="cellIs" priority="1123" operator="greaterThan" id="{05408360-57CB-4BCD-91AF-34000BE7E53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E394</xm:sqref>
        </x14:conditionalFormatting>
        <x14:conditionalFormatting xmlns:xm="http://schemas.microsoft.com/office/excel/2006/main">
          <x14:cfRule type="cellIs" priority="1066" operator="greaterThan" id="{DAB1793F-E94D-4E1B-AEF0-59917F2D973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E402</xm:sqref>
        </x14:conditionalFormatting>
        <x14:conditionalFormatting xmlns:xm="http://schemas.microsoft.com/office/excel/2006/main">
          <x14:cfRule type="cellIs" priority="1067" operator="greaterThan" id="{9113AA53-6F5B-4B31-BC06-3AD67B68DD0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E403</xm:sqref>
        </x14:conditionalFormatting>
        <x14:conditionalFormatting xmlns:xm="http://schemas.microsoft.com/office/excel/2006/main">
          <x14:cfRule type="cellIs" priority="1057" operator="greaterThan" id="{46A7951C-9542-4A96-B1DF-3C75EC4370B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E342</xm:sqref>
        </x14:conditionalFormatting>
        <x14:conditionalFormatting xmlns:xm="http://schemas.microsoft.com/office/excel/2006/main">
          <x14:cfRule type="cellIs" priority="1058" operator="greaterThan" id="{6C5B6D6E-505C-4A46-9C12-3FED555B8C1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E343</xm:sqref>
        </x14:conditionalFormatting>
        <x14:conditionalFormatting xmlns:xm="http://schemas.microsoft.com/office/excel/2006/main">
          <x14:cfRule type="cellIs" priority="1049" operator="greaterThan" id="{592EAFEA-650A-4E96-B1A9-8D69EA8446F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E358</xm:sqref>
        </x14:conditionalFormatting>
        <x14:conditionalFormatting xmlns:xm="http://schemas.microsoft.com/office/excel/2006/main">
          <x14:cfRule type="cellIs" priority="1024" operator="greaterThan" id="{059D052A-4763-40C2-A1AD-559BB21B5E4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E465</xm:sqref>
        </x14:conditionalFormatting>
        <x14:conditionalFormatting xmlns:xm="http://schemas.microsoft.com/office/excel/2006/main">
          <x14:cfRule type="cellIs" priority="1025" operator="greaterThan" id="{8E9192F2-6F5F-42CC-BCB0-3EAB3A48299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E466</xm:sqref>
        </x14:conditionalFormatting>
        <x14:conditionalFormatting xmlns:xm="http://schemas.microsoft.com/office/excel/2006/main">
          <x14:cfRule type="cellIs" priority="1004" operator="greaterThan" id="{22EDB323-A336-41D2-9210-55122EC50B2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E117</xm:sqref>
        </x14:conditionalFormatting>
        <x14:conditionalFormatting xmlns:xm="http://schemas.microsoft.com/office/excel/2006/main">
          <x14:cfRule type="cellIs" priority="1005" operator="greaterThan" id="{721F32B0-4243-44CF-8110-7F193F22CC7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E118</xm:sqref>
        </x14:conditionalFormatting>
        <x14:conditionalFormatting xmlns:xm="http://schemas.microsoft.com/office/excel/2006/main">
          <x14:cfRule type="cellIs" priority="994" operator="greaterThan" id="{7396F126-4B8E-4797-894C-8A8AA01F142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E510</xm:sqref>
        </x14:conditionalFormatting>
        <x14:conditionalFormatting xmlns:xm="http://schemas.microsoft.com/office/excel/2006/main">
          <x14:cfRule type="cellIs" priority="995" operator="greaterThan" id="{A2F0EB45-8CD6-4304-9B76-777BC8E7D96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E511</xm:sqref>
        </x14:conditionalFormatting>
        <x14:conditionalFormatting xmlns:xm="http://schemas.microsoft.com/office/excel/2006/main">
          <x14:cfRule type="cellIs" priority="973" operator="greaterThan" id="{6118F002-0569-4E10-9409-341996BB251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E519</xm:sqref>
        </x14:conditionalFormatting>
        <x14:conditionalFormatting xmlns:xm="http://schemas.microsoft.com/office/excel/2006/main">
          <x14:cfRule type="cellIs" priority="974" operator="greaterThan" id="{A60AFBC3-C3C1-44C3-9760-4B8C447A42B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E520</xm:sqref>
        </x14:conditionalFormatting>
        <x14:conditionalFormatting xmlns:xm="http://schemas.microsoft.com/office/excel/2006/main">
          <x14:cfRule type="cellIs" priority="960" operator="greaterThan" id="{2CE4ED2E-7B7B-42B3-8881-E5E28E8BB00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E447</xm:sqref>
        </x14:conditionalFormatting>
        <x14:conditionalFormatting xmlns:xm="http://schemas.microsoft.com/office/excel/2006/main">
          <x14:cfRule type="cellIs" priority="961" operator="greaterThan" id="{3038059F-7051-408B-A189-AD115568AE8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E448</xm:sqref>
        </x14:conditionalFormatting>
        <x14:conditionalFormatting xmlns:xm="http://schemas.microsoft.com/office/excel/2006/main">
          <x14:cfRule type="cellIs" priority="950" operator="greaterThan" id="{3037D723-D475-4407-A21D-98738182382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E528</xm:sqref>
        </x14:conditionalFormatting>
        <x14:conditionalFormatting xmlns:xm="http://schemas.microsoft.com/office/excel/2006/main">
          <x14:cfRule type="cellIs" priority="951" operator="greaterThan" id="{B4476453-E194-4A2C-A60F-21A01A92843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E529</xm:sqref>
        </x14:conditionalFormatting>
        <x14:conditionalFormatting xmlns:xm="http://schemas.microsoft.com/office/excel/2006/main">
          <x14:cfRule type="cellIs" priority="940" operator="greaterThan" id="{8B66382A-8102-4109-B084-FC2C3C9415B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E537</xm:sqref>
        </x14:conditionalFormatting>
        <x14:conditionalFormatting xmlns:xm="http://schemas.microsoft.com/office/excel/2006/main">
          <x14:cfRule type="cellIs" priority="941" operator="greaterThan" id="{1603A558-1185-4B7F-BFF3-5E39745E1BD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E538</xm:sqref>
        </x14:conditionalFormatting>
        <x14:conditionalFormatting xmlns:xm="http://schemas.microsoft.com/office/excel/2006/main">
          <x14:cfRule type="cellIs" priority="930" operator="greaterThan" id="{4FDC1558-CEB2-4F2B-93A1-5DAF499A51F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E546</xm:sqref>
        </x14:conditionalFormatting>
        <x14:conditionalFormatting xmlns:xm="http://schemas.microsoft.com/office/excel/2006/main">
          <x14:cfRule type="cellIs" priority="931" operator="greaterThan" id="{C1714B97-7849-4918-9903-5936A2B6DE3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E547</xm:sqref>
        </x14:conditionalFormatting>
        <x14:conditionalFormatting xmlns:xm="http://schemas.microsoft.com/office/excel/2006/main">
          <x14:cfRule type="cellIs" priority="920" operator="greaterThan" id="{41E5EBA3-E6AC-41BD-9137-289AA924086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E555</xm:sqref>
        </x14:conditionalFormatting>
        <x14:conditionalFormatting xmlns:xm="http://schemas.microsoft.com/office/excel/2006/main">
          <x14:cfRule type="cellIs" priority="921" operator="greaterThan" id="{C5168186-4046-4DCB-9784-E8075D23260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E556</xm:sqref>
        </x14:conditionalFormatting>
        <x14:conditionalFormatting xmlns:xm="http://schemas.microsoft.com/office/excel/2006/main">
          <x14:cfRule type="cellIs" priority="910" operator="greaterThan" id="{29D5E092-8715-4502-9620-12EB016F78C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E564</xm:sqref>
        </x14:conditionalFormatting>
        <x14:conditionalFormatting xmlns:xm="http://schemas.microsoft.com/office/excel/2006/main">
          <x14:cfRule type="cellIs" priority="911" operator="greaterThan" id="{5F4538EA-CDCD-4DAE-9768-BEBFD35B107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E565</xm:sqref>
        </x14:conditionalFormatting>
        <x14:conditionalFormatting xmlns:xm="http://schemas.microsoft.com/office/excel/2006/main">
          <x14:cfRule type="cellIs" priority="899" operator="greaterThan" id="{B725A7C7-BD43-4F13-AFB0-B4C26559245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E762</xm:sqref>
        </x14:conditionalFormatting>
        <x14:conditionalFormatting xmlns:xm="http://schemas.microsoft.com/office/excel/2006/main">
          <x14:cfRule type="cellIs" priority="900" operator="greaterThan" id="{4A82EF97-6B6D-415B-9B6D-632D4D2C5B2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E763</xm:sqref>
        </x14:conditionalFormatting>
        <x14:conditionalFormatting xmlns:xm="http://schemas.microsoft.com/office/excel/2006/main">
          <x14:cfRule type="cellIs" priority="889" operator="greaterThan" id="{B71B2FE7-A9BC-40D7-A180-6F4B69A9BB3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E771</xm:sqref>
        </x14:conditionalFormatting>
        <x14:conditionalFormatting xmlns:xm="http://schemas.microsoft.com/office/excel/2006/main">
          <x14:cfRule type="cellIs" priority="890" operator="greaterThan" id="{855DB4DE-6693-4C9D-BC2F-5C3FA8C5AC3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E772</xm:sqref>
        </x14:conditionalFormatting>
        <x14:conditionalFormatting xmlns:xm="http://schemas.microsoft.com/office/excel/2006/main">
          <x14:cfRule type="cellIs" priority="878" operator="greaterThan" id="{9A041059-54F6-4353-BA55-3A9E7C713CC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E207</xm:sqref>
        </x14:conditionalFormatting>
        <x14:conditionalFormatting xmlns:xm="http://schemas.microsoft.com/office/excel/2006/main">
          <x14:cfRule type="cellIs" priority="879" operator="greaterThan" id="{16043683-C30F-4F68-81E0-0AADD9EF4EC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E208</xm:sqref>
        </x14:conditionalFormatting>
        <x14:conditionalFormatting xmlns:xm="http://schemas.microsoft.com/office/excel/2006/main">
          <x14:cfRule type="cellIs" priority="856" operator="greaterThan" id="{8422A1F0-7742-41B1-89FE-DC4146B9802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E456</xm:sqref>
        </x14:conditionalFormatting>
        <x14:conditionalFormatting xmlns:xm="http://schemas.microsoft.com/office/excel/2006/main">
          <x14:cfRule type="cellIs" priority="857" operator="greaterThan" id="{22A94035-C7E0-4762-902C-0E3DD48735D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E457</xm:sqref>
        </x14:conditionalFormatting>
        <x14:conditionalFormatting xmlns:xm="http://schemas.microsoft.com/office/excel/2006/main">
          <x14:cfRule type="cellIs" priority="843" operator="greaterThan" id="{CE28F6A5-2963-4C6A-9169-6595CE89369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E573</xm:sqref>
        </x14:conditionalFormatting>
        <x14:conditionalFormatting xmlns:xm="http://schemas.microsoft.com/office/excel/2006/main">
          <x14:cfRule type="cellIs" priority="844" operator="greaterThan" id="{F9A3F5F7-C76C-428A-9B2A-E5CDC48544B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E574</xm:sqref>
        </x14:conditionalFormatting>
        <x14:conditionalFormatting xmlns:xm="http://schemas.microsoft.com/office/excel/2006/main">
          <x14:cfRule type="cellIs" priority="833" operator="greaterThan" id="{793CF406-E076-46C7-A956-91387972A97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E582</xm:sqref>
        </x14:conditionalFormatting>
        <x14:conditionalFormatting xmlns:xm="http://schemas.microsoft.com/office/excel/2006/main">
          <x14:cfRule type="cellIs" priority="834" operator="greaterThan" id="{7BE026B0-346E-4243-B054-09F83422F58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E583</xm:sqref>
        </x14:conditionalFormatting>
        <x14:conditionalFormatting xmlns:xm="http://schemas.microsoft.com/office/excel/2006/main">
          <x14:cfRule type="cellIs" priority="823" operator="greaterThan" id="{60FDF77C-8CAC-4414-A804-C87C2C516BE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E591</xm:sqref>
        </x14:conditionalFormatting>
        <x14:conditionalFormatting xmlns:xm="http://schemas.microsoft.com/office/excel/2006/main">
          <x14:cfRule type="cellIs" priority="824" operator="greaterThan" id="{E86A382A-E80A-4B84-8ED0-5FE78F7B0BA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E592</xm:sqref>
        </x14:conditionalFormatting>
        <x14:conditionalFormatting xmlns:xm="http://schemas.microsoft.com/office/excel/2006/main">
          <x14:cfRule type="cellIs" priority="813" operator="greaterThan" id="{0804C388-16F1-4AE2-BFDD-F744714BC91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E600</xm:sqref>
        </x14:conditionalFormatting>
        <x14:conditionalFormatting xmlns:xm="http://schemas.microsoft.com/office/excel/2006/main">
          <x14:cfRule type="cellIs" priority="814" operator="greaterThan" id="{A407B65B-CB3F-4243-9868-A3AC8E175A82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E601</xm:sqref>
        </x14:conditionalFormatting>
        <x14:conditionalFormatting xmlns:xm="http://schemas.microsoft.com/office/excel/2006/main">
          <x14:cfRule type="cellIs" priority="803" operator="greaterThan" id="{7BCA1877-F027-466D-968C-14E8F5ABA73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E609</xm:sqref>
        </x14:conditionalFormatting>
        <x14:conditionalFormatting xmlns:xm="http://schemas.microsoft.com/office/excel/2006/main">
          <x14:cfRule type="cellIs" priority="804" operator="greaterThan" id="{B43CD859-EE80-4B38-8AE1-0D2624B3F21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E610</xm:sqref>
        </x14:conditionalFormatting>
        <x14:conditionalFormatting xmlns:xm="http://schemas.microsoft.com/office/excel/2006/main">
          <x14:cfRule type="cellIs" priority="792" operator="greaterThan" id="{C6B6E5DC-E16A-4D4B-8F38-5BBBE918011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E627</xm:sqref>
        </x14:conditionalFormatting>
        <x14:conditionalFormatting xmlns:xm="http://schemas.microsoft.com/office/excel/2006/main">
          <x14:cfRule type="cellIs" priority="793" operator="greaterThan" id="{FB8D42CE-4353-492A-AD67-1EBBEED923C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E628</xm:sqref>
        </x14:conditionalFormatting>
        <x14:conditionalFormatting xmlns:xm="http://schemas.microsoft.com/office/excel/2006/main">
          <x14:cfRule type="cellIs" priority="782" operator="greaterThan" id="{833C087E-BC42-43B9-A330-5C729C789B0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E636</xm:sqref>
        </x14:conditionalFormatting>
        <x14:conditionalFormatting xmlns:xm="http://schemas.microsoft.com/office/excel/2006/main">
          <x14:cfRule type="cellIs" priority="783" operator="greaterThan" id="{640F3366-1466-46AD-BA8F-BABCBB46357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E637</xm:sqref>
        </x14:conditionalFormatting>
        <x14:conditionalFormatting xmlns:xm="http://schemas.microsoft.com/office/excel/2006/main">
          <x14:cfRule type="cellIs" priority="772" operator="greaterThan" id="{243760B7-5BF3-44E5-AD02-9E4674B214B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E645</xm:sqref>
        </x14:conditionalFormatting>
        <x14:conditionalFormatting xmlns:xm="http://schemas.microsoft.com/office/excel/2006/main">
          <x14:cfRule type="cellIs" priority="773" operator="greaterThan" id="{46EB28B7-DCD9-4AD2-88FE-20E1FD7A225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E646</xm:sqref>
        </x14:conditionalFormatting>
        <x14:conditionalFormatting xmlns:xm="http://schemas.microsoft.com/office/excel/2006/main">
          <x14:cfRule type="cellIs" priority="762" operator="greaterThan" id="{093588C8-1793-467E-82AD-044C708A723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E672</xm:sqref>
        </x14:conditionalFormatting>
        <x14:conditionalFormatting xmlns:xm="http://schemas.microsoft.com/office/excel/2006/main">
          <x14:cfRule type="cellIs" priority="763" operator="greaterThan" id="{01E9B819-CA85-4180-B7E6-D0496D8312A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E673</xm:sqref>
        </x14:conditionalFormatting>
        <x14:conditionalFormatting xmlns:xm="http://schemas.microsoft.com/office/excel/2006/main">
          <x14:cfRule type="cellIs" priority="752" operator="greaterThan" id="{AB80C104-B721-48A4-9C10-3C62911BF4C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E681</xm:sqref>
        </x14:conditionalFormatting>
        <x14:conditionalFormatting xmlns:xm="http://schemas.microsoft.com/office/excel/2006/main">
          <x14:cfRule type="cellIs" priority="753" operator="greaterThan" id="{0459F2A5-0744-470B-9691-02AF954FA30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E682</xm:sqref>
        </x14:conditionalFormatting>
        <x14:conditionalFormatting xmlns:xm="http://schemas.microsoft.com/office/excel/2006/main">
          <x14:cfRule type="cellIs" priority="743" operator="greaterThan" id="{6F8DC508-1B6C-43E7-BC75-B4F05A4DD53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E690:E691</xm:sqref>
        </x14:conditionalFormatting>
        <x14:conditionalFormatting xmlns:xm="http://schemas.microsoft.com/office/excel/2006/main">
          <x14:cfRule type="cellIs" priority="731" operator="greaterThan" id="{00FA4680-3844-49B5-A88D-0D4C5A6C166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E699:E700</xm:sqref>
        </x14:conditionalFormatting>
        <x14:conditionalFormatting xmlns:xm="http://schemas.microsoft.com/office/excel/2006/main">
          <x14:cfRule type="cellIs" priority="722" operator="greaterThan" id="{EBE267BC-E2EB-403C-814D-557B397A404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E708:E709</xm:sqref>
        </x14:conditionalFormatting>
        <x14:conditionalFormatting xmlns:xm="http://schemas.microsoft.com/office/excel/2006/main">
          <x14:cfRule type="cellIs" priority="713" operator="greaterThan" id="{B2C94E6E-6373-461C-B3CC-329E573B28E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E717:E718</xm:sqref>
        </x14:conditionalFormatting>
        <x14:conditionalFormatting xmlns:xm="http://schemas.microsoft.com/office/excel/2006/main">
          <x14:cfRule type="cellIs" priority="704" operator="greaterThan" id="{333A381D-6561-48C4-8DB1-1FCB3492778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E726:E727</xm:sqref>
        </x14:conditionalFormatting>
        <x14:conditionalFormatting xmlns:xm="http://schemas.microsoft.com/office/excel/2006/main">
          <x14:cfRule type="cellIs" priority="695" operator="greaterThan" id="{BB6FC118-957F-4E64-BDF6-73D2C46FB14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E735:E736</xm:sqref>
        </x14:conditionalFormatting>
        <x14:conditionalFormatting xmlns:xm="http://schemas.microsoft.com/office/excel/2006/main">
          <x14:cfRule type="cellIs" priority="684" operator="greaterThan" id="{99195752-5DBC-4A14-868A-F06F97B921F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E270</xm:sqref>
        </x14:conditionalFormatting>
        <x14:conditionalFormatting xmlns:xm="http://schemas.microsoft.com/office/excel/2006/main">
          <x14:cfRule type="cellIs" priority="685" operator="greaterThan" id="{04522F30-384F-41EA-A80E-981C73B8B5E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E271</xm:sqref>
        </x14:conditionalFormatting>
        <x14:conditionalFormatting xmlns:xm="http://schemas.microsoft.com/office/excel/2006/main">
          <x14:cfRule type="cellIs" priority="676" operator="greaterThan" id="{721D49CC-BB52-418E-B783-0CA1735D429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E618</xm:sqref>
        </x14:conditionalFormatting>
        <x14:conditionalFormatting xmlns:xm="http://schemas.microsoft.com/office/excel/2006/main">
          <x14:cfRule type="cellIs" priority="677" operator="greaterThan" id="{2D84CCF4-C47A-42CA-8847-89328C15283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E619</xm:sqref>
        </x14:conditionalFormatting>
        <x14:conditionalFormatting xmlns:xm="http://schemas.microsoft.com/office/excel/2006/main">
          <x14:cfRule type="cellIs" priority="665" operator="greaterThan" id="{190D9031-42D4-4A8C-AD45-F58F80C264D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E780</xm:sqref>
        </x14:conditionalFormatting>
        <x14:conditionalFormatting xmlns:xm="http://schemas.microsoft.com/office/excel/2006/main">
          <x14:cfRule type="cellIs" priority="666" operator="greaterThan" id="{CBDFC559-E694-4D31-8F1D-F5ECD898853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E781</xm:sqref>
        </x14:conditionalFormatting>
        <x14:conditionalFormatting xmlns:xm="http://schemas.microsoft.com/office/excel/2006/main">
          <x14:cfRule type="cellIs" priority="651" operator="greaterThan" id="{601C9070-9CA3-44BF-BB65-4797FF2DB10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E411</xm:sqref>
        </x14:conditionalFormatting>
        <x14:conditionalFormatting xmlns:xm="http://schemas.microsoft.com/office/excel/2006/main">
          <x14:cfRule type="cellIs" priority="652" operator="greaterThan" id="{0790C185-B4A1-40AE-A233-0D66A680929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E412</xm:sqref>
        </x14:conditionalFormatting>
        <x14:conditionalFormatting xmlns:xm="http://schemas.microsoft.com/office/excel/2006/main">
          <x14:cfRule type="cellIs" priority="605" operator="greaterThan" id="{D23C88A4-8B77-4C2C-A23B-259BAFFB34C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E744:E745</xm:sqref>
        </x14:conditionalFormatting>
        <x14:conditionalFormatting xmlns:xm="http://schemas.microsoft.com/office/excel/2006/main">
          <x14:cfRule type="cellIs" priority="585" operator="greaterThan" id="{4F70E2D5-DDA5-45B6-AF14-BECF267B5F3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E753:E754</xm:sqref>
        </x14:conditionalFormatting>
        <x14:conditionalFormatting xmlns:xm="http://schemas.microsoft.com/office/excel/2006/main">
          <x14:cfRule type="cellIs" priority="538" operator="greaterThan" id="{0C4CDF9F-1A9E-4715-94D9-4A7711AA262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E153</xm:sqref>
        </x14:conditionalFormatting>
        <x14:conditionalFormatting xmlns:xm="http://schemas.microsoft.com/office/excel/2006/main">
          <x14:cfRule type="cellIs" priority="539" operator="greaterThan" id="{6E094A93-07FA-433C-8680-EA8FF775575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E154</xm:sqref>
        </x14:conditionalFormatting>
        <x14:conditionalFormatting xmlns:xm="http://schemas.microsoft.com/office/excel/2006/main">
          <x14:cfRule type="cellIs" priority="490" operator="greaterThan" id="{9CBA9D6B-565D-4C02-B67D-69C5EC2B6D2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E792:E794</xm:sqref>
        </x14:conditionalFormatting>
        <x14:conditionalFormatting xmlns:xm="http://schemas.microsoft.com/office/excel/2006/main">
          <x14:cfRule type="cellIs" priority="409" operator="greaterThan" id="{C73C2F0A-F831-4912-A5BC-B92331A904E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E804</xm:sqref>
        </x14:conditionalFormatting>
        <x14:conditionalFormatting xmlns:xm="http://schemas.microsoft.com/office/excel/2006/main">
          <x14:cfRule type="cellIs" priority="410" operator="greaterThan" id="{524482E9-D4EE-40CD-94BB-2896046E6A0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E805</xm:sqref>
        </x14:conditionalFormatting>
        <x14:conditionalFormatting xmlns:xm="http://schemas.microsoft.com/office/excel/2006/main">
          <x14:cfRule type="cellIs" priority="391" operator="greaterThan" id="{FE20B5B6-2B77-4679-9F37-699EDAA332B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E816</xm:sqref>
        </x14:conditionalFormatting>
        <x14:conditionalFormatting xmlns:xm="http://schemas.microsoft.com/office/excel/2006/main">
          <x14:cfRule type="cellIs" priority="392" operator="greaterThan" id="{41D0567F-E564-471E-A449-9529D6E2C4D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E817</xm:sqref>
        </x14:conditionalFormatting>
        <x14:conditionalFormatting xmlns:xm="http://schemas.microsoft.com/office/excel/2006/main">
          <x14:cfRule type="cellIs" priority="381" operator="greaterThan" id="{DC00D125-2565-4F17-A31F-900D963C46A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E288</xm:sqref>
        </x14:conditionalFormatting>
        <x14:conditionalFormatting xmlns:xm="http://schemas.microsoft.com/office/excel/2006/main">
          <x14:cfRule type="cellIs" priority="382" operator="greaterThan" id="{8BBEB5E4-1ED4-44DC-AAD4-A4C2CE0BA02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E289</xm:sqref>
        </x14:conditionalFormatting>
        <x14:conditionalFormatting xmlns:xm="http://schemas.microsoft.com/office/excel/2006/main">
          <x14:cfRule type="cellIs" priority="371" operator="greaterThan" id="{18DAAA5D-038A-4459-811B-60AE4172D07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E825</xm:sqref>
        </x14:conditionalFormatting>
        <x14:conditionalFormatting xmlns:xm="http://schemas.microsoft.com/office/excel/2006/main">
          <x14:cfRule type="cellIs" priority="372" operator="greaterThan" id="{F44EA311-02AF-4ECB-86BB-20EE011B588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E826</xm:sqref>
        </x14:conditionalFormatting>
        <x14:conditionalFormatting xmlns:xm="http://schemas.microsoft.com/office/excel/2006/main">
          <x14:cfRule type="cellIs" priority="362" operator="greaterThan" id="{86B24209-1286-4217-967D-06B15C7C551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E834</xm:sqref>
        </x14:conditionalFormatting>
        <x14:conditionalFormatting xmlns:xm="http://schemas.microsoft.com/office/excel/2006/main">
          <x14:cfRule type="cellIs" priority="363" operator="greaterThan" id="{92EAC5FF-0B03-44D3-8D11-3D3A7889A9C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E835</xm:sqref>
        </x14:conditionalFormatting>
        <x14:conditionalFormatting xmlns:xm="http://schemas.microsoft.com/office/excel/2006/main">
          <x14:cfRule type="cellIs" priority="346" operator="greaterThan" id="{63846C39-F140-46CD-BC3F-6BEA7C85C78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E297</xm:sqref>
        </x14:conditionalFormatting>
        <x14:conditionalFormatting xmlns:xm="http://schemas.microsoft.com/office/excel/2006/main">
          <x14:cfRule type="cellIs" priority="340" operator="greaterThan" id="{14410F83-F7FE-4B31-8E95-9E67F694AF5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E663</xm:sqref>
        </x14:conditionalFormatting>
        <x14:conditionalFormatting xmlns:xm="http://schemas.microsoft.com/office/excel/2006/main">
          <x14:cfRule type="cellIs" priority="341" operator="greaterThan" id="{EE380D6E-BBFE-41A5-A832-CFAC60D3F90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E664</xm:sqref>
        </x14:conditionalFormatting>
        <x14:conditionalFormatting xmlns:xm="http://schemas.microsoft.com/office/excel/2006/main">
          <x14:cfRule type="cellIs" priority="326" operator="greaterThan" id="{5627D1EB-AE4F-4A92-A6C1-251D04EAB27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E654</xm:sqref>
        </x14:conditionalFormatting>
        <x14:conditionalFormatting xmlns:xm="http://schemas.microsoft.com/office/excel/2006/main">
          <x14:cfRule type="cellIs" priority="327" operator="greaterThan" id="{FBE39494-E15A-4458-BAF4-8BC048C4514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E655</xm:sqref>
        </x14:conditionalFormatting>
        <x14:conditionalFormatting xmlns:xm="http://schemas.microsoft.com/office/excel/2006/main">
          <x14:cfRule type="cellIs" priority="313" operator="greaterThan" id="{7DAABA0C-FEA6-4F0C-8693-FE17F257572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E162</xm:sqref>
        </x14:conditionalFormatting>
        <x14:conditionalFormatting xmlns:xm="http://schemas.microsoft.com/office/excel/2006/main">
          <x14:cfRule type="cellIs" priority="314" operator="greaterThan" id="{8D96E99F-4BD7-43C6-AF0C-1168B5BA5D6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E163</xm:sqref>
        </x14:conditionalFormatting>
        <x14:conditionalFormatting xmlns:xm="http://schemas.microsoft.com/office/excel/2006/main">
          <x14:cfRule type="cellIs" priority="303" operator="greaterThan" id="{E79D1EAA-A3B7-4470-941A-68437DA0105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E844</xm:sqref>
        </x14:conditionalFormatting>
        <x14:conditionalFormatting xmlns:xm="http://schemas.microsoft.com/office/excel/2006/main">
          <x14:cfRule type="cellIs" priority="287" operator="greaterThan" id="{86338838-1CB2-4AD1-86F0-7E829849D35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E474</xm:sqref>
        </x14:conditionalFormatting>
        <x14:conditionalFormatting xmlns:xm="http://schemas.microsoft.com/office/excel/2006/main">
          <x14:cfRule type="cellIs" priority="288" operator="greaterThan" id="{BA5654F7-0F0C-4F77-922C-8D1459E430A0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E475</xm:sqref>
        </x14:conditionalFormatting>
        <x14:conditionalFormatting xmlns:xm="http://schemas.microsoft.com/office/excel/2006/main">
          <x14:cfRule type="cellIs" priority="276" operator="greaterThan" id="{48022D21-6FB6-427F-9252-84A77D4068D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E870</xm:sqref>
        </x14:conditionalFormatting>
        <x14:conditionalFormatting xmlns:xm="http://schemas.microsoft.com/office/excel/2006/main">
          <x14:cfRule type="cellIs" priority="262" operator="greaterThan" id="{0CAF3291-B20B-49B5-B4BA-4569765AC28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E879</xm:sqref>
        </x14:conditionalFormatting>
        <x14:conditionalFormatting xmlns:xm="http://schemas.microsoft.com/office/excel/2006/main">
          <x14:cfRule type="cellIs" priority="263" operator="greaterThan" id="{63F78F98-8F8F-4AD4-8202-D288834CCA4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E880</xm:sqref>
        </x14:conditionalFormatting>
        <x14:conditionalFormatting xmlns:xm="http://schemas.microsoft.com/office/excel/2006/main">
          <x14:cfRule type="cellIs" priority="253" operator="greaterThan" id="{80C4673C-1C93-4B70-8A87-CB3EF22E57D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E888</xm:sqref>
        </x14:conditionalFormatting>
        <x14:conditionalFormatting xmlns:xm="http://schemas.microsoft.com/office/excel/2006/main">
          <x14:cfRule type="cellIs" priority="254" operator="greaterThan" id="{F57ADAAE-88B1-4D92-965B-A44054CCE90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E889</xm:sqref>
        </x14:conditionalFormatting>
        <x14:conditionalFormatting xmlns:xm="http://schemas.microsoft.com/office/excel/2006/main">
          <x14:cfRule type="cellIs" priority="240" operator="greaterThan" id="{D6687078-5280-4301-8530-B57E61E2A39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E852</xm:sqref>
        </x14:conditionalFormatting>
        <x14:conditionalFormatting xmlns:xm="http://schemas.microsoft.com/office/excel/2006/main">
          <x14:cfRule type="cellIs" priority="241" operator="greaterThan" id="{CD2AC6CB-B9FE-4F9E-B272-B73DD150A73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E853</xm:sqref>
        </x14:conditionalFormatting>
        <x14:conditionalFormatting xmlns:xm="http://schemas.microsoft.com/office/excel/2006/main">
          <x14:cfRule type="cellIs" priority="231" operator="greaterThan" id="{EF083320-0E28-462E-BDB8-C19E3FF2F4B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E897</xm:sqref>
        </x14:conditionalFormatting>
        <x14:conditionalFormatting xmlns:xm="http://schemas.microsoft.com/office/excel/2006/main">
          <x14:cfRule type="cellIs" priority="232" operator="greaterThan" id="{26C76A55-528A-4C53-B596-F3972FB3B27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E898</xm:sqref>
        </x14:conditionalFormatting>
        <x14:conditionalFormatting xmlns:xm="http://schemas.microsoft.com/office/excel/2006/main">
          <x14:cfRule type="cellIs" priority="222" operator="greaterThan" id="{13B3F6AD-C061-448A-AFCF-60ADC37A9D8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E906</xm:sqref>
        </x14:conditionalFormatting>
        <x14:conditionalFormatting xmlns:xm="http://schemas.microsoft.com/office/excel/2006/main">
          <x14:cfRule type="cellIs" priority="223" operator="greaterThan" id="{7AA82C77-7DB5-452E-865A-B4E6F728977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E907</xm:sqref>
        </x14:conditionalFormatting>
        <x14:conditionalFormatting xmlns:xm="http://schemas.microsoft.com/office/excel/2006/main">
          <x14:cfRule type="cellIs" priority="213" operator="greaterThan" id="{E7259E8F-7BE9-4E01-9DDC-BA65D2C132D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E915</xm:sqref>
        </x14:conditionalFormatting>
        <x14:conditionalFormatting xmlns:xm="http://schemas.microsoft.com/office/excel/2006/main">
          <x14:cfRule type="cellIs" priority="214" operator="greaterThan" id="{FA1E07EC-699B-471B-B140-CB4D4938A9F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E916</xm:sqref>
        </x14:conditionalFormatting>
        <x14:conditionalFormatting xmlns:xm="http://schemas.microsoft.com/office/excel/2006/main">
          <x14:cfRule type="cellIs" priority="204" operator="greaterThan" id="{3CF04F3C-5098-4709-88CC-FF4E20EC8D3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E367</xm:sqref>
        </x14:conditionalFormatting>
        <x14:conditionalFormatting xmlns:xm="http://schemas.microsoft.com/office/excel/2006/main">
          <x14:cfRule type="cellIs" priority="194" operator="greaterThan" id="{B6853D38-3289-4147-8C83-414F57CA290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E376</xm:sqref>
        </x14:conditionalFormatting>
        <x14:conditionalFormatting xmlns:xm="http://schemas.microsoft.com/office/excel/2006/main">
          <x14:cfRule type="cellIs" priority="184" operator="greaterThan" id="{2A4E4C1A-5104-4409-8BF9-E636AF292D5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E924</xm:sqref>
        </x14:conditionalFormatting>
        <x14:conditionalFormatting xmlns:xm="http://schemas.microsoft.com/office/excel/2006/main">
          <x14:cfRule type="cellIs" priority="185" operator="greaterThan" id="{0916F8D5-E10C-48C4-A0B5-5E8743C2395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E925</xm:sqref>
        </x14:conditionalFormatting>
        <x14:conditionalFormatting xmlns:xm="http://schemas.microsoft.com/office/excel/2006/main">
          <x14:cfRule type="cellIs" priority="175" operator="greaterThan" id="{BE6D8019-37EE-4E6B-9B09-384A1686BEB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E933</xm:sqref>
        </x14:conditionalFormatting>
        <x14:conditionalFormatting xmlns:xm="http://schemas.microsoft.com/office/excel/2006/main">
          <x14:cfRule type="cellIs" priority="176" operator="greaterThan" id="{8E203F63-7896-4B23-9FA8-BCBC2F57F08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E934</xm:sqref>
        </x14:conditionalFormatting>
        <x14:conditionalFormatting xmlns:xm="http://schemas.microsoft.com/office/excel/2006/main">
          <x14:cfRule type="cellIs" priority="166" operator="greaterThan" id="{E0C13785-01DA-4637-B063-5F591F8E990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E861</xm:sqref>
        </x14:conditionalFormatting>
        <x14:conditionalFormatting xmlns:xm="http://schemas.microsoft.com/office/excel/2006/main">
          <x14:cfRule type="cellIs" priority="167" operator="greaterThan" id="{76862745-0121-42CC-BC70-78A92C985BC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E862</xm:sqref>
        </x14:conditionalFormatting>
        <x14:conditionalFormatting xmlns:xm="http://schemas.microsoft.com/office/excel/2006/main">
          <x14:cfRule type="cellIs" priority="157" operator="greaterThan" id="{A414746A-F02F-489E-B700-FE348BCFCBA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E969</xm:sqref>
        </x14:conditionalFormatting>
        <x14:conditionalFormatting xmlns:xm="http://schemas.microsoft.com/office/excel/2006/main">
          <x14:cfRule type="cellIs" priority="158" operator="greaterThan" id="{40A608C1-620E-4C1C-881B-79FADCC58E6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E970</xm:sqref>
        </x14:conditionalFormatting>
        <x14:conditionalFormatting xmlns:xm="http://schemas.microsoft.com/office/excel/2006/main">
          <x14:cfRule type="cellIs" priority="148" operator="greaterThan" id="{4212222B-BCE9-4597-B35F-5F1FA09C1F5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E978</xm:sqref>
        </x14:conditionalFormatting>
        <x14:conditionalFormatting xmlns:xm="http://schemas.microsoft.com/office/excel/2006/main">
          <x14:cfRule type="cellIs" priority="149" operator="greaterThan" id="{74C26E29-9199-40A4-AA78-A0BA9601C90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E979</xm:sqref>
        </x14:conditionalFormatting>
        <x14:conditionalFormatting xmlns:xm="http://schemas.microsoft.com/office/excel/2006/main">
          <x14:cfRule type="cellIs" priority="139" operator="greaterThan" id="{B9023A1F-C5BD-4BCC-B519-5B9EB111AEAC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E987</xm:sqref>
        </x14:conditionalFormatting>
        <x14:conditionalFormatting xmlns:xm="http://schemas.microsoft.com/office/excel/2006/main">
          <x14:cfRule type="cellIs" priority="140" operator="greaterThan" id="{4D6AB6BB-B675-4083-9D75-BA18A8D6F0A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E988</xm:sqref>
        </x14:conditionalFormatting>
        <x14:conditionalFormatting xmlns:xm="http://schemas.microsoft.com/office/excel/2006/main">
          <x14:cfRule type="cellIs" priority="121" operator="greaterThan" id="{72DF4CEF-58FC-4168-B788-CC811A1A4EF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E996</xm:sqref>
        </x14:conditionalFormatting>
        <x14:conditionalFormatting xmlns:xm="http://schemas.microsoft.com/office/excel/2006/main">
          <x14:cfRule type="cellIs" priority="122" operator="greaterThan" id="{040CBD14-6833-4B68-92E4-3C49FBD3CCC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E997</xm:sqref>
        </x14:conditionalFormatting>
        <x14:conditionalFormatting xmlns:xm="http://schemas.microsoft.com/office/excel/2006/main">
          <x14:cfRule type="cellIs" priority="109" operator="greaterThan" id="{65ECA530-B232-4544-98CC-02C5C347E16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E1005</xm:sqref>
        </x14:conditionalFormatting>
        <x14:conditionalFormatting xmlns:xm="http://schemas.microsoft.com/office/excel/2006/main">
          <x14:cfRule type="cellIs" priority="110" operator="greaterThan" id="{BBE746A6-17E9-415E-9910-8E26971EC1C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E1006</xm:sqref>
        </x14:conditionalFormatting>
        <x14:conditionalFormatting xmlns:xm="http://schemas.microsoft.com/office/excel/2006/main">
          <x14:cfRule type="cellIs" priority="100" operator="greaterThan" id="{B915041A-D5B8-4BF1-B47B-C8D666C1902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E942</xm:sqref>
        </x14:conditionalFormatting>
        <x14:conditionalFormatting xmlns:xm="http://schemas.microsoft.com/office/excel/2006/main">
          <x14:cfRule type="cellIs" priority="101" operator="greaterThan" id="{B3F91509-73B8-4B22-88DA-113FEF61C03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E943</xm:sqref>
        </x14:conditionalFormatting>
        <x14:conditionalFormatting xmlns:xm="http://schemas.microsoft.com/office/excel/2006/main">
          <x14:cfRule type="cellIs" priority="91" operator="greaterThan" id="{90C4CFC7-57FE-4A4B-94F0-1B0C7FC6BF64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E951</xm:sqref>
        </x14:conditionalFormatting>
        <x14:conditionalFormatting xmlns:xm="http://schemas.microsoft.com/office/excel/2006/main">
          <x14:cfRule type="cellIs" priority="92" operator="greaterThan" id="{EB406A16-B8F0-4976-B95F-4F8F92F2F4AD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E952</xm:sqref>
        </x14:conditionalFormatting>
        <x14:conditionalFormatting xmlns:xm="http://schemas.microsoft.com/office/excel/2006/main">
          <x14:cfRule type="cellIs" priority="81" operator="greaterThan" id="{78C0092C-9FF4-46FE-8EDE-2D73622F54D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E960</xm:sqref>
        </x14:conditionalFormatting>
        <x14:conditionalFormatting xmlns:xm="http://schemas.microsoft.com/office/excel/2006/main">
          <x14:cfRule type="cellIs" priority="82" operator="greaterThan" id="{1912E574-28EB-4ACC-A4BE-FEB396524AC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E961</xm:sqref>
        </x14:conditionalFormatting>
        <x14:conditionalFormatting xmlns:xm="http://schemas.microsoft.com/office/excel/2006/main">
          <x14:cfRule type="cellIs" priority="66" operator="greaterThan" id="{E7850E69-9720-44F6-B947-FF8075AC839A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E1014</xm:sqref>
        </x14:conditionalFormatting>
        <x14:conditionalFormatting xmlns:xm="http://schemas.microsoft.com/office/excel/2006/main">
          <x14:cfRule type="cellIs" priority="67" operator="greaterThan" id="{3BAF6635-4025-487A-8D7F-3C68A6143835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E1015</xm:sqref>
        </x14:conditionalFormatting>
        <x14:conditionalFormatting xmlns:xm="http://schemas.microsoft.com/office/excel/2006/main">
          <x14:cfRule type="cellIs" priority="54" operator="greaterThan" id="{34FFA146-C72E-4C52-AD14-4FE1D35FF7C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E1023</xm:sqref>
        </x14:conditionalFormatting>
        <x14:conditionalFormatting xmlns:xm="http://schemas.microsoft.com/office/excel/2006/main">
          <x14:cfRule type="cellIs" priority="55" operator="greaterThan" id="{DD59BEFE-211B-45BE-BC4A-F58175B097A7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E1024</xm:sqref>
        </x14:conditionalFormatting>
        <x14:conditionalFormatting xmlns:xm="http://schemas.microsoft.com/office/excel/2006/main">
          <x14:cfRule type="cellIs" priority="45" operator="greaterThan" id="{6E38F34B-ADA2-4FC3-B6CA-58D1CACCCB69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E1032</xm:sqref>
        </x14:conditionalFormatting>
        <x14:conditionalFormatting xmlns:xm="http://schemas.microsoft.com/office/excel/2006/main">
          <x14:cfRule type="cellIs" priority="46" operator="greaterThan" id="{F8688610-D226-4DE5-9184-17EA11DE1576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E1033</xm:sqref>
        </x14:conditionalFormatting>
        <x14:conditionalFormatting xmlns:xm="http://schemas.microsoft.com/office/excel/2006/main">
          <x14:cfRule type="cellIs" priority="35" operator="greaterThan" id="{19D6E4BF-5DE1-44F5-BC06-E54F3AFFC0F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E1041</xm:sqref>
        </x14:conditionalFormatting>
        <x14:conditionalFormatting xmlns:xm="http://schemas.microsoft.com/office/excel/2006/main">
          <x14:cfRule type="cellIs" priority="36" operator="greaterThan" id="{EAC0EA0B-7651-4AEA-9EFE-8552F0252DF3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E1042</xm:sqref>
        </x14:conditionalFormatting>
        <x14:conditionalFormatting xmlns:xm="http://schemas.microsoft.com/office/excel/2006/main">
          <x14:cfRule type="cellIs" priority="26" operator="greaterThan" id="{F5109F8D-DE91-44E2-87AA-D055557CCC6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E1050</xm:sqref>
        </x14:conditionalFormatting>
        <x14:conditionalFormatting xmlns:xm="http://schemas.microsoft.com/office/excel/2006/main">
          <x14:cfRule type="cellIs" priority="27" operator="greaterThan" id="{858DABD8-6792-4039-A49E-D0F4FC774CC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E1051</xm:sqref>
        </x14:conditionalFormatting>
        <x14:conditionalFormatting xmlns:xm="http://schemas.microsoft.com/office/excel/2006/main">
          <x14:cfRule type="cellIs" priority="17" operator="greaterThan" id="{732C903D-6535-44B9-802F-E31FF42839FB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E1059</xm:sqref>
        </x14:conditionalFormatting>
        <x14:conditionalFormatting xmlns:xm="http://schemas.microsoft.com/office/excel/2006/main">
          <x14:cfRule type="cellIs" priority="18" operator="greaterThan" id="{FF7B609A-3623-4873-96AA-6A0575719101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E1060</xm:sqref>
        </x14:conditionalFormatting>
        <x14:conditionalFormatting xmlns:xm="http://schemas.microsoft.com/office/excel/2006/main">
          <x14:cfRule type="cellIs" priority="8" operator="greaterThan" id="{D8C881F4-0990-41E9-8F38-E8B1DA4A50CE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E1068</xm:sqref>
        </x14:conditionalFormatting>
        <x14:conditionalFormatting xmlns:xm="http://schemas.microsoft.com/office/excel/2006/main">
          <x14:cfRule type="cellIs" priority="9" operator="greaterThan" id="{5C8D3A22-A9D0-4355-9503-0841DE9F2B1F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E1069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S42</vt:lpstr>
      <vt:lpstr>S43</vt:lpstr>
      <vt:lpstr>S44</vt:lpstr>
      <vt:lpstr>Ref Dossier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CAT</dc:creator>
  <cp:lastModifiedBy>Administrateur</cp:lastModifiedBy>
  <cp:lastPrinted>2019-10-29T14:28:57Z</cp:lastPrinted>
  <dcterms:created xsi:type="dcterms:W3CDTF">2019-05-14T08:34:15Z</dcterms:created>
  <dcterms:modified xsi:type="dcterms:W3CDTF">2019-11-01T16:57:24Z</dcterms:modified>
</cp:coreProperties>
</file>