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F\Desktop\"/>
    </mc:Choice>
  </mc:AlternateContent>
  <xr:revisionPtr revIDLastSave="0" documentId="13_ncr:1_{CD95E876-875F-4D75-9E85-116019550E74}" xr6:coauthVersionLast="47" xr6:coauthVersionMax="47" xr10:uidLastSave="{00000000-0000-0000-0000-000000000000}"/>
  <bookViews>
    <workbookView xWindow="-120" yWindow="-120" windowWidth="29040" windowHeight="15720" tabRatio="733" xr2:uid="{00000000-000D-0000-FFFF-FFFF00000000}"/>
  </bookViews>
  <sheets>
    <sheet name="Feuil1" sheetId="24" r:id="rId1"/>
    <sheet name="Surf " sheetId="11" r:id="rId2"/>
    <sheet name="Estim SO Bat " sheetId="14" r:id="rId3"/>
    <sheet name="Facades" sheetId="22" r:id="rId4"/>
    <sheet name="Toitures" sheetId="23" r:id="rId5"/>
  </sheets>
  <definedNames>
    <definedName name="_xlnm.Print_Area" localSheetId="2">'Estim SO Bat '!$A$1:$G$556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24" l="1" a="1"/>
  <c r="D368" i="14"/>
  <c r="G368" i="14"/>
  <c r="B2" i="24" l="1"/>
  <c r="I461" i="14"/>
  <c r="D272" i="14" l="1"/>
  <c r="AI28" i="22" l="1"/>
  <c r="F28" i="22" l="1"/>
  <c r="V28" i="22" s="1"/>
  <c r="S28" i="22"/>
  <c r="Q28" i="22"/>
  <c r="M28" i="22"/>
  <c r="AC39" i="22"/>
  <c r="AB45" i="22"/>
  <c r="AB39" i="22"/>
  <c r="AB49" i="22" s="1"/>
  <c r="AB9" i="22"/>
  <c r="H28" i="22" l="1"/>
  <c r="N28" i="22" s="1"/>
  <c r="O28" i="22" s="1"/>
  <c r="H442" i="14"/>
  <c r="BC40" i="11"/>
  <c r="D407" i="14" s="1"/>
  <c r="G407" i="14" s="1"/>
  <c r="G359" i="14" l="1"/>
  <c r="D358" i="14" l="1"/>
  <c r="G358" i="14" s="1"/>
  <c r="I342" i="14"/>
  <c r="G328" i="14" l="1"/>
  <c r="J338" i="14"/>
  <c r="AM9" i="11"/>
  <c r="FW40" i="11"/>
  <c r="D362" i="14" s="1"/>
  <c r="G362" i="14" s="1"/>
  <c r="AX206" i="11"/>
  <c r="BO35" i="11"/>
  <c r="BO32" i="11"/>
  <c r="E35" i="11"/>
  <c r="D35" i="11" s="1"/>
  <c r="E32" i="11"/>
  <c r="D32" i="11" s="1"/>
  <c r="GM28" i="11"/>
  <c r="GK28" i="11"/>
  <c r="FV28" i="11"/>
  <c r="BG28" i="11"/>
  <c r="BB28" i="11"/>
  <c r="O28" i="11"/>
  <c r="O25" i="11"/>
  <c r="K25" i="11"/>
  <c r="GK25" i="11"/>
  <c r="BG22" i="11"/>
  <c r="GU22" i="11" s="1"/>
  <c r="BB22" i="11"/>
  <c r="DA16" i="11"/>
  <c r="HD12" i="11"/>
  <c r="HL12" i="11" s="1"/>
  <c r="GU12" i="11"/>
  <c r="GQ12" i="11"/>
  <c r="GJ12" i="11"/>
  <c r="FH12" i="11" s="1"/>
  <c r="FM12" i="11" s="1"/>
  <c r="GF12" i="11"/>
  <c r="FY12" i="11"/>
  <c r="FN12" i="11"/>
  <c r="FS12" i="11" s="1"/>
  <c r="CB12" i="11"/>
  <c r="CB13" i="11" s="1"/>
  <c r="BQ12" i="11"/>
  <c r="GX12" i="11" s="1"/>
  <c r="HM12" i="11"/>
  <c r="G12" i="11"/>
  <c r="L12" i="11" s="1"/>
  <c r="F12" i="11"/>
  <c r="AT12" i="11" s="1"/>
  <c r="AJ11" i="11"/>
  <c r="AM10" i="11" s="1"/>
  <c r="H304" i="14"/>
  <c r="G304" i="14"/>
  <c r="BV206" i="11"/>
  <c r="BV40" i="11"/>
  <c r="D543" i="14" s="1"/>
  <c r="G543" i="14" s="1"/>
  <c r="K307" i="14"/>
  <c r="AA58" i="22"/>
  <c r="AA57" i="22"/>
  <c r="AA56" i="22"/>
  <c r="AA55" i="22"/>
  <c r="AA54" i="22"/>
  <c r="AA53" i="22"/>
  <c r="AA40" i="22"/>
  <c r="AA39" i="22"/>
  <c r="AA38" i="22"/>
  <c r="B45" i="22"/>
  <c r="AA24" i="22"/>
  <c r="B29" i="22"/>
  <c r="AA22" i="22"/>
  <c r="AA8" i="22"/>
  <c r="AA7" i="22"/>
  <c r="B54" i="22"/>
  <c r="T41" i="22"/>
  <c r="G39" i="22"/>
  <c r="B43" i="22"/>
  <c r="B25" i="22"/>
  <c r="B12" i="22"/>
  <c r="GG12" i="11" l="1"/>
  <c r="GR12" i="11" s="1"/>
  <c r="FX40" i="11"/>
  <c r="D363" i="14" s="1"/>
  <c r="G363" i="14" s="1"/>
  <c r="AX40" i="11"/>
  <c r="D394" i="14" s="1"/>
  <c r="G394" i="14" s="1"/>
  <c r="T12" i="11"/>
  <c r="CB14" i="11"/>
  <c r="CQ14" i="11" s="1"/>
  <c r="CM13" i="11"/>
  <c r="CU13" i="11" s="1"/>
  <c r="CH12" i="11"/>
  <c r="CU12" i="11" s="1"/>
  <c r="AU34" i="22"/>
  <c r="D246" i="14"/>
  <c r="G246" i="14" s="1"/>
  <c r="G245" i="14"/>
  <c r="D244" i="14"/>
  <c r="G244" i="14" s="1"/>
  <c r="D190" i="14" l="1"/>
  <c r="G191" i="14"/>
  <c r="J76" i="23"/>
  <c r="J77" i="23" s="1"/>
  <c r="D187" i="14" s="1"/>
  <c r="G187" i="14" s="1"/>
  <c r="K74" i="23"/>
  <c r="C72" i="23"/>
  <c r="M70" i="23"/>
  <c r="L70" i="23"/>
  <c r="F71" i="23"/>
  <c r="E71" i="23"/>
  <c r="E70" i="23"/>
  <c r="F69" i="23"/>
  <c r="AU70" i="22"/>
  <c r="AU69" i="22"/>
  <c r="AU67" i="22"/>
  <c r="AU49" i="22"/>
  <c r="AU18" i="22"/>
  <c r="AU71" i="22" l="1"/>
  <c r="D241" i="14" s="1"/>
  <c r="G241" i="14" s="1"/>
  <c r="G71" i="23"/>
  <c r="S71" i="23" s="1"/>
  <c r="F70" i="23"/>
  <c r="G70" i="23" s="1"/>
  <c r="S70" i="23" s="1"/>
  <c r="M75" i="23"/>
  <c r="H75" i="23"/>
  <c r="G76" i="23"/>
  <c r="C75" i="23"/>
  <c r="E84" i="23"/>
  <c r="Q70" i="23"/>
  <c r="G74" i="23"/>
  <c r="S74" i="23" s="1"/>
  <c r="C73" i="23"/>
  <c r="G73" i="23" s="1"/>
  <c r="S73" i="23" s="1"/>
  <c r="L77" i="23"/>
  <c r="D189" i="14" s="1"/>
  <c r="G189" i="14" s="1"/>
  <c r="R77" i="23"/>
  <c r="Q77" i="23"/>
  <c r="P77" i="23"/>
  <c r="O77" i="23"/>
  <c r="N77" i="23"/>
  <c r="AQ59" i="22"/>
  <c r="AI59" i="22"/>
  <c r="T59" i="22"/>
  <c r="M59" i="22"/>
  <c r="H59" i="22"/>
  <c r="J59" i="22" s="1"/>
  <c r="K59" i="22" s="1"/>
  <c r="AQ60" i="22"/>
  <c r="AI60" i="22"/>
  <c r="T60" i="22"/>
  <c r="M60" i="22"/>
  <c r="H60" i="22"/>
  <c r="J60" i="22" s="1"/>
  <c r="K60" i="22" s="1"/>
  <c r="AQ58" i="22"/>
  <c r="AI58" i="22"/>
  <c r="T58" i="22"/>
  <c r="M58" i="22"/>
  <c r="H58" i="22"/>
  <c r="J58" i="22" s="1"/>
  <c r="K58" i="22" s="1"/>
  <c r="AQ57" i="22"/>
  <c r="AI57" i="22"/>
  <c r="T57" i="22"/>
  <c r="M57" i="22"/>
  <c r="H57" i="22"/>
  <c r="J57" i="22" s="1"/>
  <c r="K57" i="22" s="1"/>
  <c r="AQ55" i="22"/>
  <c r="AI55" i="22"/>
  <c r="T55" i="22"/>
  <c r="M55" i="22"/>
  <c r="H55" i="22"/>
  <c r="J55" i="22" s="1"/>
  <c r="K55" i="22" s="1"/>
  <c r="J75" i="23" l="1"/>
  <c r="I77" i="23" s="1"/>
  <c r="K75" i="23"/>
  <c r="K77" i="23"/>
  <c r="D188" i="14" s="1"/>
  <c r="G188" i="14" s="1"/>
  <c r="G75" i="23"/>
  <c r="M77" i="23"/>
  <c r="G72" i="23"/>
  <c r="G77" i="23" s="1"/>
  <c r="S72" i="23"/>
  <c r="S77" i="23" s="1"/>
  <c r="D178" i="14" s="1"/>
  <c r="G178" i="14" s="1"/>
  <c r="BA67" i="22"/>
  <c r="AZ67" i="22"/>
  <c r="AX67" i="22"/>
  <c r="AV67" i="22"/>
  <c r="AT67" i="22"/>
  <c r="AS67" i="22"/>
  <c r="AP67" i="22"/>
  <c r="AO67" i="22"/>
  <c r="AN67" i="22"/>
  <c r="AM67" i="22"/>
  <c r="AQ67" i="22" s="1"/>
  <c r="AL67" i="22"/>
  <c r="AK67" i="22"/>
  <c r="AH67" i="22"/>
  <c r="AG67" i="22"/>
  <c r="AF67" i="22"/>
  <c r="AE67" i="22"/>
  <c r="AD67" i="22"/>
  <c r="AB67" i="22"/>
  <c r="AA67" i="22"/>
  <c r="Y67" i="22"/>
  <c r="X67" i="22"/>
  <c r="W67" i="22"/>
  <c r="U67" i="22"/>
  <c r="R67" i="22"/>
  <c r="P67" i="22"/>
  <c r="I67" i="22"/>
  <c r="BB66" i="22"/>
  <c r="BB67" i="22" s="1"/>
  <c r="AY65" i="22"/>
  <c r="AY67" i="22" s="1"/>
  <c r="AI62" i="22"/>
  <c r="V62" i="22"/>
  <c r="S62" i="22"/>
  <c r="Q62" i="22"/>
  <c r="M62" i="22"/>
  <c r="H62" i="22"/>
  <c r="N62" i="22" s="1"/>
  <c r="AI61" i="22"/>
  <c r="V61" i="22"/>
  <c r="S61" i="22"/>
  <c r="Q61" i="22"/>
  <c r="M61" i="22"/>
  <c r="H61" i="22"/>
  <c r="N61" i="22" s="1"/>
  <c r="V56" i="22"/>
  <c r="S56" i="22"/>
  <c r="O56" i="22"/>
  <c r="AI56" i="22"/>
  <c r="AQ54" i="22"/>
  <c r="T54" i="22"/>
  <c r="M54" i="22"/>
  <c r="AI54" i="22"/>
  <c r="AQ53" i="22"/>
  <c r="AI53" i="22"/>
  <c r="T53" i="22"/>
  <c r="H53" i="22"/>
  <c r="J53" i="22" s="1"/>
  <c r="O52" i="22"/>
  <c r="AJ44" i="22"/>
  <c r="V44" i="22"/>
  <c r="S44" i="22"/>
  <c r="Q44" i="22"/>
  <c r="M44" i="22"/>
  <c r="H44" i="22"/>
  <c r="N44" i="22" s="1"/>
  <c r="AJ39" i="22"/>
  <c r="AJ40" i="22"/>
  <c r="G38" i="22"/>
  <c r="AJ38" i="22" s="1"/>
  <c r="AK43" i="22"/>
  <c r="V43" i="22"/>
  <c r="S43" i="22"/>
  <c r="Q43" i="22"/>
  <c r="M43" i="22"/>
  <c r="H43" i="22"/>
  <c r="AQ42" i="22"/>
  <c r="AJ42" i="22"/>
  <c r="T42" i="22"/>
  <c r="M42" i="22"/>
  <c r="H42" i="22"/>
  <c r="J42" i="22" s="1"/>
  <c r="K42" i="22" s="1"/>
  <c r="AJ41" i="22"/>
  <c r="S41" i="22"/>
  <c r="O41" i="22"/>
  <c r="H41" i="22"/>
  <c r="V40" i="22"/>
  <c r="S40" i="22"/>
  <c r="O40" i="22"/>
  <c r="AQ39" i="22"/>
  <c r="T39" i="22"/>
  <c r="M39" i="22"/>
  <c r="AQ38" i="22"/>
  <c r="T38" i="22"/>
  <c r="AB34" i="22"/>
  <c r="E70" i="22"/>
  <c r="E71" i="22" s="1"/>
  <c r="D295" i="14" s="1"/>
  <c r="AJ9" i="22"/>
  <c r="V9" i="22"/>
  <c r="S9" i="22"/>
  <c r="Q9" i="22"/>
  <c r="O9" i="22"/>
  <c r="K9" i="22"/>
  <c r="H9" i="22"/>
  <c r="H12" i="22"/>
  <c r="L12" i="22" s="1"/>
  <c r="H11" i="22"/>
  <c r="H10" i="22"/>
  <c r="J10" i="22" s="1"/>
  <c r="H8" i="22"/>
  <c r="L8" i="22" s="1"/>
  <c r="M8" i="22" s="1"/>
  <c r="H7" i="22"/>
  <c r="J7" i="22" s="1"/>
  <c r="AI8" i="22"/>
  <c r="V8" i="22"/>
  <c r="S8" i="22"/>
  <c r="Q8" i="22"/>
  <c r="O8" i="22"/>
  <c r="K8" i="22"/>
  <c r="V67" i="22" l="1"/>
  <c r="L9" i="22"/>
  <c r="M9" i="22" s="1"/>
  <c r="AB18" i="22"/>
  <c r="AJ67" i="22"/>
  <c r="T67" i="22"/>
  <c r="AI67" i="22"/>
  <c r="N67" i="22"/>
  <c r="O61" i="22"/>
  <c r="O62" i="22"/>
  <c r="K53" i="22"/>
  <c r="H54" i="22"/>
  <c r="J54" i="22" s="1"/>
  <c r="H56" i="22"/>
  <c r="L56" i="22" s="1"/>
  <c r="O44" i="22"/>
  <c r="H40" i="22"/>
  <c r="N43" i="22"/>
  <c r="O43" i="22" s="1"/>
  <c r="M41" i="22"/>
  <c r="H38" i="22"/>
  <c r="J38" i="22" s="1"/>
  <c r="H39" i="22"/>
  <c r="J39" i="22" s="1"/>
  <c r="J41" i="22"/>
  <c r="K41" i="22" s="1"/>
  <c r="AB40" i="11" l="1"/>
  <c r="D515" i="14" s="1"/>
  <c r="G515" i="14" s="1"/>
  <c r="L67" i="22"/>
  <c r="M56" i="22"/>
  <c r="K54" i="22"/>
  <c r="J67" i="22"/>
  <c r="K39" i="22"/>
  <c r="L40" i="22"/>
  <c r="K38" i="22"/>
  <c r="AC49" i="22"/>
  <c r="Q43" i="11"/>
  <c r="HM35" i="11"/>
  <c r="HD35" i="11"/>
  <c r="HL35" i="11" s="1"/>
  <c r="GU35" i="11"/>
  <c r="GQ35" i="11"/>
  <c r="GJ35" i="11"/>
  <c r="FH35" i="11" s="1"/>
  <c r="FM35" i="11" s="1"/>
  <c r="GF35" i="11"/>
  <c r="FY35" i="11"/>
  <c r="FN35" i="11"/>
  <c r="FS35" i="11" s="1"/>
  <c r="CB35" i="11"/>
  <c r="CB36" i="11" s="1"/>
  <c r="BQ35" i="11"/>
  <c r="GX35" i="11" s="1"/>
  <c r="G35" i="11"/>
  <c r="F35" i="11"/>
  <c r="HM32" i="11"/>
  <c r="HD32" i="11"/>
  <c r="HL32" i="11" s="1"/>
  <c r="GU32" i="11"/>
  <c r="GQ32" i="11"/>
  <c r="GJ32" i="11"/>
  <c r="FH32" i="11" s="1"/>
  <c r="FM32" i="11" s="1"/>
  <c r="GF32" i="11"/>
  <c r="FY32" i="11"/>
  <c r="FN32" i="11"/>
  <c r="FS32" i="11" s="1"/>
  <c r="CB32" i="11"/>
  <c r="CB33" i="11" s="1"/>
  <c r="BQ32" i="11"/>
  <c r="GX32" i="11" s="1"/>
  <c r="G32" i="11"/>
  <c r="F32" i="11"/>
  <c r="K28" i="11"/>
  <c r="GU28" i="11"/>
  <c r="F28" i="11"/>
  <c r="HM28" i="11"/>
  <c r="HD28" i="11"/>
  <c r="HL28" i="11" s="1"/>
  <c r="GQ28" i="11"/>
  <c r="GJ28" i="11"/>
  <c r="FH28" i="11" s="1"/>
  <c r="FM28" i="11" s="1"/>
  <c r="FY28" i="11"/>
  <c r="GG28" i="11" s="1"/>
  <c r="FN28" i="11"/>
  <c r="FS28" i="11" s="1"/>
  <c r="CB28" i="11"/>
  <c r="CB29" i="11" s="1"/>
  <c r="BQ28" i="11"/>
  <c r="GX28" i="11" s="1"/>
  <c r="HM25" i="11"/>
  <c r="HD25" i="11"/>
  <c r="HL25" i="11" s="1"/>
  <c r="GQ25" i="11"/>
  <c r="GJ25" i="11"/>
  <c r="FY25" i="11"/>
  <c r="GG25" i="11" s="1"/>
  <c r="FN25" i="11"/>
  <c r="FS25" i="11" s="1"/>
  <c r="CB25" i="11"/>
  <c r="CB26" i="11" s="1"/>
  <c r="BQ25" i="11"/>
  <c r="GX25" i="11" s="1"/>
  <c r="G25" i="11"/>
  <c r="L25" i="11" s="1"/>
  <c r="F25" i="11"/>
  <c r="BG25" i="11" s="1"/>
  <c r="GU25" i="11" s="1"/>
  <c r="GL22" i="11"/>
  <c r="K22" i="11"/>
  <c r="HM22" i="11"/>
  <c r="HD22" i="11"/>
  <c r="HL22" i="11" s="1"/>
  <c r="GQ22" i="11"/>
  <c r="GJ22" i="11"/>
  <c r="FH22" i="11" s="1"/>
  <c r="FM22" i="11" s="1"/>
  <c r="FY22" i="11"/>
  <c r="GG22" i="11" s="1"/>
  <c r="FN22" i="11"/>
  <c r="FS22" i="11" s="1"/>
  <c r="CB22" i="11"/>
  <c r="CB23" i="11" s="1"/>
  <c r="BQ22" i="11"/>
  <c r="GX22" i="11" s="1"/>
  <c r="G22" i="11"/>
  <c r="GK22" i="11" s="1"/>
  <c r="F22" i="11"/>
  <c r="G19" i="11"/>
  <c r="F19" i="11"/>
  <c r="HM19" i="11"/>
  <c r="HD19" i="11"/>
  <c r="HL19" i="11" s="1"/>
  <c r="GU19" i="11"/>
  <c r="GQ19" i="11"/>
  <c r="GJ19" i="11"/>
  <c r="FH19" i="11" s="1"/>
  <c r="FM19" i="11" s="1"/>
  <c r="FY19" i="11"/>
  <c r="GG19" i="11" s="1"/>
  <c r="FN19" i="11"/>
  <c r="FS19" i="11" s="1"/>
  <c r="CB19" i="11"/>
  <c r="CB20" i="11" s="1"/>
  <c r="BQ19" i="11"/>
  <c r="GX19" i="11" s="1"/>
  <c r="GQ16" i="11"/>
  <c r="HM16" i="11"/>
  <c r="HD16" i="11"/>
  <c r="HL16" i="11" s="1"/>
  <c r="GU16" i="11"/>
  <c r="GJ16" i="11"/>
  <c r="FH16" i="11" s="1"/>
  <c r="FM16" i="11" s="1"/>
  <c r="FY16" i="11"/>
  <c r="GG16" i="11" s="1"/>
  <c r="FN16" i="11"/>
  <c r="FS16" i="11" s="1"/>
  <c r="CB16" i="11"/>
  <c r="CL16" i="11" s="1"/>
  <c r="BQ16" i="11"/>
  <c r="GX16" i="11" s="1"/>
  <c r="GK16" i="11"/>
  <c r="BB16" i="11"/>
  <c r="CD8" i="11"/>
  <c r="CC8" i="11"/>
  <c r="AM40" i="11"/>
  <c r="D325" i="14" s="1"/>
  <c r="G325" i="14" s="1"/>
  <c r="AL206" i="11"/>
  <c r="AC9" i="11"/>
  <c r="AA9" i="11"/>
  <c r="HM9" i="11" s="1"/>
  <c r="Z10" i="11"/>
  <c r="Z11" i="11" s="1"/>
  <c r="HD9" i="11"/>
  <c r="HL9" i="11" s="1"/>
  <c r="GU9" i="11"/>
  <c r="GQ9" i="11"/>
  <c r="GJ9" i="11"/>
  <c r="FH9" i="11" s="1"/>
  <c r="FM9" i="11" s="1"/>
  <c r="GF9" i="11"/>
  <c r="FY9" i="11"/>
  <c r="FN9" i="11"/>
  <c r="FS9" i="11" s="1"/>
  <c r="CB9" i="11"/>
  <c r="CB10" i="11" s="1"/>
  <c r="BQ9" i="11"/>
  <c r="GX9" i="11" s="1"/>
  <c r="G9" i="11"/>
  <c r="L9" i="11" s="1"/>
  <c r="F9" i="11"/>
  <c r="AT9" i="11" s="1"/>
  <c r="DA7" i="11"/>
  <c r="GF6" i="11" s="1"/>
  <c r="CC7" i="11"/>
  <c r="G485" i="14"/>
  <c r="DY40" i="11"/>
  <c r="D435" i="14" s="1"/>
  <c r="G435" i="14" s="1"/>
  <c r="GR25" i="11" l="1"/>
  <c r="BB35" i="11"/>
  <c r="Q35" i="11"/>
  <c r="BB32" i="11"/>
  <c r="Q32" i="11"/>
  <c r="FH25" i="11"/>
  <c r="FM25" i="11" s="1"/>
  <c r="GK32" i="11"/>
  <c r="CC33" i="11"/>
  <c r="CM33" i="11" s="1"/>
  <c r="GK35" i="11"/>
  <c r="CC36" i="11"/>
  <c r="CM36" i="11" s="1"/>
  <c r="AC67" i="22"/>
  <c r="Z67" i="22"/>
  <c r="M40" i="22"/>
  <c r="FV40" i="11"/>
  <c r="D357" i="14" s="1"/>
  <c r="D360" i="14" s="1"/>
  <c r="G360" i="14" s="1"/>
  <c r="GG32" i="11"/>
  <c r="GG35" i="11"/>
  <c r="CB37" i="11"/>
  <c r="CK37" i="11" s="1"/>
  <c r="CH35" i="11"/>
  <c r="CU35" i="11" s="1"/>
  <c r="CH32" i="11"/>
  <c r="CU32" i="11" s="1"/>
  <c r="CB34" i="11"/>
  <c r="CK34" i="11" s="1"/>
  <c r="G28" i="11"/>
  <c r="CB30" i="11"/>
  <c r="CK30" i="11" s="1"/>
  <c r="CM29" i="11"/>
  <c r="CH28" i="11"/>
  <c r="T28" i="11"/>
  <c r="AT28" i="11"/>
  <c r="AU28" i="11" s="1"/>
  <c r="CB27" i="11"/>
  <c r="CK27" i="11" s="1"/>
  <c r="CM26" i="11"/>
  <c r="CH25" i="11"/>
  <c r="GR22" i="11"/>
  <c r="T25" i="11"/>
  <c r="AT25" i="11"/>
  <c r="AU25" i="11" s="1"/>
  <c r="L22" i="11"/>
  <c r="CB24" i="11"/>
  <c r="CK24" i="11" s="1"/>
  <c r="CM23" i="11"/>
  <c r="CH22" i="11"/>
  <c r="T22" i="11"/>
  <c r="AT22" i="11"/>
  <c r="AU22" i="11" s="1"/>
  <c r="AU19" i="11"/>
  <c r="CB21" i="11"/>
  <c r="CK21" i="11" s="1"/>
  <c r="CM20" i="11"/>
  <c r="GR19" i="11"/>
  <c r="CH19" i="11"/>
  <c r="CB17" i="11"/>
  <c r="CB18" i="11" s="1"/>
  <c r="CK18" i="11" s="1"/>
  <c r="AT16" i="11"/>
  <c r="AU16" i="11" s="1"/>
  <c r="GR16" i="11"/>
  <c r="L16" i="11"/>
  <c r="T16" i="11"/>
  <c r="EV40" i="11"/>
  <c r="D504" i="14" s="1"/>
  <c r="G504" i="14" s="1"/>
  <c r="AL40" i="11"/>
  <c r="D542" i="14" s="1"/>
  <c r="G542" i="14" s="1"/>
  <c r="GG9" i="11"/>
  <c r="GR9" i="11" s="1"/>
  <c r="CB11" i="11"/>
  <c r="CQ11" i="11" s="1"/>
  <c r="CM10" i="11"/>
  <c r="CU10" i="11" s="1"/>
  <c r="T9" i="11"/>
  <c r="CH9" i="11"/>
  <c r="CU9" i="11" s="1"/>
  <c r="GQ6" i="11"/>
  <c r="DE206" i="11"/>
  <c r="X40" i="11" l="1"/>
  <c r="D501" i="14" s="1"/>
  <c r="G501" i="14" s="1"/>
  <c r="GR32" i="11"/>
  <c r="GR35" i="11"/>
  <c r="GR28" i="11"/>
  <c r="L28" i="11"/>
  <c r="CM17" i="11"/>
  <c r="CI206" i="11"/>
  <c r="DE40" i="11" l="1"/>
  <c r="D422" i="14" s="1"/>
  <c r="G422" i="14" s="1"/>
  <c r="FU40" i="11"/>
  <c r="J84" i="14" l="1"/>
  <c r="G75" i="14" l="1"/>
  <c r="G345" i="14" l="1"/>
  <c r="G309" i="14"/>
  <c r="F510" i="14"/>
  <c r="G416" i="14"/>
  <c r="G510" i="14" l="1"/>
  <c r="G105" i="14"/>
  <c r="G104" i="14" l="1"/>
  <c r="GI40" i="11" l="1"/>
  <c r="G310" i="14"/>
  <c r="G308" i="14"/>
  <c r="G307" i="14"/>
  <c r="G353" i="14"/>
  <c r="I307" i="14" l="1"/>
  <c r="G352" i="14"/>
  <c r="F350" i="14"/>
  <c r="F351" i="14" s="1"/>
  <c r="F355" i="14" s="1"/>
  <c r="G349" i="14"/>
  <c r="G342" i="14"/>
  <c r="G350" i="14" l="1"/>
  <c r="G355" i="14"/>
  <c r="G351" i="14"/>
  <c r="G341" i="14"/>
  <c r="G343" i="14"/>
  <c r="G101" i="14" l="1"/>
  <c r="G100" i="14"/>
  <c r="G99" i="14"/>
  <c r="DF40" i="11" l="1"/>
  <c r="DO40" i="11"/>
  <c r="D430" i="14" s="1"/>
  <c r="G430" i="14" s="1"/>
  <c r="DN40" i="11"/>
  <c r="D431" i="14" s="1"/>
  <c r="G431" i="14" s="1"/>
  <c r="HU40" i="11" l="1"/>
  <c r="HC40" i="11"/>
  <c r="HB40" i="11"/>
  <c r="HA40" i="11"/>
  <c r="GY40" i="11"/>
  <c r="GW40" i="11"/>
  <c r="GV40" i="11"/>
  <c r="GS40" i="11"/>
  <c r="FT40" i="11"/>
  <c r="D338" i="14" s="1"/>
  <c r="FG40" i="11"/>
  <c r="D414" i="14" s="1"/>
  <c r="FF40" i="11"/>
  <c r="FE40" i="11"/>
  <c r="D463" i="14" s="1"/>
  <c r="FD40" i="11"/>
  <c r="FC40" i="11"/>
  <c r="FB40" i="11"/>
  <c r="D461" i="14" s="1"/>
  <c r="G461" i="14" s="1"/>
  <c r="FA40" i="11"/>
  <c r="EZ40" i="11"/>
  <c r="EY40" i="11"/>
  <c r="EX40" i="11"/>
  <c r="EW40" i="11"/>
  <c r="EU40" i="11"/>
  <c r="ES40" i="11"/>
  <c r="ER40" i="11"/>
  <c r="ER41" i="11" s="1"/>
  <c r="EQ40" i="11"/>
  <c r="EQ41" i="11" s="1"/>
  <c r="EP40" i="11"/>
  <c r="EP41" i="11" s="1"/>
  <c r="EO40" i="11"/>
  <c r="EO41" i="11" s="1"/>
  <c r="EN40" i="11"/>
  <c r="EN41" i="11" s="1"/>
  <c r="EL40" i="11"/>
  <c r="EL41" i="11" s="1"/>
  <c r="EK40" i="11"/>
  <c r="EK41" i="11" s="1"/>
  <c r="EJ40" i="11"/>
  <c r="EJ41" i="11" s="1"/>
  <c r="EH40" i="11"/>
  <c r="EG40" i="11"/>
  <c r="EF40" i="11"/>
  <c r="EE40" i="11"/>
  <c r="ED40" i="11"/>
  <c r="EC40" i="11"/>
  <c r="EB40" i="11"/>
  <c r="EA40" i="11"/>
  <c r="DZ40" i="11"/>
  <c r="DX40" i="11"/>
  <c r="DW40" i="11"/>
  <c r="DV40" i="11"/>
  <c r="D546" i="14" s="1"/>
  <c r="DS40" i="11"/>
  <c r="DR40" i="11"/>
  <c r="DQ40" i="11"/>
  <c r="DP40" i="11"/>
  <c r="DM40" i="11"/>
  <c r="DL40" i="11"/>
  <c r="DK40" i="11"/>
  <c r="DJ40" i="11"/>
  <c r="DI40" i="11"/>
  <c r="DH40" i="11"/>
  <c r="DD40" i="11"/>
  <c r="DC40" i="11"/>
  <c r="DB40" i="11"/>
  <c r="CW40" i="11"/>
  <c r="CT40" i="11"/>
  <c r="CS40" i="11"/>
  <c r="CR40" i="11"/>
  <c r="CP40" i="11"/>
  <c r="CL40" i="11"/>
  <c r="CG40" i="11"/>
  <c r="CA40" i="11"/>
  <c r="BZ40" i="11"/>
  <c r="BY40" i="11"/>
  <c r="BU40" i="11"/>
  <c r="D382" i="14" s="1"/>
  <c r="BT40" i="11"/>
  <c r="BS40" i="11"/>
  <c r="BR40" i="11"/>
  <c r="BN40" i="11"/>
  <c r="BM40" i="11"/>
  <c r="BL40" i="11"/>
  <c r="BJ40" i="11"/>
  <c r="BH40" i="11"/>
  <c r="BF40" i="11"/>
  <c r="BD40" i="11"/>
  <c r="AZ40" i="11"/>
  <c r="AY40" i="11"/>
  <c r="AW40" i="11"/>
  <c r="AU40" i="11"/>
  <c r="AP40" i="11"/>
  <c r="AO40" i="11"/>
  <c r="AN40" i="11"/>
  <c r="AK40" i="11"/>
  <c r="AJ40" i="11"/>
  <c r="AI40" i="11"/>
  <c r="AH40" i="11"/>
  <c r="AG40" i="11"/>
  <c r="AF40" i="11"/>
  <c r="AE40" i="11"/>
  <c r="AD40" i="11"/>
  <c r="AA40" i="11"/>
  <c r="Z40" i="11"/>
  <c r="Y40" i="11"/>
  <c r="U40" i="11"/>
  <c r="S40" i="11"/>
  <c r="R40" i="11"/>
  <c r="Q40" i="11"/>
  <c r="Q45" i="11" s="1"/>
  <c r="P40" i="11"/>
  <c r="O40" i="11"/>
  <c r="HM6" i="11"/>
  <c r="HD6" i="11"/>
  <c r="HL6" i="11" s="1"/>
  <c r="GU6" i="11"/>
  <c r="GJ6" i="11"/>
  <c r="FH6" i="11" s="1"/>
  <c r="FM6" i="11" s="1"/>
  <c r="FY6" i="11"/>
  <c r="FN6" i="11"/>
  <c r="FS6" i="11" s="1"/>
  <c r="CB6" i="11"/>
  <c r="BQ6" i="11"/>
  <c r="G6" i="11"/>
  <c r="F6" i="11"/>
  <c r="F40" i="11" s="1"/>
  <c r="D550" i="14" s="1"/>
  <c r="G550" i="14" s="1"/>
  <c r="GX6" i="11" l="1"/>
  <c r="EN42" i="11"/>
  <c r="D456" i="14" s="1"/>
  <c r="G456" i="14" s="1"/>
  <c r="DC41" i="11"/>
  <c r="D545" i="14" s="1"/>
  <c r="N6" i="11"/>
  <c r="FZ6" i="11"/>
  <c r="GG6" i="11" s="1"/>
  <c r="AV6" i="11"/>
  <c r="AR6" i="11"/>
  <c r="AT6" i="11" s="1"/>
  <c r="AT40" i="11" s="1"/>
  <c r="EJ42" i="11"/>
  <c r="D455" i="14" s="1"/>
  <c r="AQ40" i="11"/>
  <c r="BG40" i="11"/>
  <c r="W6" i="11"/>
  <c r="W40" i="11" s="1"/>
  <c r="CH6" i="11"/>
  <c r="CN40" i="11"/>
  <c r="GH40" i="11"/>
  <c r="ET40" i="11"/>
  <c r="BA6" i="11"/>
  <c r="V40" i="11"/>
  <c r="GK6" i="11"/>
  <c r="CB7" i="11"/>
  <c r="GZ40" i="11"/>
  <c r="M40" i="11"/>
  <c r="CV6" i="11" l="1"/>
  <c r="CB8" i="11"/>
  <c r="CK8" i="11" s="1"/>
  <c r="CV8" i="11" s="1"/>
  <c r="GR6" i="11"/>
  <c r="GT40" i="11"/>
  <c r="BE40" i="11"/>
  <c r="N40" i="11"/>
  <c r="BB40" i="11"/>
  <c r="CO40" i="11"/>
  <c r="CM7" i="11"/>
  <c r="CQ40" i="11" l="1"/>
  <c r="CI40" i="11"/>
  <c r="D385" i="14" s="1"/>
  <c r="G385" i="14" s="1"/>
  <c r="CV7" i="11"/>
  <c r="CJ40" i="11"/>
  <c r="CU40" i="11" l="1"/>
  <c r="CV40" i="11"/>
  <c r="H84" i="14"/>
  <c r="C279" i="14" l="1"/>
  <c r="C277" i="14"/>
  <c r="C274" i="14"/>
  <c r="C269" i="14"/>
  <c r="C264" i="14"/>
  <c r="X49" i="22" l="1"/>
  <c r="AJ25" i="22"/>
  <c r="AJ24" i="22"/>
  <c r="V24" i="22"/>
  <c r="S24" i="22"/>
  <c r="O24" i="22"/>
  <c r="H24" i="22"/>
  <c r="L24" i="22" s="1"/>
  <c r="S25" i="22"/>
  <c r="O25" i="22"/>
  <c r="X34" i="22"/>
  <c r="AI27" i="22"/>
  <c r="AQ23" i="22"/>
  <c r="M23" i="22"/>
  <c r="T23" i="22"/>
  <c r="H26" i="22"/>
  <c r="AJ22" i="22"/>
  <c r="AJ13" i="22"/>
  <c r="AJ12" i="22"/>
  <c r="X18" i="22"/>
  <c r="T13" i="22"/>
  <c r="S13" i="22"/>
  <c r="T11" i="22"/>
  <c r="T7" i="22"/>
  <c r="AJ7" i="22"/>
  <c r="AJ11" i="22" l="1"/>
  <c r="M24" i="22"/>
  <c r="V25" i="22"/>
  <c r="H25" i="22"/>
  <c r="L25" i="22" s="1"/>
  <c r="AJ23" i="22"/>
  <c r="H23" i="22"/>
  <c r="J23" i="22" s="1"/>
  <c r="K23" i="22" s="1"/>
  <c r="H13" i="22"/>
  <c r="P13" i="22" s="1"/>
  <c r="I58" i="23"/>
  <c r="M25" i="22" l="1"/>
  <c r="K13" i="22"/>
  <c r="Q13" i="22"/>
  <c r="T58" i="23"/>
  <c r="D92" i="14" s="1"/>
  <c r="S58" i="23"/>
  <c r="R58" i="23"/>
  <c r="Q58" i="23"/>
  <c r="P58" i="23"/>
  <c r="O58" i="23"/>
  <c r="M58" i="23"/>
  <c r="L58" i="23"/>
  <c r="K58" i="23"/>
  <c r="AC40" i="11"/>
  <c r="HU206" i="11" l="1"/>
  <c r="HL206" i="11"/>
  <c r="HC206" i="11"/>
  <c r="HB206" i="11"/>
  <c r="HA206" i="11"/>
  <c r="GZ206" i="11"/>
  <c r="GY206" i="11"/>
  <c r="GX206" i="11"/>
  <c r="GW206" i="11"/>
  <c r="GV206" i="11"/>
  <c r="GU206" i="11"/>
  <c r="GT206" i="11"/>
  <c r="GI206" i="11"/>
  <c r="GS206" i="11"/>
  <c r="GR206" i="11"/>
  <c r="GH206" i="11"/>
  <c r="GG206" i="11"/>
  <c r="FU206" i="11"/>
  <c r="FT206" i="11"/>
  <c r="FS206" i="11"/>
  <c r="FM206" i="11"/>
  <c r="FG206" i="11"/>
  <c r="FF206" i="11"/>
  <c r="FE206" i="11"/>
  <c r="FD206" i="11"/>
  <c r="FC206" i="11"/>
  <c r="FB206" i="11"/>
  <c r="FA206" i="11"/>
  <c r="EZ206" i="11"/>
  <c r="EY206" i="11"/>
  <c r="EX206" i="11"/>
  <c r="EW206" i="11"/>
  <c r="EU206" i="11"/>
  <c r="ET206" i="11"/>
  <c r="ES206" i="11"/>
  <c r="ER206" i="11"/>
  <c r="EQ206" i="11"/>
  <c r="EP206" i="11"/>
  <c r="EO206" i="11"/>
  <c r="EN206" i="11"/>
  <c r="EL206" i="11"/>
  <c r="EK206" i="11"/>
  <c r="EJ206" i="11"/>
  <c r="EH206" i="11"/>
  <c r="EG206" i="11"/>
  <c r="EF206" i="11"/>
  <c r="EE206" i="11"/>
  <c r="ED206" i="11"/>
  <c r="EC206" i="11"/>
  <c r="EB206" i="11"/>
  <c r="EA206" i="11"/>
  <c r="DZ206" i="11"/>
  <c r="DX206" i="11"/>
  <c r="DW206" i="11"/>
  <c r="DV206" i="11"/>
  <c r="DS206" i="11"/>
  <c r="DR206" i="11"/>
  <c r="DQ206" i="11"/>
  <c r="DP206" i="11"/>
  <c r="DM206" i="11"/>
  <c r="DL206" i="11"/>
  <c r="DK206" i="11"/>
  <c r="DJ206" i="11"/>
  <c r="DI206" i="11"/>
  <c r="DH206" i="11"/>
  <c r="DF206" i="11"/>
  <c r="DD206" i="11"/>
  <c r="DC206" i="11"/>
  <c r="DB206" i="11"/>
  <c r="CW206" i="11"/>
  <c r="CV206" i="11"/>
  <c r="CU206" i="11"/>
  <c r="CT206" i="11"/>
  <c r="CS206" i="11"/>
  <c r="CR206" i="11"/>
  <c r="CQ206" i="11"/>
  <c r="CP206" i="11"/>
  <c r="CO206" i="11"/>
  <c r="CN206" i="11"/>
  <c r="CM206" i="11"/>
  <c r="CL206" i="11"/>
  <c r="CK206" i="11"/>
  <c r="CJ206" i="11"/>
  <c r="CH206" i="11"/>
  <c r="CG206" i="11"/>
  <c r="CA206" i="11"/>
  <c r="BZ206" i="11"/>
  <c r="BY206" i="11"/>
  <c r="BU206" i="11"/>
  <c r="BT206" i="11"/>
  <c r="BS206" i="11"/>
  <c r="BR206" i="11"/>
  <c r="BQ206" i="11"/>
  <c r="BN206" i="11"/>
  <c r="BM206" i="11"/>
  <c r="BL206" i="11"/>
  <c r="BK206" i="11"/>
  <c r="BJ206" i="11"/>
  <c r="BI206" i="11"/>
  <c r="BH206" i="11"/>
  <c r="BG206" i="11"/>
  <c r="BF206" i="11"/>
  <c r="BE206" i="11"/>
  <c r="BD206" i="11"/>
  <c r="BB206" i="11"/>
  <c r="BA206" i="11"/>
  <c r="AZ206" i="11"/>
  <c r="AY206" i="11"/>
  <c r="AW206" i="11"/>
  <c r="AV206" i="11"/>
  <c r="AU206" i="11"/>
  <c r="AT206" i="11"/>
  <c r="AS206" i="11"/>
  <c r="AR206" i="11"/>
  <c r="AQ206" i="11"/>
  <c r="AP206" i="11"/>
  <c r="AO206" i="11"/>
  <c r="AN206" i="11"/>
  <c r="AK206" i="11"/>
  <c r="AJ206" i="11"/>
  <c r="AI206" i="11"/>
  <c r="AH206" i="11"/>
  <c r="AG206" i="11"/>
  <c r="AF206" i="11"/>
  <c r="AE206" i="11"/>
  <c r="AD206" i="11"/>
  <c r="AC206" i="11"/>
  <c r="AA206" i="11"/>
  <c r="Z206" i="11"/>
  <c r="Y206" i="11"/>
  <c r="W206" i="11"/>
  <c r="V206" i="11"/>
  <c r="U206" i="11"/>
  <c r="T206" i="11"/>
  <c r="S206" i="11"/>
  <c r="R206" i="11"/>
  <c r="Q206" i="11"/>
  <c r="P206" i="11"/>
  <c r="O206" i="11"/>
  <c r="N206" i="11"/>
  <c r="M206" i="11"/>
  <c r="L206" i="11"/>
  <c r="F206" i="11"/>
  <c r="C71" i="22" l="1"/>
  <c r="B71" i="22"/>
  <c r="BB70" i="22"/>
  <c r="BA70" i="22"/>
  <c r="AZ70" i="22"/>
  <c r="AY70" i="22"/>
  <c r="AX70" i="22"/>
  <c r="AV70" i="22"/>
  <c r="AT70" i="22"/>
  <c r="AS70" i="22"/>
  <c r="AP70" i="22"/>
  <c r="AO70" i="22"/>
  <c r="AN70" i="22"/>
  <c r="AM70" i="22"/>
  <c r="AL70" i="22"/>
  <c r="AK70" i="22"/>
  <c r="AJ70" i="22"/>
  <c r="AI70" i="22"/>
  <c r="AH70" i="22"/>
  <c r="AG70" i="22"/>
  <c r="AF70" i="22"/>
  <c r="AB70" i="22"/>
  <c r="AA70" i="22"/>
  <c r="X70" i="22"/>
  <c r="W70" i="22"/>
  <c r="V70" i="22"/>
  <c r="R70" i="22"/>
  <c r="P70" i="22"/>
  <c r="N70" i="22"/>
  <c r="L70" i="22"/>
  <c r="J70" i="22"/>
  <c r="BB69" i="22"/>
  <c r="BA69" i="22"/>
  <c r="AZ69" i="22"/>
  <c r="AY69" i="22"/>
  <c r="AX69" i="22"/>
  <c r="AV69" i="22"/>
  <c r="AT69" i="22"/>
  <c r="AS69" i="22"/>
  <c r="AP69" i="22"/>
  <c r="AO69" i="22"/>
  <c r="AN69" i="22"/>
  <c r="AM69" i="22"/>
  <c r="AL69" i="22"/>
  <c r="AK69" i="22"/>
  <c r="AJ69" i="22"/>
  <c r="AI69" i="22"/>
  <c r="AH69" i="22"/>
  <c r="AG69" i="22"/>
  <c r="AF69" i="22"/>
  <c r="AE69" i="22"/>
  <c r="AD69" i="22"/>
  <c r="AC69" i="22"/>
  <c r="AB69" i="22"/>
  <c r="AA69" i="22"/>
  <c r="Z69" i="22"/>
  <c r="Y69" i="22"/>
  <c r="X69" i="22"/>
  <c r="W69" i="22"/>
  <c r="BA49" i="22"/>
  <c r="AZ49" i="22"/>
  <c r="AX49" i="22"/>
  <c r="AV49" i="22"/>
  <c r="AT49" i="22"/>
  <c r="AS49" i="22"/>
  <c r="AP49" i="22"/>
  <c r="AM49" i="22"/>
  <c r="AQ49" i="22" s="1"/>
  <c r="AL49" i="22"/>
  <c r="AK49" i="22"/>
  <c r="AI49" i="22"/>
  <c r="AG49" i="22"/>
  <c r="AF49" i="22"/>
  <c r="AE49" i="22"/>
  <c r="AA49" i="22"/>
  <c r="Y49" i="22"/>
  <c r="W49" i="22"/>
  <c r="U49" i="22"/>
  <c r="R49" i="22"/>
  <c r="P49" i="22"/>
  <c r="N49" i="22"/>
  <c r="L49" i="22"/>
  <c r="I49" i="22"/>
  <c r="BB48" i="22"/>
  <c r="BB49" i="22" s="1"/>
  <c r="AY47" i="22"/>
  <c r="AY49" i="22" s="1"/>
  <c r="AO49" i="22"/>
  <c r="V49" i="22"/>
  <c r="AJ49" i="22"/>
  <c r="AH49" i="22"/>
  <c r="T49" i="22"/>
  <c r="O37" i="22"/>
  <c r="R36" i="22"/>
  <c r="N36" i="22"/>
  <c r="BA34" i="22"/>
  <c r="AZ34" i="22"/>
  <c r="AX34" i="22"/>
  <c r="AV34" i="22"/>
  <c r="AT34" i="22"/>
  <c r="AS34" i="22"/>
  <c r="AP34" i="22"/>
  <c r="AO34" i="22"/>
  <c r="AN34" i="22"/>
  <c r="AM34" i="22"/>
  <c r="AQ34" i="22" s="1"/>
  <c r="AL34" i="22"/>
  <c r="AK34" i="22"/>
  <c r="AI34" i="22"/>
  <c r="AG34" i="22"/>
  <c r="AF34" i="22"/>
  <c r="AE34" i="22"/>
  <c r="Y34" i="22"/>
  <c r="W34" i="22"/>
  <c r="U34" i="22"/>
  <c r="R34" i="22"/>
  <c r="P34" i="22"/>
  <c r="L34" i="22"/>
  <c r="I34" i="22"/>
  <c r="BB33" i="22"/>
  <c r="BB34" i="22" s="1"/>
  <c r="O33" i="22"/>
  <c r="AY32" i="22"/>
  <c r="AY34" i="22" s="1"/>
  <c r="O32" i="22"/>
  <c r="O31" i="22"/>
  <c r="O30" i="22"/>
  <c r="AD34" i="22"/>
  <c r="AC34" i="22"/>
  <c r="T29" i="22"/>
  <c r="S29" i="22"/>
  <c r="Q29" i="22"/>
  <c r="O29" i="22"/>
  <c r="M29" i="22"/>
  <c r="H29" i="22"/>
  <c r="J29" i="22" s="1"/>
  <c r="K29" i="22" s="1"/>
  <c r="V27" i="22"/>
  <c r="S27" i="22"/>
  <c r="Q27" i="22"/>
  <c r="M27" i="22"/>
  <c r="H27" i="22"/>
  <c r="AQ26" i="22"/>
  <c r="AJ26" i="22"/>
  <c r="T26" i="22"/>
  <c r="M26" i="22"/>
  <c r="J26" i="22"/>
  <c r="K26" i="22" s="1"/>
  <c r="AQ22" i="22"/>
  <c r="T22" i="22"/>
  <c r="H22" i="22"/>
  <c r="J22" i="22" s="1"/>
  <c r="M21" i="22"/>
  <c r="U20" i="22"/>
  <c r="U36" i="22" s="1"/>
  <c r="U51" i="22" s="1"/>
  <c r="U70" i="22" s="1"/>
  <c r="T20" i="22"/>
  <c r="T36" i="22" s="1"/>
  <c r="T51" i="22" s="1"/>
  <c r="T70" i="22" s="1"/>
  <c r="P20" i="22"/>
  <c r="P36" i="22" s="1"/>
  <c r="P51" i="22" s="1"/>
  <c r="BA18" i="22"/>
  <c r="AZ18" i="22"/>
  <c r="AX18" i="22"/>
  <c r="AV18" i="22"/>
  <c r="AT18" i="22"/>
  <c r="AS18" i="22"/>
  <c r="AP18" i="22"/>
  <c r="AN18" i="22"/>
  <c r="AM18" i="22"/>
  <c r="AL18" i="22"/>
  <c r="AK18" i="22"/>
  <c r="AG18" i="22"/>
  <c r="AF18" i="22"/>
  <c r="AE18" i="22"/>
  <c r="Y18" i="22"/>
  <c r="W18" i="22"/>
  <c r="U18" i="22"/>
  <c r="R18" i="22"/>
  <c r="P18" i="22"/>
  <c r="I18" i="22"/>
  <c r="BB17" i="22"/>
  <c r="BB18" i="22" s="1"/>
  <c r="M17" i="22"/>
  <c r="AY16" i="22"/>
  <c r="AY18" i="22" s="1"/>
  <c r="M16" i="22"/>
  <c r="M15" i="22"/>
  <c r="AC18" i="22"/>
  <c r="M14" i="22"/>
  <c r="K14" i="22"/>
  <c r="AO18" i="22"/>
  <c r="V12" i="22"/>
  <c r="S12" i="22"/>
  <c r="Q12" i="22"/>
  <c r="O12" i="22"/>
  <c r="K12" i="22"/>
  <c r="S11" i="22"/>
  <c r="Q11" i="22"/>
  <c r="O11" i="22"/>
  <c r="M11" i="22"/>
  <c r="J11" i="22"/>
  <c r="K11" i="22" s="1"/>
  <c r="AJ10" i="22"/>
  <c r="T10" i="22"/>
  <c r="T18" i="22" s="1"/>
  <c r="S10" i="22"/>
  <c r="Q10" i="22"/>
  <c r="K10" i="22"/>
  <c r="AQ7" i="22"/>
  <c r="AA18" i="22"/>
  <c r="H58" i="23"/>
  <c r="AS71" i="22" l="1"/>
  <c r="N27" i="22"/>
  <c r="O27" i="22" s="1"/>
  <c r="AN49" i="22"/>
  <c r="GU40" i="11"/>
  <c r="AA34" i="22"/>
  <c r="AA71" i="22" s="1"/>
  <c r="V34" i="22"/>
  <c r="V18" i="22"/>
  <c r="AP71" i="22"/>
  <c r="BA71" i="22"/>
  <c r="AM71" i="22"/>
  <c r="AV71" i="22"/>
  <c r="AX71" i="22"/>
  <c r="AZ71" i="22"/>
  <c r="AE71" i="22"/>
  <c r="AT71" i="22"/>
  <c r="D242" i="14" s="1"/>
  <c r="W71" i="22"/>
  <c r="AS73" i="22"/>
  <c r="D240" i="14" s="1"/>
  <c r="AJ18" i="22"/>
  <c r="AH18" i="22"/>
  <c r="AI18" i="22"/>
  <c r="AI71" i="22" s="1"/>
  <c r="C72" i="22"/>
  <c r="U71" i="22"/>
  <c r="AH34" i="22"/>
  <c r="AJ34" i="22"/>
  <c r="AF71" i="22"/>
  <c r="AG71" i="22"/>
  <c r="BB71" i="22"/>
  <c r="P71" i="22"/>
  <c r="T34" i="22"/>
  <c r="AK71" i="22"/>
  <c r="Y71" i="22"/>
  <c r="J58" i="23"/>
  <c r="AC71" i="22"/>
  <c r="I71" i="22"/>
  <c r="R71" i="22"/>
  <c r="E58" i="23"/>
  <c r="AL71" i="22"/>
  <c r="L40" i="11"/>
  <c r="D482" i="14" s="1"/>
  <c r="N18" i="22"/>
  <c r="N34" i="22"/>
  <c r="AO71" i="22"/>
  <c r="K7" i="22"/>
  <c r="AY71" i="22"/>
  <c r="M12" i="22"/>
  <c r="L18" i="22"/>
  <c r="AD18" i="22"/>
  <c r="AQ18" i="22"/>
  <c r="K22" i="22"/>
  <c r="J49" i="22"/>
  <c r="AD49" i="22"/>
  <c r="A71" i="22"/>
  <c r="A72" i="22"/>
  <c r="F58" i="23"/>
  <c r="Z34" i="22" l="1"/>
  <c r="Z49" i="22"/>
  <c r="T71" i="22"/>
  <c r="D301" i="14" s="1"/>
  <c r="V71" i="22"/>
  <c r="AN71" i="22"/>
  <c r="BK40" i="11"/>
  <c r="AJ71" i="22"/>
  <c r="AH71" i="22"/>
  <c r="AD71" i="22"/>
  <c r="J34" i="22"/>
  <c r="J18" i="22"/>
  <c r="Z18" i="22" s="1"/>
  <c r="L71" i="22"/>
  <c r="N71" i="22"/>
  <c r="G58" i="23"/>
  <c r="G63" i="23"/>
  <c r="F63" i="23"/>
  <c r="E63" i="23"/>
  <c r="J71" i="22" l="1"/>
  <c r="G287" i="14"/>
  <c r="G340" i="14"/>
  <c r="G344" i="14"/>
  <c r="D441" i="14"/>
  <c r="G441" i="14" s="1"/>
  <c r="G473" i="14"/>
  <c r="G327" i="14"/>
  <c r="HL40" i="11"/>
  <c r="FS40" i="11"/>
  <c r="T40" i="11"/>
  <c r="D197" i="14"/>
  <c r="G197" i="14" s="1"/>
  <c r="S92" i="23"/>
  <c r="D150" i="14" s="1"/>
  <c r="R92" i="23"/>
  <c r="D151" i="14" s="1"/>
  <c r="Q92" i="23"/>
  <c r="D153" i="14" s="1"/>
  <c r="E104" i="23"/>
  <c r="E82" i="23"/>
  <c r="E81" i="23"/>
  <c r="D180" i="14"/>
  <c r="D181" i="14" s="1"/>
  <c r="E105" i="23"/>
  <c r="H106" i="23"/>
  <c r="D205" i="14" s="1"/>
  <c r="G106" i="23"/>
  <c r="D204" i="14" s="1"/>
  <c r="F105" i="23"/>
  <c r="F104" i="23"/>
  <c r="D196" i="14"/>
  <c r="D195" i="14"/>
  <c r="D194" i="14"/>
  <c r="G123" i="14"/>
  <c r="G127" i="14"/>
  <c r="P92" i="23"/>
  <c r="D152" i="14" s="1"/>
  <c r="O92" i="23"/>
  <c r="N92" i="23"/>
  <c r="M92" i="23"/>
  <c r="L92" i="23"/>
  <c r="D149" i="14" s="1"/>
  <c r="K92" i="23"/>
  <c r="D148" i="14" s="1"/>
  <c r="I92" i="23"/>
  <c r="D147" i="14" s="1"/>
  <c r="H91" i="23"/>
  <c r="J91" i="23" s="1"/>
  <c r="E91" i="23"/>
  <c r="H90" i="23"/>
  <c r="J90" i="23" s="1"/>
  <c r="E90" i="23"/>
  <c r="F90" i="23" s="1"/>
  <c r="H89" i="23"/>
  <c r="J89" i="23" s="1"/>
  <c r="E89" i="23"/>
  <c r="L64" i="23"/>
  <c r="D116" i="14" s="1"/>
  <c r="G116" i="14" s="1"/>
  <c r="K64" i="23"/>
  <c r="D115" i="14" s="1"/>
  <c r="J64" i="23"/>
  <c r="D114" i="14" s="1"/>
  <c r="G114" i="14" s="1"/>
  <c r="G64" i="23"/>
  <c r="D111" i="14" s="1"/>
  <c r="G111" i="14" s="1"/>
  <c r="G92" i="14"/>
  <c r="G106" i="14"/>
  <c r="D98" i="14"/>
  <c r="D102" i="14"/>
  <c r="G102" i="14" s="1"/>
  <c r="G103" i="14"/>
  <c r="D97" i="14"/>
  <c r="G97" i="14" s="1"/>
  <c r="D95" i="14"/>
  <c r="G95" i="14" s="1"/>
  <c r="D94" i="14"/>
  <c r="G94" i="14" s="1"/>
  <c r="D93" i="14"/>
  <c r="G93" i="14" s="1"/>
  <c r="D90" i="14"/>
  <c r="G90" i="14" s="1"/>
  <c r="D224" i="14"/>
  <c r="D223" i="14"/>
  <c r="D219" i="14"/>
  <c r="D218" i="14"/>
  <c r="D217" i="14"/>
  <c r="D216" i="14"/>
  <c r="H142" i="23"/>
  <c r="G145" i="23" s="1"/>
  <c r="D222" i="14" s="1"/>
  <c r="G142" i="23"/>
  <c r="D186" i="14" l="1"/>
  <c r="H77" i="23"/>
  <c r="D185" i="14" s="1"/>
  <c r="E106" i="23"/>
  <c r="D201" i="14" s="1"/>
  <c r="GX40" i="11"/>
  <c r="BQ40" i="11"/>
  <c r="I64" i="23"/>
  <c r="F64" i="23"/>
  <c r="D110" i="14" s="1"/>
  <c r="G110" i="14" s="1"/>
  <c r="H64" i="23"/>
  <c r="D112" i="14" s="1"/>
  <c r="G112" i="14" s="1"/>
  <c r="BA40" i="11"/>
  <c r="BI40" i="11"/>
  <c r="AS40" i="11"/>
  <c r="FM40" i="11"/>
  <c r="G181" i="14"/>
  <c r="D183" i="14"/>
  <c r="D193" i="14"/>
  <c r="F106" i="23"/>
  <c r="D203" i="14" s="1"/>
  <c r="D113" i="14"/>
  <c r="G113" i="14" s="1"/>
  <c r="D192" i="14"/>
  <c r="E64" i="23"/>
  <c r="D220" i="14"/>
  <c r="F91" i="23"/>
  <c r="G91" i="23" s="1"/>
  <c r="E92" i="23"/>
  <c r="D139" i="14" s="1"/>
  <c r="J92" i="23"/>
  <c r="D146" i="14" s="1"/>
  <c r="G90" i="23"/>
  <c r="D96" i="14"/>
  <c r="G96" i="14" s="1"/>
  <c r="D86" i="14"/>
  <c r="D91" i="14"/>
  <c r="G91" i="14" s="1"/>
  <c r="D83" i="14"/>
  <c r="D84" i="14" s="1"/>
  <c r="G84" i="14" s="1"/>
  <c r="G144" i="23"/>
  <c r="D221" i="14" s="1"/>
  <c r="AV40" i="11" l="1"/>
  <c r="AR40" i="11"/>
  <c r="F92" i="23"/>
  <c r="D141" i="14" s="1"/>
  <c r="D109" i="14"/>
  <c r="G109" i="14" s="1"/>
  <c r="D88" i="14"/>
  <c r="H92" i="23"/>
  <c r="D143" i="14" s="1"/>
  <c r="G92" i="23"/>
  <c r="D87" i="14"/>
  <c r="G87" i="14" s="1"/>
  <c r="D85" i="14"/>
  <c r="G85" i="14" s="1"/>
  <c r="G83" i="14"/>
  <c r="G86" i="14"/>
  <c r="G88" i="14" l="1"/>
  <c r="D89" i="14"/>
  <c r="G89" i="14" s="1"/>
  <c r="GR40" i="11"/>
  <c r="D528" i="14" s="1"/>
  <c r="G528" i="14" s="1"/>
  <c r="GG40" i="11"/>
  <c r="G130" i="23"/>
  <c r="G129" i="23"/>
  <c r="G128" i="23"/>
  <c r="K298" i="14"/>
  <c r="F267" i="14"/>
  <c r="G131" i="23" l="1"/>
  <c r="D209" i="14" s="1"/>
  <c r="F258" i="14" l="1"/>
  <c r="AK76" i="22" l="1"/>
  <c r="D531" i="14" l="1"/>
  <c r="G531" i="14" s="1"/>
  <c r="G332" i="14"/>
  <c r="D530" i="14" l="1"/>
  <c r="G530" i="14" s="1"/>
  <c r="C281" i="14" l="1"/>
  <c r="G203" i="14"/>
  <c r="G152" i="14"/>
  <c r="G195" i="14"/>
  <c r="G196" i="14"/>
  <c r="G153" i="14"/>
  <c r="G151" i="14"/>
  <c r="G224" i="14" l="1"/>
  <c r="D281" i="14"/>
  <c r="G281" i="14" s="1"/>
  <c r="D279" i="14"/>
  <c r="G279" i="14" s="1"/>
  <c r="G186" i="14" l="1"/>
  <c r="G185" i="14"/>
  <c r="G218" i="14"/>
  <c r="G147" i="14"/>
  <c r="G201" i="14"/>
  <c r="G205" i="14"/>
  <c r="G204" i="14"/>
  <c r="G149" i="14"/>
  <c r="G148" i="14"/>
  <c r="G223" i="14"/>
  <c r="G143" i="14"/>
  <c r="D331" i="14" l="1"/>
  <c r="G331" i="14" s="1"/>
  <c r="G541" i="14"/>
  <c r="G272" i="14"/>
  <c r="G217" i="14"/>
  <c r="G220" i="14"/>
  <c r="G180" i="14"/>
  <c r="G190" i="14"/>
  <c r="G141" i="14"/>
  <c r="G194" i="14"/>
  <c r="G192" i="14"/>
  <c r="G146" i="14"/>
  <c r="G150" i="14"/>
  <c r="D140" i="14"/>
  <c r="G140" i="14" l="1"/>
  <c r="D142" i="14"/>
  <c r="G142" i="14" s="1"/>
  <c r="G221" i="14"/>
  <c r="G222" i="14"/>
  <c r="G216" i="14"/>
  <c r="G219" i="14"/>
  <c r="G209" i="14"/>
  <c r="D210" i="14"/>
  <c r="G193" i="14"/>
  <c r="G139" i="14"/>
  <c r="G182" i="14"/>
  <c r="G183" i="14"/>
  <c r="F476" i="14"/>
  <c r="H64" i="14"/>
  <c r="D454" i="14"/>
  <c r="G454" i="14" s="1"/>
  <c r="G210" i="14" l="1"/>
  <c r="D211" i="14"/>
  <c r="D453" i="14"/>
  <c r="G453" i="14" s="1"/>
  <c r="D481" i="14"/>
  <c r="G481" i="14" s="1"/>
  <c r="D519" i="14"/>
  <c r="G519" i="14" s="1"/>
  <c r="D520" i="14"/>
  <c r="G520" i="14" s="1"/>
  <c r="D462" i="14"/>
  <c r="G462" i="14" s="1"/>
  <c r="G211" i="14" l="1"/>
  <c r="D213" i="14"/>
  <c r="D324" i="14"/>
  <c r="G324" i="14" s="1"/>
  <c r="D375" i="14" l="1"/>
  <c r="G375" i="14" s="1"/>
  <c r="G213" i="14"/>
  <c r="D214" i="14"/>
  <c r="G214" i="14" s="1"/>
  <c r="F215" i="14" s="1"/>
  <c r="G215" i="14" s="1"/>
  <c r="D374" i="14"/>
  <c r="G374" i="14" s="1"/>
  <c r="D379" i="14" l="1"/>
  <c r="G379" i="14" s="1"/>
  <c r="D472" i="14"/>
  <c r="D499" i="14"/>
  <c r="D401" i="14"/>
  <c r="G401" i="14" s="1"/>
  <c r="F114" i="23"/>
  <c r="G114" i="23" s="1"/>
  <c r="F113" i="23"/>
  <c r="G113" i="23" s="1"/>
  <c r="G472" i="14" l="1"/>
  <c r="G471" i="14"/>
  <c r="D495" i="14"/>
  <c r="G495" i="14" s="1"/>
  <c r="G242" i="14" l="1"/>
  <c r="G240" i="14"/>
  <c r="F82" i="23" l="1"/>
  <c r="G229" i="14" l="1"/>
  <c r="D233" i="14"/>
  <c r="G233" i="14" s="1"/>
  <c r="G122" i="23"/>
  <c r="F112" i="23"/>
  <c r="G112" i="23" s="1"/>
  <c r="D228" i="14" l="1"/>
  <c r="G228" i="14" s="1"/>
  <c r="G115" i="23"/>
  <c r="D227" i="14" s="1"/>
  <c r="G227" i="14" s="1"/>
  <c r="D234" i="14"/>
  <c r="G234" i="14" s="1"/>
  <c r="D476" i="14"/>
  <c r="G476" i="14" s="1"/>
  <c r="D466" i="14"/>
  <c r="G466" i="14" s="1"/>
  <c r="AH76" i="22" l="1"/>
  <c r="D258" i="14" s="1"/>
  <c r="G258" i="14" s="1"/>
  <c r="G295" i="14"/>
  <c r="AJ76" i="22"/>
  <c r="D267" i="14" s="1"/>
  <c r="G267" i="14" s="1"/>
  <c r="AL76" i="22" l="1"/>
  <c r="G13" i="14"/>
  <c r="G12" i="14"/>
  <c r="G11" i="14"/>
  <c r="G15" i="14"/>
  <c r="G14" i="14"/>
  <c r="G10" i="14"/>
  <c r="G9" i="14"/>
  <c r="G8" i="14"/>
  <c r="AI76" i="22" l="1"/>
  <c r="F16" i="14"/>
  <c r="G16" i="14" s="1"/>
  <c r="G17" i="14" s="1"/>
  <c r="G381" i="14" l="1"/>
  <c r="D261" i="14"/>
  <c r="G261" i="14" s="1"/>
  <c r="G22" i="14"/>
  <c r="G30" i="14"/>
  <c r="G25" i="14"/>
  <c r="G26" i="14"/>
  <c r="G29" i="14"/>
  <c r="G23" i="14" l="1"/>
  <c r="G28" i="14"/>
  <c r="G24" i="14"/>
  <c r="G20" i="14"/>
  <c r="G174" i="14" l="1"/>
  <c r="C259" i="14" l="1"/>
  <c r="D280" i="14"/>
  <c r="G280" i="14" s="1"/>
  <c r="G335" i="14" l="1"/>
  <c r="D275" i="14"/>
  <c r="G275" i="14" s="1"/>
  <c r="G237" i="14"/>
  <c r="G337" i="14"/>
  <c r="G338" i="14"/>
  <c r="D259" i="14"/>
  <c r="G336" i="14" l="1"/>
  <c r="D302" i="14"/>
  <c r="D540" i="14" l="1"/>
  <c r="G540" i="14" s="1"/>
  <c r="G27" i="14" l="1"/>
  <c r="F31" i="14" s="1"/>
  <c r="G31" i="14" s="1"/>
  <c r="G32" i="14" s="1"/>
  <c r="G163" i="14" l="1"/>
  <c r="G159" i="14"/>
  <c r="Q98" i="23"/>
  <c r="E99" i="23" s="1"/>
  <c r="D169" i="14" s="1"/>
  <c r="G169" i="14" s="1"/>
  <c r="P98" i="23"/>
  <c r="E100" i="23" s="1"/>
  <c r="D170" i="14" s="1"/>
  <c r="G170" i="14" s="1"/>
  <c r="O98" i="23"/>
  <c r="D171" i="14" s="1"/>
  <c r="G171" i="14" s="1"/>
  <c r="N98" i="23"/>
  <c r="D168" i="14" s="1"/>
  <c r="G168" i="14" s="1"/>
  <c r="M98" i="23"/>
  <c r="D167" i="14" s="1"/>
  <c r="G167" i="14" s="1"/>
  <c r="L98" i="23"/>
  <c r="D166" i="14" s="1"/>
  <c r="G166" i="14" s="1"/>
  <c r="K98" i="23"/>
  <c r="D165" i="14" s="1"/>
  <c r="G165" i="14" s="1"/>
  <c r="J98" i="23"/>
  <c r="D164" i="14" s="1"/>
  <c r="G164" i="14" s="1"/>
  <c r="H98" i="23"/>
  <c r="D161" i="14" s="1"/>
  <c r="G161" i="14" s="1"/>
  <c r="G98" i="23"/>
  <c r="F96" i="23"/>
  <c r="E96" i="23"/>
  <c r="I96" i="23" l="1"/>
  <c r="I98" i="23" s="1"/>
  <c r="D162" i="14" s="1"/>
  <c r="G162" i="14" s="1"/>
  <c r="E98" i="23"/>
  <c r="F98" i="23"/>
  <c r="D160" i="14" s="1"/>
  <c r="G160" i="14" s="1"/>
  <c r="G41" i="14" l="1"/>
  <c r="D156" i="14"/>
  <c r="D157" i="14" l="1"/>
  <c r="G156" i="14"/>
  <c r="G36" i="14"/>
  <c r="D158" i="14" l="1"/>
  <c r="G158" i="14" s="1"/>
  <c r="G157" i="14"/>
  <c r="G44" i="14" l="1"/>
  <c r="G43" i="14"/>
  <c r="Q49" i="23"/>
  <c r="E50" i="23" s="1"/>
  <c r="G83" i="23"/>
  <c r="F47" i="23"/>
  <c r="I47" i="23" s="1"/>
  <c r="E47" i="23"/>
  <c r="G115" i="14" s="1"/>
  <c r="I82" i="23"/>
  <c r="P83" i="23"/>
  <c r="E85" i="23" s="1"/>
  <c r="D134" i="14" s="1"/>
  <c r="G134" i="14" s="1"/>
  <c r="O83" i="23"/>
  <c r="N83" i="23"/>
  <c r="M83" i="23"/>
  <c r="L83" i="23"/>
  <c r="D130" i="14" s="1"/>
  <c r="G130" i="14" s="1"/>
  <c r="K83" i="23"/>
  <c r="D129" i="14" s="1"/>
  <c r="G129" i="14" s="1"/>
  <c r="J83" i="23"/>
  <c r="D128" i="14" s="1"/>
  <c r="G128" i="14" s="1"/>
  <c r="H83" i="23"/>
  <c r="F81" i="23"/>
  <c r="I81" i="23" s="1"/>
  <c r="F48" i="23"/>
  <c r="I48" i="23" s="1"/>
  <c r="E48" i="23"/>
  <c r="P49" i="23"/>
  <c r="E51" i="23" s="1"/>
  <c r="G40" i="14"/>
  <c r="D131" i="14" l="1"/>
  <c r="G131" i="14" s="1"/>
  <c r="D132" i="14"/>
  <c r="G132" i="14" s="1"/>
  <c r="D135" i="14"/>
  <c r="G135" i="14" s="1"/>
  <c r="D133" i="14"/>
  <c r="G133" i="14" s="1"/>
  <c r="D125" i="14"/>
  <c r="G125" i="14" s="1"/>
  <c r="I46" i="23"/>
  <c r="G39" i="14"/>
  <c r="F45" i="14" s="1"/>
  <c r="G45" i="14" s="1"/>
  <c r="G46" i="14" s="1"/>
  <c r="E83" i="23"/>
  <c r="D119" i="14" s="1"/>
  <c r="D120" i="14" s="1"/>
  <c r="D121" i="14" s="1"/>
  <c r="G122" i="14" s="1"/>
  <c r="F83" i="23"/>
  <c r="D124" i="14" s="1"/>
  <c r="G124" i="14" s="1"/>
  <c r="I83" i="23"/>
  <c r="D126" i="14" s="1"/>
  <c r="G126" i="14" s="1"/>
  <c r="G119" i="14" l="1"/>
  <c r="G120" i="14" l="1"/>
  <c r="G121" i="14" l="1"/>
  <c r="D60" i="14" l="1"/>
  <c r="D59" i="14"/>
  <c r="E28" i="23"/>
  <c r="G28" i="23" s="1"/>
  <c r="D55" i="14" s="1"/>
  <c r="F17" i="23"/>
  <c r="F4" i="23"/>
  <c r="F3" i="23"/>
  <c r="C537" i="14" l="1"/>
  <c r="C529" i="14"/>
  <c r="D450" i="14" l="1"/>
  <c r="G450" i="14" s="1"/>
  <c r="D449" i="14"/>
  <c r="G449" i="14" s="1"/>
  <c r="D458" i="14" l="1"/>
  <c r="G458" i="14" s="1"/>
  <c r="D432" i="14" l="1"/>
  <c r="G432" i="14" s="1"/>
  <c r="D444" i="14" l="1"/>
  <c r="G444" i="14" s="1"/>
  <c r="D410" i="14" l="1"/>
  <c r="G410" i="14" s="1"/>
  <c r="D411" i="14"/>
  <c r="D478" i="14"/>
  <c r="G478" i="14" s="1"/>
  <c r="H35" i="23"/>
  <c r="G39" i="23" s="1"/>
  <c r="D58" i="14" s="1"/>
  <c r="G411" i="14" l="1"/>
  <c r="D459" i="14"/>
  <c r="G459" i="14" s="1"/>
  <c r="J49" i="23" l="1"/>
  <c r="G20" i="23"/>
  <c r="G21" i="23" s="1"/>
  <c r="G17" i="23"/>
  <c r="G18" i="23" s="1"/>
  <c r="G24" i="23"/>
  <c r="G23" i="23"/>
  <c r="G35" i="23" l="1"/>
  <c r="G37" i="23" s="1"/>
  <c r="D57" i="14" s="1"/>
  <c r="E49" i="23"/>
  <c r="H49" i="23"/>
  <c r="F49" i="23"/>
  <c r="I49" i="23"/>
  <c r="G25" i="23"/>
  <c r="D56" i="14" s="1"/>
  <c r="G14" i="23"/>
  <c r="D53" i="14" s="1"/>
  <c r="G10" i="23" l="1"/>
  <c r="D54" i="14" s="1"/>
  <c r="G320" i="14" l="1"/>
  <c r="G319" i="14" l="1"/>
  <c r="G321" i="14"/>
  <c r="G60" i="14" l="1"/>
  <c r="O49" i="23"/>
  <c r="D80" i="14" s="1"/>
  <c r="D79" i="14"/>
  <c r="D78" i="14"/>
  <c r="G59" i="14"/>
  <c r="N49" i="23"/>
  <c r="D77" i="14" s="1"/>
  <c r="G77" i="14" s="1"/>
  <c r="M49" i="23"/>
  <c r="D76" i="14" s="1"/>
  <c r="L49" i="23"/>
  <c r="D74" i="14" s="1"/>
  <c r="K49" i="23"/>
  <c r="D73" i="14" s="1"/>
  <c r="D72" i="14"/>
  <c r="G53" i="14"/>
  <c r="G58" i="14"/>
  <c r="G3" i="23"/>
  <c r="G4" i="23"/>
  <c r="D68" i="14" l="1"/>
  <c r="D70" i="14"/>
  <c r="G57" i="14"/>
  <c r="D69" i="14"/>
  <c r="G5" i="23"/>
  <c r="D52" i="14" s="1"/>
  <c r="G52" i="14" l="1"/>
  <c r="G54" i="14"/>
  <c r="G56" i="14"/>
  <c r="G55" i="14"/>
  <c r="D451" i="14" l="1"/>
  <c r="G451" i="14" s="1"/>
  <c r="D448" i="14"/>
  <c r="G448" i="14" s="1"/>
  <c r="D438" i="14" l="1"/>
  <c r="G438" i="14" s="1"/>
  <c r="D425" i="14"/>
  <c r="G425" i="14" s="1"/>
  <c r="D424" i="14"/>
  <c r="G424" i="14" s="1"/>
  <c r="D465" i="14"/>
  <c r="G465" i="14" s="1"/>
  <c r="D439" i="14"/>
  <c r="G439" i="14" s="1"/>
  <c r="D512" i="14" l="1"/>
  <c r="G512" i="14" s="1"/>
  <c r="D392" i="14"/>
  <c r="G392" i="14" s="1"/>
  <c r="G276" i="14"/>
  <c r="D397" i="14"/>
  <c r="G397" i="14" s="1"/>
  <c r="D322" i="14" l="1"/>
  <c r="G322" i="14" s="1"/>
  <c r="D323" i="14"/>
  <c r="G323" i="14" s="1"/>
  <c r="D521" i="14" l="1"/>
  <c r="G521" i="14" s="1"/>
  <c r="D484" i="14" l="1"/>
  <c r="G484" i="14" l="1"/>
  <c r="D549" i="14"/>
  <c r="G549" i="14" s="1"/>
  <c r="G414" i="14" l="1"/>
  <c r="D533" i="14" l="1"/>
  <c r="G533" i="14" s="1"/>
  <c r="D412" i="14"/>
  <c r="D517" i="14"/>
  <c r="G517" i="14" s="1"/>
  <c r="H415" i="14" l="1"/>
  <c r="H549" i="14"/>
  <c r="H523" i="14"/>
  <c r="H484" i="14"/>
  <c r="D457" i="14"/>
  <c r="G457" i="14" s="1"/>
  <c r="G78" i="14"/>
  <c r="G73" i="14" l="1"/>
  <c r="G175" i="14" l="1"/>
  <c r="G80" i="14"/>
  <c r="G71" i="14"/>
  <c r="G67" i="14"/>
  <c r="G49" i="14"/>
  <c r="G69" i="14"/>
  <c r="D63" i="14"/>
  <c r="G68" i="14" l="1"/>
  <c r="G72" i="14"/>
  <c r="G79" i="14"/>
  <c r="G303" i="14" l="1"/>
  <c r="D64" i="14"/>
  <c r="G70" i="14"/>
  <c r="G63" i="14" l="1"/>
  <c r="D65" i="14"/>
  <c r="G64" i="14"/>
  <c r="G66" i="14" l="1"/>
  <c r="G65" i="14"/>
  <c r="D255" i="14" l="1"/>
  <c r="G255" i="14" s="1"/>
  <c r="G259" i="14" l="1"/>
  <c r="D254" i="14"/>
  <c r="G382" i="14"/>
  <c r="G284" i="14" l="1"/>
  <c r="D298" i="14"/>
  <c r="G298" i="14" s="1"/>
  <c r="D294" i="14"/>
  <c r="D413" i="14" l="1"/>
  <c r="G413" i="14" l="1"/>
  <c r="D447" i="14"/>
  <c r="G447" i="14" s="1"/>
  <c r="D405" i="14" l="1"/>
  <c r="G405" i="14" s="1"/>
  <c r="D386" i="14" l="1"/>
  <c r="D388" i="14"/>
  <c r="G388" i="14" s="1"/>
  <c r="D452" i="14" l="1"/>
  <c r="G452" i="14" s="1"/>
  <c r="G386" i="14"/>
  <c r="D536" i="14"/>
  <c r="G536" i="14" s="1"/>
  <c r="D523" i="14" l="1"/>
  <c r="D467" i="14"/>
  <c r="G467" i="14" s="1"/>
  <c r="G377" i="14" l="1"/>
  <c r="D468" i="14"/>
  <c r="G468" i="14" s="1"/>
  <c r="D500" i="14" l="1"/>
  <c r="G500" i="14" s="1"/>
  <c r="D409" i="14" l="1"/>
  <c r="G409" i="14" s="1"/>
  <c r="D493" i="14"/>
  <c r="G493" i="14" s="1"/>
  <c r="G238" i="14" l="1"/>
  <c r="G74" i="14"/>
  <c r="G236" i="14"/>
  <c r="G76" i="14"/>
  <c r="D330" i="14"/>
  <c r="F248" i="14" l="1"/>
  <c r="G248" i="14" s="1"/>
  <c r="G249" i="14" s="1"/>
  <c r="D299" i="14"/>
  <c r="G283" i="14"/>
  <c r="D433" i="14" l="1"/>
  <c r="G433" i="14" s="1"/>
  <c r="G330" i="14" l="1"/>
  <c r="F365" i="14" s="1"/>
  <c r="D518" i="14"/>
  <c r="D296" i="14" l="1"/>
  <c r="G518" i="14"/>
  <c r="D534" i="14" l="1"/>
  <c r="G534" i="14" s="1"/>
  <c r="D297" i="14" l="1"/>
  <c r="G299" i="14"/>
  <c r="D537" i="14" l="1"/>
  <c r="G537" i="14" s="1"/>
  <c r="D529" i="14"/>
  <c r="G529" i="14" s="1"/>
  <c r="D503" i="14"/>
  <c r="G503" i="14" s="1"/>
  <c r="D492" i="14"/>
  <c r="G302" i="14"/>
  <c r="G301" i="14"/>
  <c r="G297" i="14"/>
  <c r="D400" i="14" l="1"/>
  <c r="G523" i="14" l="1"/>
  <c r="G492" i="14"/>
  <c r="G415" i="14"/>
  <c r="G400" i="14"/>
  <c r="G296" i="14" l="1"/>
  <c r="F312" i="14" s="1"/>
  <c r="G499" i="14"/>
  <c r="G312" i="14" l="1"/>
  <c r="G313" i="14" s="1"/>
  <c r="D483" i="14"/>
  <c r="H313" i="14" l="1"/>
  <c r="G483" i="14"/>
  <c r="D442" i="14"/>
  <c r="G442" i="14" l="1"/>
  <c r="D506" i="14"/>
  <c r="G506" i="14" l="1"/>
  <c r="D496" i="14"/>
  <c r="G497" i="14" l="1"/>
  <c r="G496" i="14"/>
  <c r="D428" i="14"/>
  <c r="G428" i="14" s="1"/>
  <c r="D429" i="14"/>
  <c r="D437" i="14"/>
  <c r="D421" i="14"/>
  <c r="D436" i="14"/>
  <c r="G436" i="14" s="1"/>
  <c r="G437" i="14" l="1"/>
  <c r="D423" i="14"/>
  <c r="G421" i="14"/>
  <c r="D427" i="14"/>
  <c r="G429" i="14"/>
  <c r="G365" i="14" l="1"/>
  <c r="G366" i="14" s="1"/>
  <c r="G427" i="14"/>
  <c r="G426" i="14"/>
  <c r="G545" i="14"/>
  <c r="G423" i="14"/>
  <c r="D398" i="14"/>
  <c r="G398" i="14" s="1"/>
  <c r="D408" i="14"/>
  <c r="G408" i="14" s="1"/>
  <c r="D399" i="14"/>
  <c r="D406" i="14"/>
  <c r="G406" i="14" l="1"/>
  <c r="G412" i="14"/>
  <c r="G399" i="14"/>
  <c r="D402" i="14"/>
  <c r="G402" i="14" s="1"/>
  <c r="D403" i="14"/>
  <c r="G403" i="14" s="1"/>
  <c r="D479" i="14" l="1"/>
  <c r="G479" i="14" s="1"/>
  <c r="D477" i="14"/>
  <c r="D446" i="14"/>
  <c r="D445" i="14" s="1"/>
  <c r="D434" i="14"/>
  <c r="G434" i="14" l="1"/>
  <c r="G546" i="14"/>
  <c r="G446" i="14"/>
  <c r="G445" i="14"/>
  <c r="G477" i="14"/>
  <c r="D494" i="14" l="1"/>
  <c r="G494" i="14" s="1"/>
  <c r="D548" i="14" l="1"/>
  <c r="G548" i="14" s="1"/>
  <c r="G482" i="14"/>
  <c r="D372" i="14" l="1"/>
  <c r="D380" i="14"/>
  <c r="G380" i="14" s="1"/>
  <c r="G372" i="14" l="1"/>
  <c r="G373" i="14"/>
  <c r="D516" i="14"/>
  <c r="G516" i="14" s="1"/>
  <c r="D464" i="14" l="1"/>
  <c r="G464" i="14" s="1"/>
  <c r="D498" i="14"/>
  <c r="G498" i="14" s="1"/>
  <c r="D393" i="14" l="1"/>
  <c r="G393" i="14" s="1"/>
  <c r="D535" i="14"/>
  <c r="G535" i="14" s="1"/>
  <c r="D390" i="14"/>
  <c r="G390" i="14" s="1"/>
  <c r="D396" i="14"/>
  <c r="G396" i="14" s="1"/>
  <c r="D522" i="14" l="1"/>
  <c r="G522" i="14" s="1"/>
  <c r="D475" i="14" l="1"/>
  <c r="G475" i="14" s="1"/>
  <c r="D514" i="14"/>
  <c r="G514" i="14" s="1"/>
  <c r="G463" i="14"/>
  <c r="D505" i="14"/>
  <c r="G505" i="14" s="1"/>
  <c r="D507" i="14"/>
  <c r="G507" i="14" s="1"/>
  <c r="D443" i="14"/>
  <c r="G443" i="14" s="1"/>
  <c r="D469" i="14"/>
  <c r="G469" i="14" s="1"/>
  <c r="D391" i="14"/>
  <c r="G391" i="14" s="1"/>
  <c r="D460" i="14"/>
  <c r="G460" i="14" s="1"/>
  <c r="D404" i="14"/>
  <c r="G404" i="14" s="1"/>
  <c r="D502" i="14"/>
  <c r="G502" i="14" s="1"/>
  <c r="D538" i="14" l="1"/>
  <c r="G538" i="14" s="1"/>
  <c r="G455" i="14"/>
  <c r="D395" i="14"/>
  <c r="G395" i="14" s="1"/>
  <c r="D513" i="14"/>
  <c r="G513" i="14" s="1"/>
  <c r="D383" i="14"/>
  <c r="G383" i="14" s="1"/>
  <c r="D480" i="14"/>
  <c r="D547" i="14" s="1"/>
  <c r="D389" i="14"/>
  <c r="G389" i="14" s="1"/>
  <c r="G480" i="14" l="1"/>
  <c r="F486" i="14" s="1"/>
  <c r="G486" i="14" s="1"/>
  <c r="G547" i="14"/>
  <c r="D509" i="14"/>
  <c r="D532" i="14" l="1"/>
  <c r="G532" i="14" s="1"/>
  <c r="F551" i="14" s="1"/>
  <c r="G551" i="14" s="1"/>
  <c r="G552" i="14" s="1"/>
  <c r="D508" i="14"/>
  <c r="G509" i="14"/>
  <c r="D387" i="14"/>
  <c r="G387" i="14" s="1"/>
  <c r="G508" i="14" l="1"/>
  <c r="F524" i="14" s="1"/>
  <c r="G524" i="14" s="1"/>
  <c r="G487" i="14"/>
  <c r="H487" i="14" s="1"/>
  <c r="D491" i="14" l="1"/>
  <c r="G491" i="14" l="1"/>
  <c r="G525" i="14" s="1"/>
  <c r="D262" i="14"/>
  <c r="G262" i="14" s="1"/>
  <c r="H525" i="14" l="1"/>
  <c r="D270" i="14"/>
  <c r="G270" i="14" l="1"/>
  <c r="F271" i="14" l="1"/>
  <c r="G271" i="14" s="1"/>
  <c r="D277" i="14"/>
  <c r="G277" i="14" s="1"/>
  <c r="X71" i="22" l="1"/>
  <c r="D257" i="14" s="1"/>
  <c r="G257" i="14" s="1"/>
  <c r="AB71" i="22" l="1"/>
  <c r="D265" i="14" s="1"/>
  <c r="G265" i="14" s="1"/>
  <c r="F266" i="14" s="1"/>
  <c r="G266" i="14" s="1"/>
  <c r="Z71" i="22"/>
  <c r="D260" i="14" s="1"/>
  <c r="G260" i="14" s="1"/>
  <c r="F286" i="14" l="1"/>
  <c r="G286" i="14" s="1"/>
  <c r="F289" i="14" l="1"/>
  <c r="G289" i="14" s="1"/>
  <c r="G290" i="14" s="1"/>
  <c r="CM40" i="11"/>
  <c r="D376" i="14" s="1"/>
  <c r="G376" i="14" s="1"/>
  <c r="CH40" i="11"/>
  <c r="D384" i="14" s="1"/>
  <c r="G384" i="14" s="1"/>
  <c r="CK40" i="11" l="1"/>
  <c r="D378" i="14" s="1"/>
  <c r="G378" i="14" s="1"/>
  <c r="F417" i="14" s="1"/>
  <c r="G417" i="14" s="1"/>
  <c r="G418" i="14" s="1"/>
  <c r="G555" i="14" l="1"/>
  <c r="G557" i="14" s="1"/>
  <c r="H418" i="1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<sst xmlns="http://schemas.openxmlformats.org/spreadsheetml/2006/main" count="2147" uniqueCount="756">
  <si>
    <t>ml</t>
  </si>
  <si>
    <t>m²</t>
  </si>
  <si>
    <t>u</t>
  </si>
  <si>
    <t>TOTAL</t>
  </si>
  <si>
    <t>Surf.</t>
  </si>
  <si>
    <t>Périmètre</t>
  </si>
  <si>
    <t>Ht</t>
  </si>
  <si>
    <t>sol souple</t>
  </si>
  <si>
    <t>plafond acoustique</t>
  </si>
  <si>
    <t>plafond plâtre</t>
  </si>
  <si>
    <t>carrelage</t>
  </si>
  <si>
    <t>faience</t>
  </si>
  <si>
    <t>L</t>
  </si>
  <si>
    <t>l</t>
  </si>
  <si>
    <t>Placo collé</t>
  </si>
  <si>
    <t>plafond 60x60 humide</t>
  </si>
  <si>
    <t>Plinthes bois</t>
  </si>
  <si>
    <t>tapis brosse</t>
  </si>
  <si>
    <t>tarkett</t>
  </si>
  <si>
    <t>Côtés pris en compte pour calculs cloisons ou doublages</t>
  </si>
  <si>
    <t>PV CF 1h</t>
  </si>
  <si>
    <t>Retombées de plafonds</t>
  </si>
  <si>
    <t>Peinture murs</t>
  </si>
  <si>
    <t>a déduire sur cloisons, doublages porte 93</t>
  </si>
  <si>
    <t>a déduire sur cloisons, doublages porte 140</t>
  </si>
  <si>
    <t>PV hydrofuge</t>
  </si>
  <si>
    <t>Caisson wC</t>
  </si>
  <si>
    <t>peinture sol</t>
  </si>
  <si>
    <t>bande podo</t>
  </si>
  <si>
    <t>Cloisons SAD</t>
  </si>
  <si>
    <t>Plinthes droites</t>
  </si>
  <si>
    <t>sous dalle</t>
  </si>
  <si>
    <t>sous plafond</t>
  </si>
  <si>
    <t>a déduire sur cloisons, doublages chassis</t>
  </si>
  <si>
    <t xml:space="preserve">Peinture plafonds </t>
  </si>
  <si>
    <t>Côtés pris en compte pour calculs peinture</t>
  </si>
  <si>
    <t>Côtés pris en compte pour calculs faiences</t>
  </si>
  <si>
    <t>PV CF 2h</t>
  </si>
  <si>
    <t>Plan travail</t>
  </si>
  <si>
    <t>Ragreage</t>
  </si>
  <si>
    <t>cylindre en FP</t>
  </si>
  <si>
    <t>cylindre en Fourniture seul</t>
  </si>
  <si>
    <t>Plaques de signalisations "Porte coupe-feu"</t>
  </si>
  <si>
    <t>Plaques signalétiques sur locaux courants</t>
  </si>
  <si>
    <t>Cloisons 98/62</t>
  </si>
  <si>
    <t>a déduire pour peinture cloisons, doublages porte 93</t>
  </si>
  <si>
    <t>a déduire pour peinture sur cloisons, doublages porte 140</t>
  </si>
  <si>
    <t>a déduire pour peinture chassis</t>
  </si>
  <si>
    <t>a déduire sur plinthes porte 140</t>
  </si>
  <si>
    <t>a déduire sur plinthes chassis, divers</t>
  </si>
  <si>
    <t>Facade gaine technique</t>
  </si>
  <si>
    <t>Miroir</t>
  </si>
  <si>
    <t>Q</t>
  </si>
  <si>
    <t>U</t>
  </si>
  <si>
    <t>Ratios</t>
  </si>
  <si>
    <t>Montant €HT</t>
  </si>
  <si>
    <t>m2</t>
  </si>
  <si>
    <t>SECOND ŒUVRE</t>
  </si>
  <si>
    <t>Serrurerie</t>
  </si>
  <si>
    <t>Garde-corps</t>
  </si>
  <si>
    <t>Cloisons, doublages, plafonds</t>
  </si>
  <si>
    <t>Plus value marine</t>
  </si>
  <si>
    <t>Pose huisseries</t>
  </si>
  <si>
    <t>Plafond 60x60 acoustique</t>
  </si>
  <si>
    <t>Plafond 60x60 humide</t>
  </si>
  <si>
    <t>Retombées</t>
  </si>
  <si>
    <t>Caissons 4% des cloisons</t>
  </si>
  <si>
    <t>Divers</t>
  </si>
  <si>
    <t>ens</t>
  </si>
  <si>
    <t xml:space="preserve">Coulissante 93X204 </t>
  </si>
  <si>
    <t>Façade gaine technique</t>
  </si>
  <si>
    <t>Parquet</t>
  </si>
  <si>
    <t>Plan de travail</t>
  </si>
  <si>
    <t>Plinthes</t>
  </si>
  <si>
    <t>Miroirs</t>
  </si>
  <si>
    <t>Revêtements de sol</t>
  </si>
  <si>
    <t>Ragréage</t>
  </si>
  <si>
    <t>Sols souple</t>
  </si>
  <si>
    <t>Moquette</t>
  </si>
  <si>
    <t>Peinture de sol</t>
  </si>
  <si>
    <t>Tarkett mural</t>
  </si>
  <si>
    <t>Etanchéité</t>
  </si>
  <si>
    <t>Faïences</t>
  </si>
  <si>
    <t>Clous podotactiles</t>
  </si>
  <si>
    <t>Tapis de sol</t>
  </si>
  <si>
    <t>Siphons</t>
  </si>
  <si>
    <t>Peinture</t>
  </si>
  <si>
    <t>Peinture sur murs</t>
  </si>
  <si>
    <t xml:space="preserve">ESTIMATION </t>
  </si>
  <si>
    <t>DEP</t>
  </si>
  <si>
    <t>Surface</t>
  </si>
  <si>
    <t>Boites à eau</t>
  </si>
  <si>
    <t>Couvertines</t>
  </si>
  <si>
    <t>plafond CF1h</t>
  </si>
  <si>
    <t>Plafond ACOUSTIQUE</t>
  </si>
  <si>
    <t>Plafond plâtre</t>
  </si>
  <si>
    <t>Organigramme / cylindres</t>
  </si>
  <si>
    <t>Peinture sur plafonds</t>
  </si>
  <si>
    <t>Peinture sur plinthes</t>
  </si>
  <si>
    <t>Nettoyage</t>
  </si>
  <si>
    <t>Peinture sur retombées</t>
  </si>
  <si>
    <t>Façade (global)</t>
  </si>
  <si>
    <t>Echafaudage +1 ml</t>
  </si>
  <si>
    <t>Menuiseries extérieures</t>
  </si>
  <si>
    <t>Volets</t>
  </si>
  <si>
    <t>Nb</t>
  </si>
  <si>
    <t>Chassis
Total m²</t>
  </si>
  <si>
    <t>Linéaire Seuils</t>
  </si>
  <si>
    <t>RECAP</t>
  </si>
  <si>
    <t>Portes vitrees
Total m²</t>
  </si>
  <si>
    <t xml:space="preserve">Porte 93*204
PF1/2 </t>
  </si>
  <si>
    <t>Plafond plâtre ext. Isolé</t>
  </si>
  <si>
    <t>Grilles à ventelles</t>
  </si>
  <si>
    <t>Echafaudage</t>
  </si>
  <si>
    <t>Bavettes</t>
  </si>
  <si>
    <t>Intérieur</t>
  </si>
  <si>
    <t>Plafond Fibrastyrene</t>
  </si>
  <si>
    <t>Plafond CF 1h</t>
  </si>
  <si>
    <t>Caissons WC</t>
  </si>
  <si>
    <t>BP 93X204 PF 1/2h</t>
  </si>
  <si>
    <t>Etanchéité sol</t>
  </si>
  <si>
    <t>Peinture sur tablettes</t>
  </si>
  <si>
    <t xml:space="preserve"> </t>
  </si>
  <si>
    <t>FACADES NEUVES</t>
  </si>
  <si>
    <t>tarket sol</t>
  </si>
  <si>
    <t>fibrastyrène (plafond)</t>
  </si>
  <si>
    <t>siphon</t>
  </si>
  <si>
    <t>Vitrage intérieur</t>
  </si>
  <si>
    <t>PU €HT</t>
  </si>
  <si>
    <t>Ratio</t>
  </si>
  <si>
    <t>€HT/m²</t>
  </si>
  <si>
    <t>Barrière anti-capillarité</t>
  </si>
  <si>
    <t>Châssis de toit 100x100</t>
  </si>
  <si>
    <t>Enduit pelliculaire (plafond)</t>
  </si>
  <si>
    <t>Main courante</t>
  </si>
  <si>
    <t>Côtés pris en compte pour cloisons stratifiées</t>
  </si>
  <si>
    <t>Cloisons stratifiées sanitaires</t>
  </si>
  <si>
    <t>Meuble sous évier</t>
  </si>
  <si>
    <t>Peinture plafonds ext</t>
  </si>
  <si>
    <t>Plus value CF1h</t>
  </si>
  <si>
    <t>Plus value CF2h</t>
  </si>
  <si>
    <t>Plafond extérieur isolé</t>
  </si>
  <si>
    <t>Pose vitrage dans cloison</t>
  </si>
  <si>
    <t>Pose huisserie dans cloison</t>
  </si>
  <si>
    <t>Pose ens/menuisé</t>
  </si>
  <si>
    <t>Ensemble vitré</t>
  </si>
  <si>
    <t xml:space="preserve"> - cylindre en FP</t>
  </si>
  <si>
    <t>Cloisons stratifiées pour WC</t>
  </si>
  <si>
    <t>Tarkett sol</t>
  </si>
  <si>
    <t>Signalétique locaux courants</t>
  </si>
  <si>
    <t>Signalétique locaux CF</t>
  </si>
  <si>
    <t>Peinture sur plafonds extérieurs</t>
  </si>
  <si>
    <t>Reprises au droit des cloisons démolies</t>
  </si>
  <si>
    <t>Nb / ml</t>
  </si>
  <si>
    <t>FACADES - ITE / BARDAGE</t>
  </si>
  <si>
    <t>Traitements points particuliers (3% total)</t>
  </si>
  <si>
    <t>Descente EP</t>
  </si>
  <si>
    <t>Menuiseries intérieures bois</t>
  </si>
  <si>
    <t>Surface toitures</t>
  </si>
  <si>
    <t>Total</t>
  </si>
  <si>
    <t>JD</t>
  </si>
  <si>
    <t>Naissances EP</t>
  </si>
  <si>
    <t>Trop plein</t>
  </si>
  <si>
    <t>Sorties de toiture</t>
  </si>
  <si>
    <t>COUVERTURE - ETANCHETE</t>
  </si>
  <si>
    <t>Installation de chantier</t>
  </si>
  <si>
    <t>Pare vapeur</t>
  </si>
  <si>
    <t>Isolation</t>
  </si>
  <si>
    <t>Protection gravillon</t>
  </si>
  <si>
    <t>Relevés d'étanchéité</t>
  </si>
  <si>
    <t>Solins</t>
  </si>
  <si>
    <t>Châssis de désenfumage</t>
  </si>
  <si>
    <t>Points d'ancrage</t>
  </si>
  <si>
    <t>Traitement JD</t>
  </si>
  <si>
    <t>Végétalisation (PV)</t>
  </si>
  <si>
    <t>Ratio m² façade</t>
  </si>
  <si>
    <t>Total Façade</t>
  </si>
  <si>
    <t>Gaine  Désenfum.</t>
  </si>
  <si>
    <t>plafond 60x120</t>
  </si>
  <si>
    <t>Prof</t>
  </si>
  <si>
    <t>Caillebotis balcons</t>
  </si>
  <si>
    <t>Simple
 garde-corps</t>
  </si>
  <si>
    <t>Ebrasements menuiseries ext</t>
  </si>
  <si>
    <t>Plafond 120x60</t>
  </si>
  <si>
    <t>Trappes de visite</t>
  </si>
  <si>
    <t>Intégration grilles ventil.</t>
  </si>
  <si>
    <t>nb châssis
u</t>
  </si>
  <si>
    <t>Préparation sols</t>
  </si>
  <si>
    <t>Remontées en Plinthes SdB</t>
  </si>
  <si>
    <t>marches contrastées</t>
  </si>
  <si>
    <t>Marches contrastées</t>
  </si>
  <si>
    <t>JD au sol</t>
  </si>
  <si>
    <t>Caissons techniques CF linteaux</t>
  </si>
  <si>
    <t>Enduit pelliculaire plafonds</t>
  </si>
  <si>
    <t>Peinture sur caissons techniques linteaux</t>
  </si>
  <si>
    <t>Mains courantes escaliers</t>
  </si>
  <si>
    <t>Garde-corps escaliers</t>
  </si>
  <si>
    <t>Doublage technique</t>
  </si>
  <si>
    <t>Doublage technique des murs</t>
  </si>
  <si>
    <t>Gaines désenfumage</t>
  </si>
  <si>
    <t>total</t>
  </si>
  <si>
    <t>habillage coffre volet ml</t>
  </si>
  <si>
    <t>Tôle</t>
  </si>
  <si>
    <t>avec tôle
ml</t>
  </si>
  <si>
    <t>avec barreaudage
ml</t>
  </si>
  <si>
    <t>avec lisse horizontale
ml</t>
  </si>
  <si>
    <t>Doublage Isolant</t>
  </si>
  <si>
    <t>Anti pince doigt</t>
  </si>
  <si>
    <t>Anti-pince doigt</t>
  </si>
  <si>
    <t>placard techique</t>
  </si>
  <si>
    <t>placard coulissant</t>
  </si>
  <si>
    <t>Plinthes en remontées</t>
  </si>
  <si>
    <t>Porte SdB 113 + Contrôle accès</t>
  </si>
  <si>
    <t>BP 113X204 SdB + C.Accès</t>
  </si>
  <si>
    <t>Contrôle d'accès</t>
  </si>
  <si>
    <t xml:space="preserve"> - Contrôle d'accès</t>
  </si>
  <si>
    <t>seuils porte ext.</t>
  </si>
  <si>
    <t>isolation therm plafond</t>
  </si>
  <si>
    <t>isolation phonique plafond</t>
  </si>
  <si>
    <t>Isolant phonique en plafond</t>
  </si>
  <si>
    <t>Isolant therm.déroulé en plafond</t>
  </si>
  <si>
    <t>Placards technique battants</t>
  </si>
  <si>
    <t>Porte 93 int. Logement WC</t>
  </si>
  <si>
    <t>BP 93X204 int.logement WC</t>
  </si>
  <si>
    <t xml:space="preserve">Porte 93 int. Logement </t>
  </si>
  <si>
    <t xml:space="preserve">BP 93X204 int.logement </t>
  </si>
  <si>
    <t>Porte isolée 150x204</t>
  </si>
  <si>
    <t>BP 150x 204  isolée</t>
  </si>
  <si>
    <t>Serrures elec.</t>
  </si>
  <si>
    <t>Contrôle d'accès avec penne</t>
  </si>
  <si>
    <t xml:space="preserve"> - Serrures électriques</t>
  </si>
  <si>
    <t xml:space="preserve"> - Contrôle d'accès avec penne</t>
  </si>
  <si>
    <t xml:space="preserve"> - Cylindre en fourniture seule</t>
  </si>
  <si>
    <t>Cloison 98/48</t>
  </si>
  <si>
    <t>+ isolant</t>
  </si>
  <si>
    <t>Surface toitures tuile</t>
  </si>
  <si>
    <t>en plan</t>
  </si>
  <si>
    <t>pente</t>
  </si>
  <si>
    <t>en pente</t>
  </si>
  <si>
    <t>TUILES</t>
  </si>
  <si>
    <t>Faitage</t>
  </si>
  <si>
    <t>Rive</t>
  </si>
  <si>
    <t>DEP, y.c. dauphins</t>
  </si>
  <si>
    <t>Couverture tuile</t>
  </si>
  <si>
    <t>Débord de toit</t>
  </si>
  <si>
    <t>Dauphins</t>
  </si>
  <si>
    <t>Relevés</t>
  </si>
  <si>
    <t>Naissances</t>
  </si>
  <si>
    <t>ETANCHEITE SUR DALLE BA</t>
  </si>
  <si>
    <t>ETANCHEITES SUR DALLES BA</t>
  </si>
  <si>
    <t>Sortie de toitures</t>
  </si>
  <si>
    <t>Chassis de désenfumage</t>
  </si>
  <si>
    <t>Gouttières + planche d'égout</t>
  </si>
  <si>
    <t>Verrière</t>
  </si>
  <si>
    <t xml:space="preserve"> - Nez de marches</t>
  </si>
  <si>
    <t xml:space="preserve"> - Clous podotactiles</t>
  </si>
  <si>
    <t xml:space="preserve"> - Marches contrastées</t>
  </si>
  <si>
    <t xml:space="preserve">  </t>
  </si>
  <si>
    <t>Rive rejet d'eau</t>
  </si>
  <si>
    <t>Egoût (planche + gouttière)</t>
  </si>
  <si>
    <t>Arêtier</t>
  </si>
  <si>
    <t>Chéneau encastré</t>
  </si>
  <si>
    <t>Total sans dauphins</t>
  </si>
  <si>
    <t>Total DFP ,yc dauphins</t>
  </si>
  <si>
    <t>BP 113X204 avec occulus CF 1/2 H</t>
  </si>
  <si>
    <t>Plaques signalétiques sur locaux WC</t>
  </si>
  <si>
    <t>Signalétique WC</t>
  </si>
  <si>
    <t>BP 93X204 CF 1/2h + FP</t>
  </si>
  <si>
    <t>Porte 93*204
CF1/2 + FP</t>
  </si>
  <si>
    <t>coussin acoustique
diam- 120</t>
  </si>
  <si>
    <t>coussin acoustique
diam- 80</t>
  </si>
  <si>
    <t>Coussin acoustique diam- 120</t>
  </si>
  <si>
    <t>Coussin acoustique diam- 80</t>
  </si>
  <si>
    <t>m3</t>
  </si>
  <si>
    <t>Gaine  Techniques</t>
  </si>
  <si>
    <t>Gaines techniques</t>
  </si>
  <si>
    <t>Etagères</t>
  </si>
  <si>
    <t>Poignée de tirage</t>
  </si>
  <si>
    <t>Béquilles rallongées</t>
  </si>
  <si>
    <t>Poignée tirage</t>
  </si>
  <si>
    <t>Béquille rallongée</t>
  </si>
  <si>
    <t>Liteaux + contre liteaux - écran</t>
  </si>
  <si>
    <t>Porte 93*204
CF1/2 + Occulus</t>
  </si>
  <si>
    <t>Garde-corps fenêtre</t>
  </si>
  <si>
    <t>Store intérieur</t>
  </si>
  <si>
    <t>Stores intérieurs</t>
  </si>
  <si>
    <t>Ajout FP sur portes</t>
  </si>
  <si>
    <t>Trappe de visite</t>
  </si>
  <si>
    <t>Gache électrique</t>
  </si>
  <si>
    <t>ventouse</t>
  </si>
  <si>
    <t xml:space="preserve"> - Gache electrique</t>
  </si>
  <si>
    <t xml:space="preserve"> - ventouse</t>
  </si>
  <si>
    <t xml:space="preserve">Etanchéité sol </t>
  </si>
  <si>
    <t xml:space="preserve">Peinture sur huisseries </t>
  </si>
  <si>
    <t>Peinture sur ens.vitrés</t>
  </si>
  <si>
    <t>Enduit projeté plafond</t>
  </si>
  <si>
    <t>Enduit projeté mur</t>
  </si>
  <si>
    <t>Côtés pris en compte pour calculs habillage bois</t>
  </si>
  <si>
    <t>Habillage bois murs</t>
  </si>
  <si>
    <t>BSO</t>
  </si>
  <si>
    <t>longeur</t>
  </si>
  <si>
    <t>largeur</t>
  </si>
  <si>
    <t xml:space="preserve">Faitage </t>
  </si>
  <si>
    <t>Plus value Volets</t>
  </si>
  <si>
    <t>DOJO</t>
  </si>
  <si>
    <t>ENTREE</t>
  </si>
  <si>
    <t>intérieures</t>
  </si>
  <si>
    <t>Désenfumage</t>
  </si>
  <si>
    <t>Sorties toiture</t>
  </si>
  <si>
    <t>MOB</t>
  </si>
  <si>
    <t>ETANCHEITE SUR BAC ACIER</t>
  </si>
  <si>
    <t>Bac acier</t>
  </si>
  <si>
    <t>CHARPENTE BOIS</t>
  </si>
  <si>
    <t>Fermes LC</t>
  </si>
  <si>
    <t>Pannes LC</t>
  </si>
  <si>
    <t>ETANCHEITES SUR PLANCHER BOIS</t>
  </si>
  <si>
    <t xml:space="preserve">ETANCHEITES SUR BAC ACIER </t>
  </si>
  <si>
    <t>ETANCHEITE SUR CHARPENTE BOIS</t>
  </si>
  <si>
    <t>Lignotrend</t>
  </si>
  <si>
    <t>Lasure plafond</t>
  </si>
  <si>
    <t>Peinture sur plafonds (lasure)</t>
  </si>
  <si>
    <t>Carrelage antidérapant</t>
  </si>
  <si>
    <t>Carrelage / Sol dur</t>
  </si>
  <si>
    <t>Carrelage / Sol dur antidérapant</t>
  </si>
  <si>
    <t xml:space="preserve">Porte 93*204 métal
CF1/2H </t>
  </si>
  <si>
    <t>Côtés pris en compte pour habillage pierre intérieur</t>
  </si>
  <si>
    <t>Pierre intérieure murs</t>
  </si>
  <si>
    <t>Habillage pierre intérieur</t>
  </si>
  <si>
    <t>Côtés pris en compte pour meubles bois</t>
  </si>
  <si>
    <t>Meubles bois / façades</t>
  </si>
  <si>
    <t>Banque d'accueil</t>
  </si>
  <si>
    <t>Bardage panneau sandwich</t>
  </si>
  <si>
    <t xml:space="preserve"> - Mains courantes</t>
  </si>
  <si>
    <t>Cloisons bois - vestiaires entrée</t>
  </si>
  <si>
    <t>Habillage mural des murs en bois</t>
  </si>
  <si>
    <t xml:space="preserve">Ratio </t>
  </si>
  <si>
    <t>Seuils portes</t>
  </si>
  <si>
    <t>ETANCHEITE ENTERREE</t>
  </si>
  <si>
    <t>Murs enterrés</t>
  </si>
  <si>
    <t>GROS ŒUVRE</t>
  </si>
  <si>
    <t>Infrastructures</t>
  </si>
  <si>
    <t>Voiles</t>
  </si>
  <si>
    <t>Plancher 20+5</t>
  </si>
  <si>
    <t>Plancher 20</t>
  </si>
  <si>
    <t>Réseaux sous dallage</t>
  </si>
  <si>
    <t>Remblais sous dallage</t>
  </si>
  <si>
    <t>Travaux divers</t>
  </si>
  <si>
    <t>Terrassements généraux</t>
  </si>
  <si>
    <t>PV évacuation du site</t>
  </si>
  <si>
    <t>Parvis béton</t>
  </si>
  <si>
    <t>Espaces verts</t>
  </si>
  <si>
    <t>Plantations, divers</t>
  </si>
  <si>
    <t>Divers (5%)</t>
  </si>
  <si>
    <t>Voirie, parkings</t>
  </si>
  <si>
    <t>Allée , cour de service</t>
  </si>
  <si>
    <t xml:space="preserve">VRD </t>
  </si>
  <si>
    <t>Terrasse sur l'avant</t>
  </si>
  <si>
    <t>Terrasse patio</t>
  </si>
  <si>
    <t>Patio végétalisé</t>
  </si>
  <si>
    <t>Ratio bâtiment</t>
  </si>
  <si>
    <t>Plafond lames bois</t>
  </si>
  <si>
    <t>Parquet rénovation</t>
  </si>
  <si>
    <t>BOIS</t>
  </si>
  <si>
    <t>Menuiserie remise en peinture
Total m²</t>
  </si>
  <si>
    <t>reperage</t>
  </si>
  <si>
    <t>Garde-corps contemporain</t>
  </si>
  <si>
    <t>Extérieur</t>
  </si>
  <si>
    <t xml:space="preserve"> - Simple garde corps (lisse)</t>
  </si>
  <si>
    <t xml:space="preserve"> - Garde-corps contemporain</t>
  </si>
  <si>
    <t xml:space="preserve"> - Simple garde corps (avec tôle)</t>
  </si>
  <si>
    <t xml:space="preserve"> - Simple garde corps (avec barreaudage)</t>
  </si>
  <si>
    <t>Plus value BSO</t>
  </si>
  <si>
    <t xml:space="preserve">MENUISERIES EXTERIEURES </t>
  </si>
  <si>
    <t>Remise en peinture menuiseries extérieures</t>
  </si>
  <si>
    <t>garde-corps contemporain R+2</t>
  </si>
  <si>
    <t>Lisse garde-corps R+1</t>
  </si>
  <si>
    <t>Ravalement enduits</t>
  </si>
  <si>
    <t>ARDOISES</t>
  </si>
  <si>
    <t>Surface toitures Ardoise</t>
  </si>
  <si>
    <t>de face</t>
  </si>
  <si>
    <t>Facade B-C</t>
  </si>
  <si>
    <t>Rapport pente</t>
  </si>
  <si>
    <t>Facade E-F</t>
  </si>
  <si>
    <t>CUIVRE</t>
  </si>
  <si>
    <t>Surface panneaux Cuivre</t>
  </si>
  <si>
    <t>TOITURE ARDOISE / CUIVRE</t>
  </si>
  <si>
    <t>Châssis de toiture</t>
  </si>
  <si>
    <t>CHARPENTE  BOIS</t>
  </si>
  <si>
    <t>Enduit existant / ravalement</t>
  </si>
  <si>
    <t>Descente EP neuve</t>
  </si>
  <si>
    <t>Couverture ardoise neuve</t>
  </si>
  <si>
    <t>Révision de couverture</t>
  </si>
  <si>
    <t>Facade C-D</t>
  </si>
  <si>
    <t>Facade G-H</t>
  </si>
  <si>
    <t>Chéneaux</t>
  </si>
  <si>
    <t xml:space="preserve">    Dépose des DEP existantes</t>
  </si>
  <si>
    <t>ZINC</t>
  </si>
  <si>
    <t>Local technique en toiture / Habillage cuivre</t>
  </si>
  <si>
    <t>Fermeture LT :</t>
  </si>
  <si>
    <t xml:space="preserve">     - structure</t>
  </si>
  <si>
    <t xml:space="preserve">     - bardage cuivre</t>
  </si>
  <si>
    <r>
      <t xml:space="preserve">Peinture plafonds </t>
    </r>
    <r>
      <rPr>
        <sz val="10"/>
        <rFont val="Calibri"/>
        <family val="2"/>
        <scheme val="minor"/>
      </rPr>
      <t>retombées</t>
    </r>
  </si>
  <si>
    <t>seuils de transition</t>
  </si>
  <si>
    <t>PV Plafond hydrofuge</t>
  </si>
  <si>
    <t>PV plafond hydrofuge</t>
  </si>
  <si>
    <t>PV Pregywap</t>
  </si>
  <si>
    <t>Plus value Pregywap</t>
  </si>
  <si>
    <t>Banc</t>
  </si>
  <si>
    <t>Casiers</t>
  </si>
  <si>
    <t>tablettes bois</t>
  </si>
  <si>
    <t>tablettes résine</t>
  </si>
  <si>
    <t>Tablettes bois</t>
  </si>
  <si>
    <t>Tablettes résine</t>
  </si>
  <si>
    <t>moquette</t>
  </si>
  <si>
    <t>reprise sol paliers escalier pierre</t>
  </si>
  <si>
    <t>reprise sol marches escalier pierre</t>
  </si>
  <si>
    <t>Reprise sol escalier / paliers</t>
  </si>
  <si>
    <t>Reprise sol escalier / marches</t>
  </si>
  <si>
    <t>Réha. Garde-corps escaliers existant</t>
  </si>
  <si>
    <t xml:space="preserve"> - Garde-corps</t>
  </si>
  <si>
    <t xml:space="preserve"> - Garde-corps existant / réha</t>
  </si>
  <si>
    <t>panneau CTBH</t>
  </si>
  <si>
    <t>Panneaux CTBH</t>
  </si>
  <si>
    <t>Chape</t>
  </si>
  <si>
    <t>Porte paliere chambre</t>
  </si>
  <si>
    <t>BP 93X204 paliere chambre</t>
  </si>
  <si>
    <t xml:space="preserve">ml </t>
  </si>
  <si>
    <t>Remise en état plafond plâtre classé</t>
  </si>
  <si>
    <t>Remise en état panneaux bois muraux</t>
  </si>
  <si>
    <t xml:space="preserve">Remise en état panneaux bois </t>
  </si>
  <si>
    <t xml:space="preserve">BP DAS 93+53 x 204 </t>
  </si>
  <si>
    <t>Porte bois en révision</t>
  </si>
  <si>
    <t>BP bois en révision / classée</t>
  </si>
  <si>
    <t>Désenfumage / chassis</t>
  </si>
  <si>
    <t>Châssis de désenfumage / éclairage</t>
  </si>
  <si>
    <t>escalier neuf en bois</t>
  </si>
  <si>
    <t>Nouvel escalier en bois</t>
  </si>
  <si>
    <t>Remise en état escalier bois</t>
  </si>
  <si>
    <t>réparation escalier bois classé</t>
  </si>
  <si>
    <t>traitement ébrasements</t>
  </si>
  <si>
    <t>Isolation des ébrasements</t>
  </si>
  <si>
    <t>lot revet.sol</t>
  </si>
  <si>
    <t>Enduits neufs refaits</t>
  </si>
  <si>
    <t>Dépose des menuiseries existantes</t>
  </si>
  <si>
    <t>Ragreage fibré</t>
  </si>
  <si>
    <t>Ragréage fibré</t>
  </si>
  <si>
    <t>Doublage MOB</t>
  </si>
  <si>
    <t xml:space="preserve">Doublage MOB </t>
  </si>
  <si>
    <t>Etanchéité à l'air des parois</t>
  </si>
  <si>
    <t>Etanchéité à l'air des plafonds</t>
  </si>
  <si>
    <t>tanchéité à l'air plafond</t>
  </si>
  <si>
    <t>Etanchéité à l'air murs</t>
  </si>
  <si>
    <t>Chéneau</t>
  </si>
  <si>
    <t>Pissettes</t>
  </si>
  <si>
    <t>Sorties</t>
  </si>
  <si>
    <t>Faitage ventilé double</t>
  </si>
  <si>
    <t>Faitage ventilé simple</t>
  </si>
  <si>
    <t>Bandes de rive</t>
  </si>
  <si>
    <t>Couverture chaude double peau</t>
  </si>
  <si>
    <t>Bac acier 1er peau</t>
  </si>
  <si>
    <t>Isolant de 350 mm avec R=10.60 m².K/W</t>
  </si>
  <si>
    <t>Bac acier 2eme peau</t>
  </si>
  <si>
    <t>Zinguerie</t>
  </si>
  <si>
    <t>Faîtage simple</t>
  </si>
  <si>
    <t>Gouttière</t>
  </si>
  <si>
    <t>Naissances EP dans gouttière</t>
  </si>
  <si>
    <t>Tuyaux de descente en zinc extérieur</t>
  </si>
  <si>
    <t>ML</t>
  </si>
  <si>
    <t>Sortie de toiture diamètre 100</t>
  </si>
  <si>
    <t>Point d'ancrage de sécurité</t>
  </si>
  <si>
    <t>COUVERTURE CHAUDE DOUBLE PEAU</t>
  </si>
  <si>
    <t>Etanchéité bicouche avec végétalisation extensive sur bac acier penté</t>
  </si>
  <si>
    <t>Complexe d'étanchéité</t>
  </si>
  <si>
    <t>Complexe végétalisée</t>
  </si>
  <si>
    <t>Zone stérile</t>
  </si>
  <si>
    <t>Relevé d'étanchéité</t>
  </si>
  <si>
    <t>Couvertines - solins</t>
  </si>
  <si>
    <t>Solin</t>
  </si>
  <si>
    <t>Naissances EP dans étanchéité</t>
  </si>
  <si>
    <t>Gardes corps de protection en toiture</t>
  </si>
  <si>
    <t>Point d'ancrage</t>
  </si>
  <si>
    <t>Puits de lumière - diamètre 800</t>
  </si>
  <si>
    <t>COUVERTURE POLYCARBONATE</t>
  </si>
  <si>
    <t>Couverture</t>
  </si>
  <si>
    <t>Couverture translucide Danpalon</t>
  </si>
  <si>
    <t>Profilés d'encadrement</t>
  </si>
  <si>
    <t>COUVERTURE EN ZINC A JOINTS DEBOUT</t>
  </si>
  <si>
    <t>OSSATURE BOIS SUPPORT</t>
  </si>
  <si>
    <t>Tasseautage bois 27x250 support  + PV</t>
  </si>
  <si>
    <t xml:space="preserve">Isolation R ³ 7.50 (M².K/W) + pare pluie sous bardage zinc à joint debout </t>
  </si>
  <si>
    <t>Voligeage support de couverture et bardage zinc</t>
  </si>
  <si>
    <t>COUVERTURE ZINC</t>
  </si>
  <si>
    <t>Ecran de sous-toiture</t>
  </si>
  <si>
    <t>Traitement des parties courantes en rampant</t>
  </si>
  <si>
    <t>Traitement des points singuliers et ouvrages accessoires</t>
  </si>
  <si>
    <t>ENS</t>
  </si>
  <si>
    <t>M2</t>
  </si>
  <si>
    <t>Faîtage ventilé double</t>
  </si>
  <si>
    <t>Faîtage ventilé simple</t>
  </si>
  <si>
    <t>Gouttière ventilée</t>
  </si>
  <si>
    <t>Traitement de la parties courantes verticales</t>
  </si>
  <si>
    <t>Habillage des ébrasement des ouvertures</t>
  </si>
  <si>
    <t>ETANCHEITE BICOUCHE SUR BAC AVEC VEGETALISATION EXTENSIVE</t>
  </si>
  <si>
    <t>ITE</t>
  </si>
  <si>
    <t>Porte pleine
Total m²</t>
  </si>
  <si>
    <t>Habillage bois / grille bois</t>
  </si>
  <si>
    <t xml:space="preserve">Portes pleines </t>
  </si>
  <si>
    <t>Encadrements ITE</t>
  </si>
  <si>
    <t>Encadrements Carrelet vieilli</t>
  </si>
  <si>
    <t>Linéaire bavettes alu</t>
  </si>
  <si>
    <t>Linéaire bavettes zinc</t>
  </si>
  <si>
    <t xml:space="preserve">    Ebrasement </t>
  </si>
  <si>
    <t>au lot menuiseries ext.</t>
  </si>
  <si>
    <t>Cables inox</t>
  </si>
  <si>
    <t>Cable inox</t>
  </si>
  <si>
    <t>PVC</t>
  </si>
  <si>
    <t>BOIS ALU</t>
  </si>
  <si>
    <t>ALU</t>
  </si>
  <si>
    <t>VITRAGE</t>
  </si>
  <si>
    <t>Au lot Serrurerie</t>
  </si>
  <si>
    <t>BAL</t>
  </si>
  <si>
    <t>Kitchenette</t>
  </si>
  <si>
    <t>Acrovyn</t>
  </si>
  <si>
    <t>Porte 93+93*204 + oculus</t>
  </si>
  <si>
    <t>BP  93+93 x 204 +oculus</t>
  </si>
  <si>
    <t xml:space="preserve">BP 93X204 CF 1/2h + Occulus </t>
  </si>
  <si>
    <t>Chape sur plancher chauffant</t>
  </si>
  <si>
    <t>Seuils de transition</t>
  </si>
  <si>
    <t>Revet.Acoustique mural à coller</t>
  </si>
  <si>
    <t>Revt.mural acoustique à coller</t>
  </si>
  <si>
    <t>Encadrements ravalement</t>
  </si>
  <si>
    <t xml:space="preserve">    Ebrasement Ravalement</t>
  </si>
  <si>
    <t>Surface toitures Zinc</t>
  </si>
  <si>
    <t>Avancée de toit</t>
  </si>
  <si>
    <t>Total DEP sans dauphins</t>
  </si>
  <si>
    <t>Pissettes / Trop plein</t>
  </si>
  <si>
    <t>ETANCHEITES SUR DALLES BA AVEC VEGETALISATION</t>
  </si>
  <si>
    <t>Toiture</t>
  </si>
  <si>
    <t>Végétalisation</t>
  </si>
  <si>
    <t>Bande stérile</t>
  </si>
  <si>
    <t>chassis Désenf.</t>
  </si>
  <si>
    <t>Garde-corps sécurité</t>
  </si>
  <si>
    <t>ETANCHEITE SUR DALLE BA AVEC VEGETALISATION</t>
  </si>
  <si>
    <t>Garde corps (code du travail)</t>
  </si>
  <si>
    <t>BAC ACIER SIMPLE</t>
  </si>
  <si>
    <t>Bande de rives</t>
  </si>
  <si>
    <t>Cheneau</t>
  </si>
  <si>
    <t>ETANCHEITES SUR BAC ACIER AVEC VEGETALISATION</t>
  </si>
  <si>
    <t>Couvertine</t>
  </si>
  <si>
    <t>SIMPLE  BAC ACIER</t>
  </si>
  <si>
    <t>BAC ACIER DOUBLE PEAU</t>
  </si>
  <si>
    <t>TOITURE POLYCARBONATE</t>
  </si>
  <si>
    <t>Profilé d'encastrament</t>
  </si>
  <si>
    <t>Chassis désenf.</t>
  </si>
  <si>
    <t>Isolant de 53 mm avec R=2,52 m².K/W</t>
  </si>
  <si>
    <t>H</t>
  </si>
  <si>
    <t>Reprise plancher bois :</t>
  </si>
  <si>
    <t>Dépose de l'existant</t>
  </si>
  <si>
    <t>Solives bois 10x20</t>
  </si>
  <si>
    <t>Remise en peinture portes coulissantes</t>
  </si>
  <si>
    <t>Nouvelles fenêtres vers atelier</t>
  </si>
  <si>
    <t>Signalétique</t>
  </si>
  <si>
    <t>Bardage fibro ciment  rainuré de couleur gis béton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</si>
  <si>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</si>
  <si>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-</t>
  </si>
  <si>
    <t>Dalles ascenseur</t>
  </si>
  <si>
    <t>(en retombée sur toiture végét.)</t>
  </si>
  <si>
    <t>Ascenseurs</t>
  </si>
  <si>
    <t>Locaux courants</t>
  </si>
  <si>
    <t>grlles de ventilation
Total m²</t>
  </si>
  <si>
    <t>Claustra Bois rapporté devant châssis</t>
  </si>
  <si>
    <t>ITE Soubassements</t>
  </si>
  <si>
    <t>Tôle habillage BSO</t>
  </si>
  <si>
    <t>inclus dans poste gris béton</t>
  </si>
  <si>
    <t>Vitrage ALU sans VR</t>
  </si>
  <si>
    <t xml:space="preserve">Portes vitrées ALU </t>
  </si>
  <si>
    <t>Enduit plâtre murs</t>
  </si>
  <si>
    <t>Porte 93+93*204
CF1/2 + FP</t>
  </si>
  <si>
    <t>BP 93+93X204 CF 1/2h + FP</t>
  </si>
  <si>
    <t>Porte 83+83*204 DAS</t>
  </si>
  <si>
    <t>Porte 93+43*204
CF1/2</t>
  </si>
  <si>
    <t>BP 93+43X204 PF 1/2h</t>
  </si>
  <si>
    <t xml:space="preserve"> - Diam.100</t>
  </si>
  <si>
    <t xml:space="preserve"> - Diam.250</t>
  </si>
  <si>
    <t xml:space="preserve"> - Désenfumage 60x60</t>
  </si>
  <si>
    <t>Escalier métallique intérieur</t>
  </si>
  <si>
    <t>Grilles de ventilation</t>
  </si>
  <si>
    <t xml:space="preserve"> -&gt; lot CVC</t>
  </si>
  <si>
    <t>Clôture entrée</t>
  </si>
  <si>
    <t>Clôture PAC</t>
  </si>
  <si>
    <t>Portail 5m coulissant électrique</t>
  </si>
  <si>
    <t>Portail 3,8m battant</t>
  </si>
  <si>
    <t>Charpente métallique</t>
  </si>
  <si>
    <t xml:space="preserve"> - Balcon</t>
  </si>
  <si>
    <t xml:space="preserve"> - toiture balcon</t>
  </si>
  <si>
    <t xml:space="preserve">      IPE 80</t>
  </si>
  <si>
    <t xml:space="preserve">      IPE 140</t>
  </si>
  <si>
    <t xml:space="preserve">      IPE 200</t>
  </si>
  <si>
    <t>kg</t>
  </si>
  <si>
    <t xml:space="preserve">      IPE 120</t>
  </si>
  <si>
    <t xml:space="preserve">      Platelage balcons</t>
  </si>
  <si>
    <t xml:space="preserve">      Garde-corps bois</t>
  </si>
  <si>
    <t>Remplacement des châssis existants</t>
  </si>
  <si>
    <t xml:space="preserve"> - PV désenfumage</t>
  </si>
  <si>
    <t xml:space="preserve"> - Dépose des vitrages</t>
  </si>
  <si>
    <t xml:space="preserve"> - Nouveaux vitrages</t>
  </si>
  <si>
    <t>Sans objet / systèmes conservés</t>
  </si>
  <si>
    <t>Vitrage Eclaz Sun</t>
  </si>
  <si>
    <t>Sol souple spécial
escalier</t>
  </si>
  <si>
    <t>Sol spécifique escaliers / sol souple</t>
  </si>
  <si>
    <t>Enduit platre mur</t>
  </si>
  <si>
    <t>Surf Ht2,5m</t>
  </si>
  <si>
    <t>Placards coulissants</t>
  </si>
  <si>
    <t xml:space="preserve"> + échelle avec cadenas</t>
  </si>
  <si>
    <t>Ligne de vie</t>
  </si>
  <si>
    <t>Bouchement de baies existantes</t>
  </si>
  <si>
    <t>(faience + étanchéité)</t>
  </si>
  <si>
    <t xml:space="preserve"> - BSO fixes devant vitrages</t>
  </si>
  <si>
    <t>Portillon</t>
  </si>
  <si>
    <t>Pissette</t>
  </si>
  <si>
    <t>Isolation 100 mm têtes acrotères</t>
  </si>
  <si>
    <t>ITE 200 mm</t>
  </si>
  <si>
    <t xml:space="preserve">    Ebrasement ITE 40 mm</t>
  </si>
  <si>
    <t>Cloisons 120 pour porte galandage</t>
  </si>
  <si>
    <t>Cloison 120 pour portes galandage</t>
  </si>
  <si>
    <t>Porte à galandage
Largeur 930</t>
  </si>
  <si>
    <t>Portes 113 
CF 1/2 H</t>
  </si>
  <si>
    <t>Portes 113 
avec occulus
CF 1/2 H</t>
  </si>
  <si>
    <t>BP 113X204 CF 1/2 H</t>
  </si>
  <si>
    <t>Coulissante 93X204 acoustique</t>
  </si>
  <si>
    <t>Porte à galandage acoustique
Largeur 930</t>
  </si>
  <si>
    <t xml:space="preserve"> + détapissage de mur préalable</t>
  </si>
  <si>
    <t>Films opalescents sur menuiseries ext</t>
  </si>
  <si>
    <t>Douches vestiaires 03</t>
  </si>
  <si>
    <t>zone douches</t>
  </si>
  <si>
    <t>tablettes carrelage</t>
  </si>
  <si>
    <t>Tablette carrelage</t>
  </si>
  <si>
    <t>RdC - R+1</t>
  </si>
  <si>
    <t>Escalier central</t>
  </si>
  <si>
    <t>Remise en peinture GC escaliers existant</t>
  </si>
  <si>
    <t>Remise en peinture GC escalier existant</t>
  </si>
  <si>
    <t>R+1 vestiaires</t>
  </si>
  <si>
    <t>RdC vestiaires</t>
  </si>
  <si>
    <t>Stockage 2</t>
  </si>
  <si>
    <t>Chaufferie</t>
  </si>
  <si>
    <t>PAS DE TRAVAUX</t>
  </si>
  <si>
    <t>Dégagement 01</t>
  </si>
  <si>
    <t>(spécifique)</t>
  </si>
  <si>
    <t>Dégagement 01b</t>
  </si>
  <si>
    <t>Dégagement 02</t>
  </si>
  <si>
    <t>Grille métallique</t>
  </si>
  <si>
    <t>RdC stockages latéraux</t>
  </si>
  <si>
    <t>Stockage 1</t>
  </si>
  <si>
    <t>Grille métallique / protection</t>
  </si>
  <si>
    <t xml:space="preserve"> OUEST</t>
  </si>
  <si>
    <t>Nouvelle entrée</t>
  </si>
  <si>
    <t>dépose existant</t>
  </si>
  <si>
    <t>(cheminée)</t>
  </si>
  <si>
    <t>entrée existante</t>
  </si>
  <si>
    <t xml:space="preserve"> EST</t>
  </si>
  <si>
    <t>porte latérale</t>
  </si>
  <si>
    <t>SUD</t>
  </si>
  <si>
    <t>local stockage</t>
  </si>
  <si>
    <t>NORD</t>
  </si>
  <si>
    <t>chaufferie</t>
  </si>
  <si>
    <t>entree</t>
  </si>
  <si>
    <t>cheminée</t>
  </si>
  <si>
    <t>yc portillons</t>
  </si>
  <si>
    <t>Surf. toitures en plan</t>
  </si>
  <si>
    <t>Surface toitures en pente</t>
  </si>
  <si>
    <t>pente toiture</t>
  </si>
  <si>
    <t>croupe</t>
  </si>
  <si>
    <t>cf facades</t>
  </si>
  <si>
    <t>vestiaires existants</t>
  </si>
  <si>
    <t>bande solin</t>
  </si>
  <si>
    <t>Locaux de rangements</t>
  </si>
  <si>
    <t>Toiture gradins</t>
  </si>
  <si>
    <t>Toiture club house</t>
  </si>
  <si>
    <t>retour club house</t>
  </si>
  <si>
    <t>Bandes solin</t>
  </si>
  <si>
    <t>Croupe</t>
  </si>
  <si>
    <t>cf façades</t>
  </si>
  <si>
    <t>dont dauphins</t>
  </si>
  <si>
    <t>hors dauphins</t>
  </si>
  <si>
    <t>panneau sandwich 150mm</t>
  </si>
  <si>
    <t>Gymnase / global</t>
  </si>
  <si>
    <t xml:space="preserve"> - partie petits pans (triangles)</t>
  </si>
  <si>
    <t xml:space="preserve"> - partie longs pans (trapèzes)</t>
  </si>
  <si>
    <t>Ht 20cm</t>
  </si>
  <si>
    <t>Ht 40cm</t>
  </si>
  <si>
    <t>Bandes de Rives Ht 20cm</t>
  </si>
  <si>
    <t>Bandes de Rives Ht 40cm</t>
  </si>
  <si>
    <t xml:space="preserve"> + chéneau encastré</t>
  </si>
  <si>
    <t>Echelle à crinoline</t>
  </si>
  <si>
    <t>Points d'ancrage pour échelle</t>
  </si>
  <si>
    <t>Boites à eau
Naissances EP</t>
  </si>
  <si>
    <t>skydomes fixes</t>
  </si>
  <si>
    <t>existant</t>
  </si>
  <si>
    <t>extension</t>
  </si>
  <si>
    <t>partie enterrée pour periboard</t>
  </si>
  <si>
    <t>Reprises au droit des portes remplacées</t>
  </si>
  <si>
    <t>Capotages meneaux</t>
  </si>
  <si>
    <t>Issue de secours</t>
  </si>
  <si>
    <t>latérale</t>
  </si>
  <si>
    <t>vitrage bureau arbitre</t>
  </si>
  <si>
    <t>dont porte coulissante 2,22x2,44Ht</t>
  </si>
  <si>
    <t>Plafond métallique</t>
  </si>
  <si>
    <t>Habillage métallique</t>
  </si>
  <si>
    <t>Grilles caillebotis</t>
  </si>
  <si>
    <t xml:space="preserve"> - Dépose de l'existant</t>
  </si>
  <si>
    <t>Dépose de l'existant (GC-MC)</t>
  </si>
  <si>
    <t>Escalier métallique extérieur</t>
  </si>
  <si>
    <t>muret sur entrée</t>
  </si>
  <si>
    <t xml:space="preserve">  - dont porte coulissante 2,44x2,44</t>
  </si>
  <si>
    <t xml:space="preserve">  - dont portes 90x204</t>
  </si>
  <si>
    <t xml:space="preserve">  - soit grillage seul, hors portes</t>
  </si>
  <si>
    <t>plafond 60x60 acoustique</t>
  </si>
  <si>
    <t>plafond 60x60 standard</t>
  </si>
  <si>
    <t>Plafond 60x60 standard</t>
  </si>
  <si>
    <t>Doublage isolant 130mm</t>
  </si>
  <si>
    <t>Bardage briques</t>
  </si>
  <si>
    <t>Bardage type tôle</t>
  </si>
  <si>
    <t>Encadrements Briques</t>
  </si>
  <si>
    <t>Encadrements Bardage tôle</t>
  </si>
  <si>
    <t>Habillage fond meuble</t>
  </si>
  <si>
    <t>Bancs avec patères</t>
  </si>
  <si>
    <t>Banque d'accueil / bar</t>
  </si>
  <si>
    <t>Nez de marches en caoutchouc</t>
  </si>
  <si>
    <t>Nez de marches en résine</t>
  </si>
  <si>
    <t>nez marches alu</t>
  </si>
  <si>
    <t>nez marches résine</t>
  </si>
  <si>
    <t>Sous-couche résiliente sous carrelage</t>
  </si>
  <si>
    <t>Sous-couche résiliente</t>
  </si>
  <si>
    <t>gradins</t>
  </si>
  <si>
    <t>locaux</t>
  </si>
  <si>
    <t>Rideau de sport</t>
  </si>
  <si>
    <t>1 ensemble</t>
  </si>
  <si>
    <t>a déduire sur plinthes porte 90</t>
  </si>
  <si>
    <t>Case</t>
  </si>
  <si>
    <t>Oui</t>
  </si>
  <si>
    <t>a déduire sur plinthes porte 70</t>
  </si>
  <si>
    <t>Non</t>
  </si>
  <si>
    <t>Matériaux</t>
  </si>
  <si>
    <t>Présent</t>
  </si>
  <si>
    <t>Revêtement de sol</t>
  </si>
  <si>
    <t xml:space="preserve">Escalier </t>
  </si>
  <si>
    <t>?</t>
  </si>
  <si>
    <t>Habillage pierre</t>
  </si>
  <si>
    <t>Habillage bois</t>
  </si>
  <si>
    <t>Cloisons</t>
  </si>
  <si>
    <t>M.INT</t>
  </si>
  <si>
    <t>Mobilier &amp; Agencement</t>
  </si>
  <si>
    <t>Faience</t>
  </si>
  <si>
    <t>Peintures</t>
  </si>
  <si>
    <t>Plafond</t>
  </si>
  <si>
    <t>Catégorie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</si>
</sst>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%"/>
    <numFmt numFmtId="165" formatCode="#,##0.0"/>
    <numFmt numFmtId="166" formatCode="\D\i\v\e\r\s\ 0%"/>
    <numFmt numFmtId="167" formatCode="#,##0.0000"/>
    <numFmt numFmtId="168" formatCode="0.0000"/>
    <numFmt numFmtId="169" formatCode="#,##0\ \m\²"/>
  </numFmts>
  <fonts count="4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i/>
      <sz val="10"/>
      <name val="Calibri"/>
      <family val="2"/>
      <scheme val="minor"/>
    </font>
    <font>
      <b/>
      <sz val="12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i/>
      <sz val="10"/>
      <color rgb="FFFF0000"/>
      <name val="Arial"/>
      <family val="2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sz val="9"/>
      <name val="Calibri"/>
      <family val="2"/>
      <scheme val="minor"/>
    </font>
    <font>
      <b/>
      <u/>
      <sz val="10"/>
      <color rgb="FFFF0000"/>
      <name val="Arial"/>
      <family val="2"/>
    </font>
    <font>
      <b/>
      <i/>
      <u/>
      <sz val="10"/>
      <color rgb="FFFF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i/>
      <sz val="11"/>
      <name val="Calibri"/>
      <family val="2"/>
      <scheme val="minor"/>
    </font>
    <font>
      <i/>
      <sz val="9"/>
      <name val="Calibri"/>
      <family val="2"/>
      <scheme val="minor"/>
    </font>
    <font>
      <b/>
      <sz val="18"/>
      <name val="Segoe UI Black"/>
      <family val="2"/>
    </font>
    <font>
      <b/>
      <i/>
      <sz val="12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11"/>
      <color theme="7" tint="-0.249977111117893"/>
      <name val="Calibri"/>
      <family val="2"/>
      <scheme val="minor"/>
    </font>
    <font>
      <i/>
      <sz val="9"/>
      <color rgb="FFFF0000"/>
      <name val="Arial"/>
      <family val="2"/>
    </font>
    <font>
      <sz val="9"/>
      <color rgb="FFFF0000"/>
      <name val="Arial"/>
      <family val="2"/>
    </font>
    <font>
      <b/>
      <sz val="11"/>
      <color rgb="FFFF0000"/>
      <name val="Calibri"/>
      <family val="2"/>
      <scheme val="minor"/>
    </font>
    <font>
      <b/>
      <i/>
      <sz val="9"/>
      <color rgb="FFFF0000"/>
      <name val="Arial"/>
      <family val="2"/>
    </font>
    <font>
      <b/>
      <sz val="2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b/>
      <i/>
      <sz val="10"/>
      <name val="Calibri"/>
      <family val="2"/>
      <scheme val="minor"/>
    </font>
    <font>
      <u/>
      <sz val="11"/>
      <name val="Calibri"/>
      <family val="2"/>
      <scheme val="minor"/>
    </font>
    <font>
      <i/>
      <sz val="12"/>
      <name val="Calibri"/>
      <family val="2"/>
      <scheme val="minor"/>
    </font>
    <font>
      <b/>
      <sz val="11"/>
      <name val="Arial"/>
      <family val="2"/>
    </font>
    <font>
      <b/>
      <u/>
      <sz val="11"/>
      <name val="Arial"/>
      <family val="2"/>
    </font>
    <font>
      <i/>
      <sz val="10"/>
      <name val="Arial"/>
      <family val="2"/>
    </font>
    <font>
      <b/>
      <i/>
      <u/>
      <sz val="10"/>
      <name val="Arial"/>
      <family val="2"/>
    </font>
    <font>
      <u/>
      <sz val="10"/>
      <name val="Arial"/>
      <family val="2"/>
    </font>
    <font>
      <i/>
      <sz val="9"/>
      <name val="Arial"/>
      <family val="2"/>
    </font>
    <font>
      <sz val="9"/>
      <name val="Arial"/>
      <family val="2"/>
    </font>
    <font>
      <b/>
      <i/>
      <sz val="9"/>
      <name val="Arial"/>
      <family val="2"/>
    </font>
    <font>
      <b/>
      <sz val="11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AC77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55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4" fontId="1" fillId="5" borderId="0" xfId="0" applyNumberFormat="1" applyFont="1" applyFill="1" applyAlignment="1">
      <alignment horizontal="center"/>
    </xf>
    <xf numFmtId="0" fontId="8" fillId="0" borderId="0" xfId="0" applyFont="1"/>
    <xf numFmtId="0" fontId="7" fillId="0" borderId="0" xfId="0" applyFont="1"/>
    <xf numFmtId="4" fontId="7" fillId="0" borderId="0" xfId="0" applyNumberFormat="1" applyFont="1" applyAlignment="1">
      <alignment horizontal="right"/>
    </xf>
    <xf numFmtId="0" fontId="9" fillId="0" borderId="0" xfId="0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9" fillId="0" borderId="0" xfId="0" applyFont="1"/>
    <xf numFmtId="4" fontId="7" fillId="0" borderId="0" xfId="0" applyNumberFormat="1" applyFont="1" applyAlignment="1">
      <alignment horizontal="center"/>
    </xf>
    <xf numFmtId="4" fontId="8" fillId="0" borderId="0" xfId="0" applyNumberFormat="1" applyFont="1" applyAlignment="1">
      <alignment horizontal="right"/>
    </xf>
    <xf numFmtId="0" fontId="10" fillId="0" borderId="0" xfId="0" applyFont="1"/>
    <xf numFmtId="0" fontId="7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3" fontId="7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4" fontId="7" fillId="3" borderId="0" xfId="0" applyNumberFormat="1" applyFont="1" applyFill="1" applyAlignment="1">
      <alignment horizontal="center"/>
    </xf>
    <xf numFmtId="0" fontId="14" fillId="0" borderId="0" xfId="0" applyFont="1"/>
    <xf numFmtId="4" fontId="8" fillId="3" borderId="0" xfId="0" applyNumberFormat="1" applyFont="1" applyFill="1" applyAlignment="1">
      <alignment horizontal="center"/>
    </xf>
    <xf numFmtId="0" fontId="15" fillId="0" borderId="0" xfId="0" applyFont="1"/>
    <xf numFmtId="0" fontId="7" fillId="0" borderId="0" xfId="0" quotePrefix="1" applyFont="1" applyAlignment="1">
      <alignment horizontal="center"/>
    </xf>
    <xf numFmtId="0" fontId="16" fillId="0" borderId="0" xfId="0" applyFont="1"/>
    <xf numFmtId="0" fontId="17" fillId="0" borderId="0" xfId="0" applyFont="1"/>
    <xf numFmtId="3" fontId="16" fillId="3" borderId="0" xfId="0" applyNumberFormat="1" applyFont="1" applyFill="1" applyAlignment="1">
      <alignment horizontal="center"/>
    </xf>
    <xf numFmtId="0" fontId="16" fillId="3" borderId="0" xfId="0" applyFont="1" applyFill="1" applyAlignment="1">
      <alignment horizontal="center"/>
    </xf>
    <xf numFmtId="4" fontId="16" fillId="3" borderId="0" xfId="0" applyNumberFormat="1" applyFont="1" applyFill="1" applyAlignment="1">
      <alignment horizontal="center"/>
    </xf>
    <xf numFmtId="4" fontId="16" fillId="0" borderId="0" xfId="0" applyNumberFormat="1" applyFont="1" applyAlignment="1">
      <alignment horizontal="center"/>
    </xf>
    <xf numFmtId="4" fontId="16" fillId="0" borderId="0" xfId="0" applyNumberFormat="1" applyFont="1"/>
    <xf numFmtId="0" fontId="18" fillId="0" borderId="0" xfId="0" applyFont="1"/>
    <xf numFmtId="165" fontId="16" fillId="3" borderId="0" xfId="0" applyNumberFormat="1" applyFont="1" applyFill="1" applyAlignment="1">
      <alignment horizontal="center"/>
    </xf>
    <xf numFmtId="166" fontId="16" fillId="0" borderId="0" xfId="0" applyNumberFormat="1" applyFont="1" applyAlignment="1">
      <alignment horizontal="left"/>
    </xf>
    <xf numFmtId="0" fontId="16" fillId="0" borderId="0" xfId="0" quotePrefix="1" applyFont="1"/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right"/>
    </xf>
    <xf numFmtId="0" fontId="17" fillId="3" borderId="0" xfId="0" applyFont="1" applyFill="1" applyAlignment="1">
      <alignment horizontal="center"/>
    </xf>
    <xf numFmtId="4" fontId="17" fillId="3" borderId="0" xfId="0" applyNumberFormat="1" applyFont="1" applyFill="1" applyAlignment="1">
      <alignment horizontal="center"/>
    </xf>
    <xf numFmtId="4" fontId="16" fillId="0" borderId="0" xfId="1" applyNumberFormat="1" applyFont="1"/>
    <xf numFmtId="0" fontId="4" fillId="0" borderId="0" xfId="0" applyFont="1"/>
    <xf numFmtId="0" fontId="19" fillId="0" borderId="0" xfId="0" applyFont="1"/>
    <xf numFmtId="4" fontId="1" fillId="3" borderId="0" xfId="0" applyNumberFormat="1" applyFont="1" applyFill="1" applyAlignment="1">
      <alignment horizontal="center"/>
    </xf>
    <xf numFmtId="3" fontId="1" fillId="3" borderId="0" xfId="0" applyNumberFormat="1" applyFont="1" applyFill="1" applyAlignment="1">
      <alignment horizontal="center"/>
    </xf>
    <xf numFmtId="0" fontId="1" fillId="15" borderId="0" xfId="0" applyFont="1" applyFill="1"/>
    <xf numFmtId="0" fontId="19" fillId="15" borderId="0" xfId="0" applyFont="1" applyFill="1"/>
    <xf numFmtId="0" fontId="1" fillId="15" borderId="0" xfId="0" applyFont="1" applyFill="1" applyAlignment="1">
      <alignment horizontal="center"/>
    </xf>
    <xf numFmtId="0" fontId="1" fillId="16" borderId="0" xfId="0" applyFont="1" applyFill="1"/>
    <xf numFmtId="0" fontId="19" fillId="16" borderId="0" xfId="0" applyFont="1" applyFill="1"/>
    <xf numFmtId="0" fontId="1" fillId="16" borderId="0" xfId="0" applyFont="1" applyFill="1" applyAlignment="1">
      <alignment horizontal="center"/>
    </xf>
    <xf numFmtId="4" fontId="1" fillId="15" borderId="0" xfId="0" applyNumberFormat="1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1" fillId="6" borderId="0" xfId="0" applyFont="1" applyFill="1" applyAlignment="1">
      <alignment horizontal="center" wrapText="1"/>
    </xf>
    <xf numFmtId="3" fontId="1" fillId="0" borderId="0" xfId="0" applyNumberFormat="1" applyFont="1" applyAlignment="1">
      <alignment horizontal="center"/>
    </xf>
    <xf numFmtId="3" fontId="1" fillId="0" borderId="0" xfId="0" applyNumberFormat="1" applyFont="1" applyAlignment="1">
      <alignment horizontal="center" wrapText="1"/>
    </xf>
    <xf numFmtId="1" fontId="1" fillId="0" borderId="0" xfId="0" applyNumberFormat="1" applyFont="1" applyAlignment="1">
      <alignment horizontal="center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15" borderId="0" xfId="0" applyFont="1" applyFill="1" applyAlignment="1">
      <alignment horizontal="center" wrapText="1"/>
    </xf>
    <xf numFmtId="0" fontId="1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16" borderId="0" xfId="0" applyFont="1" applyFill="1" applyAlignment="1">
      <alignment horizontal="center"/>
    </xf>
    <xf numFmtId="0" fontId="21" fillId="4" borderId="0" xfId="0" applyFont="1" applyFill="1"/>
    <xf numFmtId="0" fontId="2" fillId="4" borderId="0" xfId="0" applyFont="1" applyFill="1" applyAlignment="1">
      <alignment horizontal="center"/>
    </xf>
    <xf numFmtId="0" fontId="1" fillId="11" borderId="0" xfId="0" applyFont="1" applyFill="1" applyAlignment="1">
      <alignment horizontal="center"/>
    </xf>
    <xf numFmtId="0" fontId="1" fillId="4" borderId="0" xfId="0" applyFont="1" applyFill="1" applyAlignment="1">
      <alignment horizontal="center" wrapText="1"/>
    </xf>
    <xf numFmtId="0" fontId="1" fillId="4" borderId="0" xfId="0" applyFont="1" applyFill="1"/>
    <xf numFmtId="3" fontId="1" fillId="4" borderId="0" xfId="0" applyNumberFormat="1" applyFont="1" applyFill="1" applyAlignment="1">
      <alignment horizontal="center" wrapText="1"/>
    </xf>
    <xf numFmtId="0" fontId="1" fillId="12" borderId="0" xfId="0" applyFont="1" applyFill="1" applyAlignment="1">
      <alignment horizontal="center" wrapText="1"/>
    </xf>
    <xf numFmtId="0" fontId="1" fillId="14" borderId="0" xfId="0" applyFont="1" applyFill="1" applyAlignment="1">
      <alignment horizontal="center" wrapText="1"/>
    </xf>
    <xf numFmtId="0" fontId="1" fillId="10" borderId="0" xfId="0" applyFont="1" applyFill="1"/>
    <xf numFmtId="0" fontId="3" fillId="10" borderId="0" xfId="0" applyFont="1" applyFill="1" applyAlignment="1">
      <alignment horizontal="center"/>
    </xf>
    <xf numFmtId="1" fontId="1" fillId="4" borderId="0" xfId="0" applyNumberFormat="1" applyFont="1" applyFill="1" applyAlignment="1">
      <alignment horizontal="center" wrapText="1"/>
    </xf>
    <xf numFmtId="0" fontId="1" fillId="5" borderId="0" xfId="0" applyFont="1" applyFill="1"/>
    <xf numFmtId="0" fontId="3" fillId="5" borderId="0" xfId="0" applyFont="1" applyFill="1" applyAlignment="1">
      <alignment horizontal="center"/>
    </xf>
    <xf numFmtId="0" fontId="1" fillId="7" borderId="0" xfId="0" applyFont="1" applyFill="1" applyAlignment="1">
      <alignment horizontal="center"/>
    </xf>
    <xf numFmtId="0" fontId="1" fillId="10" borderId="0" xfId="0" applyFont="1" applyFill="1" applyAlignment="1">
      <alignment horizontal="center"/>
    </xf>
    <xf numFmtId="0" fontId="19" fillId="7" borderId="0" xfId="0" applyFont="1" applyFill="1" applyAlignment="1">
      <alignment horizontal="center"/>
    </xf>
    <xf numFmtId="0" fontId="19" fillId="10" borderId="0" xfId="0" applyFont="1" applyFill="1"/>
    <xf numFmtId="0" fontId="1" fillId="13" borderId="0" xfId="0" applyFont="1" applyFill="1" applyAlignment="1">
      <alignment horizontal="center"/>
    </xf>
    <xf numFmtId="0" fontId="19" fillId="4" borderId="0" xfId="0" applyFont="1" applyFill="1"/>
    <xf numFmtId="0" fontId="1" fillId="4" borderId="0" xfId="0" applyFont="1" applyFill="1" applyAlignment="1">
      <alignment horizontal="center" vertical="center"/>
    </xf>
    <xf numFmtId="0" fontId="1" fillId="4" borderId="1" xfId="0" applyFont="1" applyFill="1" applyBorder="1"/>
    <xf numFmtId="0" fontId="2" fillId="4" borderId="1" xfId="0" applyFont="1" applyFill="1" applyBorder="1" applyAlignment="1">
      <alignment horizontal="center"/>
    </xf>
    <xf numFmtId="4" fontId="2" fillId="4" borderId="1" xfId="0" applyNumberFormat="1" applyFont="1" applyFill="1" applyBorder="1" applyAlignment="1">
      <alignment horizontal="center"/>
    </xf>
    <xf numFmtId="4" fontId="1" fillId="4" borderId="1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4" fontId="1" fillId="3" borderId="1" xfId="0" applyNumberFormat="1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3" fontId="1" fillId="3" borderId="1" xfId="0" applyNumberFormat="1" applyFont="1" applyFill="1" applyBorder="1" applyAlignment="1">
      <alignment horizontal="center"/>
    </xf>
    <xf numFmtId="4" fontId="1" fillId="4" borderId="1" xfId="0" applyNumberFormat="1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  <xf numFmtId="4" fontId="1" fillId="15" borderId="1" xfId="0" applyNumberFormat="1" applyFont="1" applyFill="1" applyBorder="1" applyAlignment="1">
      <alignment horizontal="center" wrapText="1"/>
    </xf>
    <xf numFmtId="4" fontId="2" fillId="4" borderId="1" xfId="0" applyNumberFormat="1" applyFont="1" applyFill="1" applyBorder="1" applyAlignment="1">
      <alignment horizontal="center" vertical="center"/>
    </xf>
    <xf numFmtId="3" fontId="1" fillId="4" borderId="1" xfId="0" applyNumberFormat="1" applyFont="1" applyFill="1" applyBorder="1" applyAlignment="1">
      <alignment horizontal="center" wrapText="1"/>
    </xf>
    <xf numFmtId="0" fontId="1" fillId="12" borderId="1" xfId="0" applyFont="1" applyFill="1" applyBorder="1" applyAlignment="1">
      <alignment horizontal="center" wrapText="1"/>
    </xf>
    <xf numFmtId="0" fontId="1" fillId="14" borderId="1" xfId="0" applyFont="1" applyFill="1" applyBorder="1" applyAlignment="1">
      <alignment horizontal="center" wrapText="1"/>
    </xf>
    <xf numFmtId="4" fontId="2" fillId="10" borderId="1" xfId="0" applyNumberFormat="1" applyFont="1" applyFill="1" applyBorder="1" applyAlignment="1">
      <alignment horizontal="center" vertical="center"/>
    </xf>
    <xf numFmtId="0" fontId="1" fillId="10" borderId="1" xfId="0" applyFont="1" applyFill="1" applyBorder="1"/>
    <xf numFmtId="1" fontId="1" fillId="4" borderId="1" xfId="0" applyNumberFormat="1" applyFont="1" applyFill="1" applyBorder="1" applyAlignment="1">
      <alignment horizontal="center" wrapText="1"/>
    </xf>
    <xf numFmtId="4" fontId="2" fillId="5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vertical="center"/>
    </xf>
    <xf numFmtId="2" fontId="2" fillId="5" borderId="1" xfId="0" applyNumberFormat="1" applyFont="1" applyFill="1" applyBorder="1" applyAlignment="1">
      <alignment horizontal="center"/>
    </xf>
    <xf numFmtId="4" fontId="1" fillId="5" borderId="1" xfId="0" applyNumberFormat="1" applyFont="1" applyFill="1" applyBorder="1" applyAlignment="1">
      <alignment horizontal="center"/>
    </xf>
    <xf numFmtId="4" fontId="2" fillId="5" borderId="1" xfId="0" applyNumberFormat="1" applyFont="1" applyFill="1" applyBorder="1" applyAlignment="1">
      <alignment horizontal="center" wrapText="1"/>
    </xf>
    <xf numFmtId="0" fontId="1" fillId="5" borderId="1" xfId="0" applyFont="1" applyFill="1" applyBorder="1"/>
    <xf numFmtId="0" fontId="1" fillId="7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19" fillId="7" borderId="1" xfId="0" applyFont="1" applyFill="1" applyBorder="1" applyAlignment="1">
      <alignment horizontal="center"/>
    </xf>
    <xf numFmtId="4" fontId="1" fillId="10" borderId="1" xfId="0" applyNumberFormat="1" applyFont="1" applyFill="1" applyBorder="1" applyAlignment="1">
      <alignment horizontal="center"/>
    </xf>
    <xf numFmtId="4" fontId="2" fillId="15" borderId="1" xfId="0" applyNumberFormat="1" applyFont="1" applyFill="1" applyBorder="1" applyAlignment="1">
      <alignment horizontal="center" vertical="center"/>
    </xf>
    <xf numFmtId="4" fontId="1" fillId="15" borderId="1" xfId="0" applyNumberFormat="1" applyFont="1" applyFill="1" applyBorder="1" applyAlignment="1">
      <alignment horizontal="center"/>
    </xf>
    <xf numFmtId="0" fontId="1" fillId="1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4" fontId="2" fillId="16" borderId="1" xfId="0" applyNumberFormat="1" applyFont="1" applyFill="1" applyBorder="1" applyAlignment="1">
      <alignment horizontal="center" vertical="center"/>
    </xf>
    <xf numFmtId="0" fontId="1" fillId="16" borderId="1" xfId="0" applyFont="1" applyFill="1" applyBorder="1" applyAlignment="1">
      <alignment horizontal="center"/>
    </xf>
    <xf numFmtId="4" fontId="1" fillId="16" borderId="1" xfId="0" applyNumberFormat="1" applyFont="1" applyFill="1" applyBorder="1" applyAlignment="1">
      <alignment horizontal="center"/>
    </xf>
    <xf numFmtId="0" fontId="1" fillId="15" borderId="1" xfId="0" applyFont="1" applyFill="1" applyBorder="1" applyAlignment="1">
      <alignment horizontal="center"/>
    </xf>
    <xf numFmtId="4" fontId="2" fillId="4" borderId="0" xfId="0" applyNumberFormat="1" applyFont="1" applyFill="1" applyAlignment="1">
      <alignment horizontal="center"/>
    </xf>
    <xf numFmtId="4" fontId="1" fillId="4" borderId="0" xfId="0" applyNumberFormat="1" applyFont="1" applyFill="1" applyAlignment="1">
      <alignment horizontal="center"/>
    </xf>
    <xf numFmtId="0" fontId="20" fillId="3" borderId="0" xfId="0" applyFont="1" applyFill="1" applyAlignment="1">
      <alignment horizontal="center"/>
    </xf>
    <xf numFmtId="4" fontId="1" fillId="3" borderId="0" xfId="0" applyNumberFormat="1" applyFont="1" applyFill="1"/>
    <xf numFmtId="4" fontId="2" fillId="4" borderId="0" xfId="0" applyNumberFormat="1" applyFont="1" applyFill="1" applyAlignment="1">
      <alignment horizontal="center" vertical="center"/>
    </xf>
    <xf numFmtId="4" fontId="2" fillId="10" borderId="0" xfId="0" applyNumberFormat="1" applyFont="1" applyFill="1" applyAlignment="1">
      <alignment horizontal="center" vertical="center"/>
    </xf>
    <xf numFmtId="1" fontId="1" fillId="4" borderId="0" xfId="0" applyNumberFormat="1" applyFont="1" applyFill="1" applyAlignment="1">
      <alignment horizontal="center"/>
    </xf>
    <xf numFmtId="4" fontId="2" fillId="5" borderId="0" xfId="0" applyNumberFormat="1" applyFont="1" applyFill="1" applyAlignment="1">
      <alignment horizontal="center" vertical="center"/>
    </xf>
    <xf numFmtId="2" fontId="2" fillId="5" borderId="0" xfId="0" applyNumberFormat="1" applyFont="1" applyFill="1" applyAlignment="1">
      <alignment horizontal="center"/>
    </xf>
    <xf numFmtId="4" fontId="2" fillId="5" borderId="0" xfId="0" applyNumberFormat="1" applyFont="1" applyFill="1" applyAlignment="1">
      <alignment horizontal="center" wrapText="1"/>
    </xf>
    <xf numFmtId="0" fontId="3" fillId="7" borderId="0" xfId="0" quotePrefix="1" applyFont="1" applyFill="1" applyAlignment="1">
      <alignment horizontal="center"/>
    </xf>
    <xf numFmtId="4" fontId="1" fillId="10" borderId="0" xfId="0" applyNumberFormat="1" applyFont="1" applyFill="1" applyAlignment="1">
      <alignment horizontal="center"/>
    </xf>
    <xf numFmtId="4" fontId="2" fillId="15" borderId="0" xfId="0" applyNumberFormat="1" applyFont="1" applyFill="1" applyAlignment="1">
      <alignment horizontal="center" vertical="center"/>
    </xf>
    <xf numFmtId="4" fontId="2" fillId="16" borderId="0" xfId="0" applyNumberFormat="1" applyFont="1" applyFill="1" applyAlignment="1">
      <alignment horizontal="center" vertical="center"/>
    </xf>
    <xf numFmtId="4" fontId="1" fillId="16" borderId="0" xfId="0" applyNumberFormat="1" applyFont="1" applyFill="1" applyAlignment="1">
      <alignment horizontal="center"/>
    </xf>
    <xf numFmtId="3" fontId="1" fillId="4" borderId="0" xfId="0" applyNumberFormat="1" applyFont="1" applyFill="1" applyAlignment="1">
      <alignment horizontal="center"/>
    </xf>
    <xf numFmtId="0" fontId="1" fillId="12" borderId="0" xfId="0" applyFont="1" applyFill="1" applyAlignment="1">
      <alignment horizontal="center"/>
    </xf>
    <xf numFmtId="0" fontId="1" fillId="14" borderId="0" xfId="0" applyFont="1" applyFill="1" applyAlignment="1">
      <alignment horizontal="center"/>
    </xf>
    <xf numFmtId="4" fontId="2" fillId="5" borderId="0" xfId="0" applyNumberFormat="1" applyFont="1" applyFill="1" applyAlignment="1">
      <alignment horizontal="center"/>
    </xf>
    <xf numFmtId="0" fontId="3" fillId="5" borderId="0" xfId="0" applyFont="1" applyFill="1" applyAlignment="1">
      <alignment vertical="center"/>
    </xf>
    <xf numFmtId="4" fontId="1" fillId="0" borderId="0" xfId="0" applyNumberFormat="1" applyFont="1" applyAlignment="1">
      <alignment horizontal="center"/>
    </xf>
    <xf numFmtId="4" fontId="4" fillId="0" borderId="0" xfId="0" applyNumberFormat="1" applyFont="1"/>
    <xf numFmtId="4" fontId="4" fillId="6" borderId="0" xfId="0" applyNumberFormat="1" applyFont="1" applyFill="1" applyAlignment="1">
      <alignment horizontal="center"/>
    </xf>
    <xf numFmtId="3" fontId="4" fillId="0" borderId="0" xfId="0" applyNumberFormat="1" applyFont="1" applyAlignment="1">
      <alignment horizontal="center"/>
    </xf>
    <xf numFmtId="4" fontId="12" fillId="0" borderId="0" xfId="0" applyNumberFormat="1" applyFont="1" applyAlignment="1">
      <alignment horizontal="center"/>
    </xf>
    <xf numFmtId="1" fontId="4" fillId="0" borderId="0" xfId="0" applyNumberFormat="1" applyFont="1" applyAlignment="1">
      <alignment horizontal="center"/>
    </xf>
    <xf numFmtId="3" fontId="4" fillId="2" borderId="0" xfId="0" applyNumberFormat="1" applyFont="1" applyFill="1" applyAlignment="1">
      <alignment horizontal="center"/>
    </xf>
    <xf numFmtId="4" fontId="4" fillId="2" borderId="0" xfId="0" applyNumberFormat="1" applyFont="1" applyFill="1" applyAlignment="1">
      <alignment horizontal="center"/>
    </xf>
    <xf numFmtId="4" fontId="22" fillId="0" borderId="0" xfId="0" applyNumberFormat="1" applyFont="1" applyAlignment="1">
      <alignment horizontal="center"/>
    </xf>
    <xf numFmtId="4" fontId="4" fillId="0" borderId="0" xfId="0" applyNumberFormat="1" applyFont="1" applyAlignment="1">
      <alignment horizontal="center" vertical="center"/>
    </xf>
    <xf numFmtId="0" fontId="1" fillId="4" borderId="2" xfId="0" applyFont="1" applyFill="1" applyBorder="1" applyAlignment="1">
      <alignment horizontal="center"/>
    </xf>
    <xf numFmtId="0" fontId="19" fillId="0" borderId="0" xfId="0" applyFont="1" applyAlignment="1">
      <alignment horizontal="right"/>
    </xf>
    <xf numFmtId="0" fontId="16" fillId="3" borderId="0" xfId="0" applyFont="1" applyFill="1" applyAlignment="1">
      <alignment horizontal="left"/>
    </xf>
    <xf numFmtId="0" fontId="16" fillId="0" borderId="0" xfId="0" applyFont="1" applyAlignment="1">
      <alignment horizontal="left"/>
    </xf>
    <xf numFmtId="9" fontId="16" fillId="0" borderId="0" xfId="0" applyNumberFormat="1" applyFont="1"/>
    <xf numFmtId="4" fontId="16" fillId="0" borderId="0" xfId="0" applyNumberFormat="1" applyFont="1" applyAlignment="1">
      <alignment horizontal="left"/>
    </xf>
    <xf numFmtId="169" fontId="16" fillId="0" borderId="0" xfId="0" applyNumberFormat="1" applyFont="1"/>
    <xf numFmtId="4" fontId="16" fillId="0" borderId="0" xfId="0" applyNumberFormat="1" applyFont="1" applyAlignment="1">
      <alignment horizontal="right"/>
    </xf>
    <xf numFmtId="3" fontId="16" fillId="0" borderId="0" xfId="0" applyNumberFormat="1" applyFont="1" applyAlignment="1">
      <alignment horizontal="center"/>
    </xf>
    <xf numFmtId="4" fontId="1" fillId="4" borderId="0" xfId="0" quotePrefix="1" applyNumberFormat="1" applyFont="1" applyFill="1" applyAlignment="1">
      <alignment horizontal="center" wrapText="1"/>
    </xf>
    <xf numFmtId="4" fontId="1" fillId="0" borderId="0" xfId="0" applyNumberFormat="1" applyFont="1" applyAlignment="1">
      <alignment horizontal="center" wrapText="1"/>
    </xf>
    <xf numFmtId="4" fontId="1" fillId="4" borderId="0" xfId="0" applyNumberFormat="1" applyFont="1" applyFill="1" applyAlignment="1">
      <alignment horizontal="center" wrapText="1"/>
    </xf>
    <xf numFmtId="0" fontId="1" fillId="3" borderId="2" xfId="0" applyFont="1" applyFill="1" applyBorder="1" applyAlignment="1">
      <alignment horizontal="center"/>
    </xf>
    <xf numFmtId="0" fontId="1" fillId="3" borderId="1" xfId="0" applyFont="1" applyFill="1" applyBorder="1"/>
    <xf numFmtId="2" fontId="2" fillId="5" borderId="2" xfId="0" applyNumberFormat="1" applyFont="1" applyFill="1" applyBorder="1" applyAlignment="1">
      <alignment horizontal="center"/>
    </xf>
    <xf numFmtId="4" fontId="1" fillId="4" borderId="1" xfId="0" applyNumberFormat="1" applyFont="1" applyFill="1" applyBorder="1" applyAlignment="1">
      <alignment horizontal="center" vertical="center"/>
    </xf>
    <xf numFmtId="4" fontId="4" fillId="0" borderId="0" xfId="0" applyNumberFormat="1" applyFont="1" applyAlignment="1">
      <alignment horizontal="center"/>
    </xf>
    <xf numFmtId="0" fontId="24" fillId="16" borderId="1" xfId="0" applyFont="1" applyFill="1" applyBorder="1" applyAlignment="1">
      <alignment horizontal="center"/>
    </xf>
    <xf numFmtId="3" fontId="7" fillId="3" borderId="0" xfId="0" applyNumberFormat="1" applyFont="1" applyFill="1" applyAlignment="1">
      <alignment horizontal="center"/>
    </xf>
    <xf numFmtId="0" fontId="24" fillId="16" borderId="0" xfId="0" applyFont="1" applyFill="1" applyAlignment="1">
      <alignment horizontal="center"/>
    </xf>
    <xf numFmtId="4" fontId="1" fillId="4" borderId="0" xfId="0" applyNumberFormat="1" applyFont="1" applyFill="1" applyAlignment="1">
      <alignment horizontal="center" vertical="center"/>
    </xf>
    <xf numFmtId="4" fontId="1" fillId="15" borderId="0" xfId="0" applyNumberFormat="1" applyFont="1" applyFill="1" applyAlignment="1">
      <alignment horizontal="center" wrapText="1"/>
    </xf>
    <xf numFmtId="0" fontId="9" fillId="0" borderId="0" xfId="0" applyFont="1" applyAlignment="1">
      <alignment horizontal="right"/>
    </xf>
    <xf numFmtId="0" fontId="9" fillId="3" borderId="0" xfId="0" applyFont="1" applyFill="1" applyAlignment="1">
      <alignment horizontal="center"/>
    </xf>
    <xf numFmtId="0" fontId="25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166" fontId="7" fillId="0" borderId="0" xfId="0" applyNumberFormat="1" applyFont="1" applyAlignment="1">
      <alignment horizontal="left"/>
    </xf>
    <xf numFmtId="0" fontId="7" fillId="0" borderId="0" xfId="0" applyFont="1" applyAlignment="1">
      <alignment horizontal="right"/>
    </xf>
    <xf numFmtId="4" fontId="7" fillId="0" borderId="0" xfId="1" applyNumberFormat="1" applyFont="1"/>
    <xf numFmtId="4" fontId="7" fillId="0" borderId="0" xfId="0" applyNumberFormat="1" applyFont="1"/>
    <xf numFmtId="164" fontId="7" fillId="0" borderId="0" xfId="1" applyNumberFormat="1" applyFont="1"/>
    <xf numFmtId="0" fontId="23" fillId="0" borderId="0" xfId="0" applyFont="1" applyAlignment="1">
      <alignment wrapText="1"/>
    </xf>
    <xf numFmtId="0" fontId="23" fillId="0" borderId="0" xfId="0" applyFont="1"/>
    <xf numFmtId="0" fontId="27" fillId="0" borderId="0" xfId="0" applyFont="1" applyAlignment="1">
      <alignment vertical="center"/>
    </xf>
    <xf numFmtId="0" fontId="28" fillId="0" borderId="0" xfId="0" applyFont="1"/>
    <xf numFmtId="0" fontId="7" fillId="0" borderId="0" xfId="0" applyFont="1" applyAlignment="1">
      <alignment vertical="center"/>
    </xf>
    <xf numFmtId="0" fontId="1" fillId="4" borderId="2" xfId="0" applyFont="1" applyFill="1" applyBorder="1"/>
    <xf numFmtId="0" fontId="2" fillId="4" borderId="2" xfId="0" applyFont="1" applyFill="1" applyBorder="1" applyAlignment="1">
      <alignment horizontal="center"/>
    </xf>
    <xf numFmtId="0" fontId="1" fillId="11" borderId="2" xfId="0" applyFont="1" applyFill="1" applyBorder="1" applyAlignment="1">
      <alignment horizontal="center"/>
    </xf>
    <xf numFmtId="0" fontId="1" fillId="16" borderId="2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3" fontId="1" fillId="3" borderId="2" xfId="0" applyNumberFormat="1" applyFont="1" applyFill="1" applyBorder="1" applyAlignment="1">
      <alignment horizontal="center"/>
    </xf>
    <xf numFmtId="4" fontId="1" fillId="4" borderId="2" xfId="0" applyNumberFormat="1" applyFont="1" applyFill="1" applyBorder="1" applyAlignment="1">
      <alignment horizontal="center"/>
    </xf>
    <xf numFmtId="0" fontId="1" fillId="15" borderId="2" xfId="0" applyFont="1" applyFill="1" applyBorder="1" applyAlignment="1">
      <alignment horizontal="center"/>
    </xf>
    <xf numFmtId="4" fontId="2" fillId="4" borderId="2" xfId="0" applyNumberFormat="1" applyFont="1" applyFill="1" applyBorder="1" applyAlignment="1">
      <alignment horizontal="center" vertical="center"/>
    </xf>
    <xf numFmtId="3" fontId="1" fillId="4" borderId="2" xfId="0" applyNumberFormat="1" applyFont="1" applyFill="1" applyBorder="1" applyAlignment="1">
      <alignment horizontal="center"/>
    </xf>
    <xf numFmtId="0" fontId="1" fillId="12" borderId="2" xfId="0" applyFont="1" applyFill="1" applyBorder="1" applyAlignment="1">
      <alignment horizontal="center"/>
    </xf>
    <xf numFmtId="0" fontId="1" fillId="14" borderId="2" xfId="0" applyFont="1" applyFill="1" applyBorder="1" applyAlignment="1">
      <alignment horizontal="center"/>
    </xf>
    <xf numFmtId="4" fontId="1" fillId="10" borderId="2" xfId="0" applyNumberFormat="1" applyFont="1" applyFill="1" applyBorder="1" applyAlignment="1">
      <alignment horizontal="center"/>
    </xf>
    <xf numFmtId="4" fontId="2" fillId="10" borderId="2" xfId="0" applyNumberFormat="1" applyFont="1" applyFill="1" applyBorder="1" applyAlignment="1">
      <alignment horizontal="center" vertical="center"/>
    </xf>
    <xf numFmtId="0" fontId="1" fillId="10" borderId="2" xfId="0" applyFont="1" applyFill="1" applyBorder="1"/>
    <xf numFmtId="1" fontId="1" fillId="4" borderId="2" xfId="0" applyNumberFormat="1" applyFont="1" applyFill="1" applyBorder="1" applyAlignment="1">
      <alignment horizontal="center"/>
    </xf>
    <xf numFmtId="4" fontId="2" fillId="5" borderId="2" xfId="0" applyNumberFormat="1" applyFont="1" applyFill="1" applyBorder="1" applyAlignment="1">
      <alignment horizontal="center"/>
    </xf>
    <xf numFmtId="4" fontId="2" fillId="5" borderId="2" xfId="0" applyNumberFormat="1" applyFont="1" applyFill="1" applyBorder="1" applyAlignment="1">
      <alignment horizontal="center" vertical="center"/>
    </xf>
    <xf numFmtId="0" fontId="3" fillId="5" borderId="2" xfId="0" applyFont="1" applyFill="1" applyBorder="1" applyAlignment="1">
      <alignment vertical="center"/>
    </xf>
    <xf numFmtId="0" fontId="1" fillId="5" borderId="2" xfId="0" applyFont="1" applyFill="1" applyBorder="1"/>
    <xf numFmtId="0" fontId="1" fillId="7" borderId="2" xfId="0" applyFont="1" applyFill="1" applyBorder="1" applyAlignment="1">
      <alignment horizontal="center"/>
    </xf>
    <xf numFmtId="0" fontId="1" fillId="10" borderId="2" xfId="0" applyFont="1" applyFill="1" applyBorder="1" applyAlignment="1">
      <alignment horizontal="center"/>
    </xf>
    <xf numFmtId="0" fontId="19" fillId="7" borderId="2" xfId="0" applyFont="1" applyFill="1" applyBorder="1" applyAlignment="1">
      <alignment horizontal="center"/>
    </xf>
    <xf numFmtId="4" fontId="2" fillId="15" borderId="2" xfId="0" applyNumberFormat="1" applyFont="1" applyFill="1" applyBorder="1" applyAlignment="1">
      <alignment horizontal="center" vertical="center"/>
    </xf>
    <xf numFmtId="0" fontId="1" fillId="13" borderId="2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 vertical="center"/>
    </xf>
    <xf numFmtId="4" fontId="2" fillId="16" borderId="2" xfId="0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/>
    </xf>
    <xf numFmtId="4" fontId="1" fillId="13" borderId="1" xfId="0" applyNumberFormat="1" applyFont="1" applyFill="1" applyBorder="1" applyAlignment="1">
      <alignment horizontal="center"/>
    </xf>
    <xf numFmtId="0" fontId="4" fillId="0" borderId="0" xfId="0" applyFont="1" applyAlignment="1">
      <alignment horizontal="left" vertical="center"/>
    </xf>
    <xf numFmtId="0" fontId="13" fillId="8" borderId="0" xfId="0" applyFont="1" applyFill="1" applyAlignment="1">
      <alignment horizontal="center"/>
    </xf>
    <xf numFmtId="0" fontId="1" fillId="8" borderId="0" xfId="0" applyFont="1" applyFill="1" applyAlignment="1">
      <alignment horizontal="center"/>
    </xf>
    <xf numFmtId="0" fontId="29" fillId="8" borderId="0" xfId="0" applyFont="1" applyFill="1" applyAlignment="1">
      <alignment vertical="center"/>
    </xf>
    <xf numFmtId="0" fontId="1" fillId="9" borderId="0" xfId="0" applyFont="1" applyFill="1" applyAlignment="1">
      <alignment horizontal="center"/>
    </xf>
    <xf numFmtId="0" fontId="12" fillId="0" borderId="0" xfId="0" quotePrefix="1" applyFont="1" applyAlignment="1">
      <alignment horizontal="left" vertical="center"/>
    </xf>
    <xf numFmtId="0" fontId="29" fillId="8" borderId="2" xfId="0" applyFont="1" applyFill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1" fillId="4" borderId="1" xfId="0" applyFont="1" applyFill="1" applyBorder="1" applyAlignment="1">
      <alignment horizontal="center" vertical="center"/>
    </xf>
    <xf numFmtId="0" fontId="11" fillId="8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9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 wrapText="1"/>
    </xf>
    <xf numFmtId="0" fontId="30" fillId="5" borderId="1" xfId="0" applyFont="1" applyFill="1" applyBorder="1" applyAlignment="1">
      <alignment horizontal="center" vertical="center" wrapText="1"/>
    </xf>
    <xf numFmtId="0" fontId="31" fillId="5" borderId="1" xfId="0" applyFont="1" applyFill="1" applyBorder="1" applyAlignment="1">
      <alignment horizontal="center" vertical="center" wrapText="1"/>
    </xf>
    <xf numFmtId="4" fontId="11" fillId="5" borderId="1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30" fillId="9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8" borderId="0" xfId="0" applyFont="1" applyFill="1" applyAlignment="1">
      <alignment horizontal="center" wrapText="1"/>
    </xf>
    <xf numFmtId="0" fontId="2" fillId="8" borderId="0" xfId="0" applyFont="1" applyFill="1" applyAlignment="1">
      <alignment horizontal="center" wrapText="1"/>
    </xf>
    <xf numFmtId="0" fontId="1" fillId="5" borderId="0" xfId="0" applyFont="1" applyFill="1" applyAlignment="1">
      <alignment horizontal="center" wrapText="1"/>
    </xf>
    <xf numFmtId="0" fontId="1" fillId="9" borderId="0" xfId="0" applyFont="1" applyFill="1" applyAlignment="1">
      <alignment horizontal="center" wrapText="1"/>
    </xf>
    <xf numFmtId="0" fontId="2" fillId="9" borderId="0" xfId="0" applyFont="1" applyFill="1" applyAlignment="1">
      <alignment horizontal="center" wrapText="1"/>
    </xf>
    <xf numFmtId="0" fontId="32" fillId="0" borderId="0" xfId="0" applyFont="1" applyAlignment="1">
      <alignment horizontal="right" vertical="center"/>
    </xf>
    <xf numFmtId="0" fontId="2" fillId="8" borderId="0" xfId="0" applyFont="1" applyFill="1" applyAlignment="1">
      <alignment horizontal="center" vertical="center"/>
    </xf>
    <xf numFmtId="0" fontId="2" fillId="8" borderId="0" xfId="0" applyFont="1" applyFill="1" applyAlignment="1">
      <alignment horizontal="center"/>
    </xf>
    <xf numFmtId="0" fontId="20" fillId="4" borderId="0" xfId="0" applyFont="1" applyFill="1" applyAlignment="1">
      <alignment horizontal="left" vertical="center"/>
    </xf>
    <xf numFmtId="0" fontId="3" fillId="9" borderId="0" xfId="0" applyFont="1" applyFill="1" applyAlignment="1">
      <alignment horizontal="center"/>
    </xf>
    <xf numFmtId="2" fontId="1" fillId="5" borderId="0" xfId="0" applyNumberFormat="1" applyFont="1" applyFill="1" applyAlignment="1">
      <alignment horizontal="center"/>
    </xf>
    <xf numFmtId="0" fontId="33" fillId="4" borderId="0" xfId="0" applyFont="1" applyFill="1" applyAlignment="1">
      <alignment horizontal="left"/>
    </xf>
    <xf numFmtId="0" fontId="3" fillId="4" borderId="0" xfId="0" applyFont="1" applyFill="1" applyAlignment="1">
      <alignment horizontal="right"/>
    </xf>
    <xf numFmtId="2" fontId="1" fillId="8" borderId="0" xfId="0" applyNumberFormat="1" applyFont="1" applyFill="1" applyAlignment="1">
      <alignment horizontal="center"/>
    </xf>
    <xf numFmtId="2" fontId="13" fillId="8" borderId="0" xfId="0" applyNumberFormat="1" applyFont="1" applyFill="1" applyAlignment="1">
      <alignment horizontal="center"/>
    </xf>
    <xf numFmtId="0" fontId="1" fillId="8" borderId="0" xfId="0" applyFont="1" applyFill="1"/>
    <xf numFmtId="0" fontId="11" fillId="4" borderId="0" xfId="0" applyFont="1" applyFill="1" applyAlignment="1">
      <alignment horizontal="center"/>
    </xf>
    <xf numFmtId="0" fontId="2" fillId="4" borderId="0" xfId="0" applyFont="1" applyFill="1" applyAlignment="1">
      <alignment horizontal="left"/>
    </xf>
    <xf numFmtId="3" fontId="11" fillId="8" borderId="0" xfId="0" applyNumberFormat="1" applyFont="1" applyFill="1" applyAlignment="1">
      <alignment horizontal="center"/>
    </xf>
    <xf numFmtId="4" fontId="11" fillId="8" borderId="0" xfId="0" applyNumberFormat="1" applyFont="1" applyFill="1" applyAlignment="1">
      <alignment horizontal="center"/>
    </xf>
    <xf numFmtId="4" fontId="11" fillId="9" borderId="0" xfId="0" applyNumberFormat="1" applyFont="1" applyFill="1" applyAlignment="1">
      <alignment horizontal="center"/>
    </xf>
    <xf numFmtId="4" fontId="11" fillId="5" borderId="0" xfId="0" applyNumberFormat="1" applyFont="1" applyFill="1" applyAlignment="1">
      <alignment horizontal="center"/>
    </xf>
    <xf numFmtId="4" fontId="11" fillId="0" borderId="0" xfId="0" applyNumberFormat="1" applyFont="1" applyAlignment="1">
      <alignment horizontal="center"/>
    </xf>
    <xf numFmtId="4" fontId="11" fillId="3" borderId="0" xfId="0" applyNumberFormat="1" applyFont="1" applyFill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11" fillId="4" borderId="2" xfId="0" applyFont="1" applyFill="1" applyBorder="1" applyAlignment="1">
      <alignment horizontal="center"/>
    </xf>
    <xf numFmtId="0" fontId="31" fillId="8" borderId="2" xfId="0" applyFont="1" applyFill="1" applyBorder="1" applyAlignment="1">
      <alignment horizontal="center"/>
    </xf>
    <xf numFmtId="0" fontId="11" fillId="8" borderId="2" xfId="0" applyFont="1" applyFill="1" applyBorder="1" applyAlignment="1">
      <alignment horizontal="center"/>
    </xf>
    <xf numFmtId="3" fontId="11" fillId="8" borderId="2" xfId="0" applyNumberFormat="1" applyFont="1" applyFill="1" applyBorder="1" applyAlignment="1">
      <alignment horizontal="center"/>
    </xf>
    <xf numFmtId="4" fontId="11" fillId="8" borderId="2" xfId="0" applyNumberFormat="1" applyFont="1" applyFill="1" applyBorder="1" applyAlignment="1">
      <alignment horizontal="center"/>
    </xf>
    <xf numFmtId="4" fontId="11" fillId="0" borderId="2" xfId="0" applyNumberFormat="1" applyFont="1" applyBorder="1" applyAlignment="1">
      <alignment horizontal="center"/>
    </xf>
    <xf numFmtId="4" fontId="11" fillId="9" borderId="2" xfId="0" applyNumberFormat="1" applyFont="1" applyFill="1" applyBorder="1" applyAlignment="1">
      <alignment horizontal="center"/>
    </xf>
    <xf numFmtId="4" fontId="11" fillId="5" borderId="2" xfId="0" applyNumberFormat="1" applyFont="1" applyFill="1" applyBorder="1" applyAlignment="1">
      <alignment horizontal="center"/>
    </xf>
    <xf numFmtId="0" fontId="11" fillId="5" borderId="2" xfId="0" applyFont="1" applyFill="1" applyBorder="1" applyAlignment="1">
      <alignment horizontal="center"/>
    </xf>
    <xf numFmtId="4" fontId="11" fillId="3" borderId="2" xfId="0" applyNumberFormat="1" applyFont="1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2" fillId="8" borderId="0" xfId="0" applyFont="1" applyFill="1" applyAlignment="1">
      <alignment horizontal="right"/>
    </xf>
    <xf numFmtId="0" fontId="31" fillId="8" borderId="1" xfId="0" applyFont="1" applyFill="1" applyBorder="1" applyAlignment="1">
      <alignment horizontal="center" vertical="center"/>
    </xf>
    <xf numFmtId="4" fontId="1" fillId="5" borderId="0" xfId="0" applyNumberFormat="1" applyFont="1" applyFill="1" applyAlignment="1">
      <alignment horizontal="center" wrapText="1"/>
    </xf>
    <xf numFmtId="0" fontId="1" fillId="3" borderId="0" xfId="0" applyFont="1" applyFill="1" applyAlignment="1">
      <alignment horizontal="center" wrapText="1"/>
    </xf>
    <xf numFmtId="9" fontId="34" fillId="0" borderId="0" xfId="1" applyFont="1" applyAlignment="1">
      <alignment horizontal="center" vertical="center"/>
    </xf>
    <xf numFmtId="4" fontId="11" fillId="4" borderId="0" xfId="0" applyNumberFormat="1" applyFont="1" applyFill="1" applyAlignment="1">
      <alignment horizontal="center"/>
    </xf>
    <xf numFmtId="0" fontId="31" fillId="8" borderId="0" xfId="0" applyFont="1" applyFill="1" applyAlignment="1">
      <alignment horizontal="center"/>
    </xf>
    <xf numFmtId="0" fontId="11" fillId="8" borderId="0" xfId="0" applyFont="1" applyFill="1" applyAlignment="1">
      <alignment horizontal="center"/>
    </xf>
    <xf numFmtId="165" fontId="11" fillId="8" borderId="0" xfId="0" applyNumberFormat="1" applyFont="1" applyFill="1" applyAlignment="1">
      <alignment horizontal="center"/>
    </xf>
    <xf numFmtId="165" fontId="11" fillId="0" borderId="0" xfId="0" applyNumberFormat="1" applyFont="1" applyAlignment="1">
      <alignment horizontal="center"/>
    </xf>
    <xf numFmtId="3" fontId="11" fillId="0" borderId="0" xfId="0" applyNumberFormat="1" applyFont="1" applyAlignment="1">
      <alignment horizontal="center"/>
    </xf>
    <xf numFmtId="0" fontId="11" fillId="0" borderId="0" xfId="0" applyFont="1"/>
    <xf numFmtId="10" fontId="34" fillId="0" borderId="0" xfId="0" applyNumberFormat="1" applyFont="1" applyAlignment="1">
      <alignment horizontal="center" vertical="center"/>
    </xf>
    <xf numFmtId="4" fontId="1" fillId="5" borderId="0" xfId="0" applyNumberFormat="1" applyFont="1" applyFill="1" applyAlignment="1">
      <alignment horizontal="left"/>
    </xf>
    <xf numFmtId="0" fontId="1" fillId="5" borderId="0" xfId="0" applyFont="1" applyFill="1" applyAlignment="1">
      <alignment horizontal="left"/>
    </xf>
    <xf numFmtId="0" fontId="31" fillId="5" borderId="0" xfId="0" applyFont="1" applyFill="1" applyAlignment="1">
      <alignment horizontal="center" wrapText="1"/>
    </xf>
    <xf numFmtId="0" fontId="11" fillId="5" borderId="0" xfId="0" applyFont="1" applyFill="1" applyAlignment="1">
      <alignment horizontal="center"/>
    </xf>
    <xf numFmtId="4" fontId="11" fillId="5" borderId="0" xfId="0" applyNumberFormat="1" applyFont="1" applyFill="1" applyAlignment="1">
      <alignment horizontal="left"/>
    </xf>
    <xf numFmtId="0" fontId="11" fillId="5" borderId="0" xfId="0" applyFont="1" applyFill="1" applyAlignment="1">
      <alignment horizontal="left"/>
    </xf>
    <xf numFmtId="0" fontId="1" fillId="5" borderId="0" xfId="0" applyFont="1" applyFill="1" applyAlignment="1">
      <alignment horizontal="right"/>
    </xf>
    <xf numFmtId="0" fontId="1" fillId="4" borderId="0" xfId="0" applyFont="1" applyFill="1" applyAlignment="1">
      <alignment horizontal="left"/>
    </xf>
    <xf numFmtId="4" fontId="11" fillId="5" borderId="0" xfId="0" applyNumberFormat="1" applyFont="1" applyFill="1" applyAlignment="1">
      <alignment horizontal="right"/>
    </xf>
    <xf numFmtId="164" fontId="16" fillId="0" borderId="0" xfId="1" applyNumberFormat="1" applyFont="1"/>
    <xf numFmtId="4" fontId="1" fillId="8" borderId="0" xfId="0" applyNumberFormat="1" applyFont="1" applyFill="1" applyAlignment="1">
      <alignment horizontal="center"/>
    </xf>
    <xf numFmtId="0" fontId="13" fillId="8" borderId="0" xfId="0" applyFont="1" applyFill="1" applyAlignment="1">
      <alignment horizontal="center" wrapText="1"/>
    </xf>
    <xf numFmtId="0" fontId="35" fillId="0" borderId="0" xfId="0" applyFont="1"/>
    <xf numFmtId="0" fontId="36" fillId="0" borderId="0" xfId="0" applyFont="1"/>
    <xf numFmtId="0" fontId="17" fillId="6" borderId="0" xfId="0" applyFont="1" applyFill="1"/>
    <xf numFmtId="0" fontId="37" fillId="6" borderId="0" xfId="0" applyFont="1" applyFill="1" applyAlignment="1">
      <alignment horizontal="right"/>
    </xf>
    <xf numFmtId="0" fontId="37" fillId="6" borderId="0" xfId="0" applyFont="1" applyFill="1" applyAlignment="1">
      <alignment horizontal="center"/>
    </xf>
    <xf numFmtId="0" fontId="16" fillId="6" borderId="0" xfId="0" applyFont="1" applyFill="1" applyAlignment="1">
      <alignment horizontal="center"/>
    </xf>
    <xf numFmtId="4" fontId="16" fillId="6" borderId="0" xfId="0" applyNumberFormat="1" applyFont="1" applyFill="1" applyAlignment="1">
      <alignment horizontal="center"/>
    </xf>
    <xf numFmtId="0" fontId="16" fillId="6" borderId="0" xfId="0" applyFont="1" applyFill="1"/>
    <xf numFmtId="0" fontId="37" fillId="0" borderId="0" xfId="0" applyFont="1"/>
    <xf numFmtId="0" fontId="37" fillId="0" borderId="0" xfId="0" applyFont="1" applyAlignment="1">
      <alignment horizontal="center"/>
    </xf>
    <xf numFmtId="0" fontId="38" fillId="0" borderId="0" xfId="0" applyFont="1"/>
    <xf numFmtId="3" fontId="37" fillId="3" borderId="0" xfId="0" applyNumberFormat="1" applyFont="1" applyFill="1" applyAlignment="1">
      <alignment horizontal="center"/>
    </xf>
    <xf numFmtId="0" fontId="37" fillId="3" borderId="0" xfId="0" applyFont="1" applyFill="1" applyAlignment="1">
      <alignment horizontal="center"/>
    </xf>
    <xf numFmtId="4" fontId="37" fillId="3" borderId="0" xfId="0" applyNumberFormat="1" applyFont="1" applyFill="1" applyAlignment="1">
      <alignment horizontal="center"/>
    </xf>
    <xf numFmtId="0" fontId="39" fillId="0" borderId="0" xfId="0" quotePrefix="1" applyFont="1" applyAlignment="1">
      <alignment vertical="top" wrapText="1"/>
    </xf>
    <xf numFmtId="0" fontId="16" fillId="3" borderId="0" xfId="0" applyFont="1" applyFill="1" applyAlignment="1">
      <alignment vertical="top" wrapText="1"/>
    </xf>
    <xf numFmtId="0" fontId="16" fillId="3" borderId="0" xfId="0" applyFont="1" applyFill="1" applyAlignment="1">
      <alignment horizontal="center" vertical="top" wrapText="1"/>
    </xf>
    <xf numFmtId="0" fontId="16" fillId="0" borderId="0" xfId="0" applyFont="1" applyAlignment="1">
      <alignment vertical="top" wrapText="1"/>
    </xf>
    <xf numFmtId="0" fontId="16" fillId="0" borderId="0" xfId="0" quotePrefix="1" applyFont="1" applyAlignment="1">
      <alignment vertical="top" wrapText="1"/>
    </xf>
    <xf numFmtId="4" fontId="16" fillId="3" borderId="0" xfId="0" applyNumberFormat="1" applyFont="1" applyFill="1" applyAlignment="1">
      <alignment horizontal="center" vertical="top" wrapText="1"/>
    </xf>
    <xf numFmtId="10" fontId="16" fillId="3" borderId="0" xfId="1" applyNumberFormat="1" applyFont="1" applyFill="1" applyAlignment="1">
      <alignment horizontal="center" vertical="top" wrapText="1"/>
    </xf>
    <xf numFmtId="4" fontId="16" fillId="0" borderId="0" xfId="0" applyNumberFormat="1" applyFont="1" applyAlignment="1">
      <alignment vertical="top" wrapText="1"/>
    </xf>
    <xf numFmtId="4" fontId="16" fillId="3" borderId="0" xfId="0" applyNumberFormat="1" applyFont="1" applyFill="1" applyAlignment="1">
      <alignment horizontal="right" vertical="top" wrapText="1"/>
    </xf>
    <xf numFmtId="165" fontId="16" fillId="0" borderId="0" xfId="0" applyNumberFormat="1" applyFont="1" applyAlignment="1">
      <alignment vertical="top" wrapText="1"/>
    </xf>
    <xf numFmtId="0" fontId="16" fillId="0" borderId="0" xfId="0" applyFont="1" applyAlignment="1">
      <alignment horizontal="left" vertical="top"/>
    </xf>
    <xf numFmtId="0" fontId="40" fillId="0" borderId="0" xfId="0" applyFont="1"/>
    <xf numFmtId="4" fontId="40" fillId="0" borderId="0" xfId="0" applyNumberFormat="1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4" fillId="3" borderId="0" xfId="0" applyFont="1" applyFill="1"/>
    <xf numFmtId="0" fontId="1" fillId="3" borderId="0" xfId="0" applyFont="1" applyFill="1"/>
    <xf numFmtId="0" fontId="19" fillId="3" borderId="0" xfId="0" applyFont="1" applyFill="1" applyAlignment="1">
      <alignment horizontal="center"/>
    </xf>
    <xf numFmtId="4" fontId="19" fillId="3" borderId="0" xfId="0" applyNumberFormat="1" applyFont="1" applyFill="1"/>
    <xf numFmtId="168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vertical="center"/>
    </xf>
    <xf numFmtId="0" fontId="19" fillId="3" borderId="0" xfId="0" applyFont="1" applyFill="1"/>
    <xf numFmtId="0" fontId="1" fillId="3" borderId="0" xfId="0" applyFont="1" applyFill="1" applyAlignment="1">
      <alignment horizontal="right"/>
    </xf>
    <xf numFmtId="0" fontId="13" fillId="3" borderId="0" xfId="0" applyFont="1" applyFill="1" applyAlignment="1">
      <alignment horizontal="center"/>
    </xf>
    <xf numFmtId="0" fontId="19" fillId="3" borderId="0" xfId="0" applyFont="1" applyFill="1" applyAlignment="1">
      <alignment horizontal="right"/>
    </xf>
    <xf numFmtId="167" fontId="1" fillId="3" borderId="0" xfId="0" applyNumberFormat="1" applyFont="1" applyFill="1" applyAlignment="1">
      <alignment horizontal="center"/>
    </xf>
    <xf numFmtId="2" fontId="1" fillId="3" borderId="0" xfId="0" applyNumberFormat="1" applyFont="1" applyFill="1" applyAlignment="1">
      <alignment horizontal="center"/>
    </xf>
    <xf numFmtId="0" fontId="11" fillId="3" borderId="0" xfId="0" applyFont="1" applyFill="1" applyAlignment="1">
      <alignment horizontal="right"/>
    </xf>
    <xf numFmtId="2" fontId="1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left"/>
    </xf>
    <xf numFmtId="2" fontId="19" fillId="3" borderId="0" xfId="0" applyNumberFormat="1" applyFont="1" applyFill="1" applyAlignment="1">
      <alignment horizontal="center"/>
    </xf>
    <xf numFmtId="2" fontId="1" fillId="3" borderId="0" xfId="0" applyNumberFormat="1" applyFont="1" applyFill="1"/>
    <xf numFmtId="3" fontId="11" fillId="3" borderId="0" xfId="0" applyNumberFormat="1" applyFont="1" applyFill="1" applyAlignment="1">
      <alignment horizontal="center"/>
    </xf>
    <xf numFmtId="0" fontId="11" fillId="3" borderId="0" xfId="0" applyFont="1" applyFill="1" applyAlignment="1">
      <alignment horizontal="center"/>
    </xf>
    <xf numFmtId="0" fontId="4" fillId="9" borderId="0" xfId="0" applyFont="1" applyFill="1"/>
    <xf numFmtId="0" fontId="1" fillId="9" borderId="0" xfId="0" applyFont="1" applyFill="1"/>
    <xf numFmtId="0" fontId="19" fillId="9" borderId="0" xfId="0" applyFont="1" applyFill="1"/>
    <xf numFmtId="0" fontId="19" fillId="9" borderId="0" xfId="0" applyFont="1" applyFill="1" applyAlignment="1">
      <alignment horizontal="center"/>
    </xf>
    <xf numFmtId="0" fontId="4" fillId="9" borderId="0" xfId="0" applyFont="1" applyFill="1" applyAlignment="1">
      <alignment wrapText="1"/>
    </xf>
    <xf numFmtId="2" fontId="1" fillId="9" borderId="0" xfId="0" applyNumberFormat="1" applyFont="1" applyFill="1" applyAlignment="1">
      <alignment horizontal="center"/>
    </xf>
    <xf numFmtId="0" fontId="20" fillId="9" borderId="0" xfId="0" applyFont="1" applyFill="1" applyAlignment="1">
      <alignment horizontal="left"/>
    </xf>
    <xf numFmtId="0" fontId="11" fillId="9" borderId="0" xfId="0" applyFont="1" applyFill="1" applyAlignment="1">
      <alignment horizontal="right"/>
    </xf>
    <xf numFmtId="0" fontId="1" fillId="9" borderId="0" xfId="0" applyFont="1" applyFill="1" applyAlignment="1">
      <alignment horizontal="right"/>
    </xf>
    <xf numFmtId="0" fontId="11" fillId="9" borderId="0" xfId="0" applyFont="1" applyFill="1" applyAlignment="1">
      <alignment horizontal="center"/>
    </xf>
    <xf numFmtId="0" fontId="13" fillId="9" borderId="0" xfId="0" applyFont="1" applyFill="1" applyAlignment="1">
      <alignment horizontal="center"/>
    </xf>
    <xf numFmtId="0" fontId="4" fillId="17" borderId="0" xfId="0" applyFont="1" applyFill="1"/>
    <xf numFmtId="0" fontId="1" fillId="17" borderId="0" xfId="0" applyFont="1" applyFill="1"/>
    <xf numFmtId="0" fontId="19" fillId="17" borderId="0" xfId="0" applyFont="1" applyFill="1"/>
    <xf numFmtId="0" fontId="1" fillId="17" borderId="0" xfId="0" applyFont="1" applyFill="1" applyAlignment="1">
      <alignment horizontal="center"/>
    </xf>
    <xf numFmtId="0" fontId="19" fillId="17" borderId="0" xfId="0" applyFont="1" applyFill="1" applyAlignment="1">
      <alignment horizontal="center"/>
    </xf>
    <xf numFmtId="0" fontId="13" fillId="17" borderId="0" xfId="0" applyFont="1" applyFill="1" applyAlignment="1">
      <alignment horizontal="center" wrapText="1"/>
    </xf>
    <xf numFmtId="0" fontId="2" fillId="17" borderId="0" xfId="0" applyFont="1" applyFill="1" applyAlignment="1">
      <alignment horizontal="center" wrapText="1"/>
    </xf>
    <xf numFmtId="0" fontId="4" fillId="17" borderId="0" xfId="0" applyFont="1" applyFill="1" applyAlignment="1">
      <alignment wrapText="1"/>
    </xf>
    <xf numFmtId="2" fontId="1" fillId="17" borderId="0" xfId="0" applyNumberFormat="1" applyFont="1" applyFill="1" applyAlignment="1">
      <alignment horizontal="center"/>
    </xf>
    <xf numFmtId="0" fontId="20" fillId="17" borderId="0" xfId="0" applyFont="1" applyFill="1" applyAlignment="1">
      <alignment horizontal="center"/>
    </xf>
    <xf numFmtId="0" fontId="20" fillId="17" borderId="0" xfId="0" applyFont="1" applyFill="1" applyAlignment="1">
      <alignment horizontal="left"/>
    </xf>
    <xf numFmtId="4" fontId="19" fillId="17" borderId="0" xfId="0" applyNumberFormat="1" applyFont="1" applyFill="1" applyAlignment="1">
      <alignment horizontal="center"/>
    </xf>
    <xf numFmtId="0" fontId="11" fillId="17" borderId="0" xfId="0" applyFont="1" applyFill="1" applyAlignment="1">
      <alignment horizontal="right"/>
    </xf>
    <xf numFmtId="0" fontId="1" fillId="17" borderId="0" xfId="0" applyFont="1" applyFill="1" applyAlignment="1">
      <alignment horizontal="right"/>
    </xf>
    <xf numFmtId="0" fontId="11" fillId="17" borderId="0" xfId="0" applyFont="1" applyFill="1" applyAlignment="1">
      <alignment horizontal="center"/>
    </xf>
    <xf numFmtId="0" fontId="4" fillId="18" borderId="0" xfId="0" applyFont="1" applyFill="1"/>
    <xf numFmtId="0" fontId="1" fillId="18" borderId="0" xfId="0" applyFont="1" applyFill="1"/>
    <xf numFmtId="0" fontId="19" fillId="18" borderId="0" xfId="0" applyFont="1" applyFill="1"/>
    <xf numFmtId="0" fontId="1" fillId="18" borderId="0" xfId="0" applyFont="1" applyFill="1" applyAlignment="1">
      <alignment horizontal="center"/>
    </xf>
    <xf numFmtId="0" fontId="19" fillId="18" borderId="0" xfId="0" applyFont="1" applyFill="1" applyAlignment="1">
      <alignment horizontal="center"/>
    </xf>
    <xf numFmtId="0" fontId="2" fillId="18" borderId="0" xfId="0" applyFont="1" applyFill="1" applyAlignment="1">
      <alignment horizontal="center"/>
    </xf>
    <xf numFmtId="0" fontId="4" fillId="18" borderId="0" xfId="0" applyFont="1" applyFill="1" applyAlignment="1">
      <alignment wrapText="1"/>
    </xf>
    <xf numFmtId="0" fontId="20" fillId="18" borderId="0" xfId="0" applyFont="1" applyFill="1" applyAlignment="1">
      <alignment horizontal="left"/>
    </xf>
    <xf numFmtId="0" fontId="11" fillId="18" borderId="0" xfId="0" applyFont="1" applyFill="1" applyAlignment="1">
      <alignment horizontal="right"/>
    </xf>
    <xf numFmtId="0" fontId="1" fillId="18" borderId="0" xfId="0" applyFont="1" applyFill="1" applyAlignment="1">
      <alignment horizontal="right"/>
    </xf>
    <xf numFmtId="0" fontId="11" fillId="18" borderId="0" xfId="0" applyFont="1" applyFill="1" applyAlignment="1">
      <alignment horizontal="center"/>
    </xf>
    <xf numFmtId="0" fontId="4" fillId="19" borderId="0" xfId="0" applyFont="1" applyFill="1"/>
    <xf numFmtId="0" fontId="1" fillId="19" borderId="0" xfId="0" applyFont="1" applyFill="1"/>
    <xf numFmtId="0" fontId="19" fillId="19" borderId="0" xfId="0" applyFont="1" applyFill="1"/>
    <xf numFmtId="0" fontId="1" fillId="19" borderId="0" xfId="0" applyFont="1" applyFill="1" applyAlignment="1">
      <alignment horizontal="center"/>
    </xf>
    <xf numFmtId="0" fontId="19" fillId="19" borderId="0" xfId="0" applyFont="1" applyFill="1" applyAlignment="1">
      <alignment horizontal="center"/>
    </xf>
    <xf numFmtId="0" fontId="2" fillId="19" borderId="0" xfId="0" applyFont="1" applyFill="1" applyAlignment="1">
      <alignment horizontal="center"/>
    </xf>
    <xf numFmtId="0" fontId="13" fillId="19" borderId="0" xfId="0" applyFont="1" applyFill="1" applyAlignment="1">
      <alignment horizontal="center" wrapText="1"/>
    </xf>
    <xf numFmtId="0" fontId="4" fillId="19" borderId="0" xfId="0" applyFont="1" applyFill="1" applyAlignment="1">
      <alignment wrapText="1"/>
    </xf>
    <xf numFmtId="0" fontId="11" fillId="19" borderId="0" xfId="0" applyFont="1" applyFill="1" applyAlignment="1">
      <alignment horizontal="right"/>
    </xf>
    <xf numFmtId="0" fontId="1" fillId="19" borderId="0" xfId="0" applyFont="1" applyFill="1" applyAlignment="1">
      <alignment horizontal="right"/>
    </xf>
    <xf numFmtId="0" fontId="4" fillId="8" borderId="0" xfId="0" applyFont="1" applyFill="1"/>
    <xf numFmtId="0" fontId="19" fillId="8" borderId="0" xfId="0" applyFont="1" applyFill="1"/>
    <xf numFmtId="0" fontId="19" fillId="8" borderId="0" xfId="0" applyFont="1" applyFill="1" applyAlignment="1">
      <alignment horizontal="center"/>
    </xf>
    <xf numFmtId="0" fontId="4" fillId="8" borderId="0" xfId="0" applyFont="1" applyFill="1" applyAlignment="1">
      <alignment wrapText="1"/>
    </xf>
    <xf numFmtId="0" fontId="20" fillId="8" borderId="0" xfId="0" applyFont="1" applyFill="1" applyAlignment="1">
      <alignment horizontal="left"/>
    </xf>
    <xf numFmtId="0" fontId="11" fillId="8" borderId="0" xfId="0" applyFont="1" applyFill="1" applyAlignment="1">
      <alignment horizontal="right"/>
    </xf>
    <xf numFmtId="0" fontId="1" fillId="8" borderId="0" xfId="0" applyFont="1" applyFill="1" applyAlignment="1">
      <alignment horizontal="right"/>
    </xf>
    <xf numFmtId="0" fontId="4" fillId="16" borderId="0" xfId="0" applyFont="1" applyFill="1"/>
    <xf numFmtId="0" fontId="19" fillId="16" borderId="0" xfId="0" applyFont="1" applyFill="1" applyAlignment="1">
      <alignment horizontal="center"/>
    </xf>
    <xf numFmtId="0" fontId="4" fillId="16" borderId="0" xfId="0" applyFont="1" applyFill="1" applyAlignment="1">
      <alignment wrapText="1"/>
    </xf>
    <xf numFmtId="2" fontId="1" fillId="16" borderId="0" xfId="0" applyNumberFormat="1" applyFont="1" applyFill="1" applyAlignment="1">
      <alignment horizontal="center"/>
    </xf>
    <xf numFmtId="0" fontId="20" fillId="16" borderId="0" xfId="0" applyFont="1" applyFill="1" applyAlignment="1">
      <alignment horizontal="left"/>
    </xf>
    <xf numFmtId="0" fontId="11" fillId="16" borderId="0" xfId="0" applyFont="1" applyFill="1" applyAlignment="1">
      <alignment horizontal="right"/>
    </xf>
    <xf numFmtId="0" fontId="1" fillId="16" borderId="0" xfId="0" applyFont="1" applyFill="1" applyAlignment="1">
      <alignment horizontal="right"/>
    </xf>
    <xf numFmtId="0" fontId="11" fillId="16" borderId="0" xfId="0" applyFont="1" applyFill="1" applyAlignment="1">
      <alignment horizontal="center"/>
    </xf>
    <xf numFmtId="0" fontId="13" fillId="16" borderId="0" xfId="0" applyFont="1" applyFill="1" applyAlignment="1">
      <alignment horizontal="center"/>
    </xf>
    <xf numFmtId="0" fontId="1" fillId="16" borderId="0" xfId="0" quotePrefix="1" applyFont="1" applyFill="1" applyAlignment="1">
      <alignment horizontal="center"/>
    </xf>
    <xf numFmtId="0" fontId="4" fillId="12" borderId="0" xfId="0" applyFont="1" applyFill="1"/>
    <xf numFmtId="0" fontId="1" fillId="12" borderId="0" xfId="0" applyFont="1" applyFill="1"/>
    <xf numFmtId="0" fontId="19" fillId="12" borderId="0" xfId="0" applyFont="1" applyFill="1"/>
    <xf numFmtId="0" fontId="19" fillId="12" borderId="0" xfId="0" applyFont="1" applyFill="1" applyAlignment="1">
      <alignment horizontal="center"/>
    </xf>
    <xf numFmtId="0" fontId="13" fillId="12" borderId="0" xfId="0" applyFont="1" applyFill="1" applyAlignment="1">
      <alignment horizontal="center" wrapText="1"/>
    </xf>
    <xf numFmtId="0" fontId="2" fillId="12" borderId="0" xfId="0" applyFont="1" applyFill="1" applyAlignment="1">
      <alignment horizontal="center"/>
    </xf>
    <xf numFmtId="0" fontId="4" fillId="12" borderId="0" xfId="0" applyFont="1" applyFill="1" applyAlignment="1">
      <alignment wrapText="1"/>
    </xf>
    <xf numFmtId="0" fontId="20" fillId="12" borderId="0" xfId="0" applyFont="1" applyFill="1" applyAlignment="1">
      <alignment horizontal="left"/>
    </xf>
    <xf numFmtId="0" fontId="11" fillId="12" borderId="0" xfId="0" applyFont="1" applyFill="1" applyAlignment="1">
      <alignment horizontal="right"/>
    </xf>
    <xf numFmtId="0" fontId="1" fillId="12" borderId="0" xfId="0" applyFont="1" applyFill="1" applyAlignment="1">
      <alignment horizontal="right"/>
    </xf>
    <xf numFmtId="0" fontId="11" fillId="12" borderId="0" xfId="0" applyFont="1" applyFill="1" applyAlignment="1">
      <alignment horizontal="center"/>
    </xf>
    <xf numFmtId="0" fontId="4" fillId="6" borderId="0" xfId="0" applyFont="1" applyFill="1"/>
    <xf numFmtId="0" fontId="1" fillId="6" borderId="0" xfId="0" applyFont="1" applyFill="1"/>
    <xf numFmtId="0" fontId="12" fillId="6" borderId="0" xfId="0" applyFont="1" applyFill="1" applyAlignment="1">
      <alignment horizontal="center"/>
    </xf>
    <xf numFmtId="0" fontId="19" fillId="6" borderId="0" xfId="0" applyFont="1" applyFill="1" applyAlignment="1">
      <alignment horizontal="center"/>
    </xf>
    <xf numFmtId="4" fontId="19" fillId="6" borderId="0" xfId="0" applyNumberFormat="1" applyFont="1" applyFill="1" applyAlignment="1">
      <alignment horizontal="center"/>
    </xf>
    <xf numFmtId="168" fontId="1" fillId="6" borderId="0" xfId="0" applyNumberFormat="1" applyFont="1" applyFill="1" applyAlignment="1">
      <alignment horizontal="center"/>
    </xf>
    <xf numFmtId="4" fontId="1" fillId="6" borderId="0" xfId="0" applyNumberFormat="1" applyFont="1" applyFill="1" applyAlignment="1">
      <alignment horizontal="center"/>
    </xf>
    <xf numFmtId="0" fontId="1" fillId="6" borderId="0" xfId="0" applyFont="1" applyFill="1" applyAlignment="1">
      <alignment vertical="center"/>
    </xf>
    <xf numFmtId="0" fontId="1" fillId="6" borderId="0" xfId="0" applyFont="1" applyFill="1" applyAlignment="1">
      <alignment horizontal="right"/>
    </xf>
    <xf numFmtId="0" fontId="13" fillId="6" borderId="0" xfId="0" applyFont="1" applyFill="1" applyAlignment="1">
      <alignment horizontal="center"/>
    </xf>
    <xf numFmtId="4" fontId="11" fillId="6" borderId="0" xfId="0" applyNumberFormat="1" applyFont="1" applyFill="1" applyAlignment="1">
      <alignment horizontal="center"/>
    </xf>
    <xf numFmtId="3" fontId="19" fillId="6" borderId="0" xfId="0" applyNumberFormat="1" applyFont="1" applyFill="1" applyAlignment="1">
      <alignment horizontal="center"/>
    </xf>
    <xf numFmtId="0" fontId="4" fillId="15" borderId="0" xfId="0" applyFont="1" applyFill="1"/>
    <xf numFmtId="0" fontId="19" fillId="15" borderId="0" xfId="0" applyFont="1" applyFill="1" applyAlignment="1">
      <alignment horizontal="center"/>
    </xf>
    <xf numFmtId="4" fontId="19" fillId="15" borderId="0" xfId="0" applyNumberFormat="1" applyFont="1" applyFill="1" applyAlignment="1">
      <alignment horizontal="center"/>
    </xf>
    <xf numFmtId="168" fontId="1" fillId="15" borderId="0" xfId="0" applyNumberFormat="1" applyFont="1" applyFill="1" applyAlignment="1">
      <alignment horizontal="center"/>
    </xf>
    <xf numFmtId="0" fontId="1" fillId="15" borderId="0" xfId="0" applyFont="1" applyFill="1" applyAlignment="1">
      <alignment vertical="center"/>
    </xf>
    <xf numFmtId="0" fontId="1" fillId="15" borderId="0" xfId="0" applyFont="1" applyFill="1" applyAlignment="1">
      <alignment horizontal="right"/>
    </xf>
    <xf numFmtId="0" fontId="13" fillId="15" borderId="0" xfId="0" applyFont="1" applyFill="1" applyAlignment="1">
      <alignment horizontal="center"/>
    </xf>
    <xf numFmtId="4" fontId="11" fillId="15" borderId="0" xfId="0" applyNumberFormat="1" applyFont="1" applyFill="1" applyAlignment="1">
      <alignment horizontal="center"/>
    </xf>
    <xf numFmtId="0" fontId="4" fillId="13" borderId="0" xfId="0" applyFont="1" applyFill="1"/>
    <xf numFmtId="0" fontId="1" fillId="13" borderId="0" xfId="0" applyFont="1" applyFill="1"/>
    <xf numFmtId="0" fontId="12" fillId="13" borderId="0" xfId="0" applyFont="1" applyFill="1" applyAlignment="1">
      <alignment horizontal="center"/>
    </xf>
    <xf numFmtId="0" fontId="19" fillId="13" borderId="0" xfId="0" applyFont="1" applyFill="1" applyAlignment="1">
      <alignment horizontal="center"/>
    </xf>
    <xf numFmtId="4" fontId="19" fillId="13" borderId="0" xfId="0" applyNumberFormat="1" applyFont="1" applyFill="1" applyAlignment="1">
      <alignment horizontal="center"/>
    </xf>
    <xf numFmtId="168" fontId="1" fillId="13" borderId="0" xfId="0" applyNumberFormat="1" applyFont="1" applyFill="1" applyAlignment="1">
      <alignment horizontal="center"/>
    </xf>
    <xf numFmtId="4" fontId="1" fillId="13" borderId="0" xfId="0" applyNumberFormat="1" applyFont="1" applyFill="1" applyAlignment="1">
      <alignment horizontal="center"/>
    </xf>
    <xf numFmtId="0" fontId="1" fillId="13" borderId="0" xfId="0" applyFont="1" applyFill="1" applyAlignment="1">
      <alignment vertical="center"/>
    </xf>
    <xf numFmtId="0" fontId="1" fillId="13" borderId="0" xfId="0" applyFont="1" applyFill="1" applyAlignment="1">
      <alignment horizontal="right"/>
    </xf>
    <xf numFmtId="0" fontId="13" fillId="13" borderId="0" xfId="0" applyFont="1" applyFill="1" applyAlignment="1">
      <alignment horizontal="center"/>
    </xf>
    <xf numFmtId="4" fontId="11" fillId="13" borderId="0" xfId="0" applyNumberFormat="1" applyFont="1" applyFill="1" applyAlignment="1">
      <alignment horizontal="center"/>
    </xf>
    <xf numFmtId="2" fontId="19" fillId="13" borderId="0" xfId="0" applyNumberFormat="1" applyFont="1" applyFill="1" applyAlignment="1">
      <alignment horizontal="center"/>
    </xf>
    <xf numFmtId="2" fontId="1" fillId="13" borderId="0" xfId="0" applyNumberFormat="1" applyFont="1" applyFill="1" applyAlignment="1">
      <alignment horizontal="center"/>
    </xf>
    <xf numFmtId="3" fontId="1" fillId="13" borderId="0" xfId="0" applyNumberFormat="1" applyFont="1" applyFill="1" applyAlignment="1">
      <alignment horizontal="center"/>
    </xf>
    <xf numFmtId="0" fontId="1" fillId="13" borderId="0" xfId="0" applyFont="1" applyFill="1" applyAlignment="1">
      <alignment horizontal="left"/>
    </xf>
    <xf numFmtId="2" fontId="11" fillId="13" borderId="0" xfId="0" applyNumberFormat="1" applyFont="1" applyFill="1" applyAlignment="1">
      <alignment horizontal="center"/>
    </xf>
    <xf numFmtId="3" fontId="11" fillId="13" borderId="0" xfId="0" applyNumberFormat="1" applyFont="1" applyFill="1" applyAlignment="1">
      <alignment horizontal="center"/>
    </xf>
    <xf numFmtId="3" fontId="19" fillId="13" borderId="0" xfId="0" applyNumberFormat="1" applyFont="1" applyFill="1" applyAlignment="1">
      <alignment horizontal="center"/>
    </xf>
    <xf numFmtId="0" fontId="19" fillId="0" borderId="0" xfId="0" applyFont="1" applyAlignment="1">
      <alignment wrapText="1"/>
    </xf>
    <xf numFmtId="0" fontId="42" fillId="0" borderId="0" xfId="0" applyFont="1"/>
    <xf numFmtId="0" fontId="41" fillId="0" borderId="0" xfId="0" applyFont="1" applyAlignment="1">
      <alignment vertical="center"/>
    </xf>
    <xf numFmtId="0" fontId="2" fillId="0" borderId="0" xfId="0" applyFont="1"/>
    <xf numFmtId="0" fontId="16" fillId="0" borderId="0" xfId="0" applyFont="1" applyAlignment="1">
      <alignment vertical="center"/>
    </xf>
    <xf numFmtId="3" fontId="16" fillId="3" borderId="0" xfId="0" applyNumberFormat="1" applyFont="1" applyFill="1" applyAlignment="1">
      <alignment horizontal="left"/>
    </xf>
    <xf numFmtId="0" fontId="17" fillId="0" borderId="0" xfId="0" quotePrefix="1" applyFont="1" applyAlignment="1">
      <alignment vertical="top"/>
    </xf>
    <xf numFmtId="0" fontId="39" fillId="0" borderId="0" xfId="0" quotePrefix="1" applyFont="1" applyAlignment="1">
      <alignment vertical="top"/>
    </xf>
    <xf numFmtId="0" fontId="39" fillId="3" borderId="0" xfId="0" applyFont="1" applyFill="1" applyAlignment="1">
      <alignment vertical="top" wrapText="1"/>
    </xf>
    <xf numFmtId="0" fontId="39" fillId="3" borderId="0" xfId="0" applyFont="1" applyFill="1" applyAlignment="1">
      <alignment horizontal="center" vertical="top" wrapText="1"/>
    </xf>
    <xf numFmtId="4" fontId="39" fillId="3" borderId="0" xfId="0" applyNumberFormat="1" applyFont="1" applyFill="1" applyAlignment="1">
      <alignment horizontal="center" vertical="top" wrapText="1"/>
    </xf>
    <xf numFmtId="3" fontId="16" fillId="3" borderId="0" xfId="0" applyNumberFormat="1" applyFont="1" applyFill="1" applyAlignment="1">
      <alignment horizontal="center" vertical="top" wrapText="1"/>
    </xf>
    <xf numFmtId="3" fontId="16" fillId="3" borderId="0" xfId="0" applyNumberFormat="1" applyFont="1" applyFill="1" applyAlignment="1">
      <alignment horizontal="right" vertical="top" wrapText="1"/>
    </xf>
    <xf numFmtId="0" fontId="17" fillId="0" borderId="0" xfId="0" quotePrefix="1" applyFont="1" applyAlignment="1">
      <alignment vertical="top" wrapText="1"/>
    </xf>
    <xf numFmtId="0" fontId="16" fillId="3" borderId="0" xfId="0" applyFont="1" applyFill="1" applyAlignment="1">
      <alignment horizontal="left" vertical="top"/>
    </xf>
    <xf numFmtId="0" fontId="16" fillId="0" borderId="0" xfId="0" applyFont="1" applyAlignment="1">
      <alignment vertical="top"/>
    </xf>
    <xf numFmtId="9" fontId="16" fillId="3" borderId="0" xfId="1" applyFont="1" applyFill="1" applyAlignment="1">
      <alignment horizontal="center" vertical="top" wrapText="1"/>
    </xf>
    <xf numFmtId="0" fontId="1" fillId="19" borderId="0" xfId="0" applyFont="1" applyFill="1" applyAlignment="1">
      <alignment horizontal="center" vertical="center" wrapText="1"/>
    </xf>
    <xf numFmtId="9" fontId="1" fillId="19" borderId="0" xfId="0" applyNumberFormat="1" applyFont="1" applyFill="1" applyAlignment="1">
      <alignment horizontal="center"/>
    </xf>
    <xf numFmtId="0" fontId="1" fillId="19" borderId="0" xfId="0" applyFont="1" applyFill="1" applyAlignment="1">
      <alignment horizontal="center" wrapText="1"/>
    </xf>
    <xf numFmtId="4" fontId="19" fillId="19" borderId="0" xfId="0" applyNumberFormat="1" applyFont="1" applyFill="1" applyAlignment="1">
      <alignment horizontal="center"/>
    </xf>
    <xf numFmtId="4" fontId="11" fillId="19" borderId="0" xfId="0" applyNumberFormat="1" applyFont="1" applyFill="1" applyAlignment="1">
      <alignment horizontal="center"/>
    </xf>
    <xf numFmtId="4" fontId="1" fillId="19" borderId="0" xfId="0" applyNumberFormat="1" applyFont="1" applyFill="1" applyAlignment="1">
      <alignment horizontal="center"/>
    </xf>
    <xf numFmtId="2" fontId="1" fillId="19" borderId="0" xfId="0" applyNumberFormat="1" applyFont="1" applyFill="1" applyAlignment="1">
      <alignment horizontal="center"/>
    </xf>
    <xf numFmtId="4" fontId="3" fillId="5" borderId="0" xfId="0" applyNumberFormat="1" applyFont="1" applyFill="1" applyAlignment="1">
      <alignment horizontal="left" vertical="center"/>
    </xf>
    <xf numFmtId="0" fontId="3" fillId="4" borderId="0" xfId="0" applyFont="1" applyFill="1" applyAlignment="1">
      <alignment horizontal="center" vertical="top"/>
    </xf>
    <xf numFmtId="0" fontId="3" fillId="13" borderId="0" xfId="0" applyFont="1" applyFill="1" applyAlignment="1">
      <alignment horizontal="center" vertical="top"/>
    </xf>
    <xf numFmtId="4" fontId="1" fillId="13" borderId="2" xfId="0" applyNumberFormat="1" applyFont="1" applyFill="1" applyBorder="1" applyAlignment="1">
      <alignment horizontal="center"/>
    </xf>
    <xf numFmtId="4" fontId="3" fillId="13" borderId="0" xfId="0" applyNumberFormat="1" applyFont="1" applyFill="1" applyAlignment="1">
      <alignment horizontal="center" vertical="top"/>
    </xf>
    <xf numFmtId="0" fontId="0" fillId="0" borderId="0" xfId="0" applyAlignment="1">
      <alignment horizontal="center" vertical="center"/>
    </xf>
    <xf numFmtId="0" fontId="5" fillId="20" borderId="0" xfId="0" applyFont="1" applyFill="1" applyAlignment="1">
      <alignment horizontal="center" wrapText="1"/>
    </xf>
    <xf numFmtId="0" fontId="1" fillId="20" borderId="0" xfId="0" applyFont="1" applyFill="1" applyAlignment="1">
      <alignment horizontal="center" wrapText="1"/>
    </xf>
    <xf numFmtId="0" fontId="2" fillId="20" borderId="0" xfId="0" applyFont="1" applyFill="1" applyAlignment="1">
      <alignment horizontal="center"/>
    </xf>
    <xf numFmtId="0" fontId="1" fillId="20" borderId="0" xfId="0" applyFont="1" applyFill="1" applyAlignment="1">
      <alignment horizontal="center"/>
    </xf>
    <xf numFmtId="0" fontId="43" fillId="0" borderId="6" xfId="0" applyFont="1" applyBorder="1" applyAlignment="1">
      <alignment horizontal="center" vertical="center"/>
    </xf>
    <xf numFmtId="0" fontId="43" fillId="0" borderId="7" xfId="0" applyFont="1" applyBorder="1" applyAlignment="1">
      <alignment horizontal="center" vertical="center"/>
    </xf>
    <xf numFmtId="0" fontId="43" fillId="0" borderId="8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3" borderId="0" xfId="0" applyFont="1" applyFill="1" applyAlignment="1">
      <alignment horizontal="center" wrapText="1"/>
    </xf>
    <xf numFmtId="0" fontId="2" fillId="3" borderId="0" xfId="0" applyFont="1" applyFill="1" applyAlignment="1">
      <alignment horizont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3" fillId="0" borderId="9" xfId="0" applyFont="1" applyBorder="1" applyAlignment="1">
      <alignment horizontal="center" vertical="center"/>
    </xf>
    <xf numFmtId="0" fontId="43" fillId="0" borderId="10" xfId="0" applyFont="1" applyBorder="1" applyAlignment="1">
      <alignment horizontal="center" vertical="center"/>
    </xf>
    <xf numFmtId="0" fontId="43" fillId="0" borderId="8" xfId="0" applyFont="1" applyBorder="1" applyAlignment="1">
      <alignment horizontal="center" vertical="center"/>
    </xf>
    <xf numFmtId="0" fontId="43" fillId="0" borderId="6" xfId="0" applyFont="1" applyBorder="1" applyAlignment="1">
      <alignment horizontal="center" vertical="center"/>
    </xf>
    <xf numFmtId="0" fontId="43" fillId="0" borderId="7" xfId="0" applyFont="1" applyBorder="1" applyAlignment="1">
      <alignment horizontal="center" vertical="center"/>
    </xf>
    <xf numFmtId="0" fontId="43" fillId="0" borderId="16" xfId="0" applyFont="1" applyBorder="1" applyAlignment="1">
      <alignment horizontal="center" vertical="center"/>
    </xf>
    <xf numFmtId="0" fontId="43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20" borderId="0" xfId="0" applyFont="1" applyFill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13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35" fillId="3" borderId="0" xfId="0" applyFont="1" applyFill="1" applyAlignment="1">
      <alignment horizontal="center"/>
    </xf>
    <xf numFmtId="0" fontId="11" fillId="8" borderId="1" xfId="0" applyFont="1" applyFill="1" applyBorder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11" fillId="15" borderId="0" xfId="0" applyFont="1" applyFill="1" applyAlignment="1">
      <alignment horizontal="center" vertical="center"/>
    </xf>
    <xf numFmtId="0" fontId="1" fillId="20" borderId="13" xfId="0" applyFont="1" applyFill="1" applyBorder="1" applyAlignment="1">
      <alignment horizontal="center" vertical="center" wrapText="1"/>
    </xf>
    <xf numFmtId="0" fontId="43" fillId="0" borderId="11" xfId="0" applyFont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20" borderId="12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3" fontId="1" fillId="0" borderId="11" xfId="0" applyNumberFormat="1" applyFont="1" applyBorder="1" applyAlignment="1">
      <alignment horizontal="center" vertical="center" wrapText="1"/>
    </xf>
    <xf numFmtId="4" fontId="1" fillId="0" borderId="13" xfId="0" applyNumberFormat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3" fontId="1" fillId="0" borderId="15" xfId="0" applyNumberFormat="1" applyFont="1" applyBorder="1" applyAlignment="1">
      <alignment horizontal="center" vertical="center" wrapText="1"/>
    </xf>
    <xf numFmtId="3" fontId="1" fillId="0" borderId="13" xfId="0" applyNumberFormat="1" applyFont="1" applyBorder="1" applyAlignment="1">
      <alignment horizontal="center" vertical="center" wrapText="1"/>
    </xf>
    <xf numFmtId="1" fontId="1" fillId="0" borderId="12" xfId="0" applyNumberFormat="1" applyFont="1" applyBorder="1" applyAlignment="1">
      <alignment horizontal="center" vertical="center" wrapText="1"/>
    </xf>
    <xf numFmtId="1" fontId="1" fillId="0" borderId="13" xfId="0" applyNumberFormat="1" applyFont="1" applyBorder="1" applyAlignment="1">
      <alignment horizontal="center" vertical="center" wrapText="1"/>
    </xf>
    <xf numFmtId="0" fontId="1" fillId="0" borderId="15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4" fontId="1" fillId="0" borderId="11" xfId="0" applyNumberFormat="1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0" fontId="1" fillId="20" borderId="12" xfId="0" applyFont="1" applyFill="1" applyBorder="1" applyAlignment="1">
      <alignment vertical="center" wrapText="1"/>
    </xf>
    <xf numFmtId="0" fontId="1" fillId="20" borderId="13" xfId="0" applyFont="1" applyFill="1" applyBorder="1" applyAlignment="1">
      <alignment vertical="center" wrapText="1"/>
    </xf>
    <xf numFmtId="0" fontId="1" fillId="20" borderId="14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6"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</dxfs>
  <tableStyles count="0" defaultTableStyle="TableStyleMedium2" defaultPivotStyle="PivotStyleLight16"/>
  <colors>
    <mruColors>
      <color rgb="FFEAC770"/>
      <color rgb="FF9966FF"/>
      <color rgb="FF9933FF"/>
      <color rgb="FFCC9900"/>
      <color rgb="FFF7CF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276225</xdr:colOff>
      <xdr:row>2</xdr:row>
      <xdr:rowOff>47625</xdr:rowOff>
    </xdr:from>
    <xdr:to>
      <xdr:col>6</xdr:col>
      <xdr:colOff>200025</xdr:colOff>
      <xdr:row>7</xdr:row>
      <xdr:rowOff>161925</xdr:rowOff>
    </xdr:to>
    <xdr:sp macro="[0]!M_Montrer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EF81396A-0A9C-7AF2-6F57-A9DA8B3BA547}"/>
            </a:ext>
          </a:extLst>
        </xdr:cNvPr>
        <xdr:cNvSpPr/>
      </xdr:nvSpPr>
      <xdr:spPr>
        <a:xfrm>
          <a:off x="4391025" y="428625"/>
          <a:ext cx="1447800" cy="1066800"/>
        </a:xfrm>
        <a:prstGeom prst="roundRect">
          <a:avLst/>
        </a:prstGeom>
        <a:solidFill>
          <a:schemeClr val="accent6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 b="1"/>
            <a:t>Tout</a:t>
          </a:r>
          <a:r>
            <a:rPr lang="nl-BE" sz="1400" b="1" baseline="0"/>
            <a:t> montrer</a:t>
          </a:r>
          <a:endParaRPr lang="nl-BE" sz="1400" b="1"/>
        </a:p>
      </xdr:txBody>
    </xdr:sp>
    <xdr:clientData/>
  </xdr:twoCellAnchor>
  <xdr:twoCellAnchor>
    <xdr:from>
      <xdr:col>3</xdr:col>
      <xdr:colOff>752474</xdr:colOff>
      <xdr:row>9</xdr:row>
      <xdr:rowOff>9524</xdr:rowOff>
    </xdr:from>
    <xdr:to>
      <xdr:col>6</xdr:col>
      <xdr:colOff>400049</xdr:colOff>
      <xdr:row>14</xdr:row>
      <xdr:rowOff>104775</xdr:rowOff>
    </xdr:to>
    <xdr:sp macro="[0]!M_Cacher_Choix1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E8CC733-5C30-1C01-E928-FAE66828CC87}"/>
            </a:ext>
          </a:extLst>
        </xdr:cNvPr>
        <xdr:cNvSpPr/>
      </xdr:nvSpPr>
      <xdr:spPr>
        <a:xfrm>
          <a:off x="4105274" y="1724024"/>
          <a:ext cx="1933575" cy="1047751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/>
            <a:t>Cacher</a:t>
          </a:r>
          <a:r>
            <a:rPr lang="nl-BE" sz="1400" baseline="0"/>
            <a:t> les matériaux non présent</a:t>
          </a:r>
          <a:endParaRPr lang="nl-BE" sz="14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182218</xdr:colOff>
      <xdr:row>62</xdr:row>
      <xdr:rowOff>24848</xdr:rowOff>
    </xdr:from>
    <xdr:to>
      <xdr:col>7</xdr:col>
      <xdr:colOff>364435</xdr:colOff>
      <xdr:row>64</xdr:row>
      <xdr:rowOff>157370</xdr:rowOff>
    </xdr:to>
    <xdr:sp macro="" textlink="">
      <xdr:nvSpPr>
        <xdr:cNvPr id="2" name="Accolade fermante 1">
          <a:extLst>
            <a:ext uri="{FF2B5EF4-FFF2-40B4-BE49-F238E27FC236}">
              <a16:creationId xmlns:a16="http://schemas.microsoft.com/office/drawing/2014/main" id="{C1575AF8-7887-593F-79FE-A8422749F11C}"/>
            </a:ext>
          </a:extLst>
        </xdr:cNvPr>
        <xdr:cNvSpPr/>
      </xdr:nvSpPr>
      <xdr:spPr>
        <a:xfrm>
          <a:off x="7056783" y="14022457"/>
          <a:ext cx="182217" cy="4638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99392</xdr:colOff>
      <xdr:row>318</xdr:row>
      <xdr:rowOff>0</xdr:rowOff>
    </xdr:from>
    <xdr:to>
      <xdr:col>7</xdr:col>
      <xdr:colOff>314739</xdr:colOff>
      <xdr:row>320</xdr:row>
      <xdr:rowOff>149087</xdr:rowOff>
    </xdr:to>
    <xdr:sp macro="" textlink="">
      <xdr:nvSpPr>
        <xdr:cNvPr id="3" name="Accolade fermante 2">
          <a:extLst>
            <a:ext uri="{FF2B5EF4-FFF2-40B4-BE49-F238E27FC236}">
              <a16:creationId xmlns:a16="http://schemas.microsoft.com/office/drawing/2014/main" id="{1129DF36-3973-D28A-0795-C29AC9E84B91}"/>
            </a:ext>
          </a:extLst>
        </xdr:cNvPr>
        <xdr:cNvSpPr/>
      </xdr:nvSpPr>
      <xdr:spPr>
        <a:xfrm>
          <a:off x="6973957" y="29734565"/>
          <a:ext cx="215347" cy="480392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182219</xdr:colOff>
      <xdr:row>82</xdr:row>
      <xdr:rowOff>24848</xdr:rowOff>
    </xdr:from>
    <xdr:to>
      <xdr:col>7</xdr:col>
      <xdr:colOff>323023</xdr:colOff>
      <xdr:row>85</xdr:row>
      <xdr:rowOff>157370</xdr:rowOff>
    </xdr:to>
    <xdr:sp macro="" textlink="">
      <xdr:nvSpPr>
        <xdr:cNvPr id="4" name="Accolade fermante 3">
          <a:extLst>
            <a:ext uri="{FF2B5EF4-FFF2-40B4-BE49-F238E27FC236}">
              <a16:creationId xmlns:a16="http://schemas.microsoft.com/office/drawing/2014/main" id="{C1575AF8-7887-593F-79FE-A8422749F11C}"/>
            </a:ext>
          </a:extLst>
        </xdr:cNvPr>
        <xdr:cNvSpPr/>
      </xdr:nvSpPr>
      <xdr:spPr>
        <a:xfrm>
          <a:off x="7056784" y="13964478"/>
          <a:ext cx="140804" cy="629479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1B9E3-7B6F-4D79-AA9F-D40B3D986109}">
  <sheetPr codeName="Feuil5"/>
  <dimension ref="A1:C276"/>
  <sheetViews>
    <sheetView tabSelected="1" workbookViewId="0">
      <selection activeCell="G19" sqref="G19"/>
    </sheetView>
  </sheetViews>
  <sheetFormatPr baseColWidth="10" defaultColWidth="11.42578125" defaultRowHeight="15" x14ac:dyDescent="0.25"/>
  <cols>
    <col min="1" max="1" width="23.28515625" style="498" customWidth="1"/>
    <col min="2" max="2" width="49.85546875" style="555" customWidth="1"/>
    <col min="3" max="3" width="15" style="506" customWidth="1"/>
    <col min="7" max="7" width="11.42578125" customWidth="1"/>
  </cols>
  <sheetData>
    <row r="1" spans="1:3" ht="15.75" thickBot="1" x14ac:dyDescent="0.3">
      <c r="A1" s="498" t="s">
        <v>755</v>
      </c>
      <c r="B1" s="530" t="s">
        <v>742</v>
      </c>
      <c r="C1" s="503" t="s">
        <v>743</v>
      </c>
    </row>
    <row r="2" spans="1:3" x14ac:dyDescent="0.25">
      <c r="A2" s="509"/>
      <c r="B2" s="531" t="str" cm="1">
        <f t="array" ref="B2:B223">TRANSPOSE('Surf '!H3:HU3)</f>
        <v>a déduire sur plinthes porte 70</v>
      </c>
      <c r="C2" s="503" t="s">
        <v>741</v>
      </c>
    </row>
    <row r="3" spans="1:3" x14ac:dyDescent="0.25">
      <c r="A3" s="510"/>
      <c r="B3" s="532" t="str">
        <v>a déduire sur plinthes porte 90</v>
      </c>
      <c r="C3" s="504" t="s">
        <v>739</v>
      </c>
    </row>
    <row r="4" spans="1:3" x14ac:dyDescent="0.25">
      <c r="A4" s="510"/>
      <c r="B4" s="532" t="str">
        <v>a déduire sur plinthes porte 140</v>
      </c>
      <c r="C4" s="504" t="s">
        <v>739</v>
      </c>
    </row>
    <row r="5" spans="1:3" x14ac:dyDescent="0.25">
      <c r="A5" s="510"/>
      <c r="B5" s="532" t="str">
        <v>a déduire sur plinthes chassis, divers</v>
      </c>
      <c r="C5" s="504" t="s">
        <v>739</v>
      </c>
    </row>
    <row r="6" spans="1:3" x14ac:dyDescent="0.25">
      <c r="A6" s="510"/>
      <c r="B6" s="532" t="str">
        <v>Plinthes bois</v>
      </c>
      <c r="C6" s="504" t="s">
        <v>739</v>
      </c>
    </row>
    <row r="7" spans="1:3" x14ac:dyDescent="0.25">
      <c r="A7" s="510"/>
      <c r="B7" s="532" t="str">
        <v>Plinthes droites</v>
      </c>
      <c r="C7" s="504" t="s">
        <v>739</v>
      </c>
    </row>
    <row r="8" spans="1:3" x14ac:dyDescent="0.25">
      <c r="A8" s="510"/>
      <c r="B8" s="532" t="str">
        <v>Remontées en Plinthes SdB</v>
      </c>
      <c r="C8" s="504" t="s">
        <v>739</v>
      </c>
    </row>
    <row r="9" spans="1:3" x14ac:dyDescent="0.25">
      <c r="A9" s="510"/>
      <c r="B9" s="532" t="str">
        <v>seuils de transition</v>
      </c>
      <c r="C9" s="504" t="s">
        <v>739</v>
      </c>
    </row>
    <row r="10" spans="1:3" x14ac:dyDescent="0.25">
      <c r="A10" s="510"/>
      <c r="B10" s="532" t="str">
        <v>seuils porte ext.</v>
      </c>
      <c r="C10" s="504" t="s">
        <v>739</v>
      </c>
    </row>
    <row r="11" spans="1:3" x14ac:dyDescent="0.25">
      <c r="A11" s="510"/>
      <c r="B11" s="532" t="str">
        <v>peinture sol</v>
      </c>
      <c r="C11" s="504" t="s">
        <v>739</v>
      </c>
    </row>
    <row r="12" spans="1:3" x14ac:dyDescent="0.25">
      <c r="A12" s="510"/>
      <c r="B12" s="532" t="str">
        <v>Parquet</v>
      </c>
      <c r="C12" s="504" t="s">
        <v>739</v>
      </c>
    </row>
    <row r="13" spans="1:3" x14ac:dyDescent="0.25">
      <c r="A13" s="510"/>
      <c r="B13" s="532" t="str">
        <v>Parquet rénovation</v>
      </c>
      <c r="C13" s="504" t="s">
        <v>739</v>
      </c>
    </row>
    <row r="14" spans="1:3" x14ac:dyDescent="0.25">
      <c r="A14" s="510"/>
      <c r="B14" s="532" t="str">
        <v>sol souple</v>
      </c>
      <c r="C14" s="504" t="s">
        <v>739</v>
      </c>
    </row>
    <row r="15" spans="1:3" x14ac:dyDescent="0.25">
      <c r="A15" s="510"/>
      <c r="B15" s="532" t="str">
        <v>moquette</v>
      </c>
      <c r="C15" s="504" t="s">
        <v>739</v>
      </c>
    </row>
    <row r="16" spans="1:3" x14ac:dyDescent="0.25">
      <c r="A16" s="510"/>
      <c r="B16" s="532" t="str">
        <v>carrelage</v>
      </c>
      <c r="C16" s="504" t="s">
        <v>739</v>
      </c>
    </row>
    <row r="17" spans="1:3" x14ac:dyDescent="0.25">
      <c r="A17" s="510"/>
      <c r="B17" s="532" t="str">
        <v>Carrelage antidérapant</v>
      </c>
      <c r="C17" s="504" t="s">
        <v>739</v>
      </c>
    </row>
    <row r="18" spans="1:3" x14ac:dyDescent="0.25">
      <c r="A18" s="510"/>
      <c r="B18" s="532" t="str">
        <v>Sous-couche résiliente sous carrelage</v>
      </c>
      <c r="C18" s="504" t="s">
        <v>739</v>
      </c>
    </row>
    <row r="19" spans="1:3" ht="15.75" thickBot="1" x14ac:dyDescent="0.3">
      <c r="A19" s="511"/>
      <c r="B19" s="533" t="str">
        <v>panneau CTBH</v>
      </c>
      <c r="C19" s="505" t="s">
        <v>739</v>
      </c>
    </row>
    <row r="20" spans="1:3" x14ac:dyDescent="0.25">
      <c r="A20" s="509" t="s">
        <v>745</v>
      </c>
      <c r="B20" s="534" t="str">
        <v>bande podo</v>
      </c>
      <c r="C20" s="503" t="s">
        <v>739</v>
      </c>
    </row>
    <row r="21" spans="1:3" x14ac:dyDescent="0.25">
      <c r="A21" s="510"/>
      <c r="B21" s="535" t="str">
        <v>nez marches alu</v>
      </c>
      <c r="C21" s="504" t="s">
        <v>739</v>
      </c>
    </row>
    <row r="22" spans="1:3" x14ac:dyDescent="0.25">
      <c r="A22" s="510"/>
      <c r="B22" s="535" t="str">
        <v>nez marches résine</v>
      </c>
      <c r="C22" s="504" t="s">
        <v>739</v>
      </c>
    </row>
    <row r="23" spans="1:3" x14ac:dyDescent="0.25">
      <c r="A23" s="510"/>
      <c r="B23" s="535" t="str">
        <v>marches contrastées</v>
      </c>
      <c r="C23" s="504" t="s">
        <v>739</v>
      </c>
    </row>
    <row r="24" spans="1:3" ht="30" x14ac:dyDescent="0.25">
      <c r="A24" s="510"/>
      <c r="B24" s="535" t="str">
        <v>Sol souple spécial
escalier</v>
      </c>
      <c r="C24" s="504" t="s">
        <v>741</v>
      </c>
    </row>
    <row r="25" spans="1:3" x14ac:dyDescent="0.25">
      <c r="A25" s="510"/>
      <c r="B25" s="535" t="str">
        <v>reprise sol paliers escalier pierre</v>
      </c>
      <c r="C25" s="504" t="s">
        <v>739</v>
      </c>
    </row>
    <row r="26" spans="1:3" x14ac:dyDescent="0.25">
      <c r="A26" s="510"/>
      <c r="B26" s="535" t="str">
        <v>reprise sol marches escalier pierre</v>
      </c>
      <c r="C26" s="504" t="s">
        <v>739</v>
      </c>
    </row>
    <row r="27" spans="1:3" x14ac:dyDescent="0.25">
      <c r="A27" s="510"/>
      <c r="B27" s="535" t="str">
        <v>escalier neuf en bois</v>
      </c>
      <c r="C27" s="504" t="s">
        <v>739</v>
      </c>
    </row>
    <row r="28" spans="1:3" x14ac:dyDescent="0.25">
      <c r="A28" s="510"/>
      <c r="B28" s="535" t="str">
        <v>réparation escalier bois classé</v>
      </c>
      <c r="C28" s="504" t="s">
        <v>739</v>
      </c>
    </row>
    <row r="29" spans="1:3" x14ac:dyDescent="0.25">
      <c r="A29" s="510"/>
      <c r="B29" s="535" t="str">
        <v>Mains courantes escaliers</v>
      </c>
      <c r="C29" s="504" t="s">
        <v>739</v>
      </c>
    </row>
    <row r="30" spans="1:3" x14ac:dyDescent="0.25">
      <c r="A30" s="510"/>
      <c r="B30" s="535" t="str">
        <v>Garde-corps escaliers</v>
      </c>
      <c r="C30" s="504" t="s">
        <v>739</v>
      </c>
    </row>
    <row r="31" spans="1:3" x14ac:dyDescent="0.25">
      <c r="A31" s="510"/>
      <c r="B31" s="535" t="str">
        <v>Réha. Garde-corps escaliers existant</v>
      </c>
      <c r="C31" s="504" t="s">
        <v>739</v>
      </c>
    </row>
    <row r="32" spans="1:3" x14ac:dyDescent="0.25">
      <c r="A32" s="510"/>
      <c r="B32" s="535" t="str">
        <v>Remise en peinture GC escaliers existant</v>
      </c>
      <c r="C32" s="504" t="s">
        <v>739</v>
      </c>
    </row>
    <row r="33" spans="1:3" ht="15.75" thickBot="1" x14ac:dyDescent="0.3">
      <c r="A33" s="511"/>
      <c r="B33" s="536" t="str">
        <v>Dépose de l'existant (GC-MC)</v>
      </c>
      <c r="C33" s="505" t="s">
        <v>741</v>
      </c>
    </row>
    <row r="34" spans="1:3" x14ac:dyDescent="0.25">
      <c r="A34" s="509" t="s">
        <v>746</v>
      </c>
      <c r="B34" s="537" t="str">
        <v>Garde-corps fenêtre</v>
      </c>
      <c r="C34" s="503" t="s">
        <v>739</v>
      </c>
    </row>
    <row r="35" spans="1:3" ht="15.75" thickBot="1" x14ac:dyDescent="0.3">
      <c r="A35" s="511"/>
      <c r="B35" s="536" t="str">
        <v>JD au sol</v>
      </c>
      <c r="C35" s="505" t="s">
        <v>739</v>
      </c>
    </row>
    <row r="36" spans="1:3" x14ac:dyDescent="0.25">
      <c r="B36" s="538" t="str">
        <v>tapis brosse</v>
      </c>
      <c r="C36" s="504" t="s">
        <v>739</v>
      </c>
    </row>
    <row r="37" spans="1:3" x14ac:dyDescent="0.25">
      <c r="B37" s="535" t="str">
        <v>tarket sol</v>
      </c>
      <c r="C37" s="504" t="s">
        <v>741</v>
      </c>
    </row>
    <row r="38" spans="1:3" x14ac:dyDescent="0.25">
      <c r="B38" s="535" t="str">
        <v>Chape</v>
      </c>
      <c r="C38" s="504" t="s">
        <v>739</v>
      </c>
    </row>
    <row r="39" spans="1:3" x14ac:dyDescent="0.25">
      <c r="B39" s="535" t="str">
        <v>Ragreage</v>
      </c>
      <c r="C39" s="504" t="s">
        <v>739</v>
      </c>
    </row>
    <row r="40" spans="1:3" x14ac:dyDescent="0.25">
      <c r="B40" s="535" t="str">
        <v>Ragreage fibré</v>
      </c>
      <c r="C40" s="504" t="s">
        <v>739</v>
      </c>
    </row>
    <row r="41" spans="1:3" x14ac:dyDescent="0.25">
      <c r="B41" s="535" t="str">
        <v>Barrière anti-capillarité</v>
      </c>
      <c r="C41" s="504" t="s">
        <v>739</v>
      </c>
    </row>
    <row r="42" spans="1:3" x14ac:dyDescent="0.25">
      <c r="B42" s="535" t="str">
        <v>Etanchéité sol</v>
      </c>
      <c r="C42" s="504" t="s">
        <v>739</v>
      </c>
    </row>
    <row r="43" spans="1:3" ht="15.75" thickBot="1" x14ac:dyDescent="0.3">
      <c r="B43" s="539" t="str">
        <v>siphon</v>
      </c>
      <c r="C43" s="504" t="s">
        <v>739</v>
      </c>
    </row>
    <row r="44" spans="1:3" x14ac:dyDescent="0.25">
      <c r="A44" s="509" t="s">
        <v>754</v>
      </c>
      <c r="B44" s="534" t="str">
        <v>Plafond métallique</v>
      </c>
      <c r="C44" s="503" t="s">
        <v>739</v>
      </c>
    </row>
    <row r="45" spans="1:3" x14ac:dyDescent="0.25">
      <c r="A45" s="510"/>
      <c r="B45" s="535" t="str">
        <v>Plafond plâtre ext. Isolé</v>
      </c>
      <c r="C45" s="504" t="s">
        <v>739</v>
      </c>
    </row>
    <row r="46" spans="1:3" x14ac:dyDescent="0.25">
      <c r="A46" s="510"/>
      <c r="B46" s="535" t="str">
        <v>plafond 60x120</v>
      </c>
      <c r="C46" s="504" t="s">
        <v>739</v>
      </c>
    </row>
    <row r="47" spans="1:3" x14ac:dyDescent="0.25">
      <c r="A47" s="510"/>
      <c r="B47" s="535" t="str">
        <v>plafond 60x60 humide</v>
      </c>
      <c r="C47" s="504" t="s">
        <v>739</v>
      </c>
    </row>
    <row r="48" spans="1:3" x14ac:dyDescent="0.25">
      <c r="A48" s="510"/>
      <c r="B48" s="535" t="str">
        <v>plafond 60x60 acoustique</v>
      </c>
      <c r="C48" s="504" t="s">
        <v>739</v>
      </c>
    </row>
    <row r="49" spans="1:3" x14ac:dyDescent="0.25">
      <c r="A49" s="510"/>
      <c r="B49" s="535" t="str">
        <v>plafond 60x60 standard</v>
      </c>
      <c r="C49" s="504" t="s">
        <v>739</v>
      </c>
    </row>
    <row r="50" spans="1:3" x14ac:dyDescent="0.25">
      <c r="A50" s="510"/>
      <c r="B50" s="535" t="str">
        <v>plafond plâtre</v>
      </c>
      <c r="C50" s="504" t="s">
        <v>739</v>
      </c>
    </row>
    <row r="51" spans="1:3" x14ac:dyDescent="0.25">
      <c r="A51" s="510"/>
      <c r="B51" s="535" t="str">
        <v>plafond acoustique</v>
      </c>
      <c r="C51" s="504" t="s">
        <v>739</v>
      </c>
    </row>
    <row r="52" spans="1:3" x14ac:dyDescent="0.25">
      <c r="A52" s="510"/>
      <c r="B52" s="535" t="str">
        <v>Remise en état plafond plâtre classé</v>
      </c>
      <c r="C52" s="504" t="s">
        <v>739</v>
      </c>
    </row>
    <row r="53" spans="1:3" x14ac:dyDescent="0.25">
      <c r="A53" s="510"/>
      <c r="B53" s="535" t="str">
        <v>Enduit pelliculaire (plafond)</v>
      </c>
      <c r="C53" s="504" t="s">
        <v>739</v>
      </c>
    </row>
    <row r="54" spans="1:3" x14ac:dyDescent="0.25">
      <c r="A54" s="510"/>
      <c r="B54" s="535" t="str">
        <v>plafond CF1h</v>
      </c>
      <c r="C54" s="504" t="s">
        <v>739</v>
      </c>
    </row>
    <row r="55" spans="1:3" x14ac:dyDescent="0.25">
      <c r="A55" s="510"/>
      <c r="B55" s="535" t="str">
        <v>isolation therm plafond</v>
      </c>
      <c r="C55" s="504" t="s">
        <v>739</v>
      </c>
    </row>
    <row r="56" spans="1:3" x14ac:dyDescent="0.25">
      <c r="A56" s="510"/>
      <c r="B56" s="535" t="str">
        <v>isolation phonique plafond</v>
      </c>
      <c r="C56" s="504" t="s">
        <v>739</v>
      </c>
    </row>
    <row r="57" spans="1:3" x14ac:dyDescent="0.25">
      <c r="A57" s="510"/>
      <c r="B57" s="540" t="str">
        <v>tanchéité à l'air plafond</v>
      </c>
      <c r="C57" s="504" t="s">
        <v>739</v>
      </c>
    </row>
    <row r="58" spans="1:3" x14ac:dyDescent="0.25">
      <c r="A58" s="510"/>
      <c r="B58" s="535" t="str">
        <v>fibrastyrène (plafond)</v>
      </c>
      <c r="C58" s="504" t="s">
        <v>739</v>
      </c>
    </row>
    <row r="59" spans="1:3" x14ac:dyDescent="0.25">
      <c r="A59" s="510"/>
      <c r="B59" s="535" t="str">
        <v>PV Plafond hydrofuge</v>
      </c>
      <c r="C59" s="504" t="s">
        <v>739</v>
      </c>
    </row>
    <row r="60" spans="1:3" x14ac:dyDescent="0.25">
      <c r="A60" s="510"/>
      <c r="B60" s="541" t="str">
        <v>Plafond lames bois</v>
      </c>
      <c r="C60" s="504" t="s">
        <v>739</v>
      </c>
    </row>
    <row r="61" spans="1:3" x14ac:dyDescent="0.25">
      <c r="A61" s="510"/>
      <c r="B61" s="535" t="str">
        <v>Retombées de plafonds</v>
      </c>
      <c r="C61" s="517" t="s">
        <v>739</v>
      </c>
    </row>
    <row r="62" spans="1:3" x14ac:dyDescent="0.25">
      <c r="A62" s="510"/>
      <c r="B62" s="535">
        <v>0</v>
      </c>
      <c r="C62" s="517"/>
    </row>
    <row r="63" spans="1:3" ht="15.75" thickBot="1" x14ac:dyDescent="0.3">
      <c r="A63" s="511"/>
      <c r="B63" s="536">
        <v>0</v>
      </c>
      <c r="C63" s="518"/>
    </row>
    <row r="64" spans="1:3" ht="30" x14ac:dyDescent="0.25">
      <c r="B64" s="542" t="str">
        <v>coussin acoustique
diam- 80</v>
      </c>
      <c r="C64" s="504" t="s">
        <v>739</v>
      </c>
    </row>
    <row r="65" spans="1:3" ht="30" x14ac:dyDescent="0.25">
      <c r="B65" s="543" t="str">
        <v>coussin acoustique
diam- 120</v>
      </c>
      <c r="C65" s="504" t="s">
        <v>739</v>
      </c>
    </row>
    <row r="66" spans="1:3" x14ac:dyDescent="0.25">
      <c r="B66" s="535" t="str">
        <v>Châssis de toit 100x100</v>
      </c>
      <c r="C66" s="504" t="s">
        <v>739</v>
      </c>
    </row>
    <row r="67" spans="1:3" x14ac:dyDescent="0.25">
      <c r="B67" s="535" t="str">
        <v>Reprises au droit des cloisons démolies</v>
      </c>
      <c r="C67" s="504" t="s">
        <v>739</v>
      </c>
    </row>
    <row r="68" spans="1:3" x14ac:dyDescent="0.25">
      <c r="B68" s="535" t="str">
        <v>Reprises au droit des portes remplacées</v>
      </c>
      <c r="C68" s="504" t="s">
        <v>739</v>
      </c>
    </row>
    <row r="69" spans="1:3" x14ac:dyDescent="0.25">
      <c r="B69" s="535" t="str">
        <v>Caissons techniques CF linteaux</v>
      </c>
      <c r="C69" s="516" t="s">
        <v>739</v>
      </c>
    </row>
    <row r="70" spans="1:3" x14ac:dyDescent="0.25">
      <c r="B70" s="535">
        <v>0</v>
      </c>
      <c r="C70" s="516"/>
    </row>
    <row r="71" spans="1:3" ht="15.75" thickBot="1" x14ac:dyDescent="0.3">
      <c r="B71" s="541">
        <v>0</v>
      </c>
      <c r="C71" s="514"/>
    </row>
    <row r="72" spans="1:3" x14ac:dyDescent="0.25">
      <c r="A72" s="509" t="s">
        <v>749</v>
      </c>
      <c r="B72" s="544" t="str">
        <v>Pose huisserie dans cloison</v>
      </c>
      <c r="C72" s="503" t="s">
        <v>739</v>
      </c>
    </row>
    <row r="73" spans="1:3" x14ac:dyDescent="0.25">
      <c r="A73" s="510"/>
      <c r="B73" s="545" t="str">
        <v>Pose vitrage dans cloison</v>
      </c>
      <c r="C73" s="504" t="s">
        <v>739</v>
      </c>
    </row>
    <row r="74" spans="1:3" ht="15" customHeight="1" x14ac:dyDescent="0.25">
      <c r="A74" s="510"/>
      <c r="B74" s="535" t="str">
        <v>Côtés pris en compte pour calculs cloisons ou doublages</v>
      </c>
      <c r="C74" s="516" t="s">
        <v>739</v>
      </c>
    </row>
    <row r="75" spans="1:3" x14ac:dyDescent="0.25">
      <c r="A75" s="510"/>
      <c r="B75" s="535">
        <v>0</v>
      </c>
      <c r="C75" s="516"/>
    </row>
    <row r="76" spans="1:3" x14ac:dyDescent="0.25">
      <c r="A76" s="510"/>
      <c r="B76" s="535">
        <v>0</v>
      </c>
      <c r="C76" s="516"/>
    </row>
    <row r="77" spans="1:3" x14ac:dyDescent="0.25">
      <c r="A77" s="510"/>
      <c r="B77" s="535">
        <v>0</v>
      </c>
      <c r="C77" s="516"/>
    </row>
    <row r="78" spans="1:3" x14ac:dyDescent="0.25">
      <c r="A78" s="510"/>
      <c r="B78" s="535">
        <v>0</v>
      </c>
      <c r="C78" s="516"/>
    </row>
    <row r="79" spans="1:3" x14ac:dyDescent="0.25">
      <c r="A79" s="510"/>
      <c r="B79" s="535" t="str">
        <v>Cloisons SAD</v>
      </c>
      <c r="C79" s="504" t="s">
        <v>739</v>
      </c>
    </row>
    <row r="80" spans="1:3" x14ac:dyDescent="0.25">
      <c r="A80" s="510"/>
      <c r="B80" s="535" t="str">
        <v>Cloisons 98/62</v>
      </c>
      <c r="C80" s="504" t="s">
        <v>739</v>
      </c>
    </row>
    <row r="81" spans="1:3" x14ac:dyDescent="0.25">
      <c r="A81" s="510"/>
      <c r="B81" s="535" t="str">
        <v>Cloisons 120 pour porte galandage</v>
      </c>
      <c r="C81" s="504" t="s">
        <v>739</v>
      </c>
    </row>
    <row r="82" spans="1:3" x14ac:dyDescent="0.25">
      <c r="A82" s="510"/>
      <c r="B82" s="535" t="str">
        <v>Doublage MOB</v>
      </c>
      <c r="C82" s="504" t="s">
        <v>739</v>
      </c>
    </row>
    <row r="83" spans="1:3" x14ac:dyDescent="0.25">
      <c r="A83" s="510"/>
      <c r="B83" s="535" t="str">
        <v>Doublage technique</v>
      </c>
      <c r="C83" s="504" t="s">
        <v>739</v>
      </c>
    </row>
    <row r="84" spans="1:3" x14ac:dyDescent="0.25">
      <c r="A84" s="510"/>
      <c r="B84" s="535" t="str">
        <v>Doublage Isolant</v>
      </c>
      <c r="C84" s="504" t="s">
        <v>739</v>
      </c>
    </row>
    <row r="85" spans="1:3" x14ac:dyDescent="0.25">
      <c r="A85" s="510"/>
      <c r="B85" s="535" t="str">
        <v>Placo collé</v>
      </c>
      <c r="C85" s="504" t="s">
        <v>739</v>
      </c>
    </row>
    <row r="86" spans="1:3" x14ac:dyDescent="0.25">
      <c r="A86" s="510"/>
      <c r="B86" s="535" t="str">
        <v>Enduit plâtre murs</v>
      </c>
      <c r="C86" s="504" t="s">
        <v>739</v>
      </c>
    </row>
    <row r="87" spans="1:3" x14ac:dyDescent="0.25">
      <c r="A87" s="510"/>
      <c r="B87" s="535" t="str">
        <v>Gaine  Désenfum.</v>
      </c>
      <c r="C87" s="504" t="s">
        <v>739</v>
      </c>
    </row>
    <row r="88" spans="1:3" x14ac:dyDescent="0.25">
      <c r="A88" s="510"/>
      <c r="B88" s="535" t="str">
        <v>Gaine  Techniques</v>
      </c>
      <c r="C88" s="504" t="s">
        <v>739</v>
      </c>
    </row>
    <row r="89" spans="1:3" x14ac:dyDescent="0.25">
      <c r="A89" s="510"/>
      <c r="B89" s="535" t="str">
        <v>Caisson wC</v>
      </c>
      <c r="C89" s="504" t="s">
        <v>739</v>
      </c>
    </row>
    <row r="90" spans="1:3" x14ac:dyDescent="0.25">
      <c r="A90" s="510"/>
      <c r="B90" s="535" t="str">
        <v xml:space="preserve">Remise en état panneaux bois </v>
      </c>
      <c r="C90" s="504" t="s">
        <v>739</v>
      </c>
    </row>
    <row r="91" spans="1:3" x14ac:dyDescent="0.25">
      <c r="A91" s="510"/>
      <c r="B91" s="535" t="str">
        <v>PV CF 1h</v>
      </c>
      <c r="C91" s="504" t="s">
        <v>739</v>
      </c>
    </row>
    <row r="92" spans="1:3" x14ac:dyDescent="0.25">
      <c r="A92" s="510"/>
      <c r="B92" s="535" t="str">
        <v>PV CF 2h</v>
      </c>
      <c r="C92" s="504" t="s">
        <v>739</v>
      </c>
    </row>
    <row r="93" spans="1:3" x14ac:dyDescent="0.25">
      <c r="A93" s="510"/>
      <c r="B93" s="535" t="str">
        <v>PV hydrofuge</v>
      </c>
      <c r="C93" s="504" t="s">
        <v>739</v>
      </c>
    </row>
    <row r="94" spans="1:3" x14ac:dyDescent="0.25">
      <c r="A94" s="510"/>
      <c r="B94" s="535" t="str">
        <v>PV Pregywap</v>
      </c>
      <c r="C94" s="504" t="s">
        <v>739</v>
      </c>
    </row>
    <row r="95" spans="1:3" x14ac:dyDescent="0.25">
      <c r="A95" s="510"/>
      <c r="B95" s="535" t="str">
        <v>Etanchéité à l'air murs</v>
      </c>
      <c r="C95" s="504" t="s">
        <v>739</v>
      </c>
    </row>
    <row r="96" spans="1:3" x14ac:dyDescent="0.25">
      <c r="A96" s="510"/>
      <c r="B96" s="535">
        <v>0</v>
      </c>
      <c r="C96" s="504" t="s">
        <v>739</v>
      </c>
    </row>
    <row r="97" spans="1:3" x14ac:dyDescent="0.25">
      <c r="A97" s="510"/>
      <c r="B97" s="535" t="str">
        <v>a déduire sur cloisons, doublages porte 93</v>
      </c>
      <c r="C97" s="504" t="s">
        <v>739</v>
      </c>
    </row>
    <row r="98" spans="1:3" x14ac:dyDescent="0.25">
      <c r="A98" s="510"/>
      <c r="B98" s="535" t="str">
        <v>a déduire sur cloisons, doublages porte 140</v>
      </c>
      <c r="C98" s="504" t="s">
        <v>739</v>
      </c>
    </row>
    <row r="99" spans="1:3" ht="15.75" thickBot="1" x14ac:dyDescent="0.3">
      <c r="A99" s="511"/>
      <c r="B99" s="536" t="str">
        <v>a déduire sur cloisons, doublages chassis</v>
      </c>
      <c r="C99" s="505" t="s">
        <v>739</v>
      </c>
    </row>
    <row r="100" spans="1:3" ht="30" x14ac:dyDescent="0.25">
      <c r="A100" s="509" t="s">
        <v>750</v>
      </c>
      <c r="B100" s="534" t="str">
        <v xml:space="preserve">Porte 93*204 métal
CF1/2H </v>
      </c>
      <c r="C100" s="503" t="s">
        <v>739</v>
      </c>
    </row>
    <row r="101" spans="1:3" x14ac:dyDescent="0.25">
      <c r="A101" s="510"/>
      <c r="B101" s="535" t="str">
        <v>Porte bois en révision</v>
      </c>
      <c r="C101" s="504" t="s">
        <v>739</v>
      </c>
    </row>
    <row r="102" spans="1:3" x14ac:dyDescent="0.25">
      <c r="A102" s="510"/>
      <c r="B102" s="535" t="str">
        <v>Porte SdB 113 + Contrôle accès</v>
      </c>
      <c r="C102" s="504" t="s">
        <v>739</v>
      </c>
    </row>
    <row r="103" spans="1:3" ht="30" x14ac:dyDescent="0.25">
      <c r="A103" s="510"/>
      <c r="B103" s="535" t="str">
        <v>Portes 113 
CF 1/2 H</v>
      </c>
      <c r="C103" s="504" t="s">
        <v>739</v>
      </c>
    </row>
    <row r="104" spans="1:3" ht="45" x14ac:dyDescent="0.25">
      <c r="A104" s="510"/>
      <c r="B104" s="535" t="str">
        <v>Portes 113 
avec occulus
CF 1/2 H</v>
      </c>
      <c r="C104" s="504" t="s">
        <v>739</v>
      </c>
    </row>
    <row r="105" spans="1:3" x14ac:dyDescent="0.25">
      <c r="A105" s="510"/>
      <c r="B105" s="535" t="str">
        <v>Ajout FP sur portes</v>
      </c>
      <c r="C105" s="504" t="s">
        <v>739</v>
      </c>
    </row>
    <row r="106" spans="1:3" x14ac:dyDescent="0.25">
      <c r="A106" s="510"/>
      <c r="B106" s="535" t="str">
        <v>Porte paliere chambre</v>
      </c>
      <c r="C106" s="504" t="s">
        <v>739</v>
      </c>
    </row>
    <row r="107" spans="1:3" x14ac:dyDescent="0.25">
      <c r="A107" s="510"/>
      <c r="B107" s="535" t="str">
        <v>Porte 93 int. Logement WC</v>
      </c>
      <c r="C107" s="504" t="s">
        <v>739</v>
      </c>
    </row>
    <row r="108" spans="1:3" x14ac:dyDescent="0.25">
      <c r="A108" s="510"/>
      <c r="B108" s="535" t="str">
        <v xml:space="preserve">Porte 93 int. Logement </v>
      </c>
      <c r="C108" s="504" t="s">
        <v>739</v>
      </c>
    </row>
    <row r="109" spans="1:3" ht="30" x14ac:dyDescent="0.25">
      <c r="A109" s="510"/>
      <c r="B109" s="535" t="str">
        <v xml:space="preserve">Porte 93*204
PF1/2 </v>
      </c>
      <c r="C109" s="504" t="s">
        <v>739</v>
      </c>
    </row>
    <row r="110" spans="1:3" ht="30" x14ac:dyDescent="0.25">
      <c r="A110" s="510"/>
      <c r="B110" s="535" t="str">
        <v>Porte 93*204
CF1/2 + Occulus</v>
      </c>
      <c r="C110" s="504" t="s">
        <v>739</v>
      </c>
    </row>
    <row r="111" spans="1:3" ht="30" x14ac:dyDescent="0.25">
      <c r="A111" s="510"/>
      <c r="B111" s="535" t="str">
        <v>Porte 93*204
CF1/2 + FP</v>
      </c>
      <c r="C111" s="504" t="s">
        <v>739</v>
      </c>
    </row>
    <row r="112" spans="1:3" ht="30" x14ac:dyDescent="0.25">
      <c r="A112" s="510"/>
      <c r="B112" s="535" t="str">
        <v>Porte 93+93*204
CF1/2 + FP</v>
      </c>
      <c r="C112" s="504" t="s">
        <v>739</v>
      </c>
    </row>
    <row r="113" spans="1:3" ht="30" x14ac:dyDescent="0.25">
      <c r="A113" s="510"/>
      <c r="B113" s="535" t="str">
        <v>Porte 93+43*204
CF1/2</v>
      </c>
      <c r="C113" s="504" t="s">
        <v>739</v>
      </c>
    </row>
    <row r="114" spans="1:3" x14ac:dyDescent="0.25">
      <c r="A114" s="510"/>
      <c r="B114" s="535" t="str">
        <v>Porte 83+83*204 DAS</v>
      </c>
      <c r="C114" s="504" t="s">
        <v>739</v>
      </c>
    </row>
    <row r="115" spans="1:3" x14ac:dyDescent="0.25">
      <c r="A115" s="510"/>
      <c r="B115" s="535" t="str">
        <v>Porte 93+93*204 + oculus</v>
      </c>
      <c r="C115" s="504" t="s">
        <v>739</v>
      </c>
    </row>
    <row r="116" spans="1:3" x14ac:dyDescent="0.25">
      <c r="A116" s="510"/>
      <c r="B116" s="535" t="str">
        <v>Porte isolée 150x204</v>
      </c>
      <c r="C116" s="504" t="s">
        <v>739</v>
      </c>
    </row>
    <row r="117" spans="1:3" x14ac:dyDescent="0.25">
      <c r="A117" s="510"/>
      <c r="B117" s="535" t="str">
        <v>Anti pince doigt</v>
      </c>
      <c r="C117" s="504" t="s">
        <v>739</v>
      </c>
    </row>
    <row r="118" spans="1:3" x14ac:dyDescent="0.25">
      <c r="A118" s="510"/>
      <c r="B118" s="535" t="str">
        <v>Vitrage intérieur</v>
      </c>
      <c r="C118" s="504" t="s">
        <v>739</v>
      </c>
    </row>
    <row r="119" spans="1:3" x14ac:dyDescent="0.25">
      <c r="A119" s="510"/>
      <c r="B119" s="535">
        <v>0</v>
      </c>
      <c r="C119" s="504" t="s">
        <v>739</v>
      </c>
    </row>
    <row r="120" spans="1:3" x14ac:dyDescent="0.25">
      <c r="A120" s="510"/>
      <c r="B120" s="535">
        <v>0</v>
      </c>
      <c r="C120" s="504" t="s">
        <v>739</v>
      </c>
    </row>
    <row r="121" spans="1:3" x14ac:dyDescent="0.25">
      <c r="A121" s="510"/>
      <c r="B121" s="535">
        <v>0</v>
      </c>
      <c r="C121" s="504" t="s">
        <v>739</v>
      </c>
    </row>
    <row r="122" spans="1:3" ht="30" x14ac:dyDescent="0.25">
      <c r="A122" s="510"/>
      <c r="B122" s="535" t="str">
        <v>Porte à galandage
Largeur 930</v>
      </c>
      <c r="C122" s="504" t="s">
        <v>739</v>
      </c>
    </row>
    <row r="123" spans="1:3" ht="30.75" thickBot="1" x14ac:dyDescent="0.3">
      <c r="A123" s="511"/>
      <c r="B123" s="536" t="str">
        <v>Porte à galandage acoustique
Largeur 930</v>
      </c>
      <c r="C123" s="505" t="s">
        <v>739</v>
      </c>
    </row>
    <row r="124" spans="1:3" x14ac:dyDescent="0.25">
      <c r="A124" s="509" t="s">
        <v>751</v>
      </c>
      <c r="B124" s="534" t="str">
        <v>Béquilles rallongées</v>
      </c>
      <c r="C124" s="503" t="s">
        <v>739</v>
      </c>
    </row>
    <row r="125" spans="1:3" x14ac:dyDescent="0.25">
      <c r="A125" s="510"/>
      <c r="B125" s="535" t="str">
        <v>Poignée de tirage</v>
      </c>
      <c r="C125" s="504" t="s">
        <v>739</v>
      </c>
    </row>
    <row r="126" spans="1:3" x14ac:dyDescent="0.25">
      <c r="A126" s="510"/>
      <c r="B126" s="535" t="str">
        <v>cylindre en FP</v>
      </c>
      <c r="C126" s="504" t="s">
        <v>739</v>
      </c>
    </row>
    <row r="127" spans="1:3" x14ac:dyDescent="0.25">
      <c r="A127" s="510"/>
      <c r="B127" s="535" t="str">
        <v>cylindre en Fourniture seul</v>
      </c>
      <c r="C127" s="504" t="s">
        <v>739</v>
      </c>
    </row>
    <row r="128" spans="1:3" x14ac:dyDescent="0.25">
      <c r="A128" s="510"/>
      <c r="B128" s="535" t="str">
        <v>Serrures elec.</v>
      </c>
      <c r="C128" s="504" t="s">
        <v>739</v>
      </c>
    </row>
    <row r="129" spans="1:3" x14ac:dyDescent="0.25">
      <c r="A129" s="510"/>
      <c r="B129" s="535" t="str">
        <v>Gache électrique</v>
      </c>
      <c r="C129" s="504" t="s">
        <v>739</v>
      </c>
    </row>
    <row r="130" spans="1:3" x14ac:dyDescent="0.25">
      <c r="A130" s="510"/>
      <c r="B130" s="535" t="str">
        <v>ventouse</v>
      </c>
      <c r="C130" s="504" t="s">
        <v>739</v>
      </c>
    </row>
    <row r="131" spans="1:3" x14ac:dyDescent="0.25">
      <c r="A131" s="510"/>
      <c r="B131" s="535" t="str">
        <v>Contrôle d'accès avec penne</v>
      </c>
      <c r="C131" s="504" t="s">
        <v>739</v>
      </c>
    </row>
    <row r="132" spans="1:3" x14ac:dyDescent="0.25">
      <c r="A132" s="510"/>
      <c r="B132" s="535" t="str">
        <v>Contrôle d'accès</v>
      </c>
      <c r="C132" s="504" t="s">
        <v>739</v>
      </c>
    </row>
    <row r="133" spans="1:3" x14ac:dyDescent="0.25">
      <c r="A133" s="510"/>
      <c r="B133" s="535" t="str">
        <v>placard techique</v>
      </c>
      <c r="C133" s="504" t="s">
        <v>739</v>
      </c>
    </row>
    <row r="134" spans="1:3" x14ac:dyDescent="0.25">
      <c r="A134" s="510"/>
      <c r="B134" s="535">
        <v>0</v>
      </c>
      <c r="C134" s="504" t="s">
        <v>739</v>
      </c>
    </row>
    <row r="135" spans="1:3" x14ac:dyDescent="0.25">
      <c r="A135" s="510"/>
      <c r="B135" s="535">
        <v>0</v>
      </c>
      <c r="C135" s="504" t="s">
        <v>739</v>
      </c>
    </row>
    <row r="136" spans="1:3" x14ac:dyDescent="0.25">
      <c r="A136" s="510"/>
      <c r="B136" s="535">
        <v>0</v>
      </c>
      <c r="C136" s="504" t="s">
        <v>739</v>
      </c>
    </row>
    <row r="137" spans="1:3" x14ac:dyDescent="0.25">
      <c r="A137" s="510"/>
      <c r="B137" s="535" t="str">
        <v>placard coulissant</v>
      </c>
      <c r="C137" s="504" t="s">
        <v>739</v>
      </c>
    </row>
    <row r="138" spans="1:3" x14ac:dyDescent="0.25">
      <c r="A138" s="510"/>
      <c r="B138" s="535">
        <v>0</v>
      </c>
      <c r="C138" s="504" t="s">
        <v>739</v>
      </c>
    </row>
    <row r="139" spans="1:3" x14ac:dyDescent="0.25">
      <c r="A139" s="510"/>
      <c r="B139" s="535">
        <v>0</v>
      </c>
      <c r="C139" s="504" t="s">
        <v>739</v>
      </c>
    </row>
    <row r="140" spans="1:3" x14ac:dyDescent="0.25">
      <c r="A140" s="510"/>
      <c r="B140" s="535">
        <v>0</v>
      </c>
      <c r="C140" s="504" t="s">
        <v>739</v>
      </c>
    </row>
    <row r="141" spans="1:3" x14ac:dyDescent="0.25">
      <c r="A141" s="510"/>
      <c r="B141" s="535">
        <v>0</v>
      </c>
      <c r="C141" s="504" t="s">
        <v>739</v>
      </c>
    </row>
    <row r="142" spans="1:3" x14ac:dyDescent="0.25">
      <c r="A142" s="510"/>
      <c r="B142" s="535">
        <v>0</v>
      </c>
      <c r="C142" s="504" t="s">
        <v>739</v>
      </c>
    </row>
    <row r="143" spans="1:3" x14ac:dyDescent="0.25">
      <c r="A143" s="510"/>
      <c r="B143" s="535" t="str">
        <v>Traitement JD</v>
      </c>
      <c r="C143" s="504" t="s">
        <v>739</v>
      </c>
    </row>
    <row r="144" spans="1:3" x14ac:dyDescent="0.25">
      <c r="A144" s="510"/>
      <c r="B144" s="535" t="str">
        <v>tablettes bois</v>
      </c>
      <c r="C144" s="504" t="s">
        <v>739</v>
      </c>
    </row>
    <row r="145" spans="1:3" x14ac:dyDescent="0.25">
      <c r="A145" s="510"/>
      <c r="B145" s="535" t="str">
        <v>tablettes résine</v>
      </c>
      <c r="C145" s="504" t="s">
        <v>739</v>
      </c>
    </row>
    <row r="146" spans="1:3" x14ac:dyDescent="0.25">
      <c r="A146" s="510"/>
      <c r="B146" s="535" t="str">
        <v>tablettes carrelage</v>
      </c>
      <c r="C146" s="504" t="s">
        <v>739</v>
      </c>
    </row>
    <row r="147" spans="1:3" x14ac:dyDescent="0.25">
      <c r="A147" s="510"/>
      <c r="B147" s="535" t="str">
        <v>Store intérieur</v>
      </c>
      <c r="C147" s="504" t="s">
        <v>739</v>
      </c>
    </row>
    <row r="148" spans="1:3" x14ac:dyDescent="0.25">
      <c r="A148" s="510"/>
      <c r="B148" s="535" t="str">
        <v>Banque d'accueil</v>
      </c>
      <c r="C148" s="504" t="s">
        <v>739</v>
      </c>
    </row>
    <row r="149" spans="1:3" x14ac:dyDescent="0.25">
      <c r="A149" s="510"/>
      <c r="B149" s="535" t="str">
        <v>Plan travail</v>
      </c>
      <c r="C149" s="504" t="s">
        <v>739</v>
      </c>
    </row>
    <row r="150" spans="1:3" x14ac:dyDescent="0.25">
      <c r="A150" s="510"/>
      <c r="B150" s="535" t="str">
        <v>Meuble sous évier</v>
      </c>
      <c r="C150" s="504" t="s">
        <v>739</v>
      </c>
    </row>
    <row r="151" spans="1:3" x14ac:dyDescent="0.25">
      <c r="A151" s="510"/>
      <c r="B151" s="535" t="str">
        <v>Etagères</v>
      </c>
      <c r="C151" s="504" t="s">
        <v>739</v>
      </c>
    </row>
    <row r="152" spans="1:3" x14ac:dyDescent="0.25">
      <c r="A152" s="510"/>
      <c r="B152" s="535" t="str">
        <v>Banc</v>
      </c>
      <c r="C152" s="504" t="s">
        <v>739</v>
      </c>
    </row>
    <row r="153" spans="1:3" x14ac:dyDescent="0.25">
      <c r="A153" s="510"/>
      <c r="B153" s="535" t="str">
        <v>Kitchenette</v>
      </c>
      <c r="C153" s="504" t="s">
        <v>739</v>
      </c>
    </row>
    <row r="154" spans="1:3" x14ac:dyDescent="0.25">
      <c r="A154" s="510"/>
      <c r="B154" s="535" t="str">
        <v>Casiers</v>
      </c>
      <c r="C154" s="504" t="s">
        <v>739</v>
      </c>
    </row>
    <row r="155" spans="1:3" x14ac:dyDescent="0.25">
      <c r="A155" s="510"/>
      <c r="B155" s="535" t="str">
        <v>Facade gaine technique</v>
      </c>
      <c r="C155" s="504" t="s">
        <v>739</v>
      </c>
    </row>
    <row r="156" spans="1:3" x14ac:dyDescent="0.25">
      <c r="A156" s="510"/>
      <c r="B156" s="535" t="str">
        <v>Miroir</v>
      </c>
      <c r="C156" s="504" t="s">
        <v>739</v>
      </c>
    </row>
    <row r="157" spans="1:3" ht="15.75" thickBot="1" x14ac:dyDescent="0.3">
      <c r="A157" s="511"/>
      <c r="B157" s="536" t="str">
        <v>Trappe de visite</v>
      </c>
      <c r="C157" s="505" t="s">
        <v>739</v>
      </c>
    </row>
    <row r="158" spans="1:3" x14ac:dyDescent="0.25">
      <c r="B158" s="546" t="str">
        <v>Côtés pris en compte pour cloisons stratifiées</v>
      </c>
      <c r="C158" s="504" t="s">
        <v>739</v>
      </c>
    </row>
    <row r="159" spans="1:3" x14ac:dyDescent="0.25">
      <c r="B159" s="547">
        <v>0</v>
      </c>
      <c r="C159" s="504" t="s">
        <v>739</v>
      </c>
    </row>
    <row r="160" spans="1:3" x14ac:dyDescent="0.25">
      <c r="B160" s="547">
        <v>0</v>
      </c>
      <c r="C160" s="504" t="s">
        <v>739</v>
      </c>
    </row>
    <row r="161" spans="1:3" x14ac:dyDescent="0.25">
      <c r="B161" s="547">
        <v>0</v>
      </c>
      <c r="C161" s="504" t="s">
        <v>739</v>
      </c>
    </row>
    <row r="162" spans="1:3" x14ac:dyDescent="0.25">
      <c r="B162" s="547">
        <v>0</v>
      </c>
      <c r="C162" s="504" t="s">
        <v>739</v>
      </c>
    </row>
    <row r="163" spans="1:3" x14ac:dyDescent="0.25">
      <c r="B163" s="535" t="str">
        <v>Cloisons stratifiées sanitaires</v>
      </c>
      <c r="C163" s="504" t="s">
        <v>739</v>
      </c>
    </row>
    <row r="164" spans="1:3" x14ac:dyDescent="0.25">
      <c r="B164" s="547" t="str">
        <v>Côtés pris en compte pour meubles bois</v>
      </c>
      <c r="C164" s="504" t="s">
        <v>739</v>
      </c>
    </row>
    <row r="165" spans="1:3" x14ac:dyDescent="0.25">
      <c r="B165" s="547">
        <v>0</v>
      </c>
      <c r="C165" s="504" t="s">
        <v>739</v>
      </c>
    </row>
    <row r="166" spans="1:3" x14ac:dyDescent="0.25">
      <c r="B166" s="547">
        <v>0</v>
      </c>
      <c r="C166" s="504" t="s">
        <v>739</v>
      </c>
    </row>
    <row r="167" spans="1:3" x14ac:dyDescent="0.25">
      <c r="B167" s="547">
        <v>0</v>
      </c>
      <c r="C167" s="504" t="s">
        <v>739</v>
      </c>
    </row>
    <row r="168" spans="1:3" x14ac:dyDescent="0.25">
      <c r="B168" s="547">
        <v>0</v>
      </c>
      <c r="C168" s="504" t="s">
        <v>739</v>
      </c>
    </row>
    <row r="169" spans="1:3" x14ac:dyDescent="0.25">
      <c r="B169" s="535" t="str">
        <v>Meubles bois / façades</v>
      </c>
      <c r="C169" s="504" t="s">
        <v>739</v>
      </c>
    </row>
    <row r="170" spans="1:3" x14ac:dyDescent="0.25">
      <c r="B170" s="535" t="str">
        <v>Garde-corps</v>
      </c>
      <c r="C170" s="504" t="s">
        <v>739</v>
      </c>
    </row>
    <row r="171" spans="1:3" x14ac:dyDescent="0.25">
      <c r="B171" s="535" t="str">
        <v>Main courante</v>
      </c>
      <c r="C171" s="504" t="s">
        <v>739</v>
      </c>
    </row>
    <row r="172" spans="1:3" x14ac:dyDescent="0.25">
      <c r="B172" s="535" t="str">
        <v>Grille métallique</v>
      </c>
      <c r="C172" s="504" t="s">
        <v>739</v>
      </c>
    </row>
    <row r="173" spans="1:3" x14ac:dyDescent="0.25">
      <c r="B173" s="535" t="str">
        <v>Habillage métallique</v>
      </c>
      <c r="C173" s="504" t="s">
        <v>739</v>
      </c>
    </row>
    <row r="174" spans="1:3" ht="15.75" thickBot="1" x14ac:dyDescent="0.3">
      <c r="B174" s="548" t="str">
        <v>Grilles caillebotis</v>
      </c>
      <c r="C174" s="504" t="s">
        <v>739</v>
      </c>
    </row>
    <row r="175" spans="1:3" x14ac:dyDescent="0.25">
      <c r="A175" s="509" t="s">
        <v>752</v>
      </c>
      <c r="B175" s="549" t="str">
        <v>Côtés pris en compte pour calculs faiences</v>
      </c>
      <c r="C175" s="503" t="s">
        <v>739</v>
      </c>
    </row>
    <row r="176" spans="1:3" x14ac:dyDescent="0.25">
      <c r="A176" s="510"/>
      <c r="B176" s="547">
        <v>0</v>
      </c>
      <c r="C176" s="504" t="s">
        <v>739</v>
      </c>
    </row>
    <row r="177" spans="1:3" x14ac:dyDescent="0.25">
      <c r="A177" s="510"/>
      <c r="B177" s="547">
        <v>0</v>
      </c>
      <c r="C177" s="504" t="s">
        <v>739</v>
      </c>
    </row>
    <row r="178" spans="1:3" x14ac:dyDescent="0.25">
      <c r="A178" s="510"/>
      <c r="B178" s="547">
        <v>0</v>
      </c>
      <c r="C178" s="504" t="s">
        <v>739</v>
      </c>
    </row>
    <row r="179" spans="1:3" x14ac:dyDescent="0.25">
      <c r="A179" s="510"/>
      <c r="B179" s="547">
        <v>0</v>
      </c>
      <c r="C179" s="504" t="s">
        <v>739</v>
      </c>
    </row>
    <row r="180" spans="1:3" x14ac:dyDescent="0.25">
      <c r="A180" s="510"/>
      <c r="B180" s="535" t="str">
        <v>a déduire sur cloisons, doublages porte 93</v>
      </c>
      <c r="C180" s="504" t="s">
        <v>739</v>
      </c>
    </row>
    <row r="181" spans="1:3" x14ac:dyDescent="0.25">
      <c r="A181" s="510"/>
      <c r="B181" s="535" t="str">
        <v>a déduire sur cloisons, doublages porte 140</v>
      </c>
      <c r="C181" s="504" t="s">
        <v>739</v>
      </c>
    </row>
    <row r="182" spans="1:3" x14ac:dyDescent="0.25">
      <c r="A182" s="510"/>
      <c r="B182" s="535" t="str">
        <v>a déduire sur cloisons, doublages chassis</v>
      </c>
      <c r="C182" s="504" t="s">
        <v>739</v>
      </c>
    </row>
    <row r="183" spans="1:3" x14ac:dyDescent="0.25">
      <c r="A183" s="510"/>
      <c r="B183" s="535" t="str">
        <v>faience</v>
      </c>
      <c r="C183" s="504" t="s">
        <v>739</v>
      </c>
    </row>
    <row r="184" spans="1:3" x14ac:dyDescent="0.25">
      <c r="A184" s="510"/>
      <c r="B184" s="535" t="str">
        <v>tarkett</v>
      </c>
      <c r="C184" s="504" t="s">
        <v>739</v>
      </c>
    </row>
    <row r="185" spans="1:3" ht="15.75" thickBot="1" x14ac:dyDescent="0.3">
      <c r="A185" s="511"/>
      <c r="B185" s="536" t="str">
        <v>Acrovyn</v>
      </c>
      <c r="C185" s="505" t="s">
        <v>739</v>
      </c>
    </row>
    <row r="186" spans="1:3" x14ac:dyDescent="0.25">
      <c r="A186" s="509" t="s">
        <v>753</v>
      </c>
      <c r="B186" s="549" t="str">
        <v>Côtés pris en compte pour calculs peinture</v>
      </c>
      <c r="C186" s="503" t="s">
        <v>739</v>
      </c>
    </row>
    <row r="187" spans="1:3" x14ac:dyDescent="0.25">
      <c r="A187" s="510"/>
      <c r="B187" s="547">
        <v>0</v>
      </c>
      <c r="C187" s="504" t="s">
        <v>739</v>
      </c>
    </row>
    <row r="188" spans="1:3" x14ac:dyDescent="0.25">
      <c r="A188" s="510"/>
      <c r="B188" s="547">
        <v>0</v>
      </c>
      <c r="C188" s="504" t="s">
        <v>739</v>
      </c>
    </row>
    <row r="189" spans="1:3" x14ac:dyDescent="0.25">
      <c r="A189" s="510"/>
      <c r="B189" s="547">
        <v>0</v>
      </c>
      <c r="C189" s="504" t="s">
        <v>739</v>
      </c>
    </row>
    <row r="190" spans="1:3" x14ac:dyDescent="0.25">
      <c r="A190" s="510"/>
      <c r="B190" s="547">
        <v>0</v>
      </c>
      <c r="C190" s="504" t="s">
        <v>739</v>
      </c>
    </row>
    <row r="191" spans="1:3" x14ac:dyDescent="0.25">
      <c r="A191" s="510"/>
      <c r="B191" s="535" t="str">
        <v>a déduire pour peinture cloisons, doublages porte 93</v>
      </c>
      <c r="C191" s="504" t="s">
        <v>739</v>
      </c>
    </row>
    <row r="192" spans="1:3" ht="30" x14ac:dyDescent="0.25">
      <c r="A192" s="510"/>
      <c r="B192" s="535" t="str">
        <v>a déduire pour peinture sur cloisons, doublages porte 140</v>
      </c>
      <c r="C192" s="504" t="s">
        <v>739</v>
      </c>
    </row>
    <row r="193" spans="1:3" x14ac:dyDescent="0.25">
      <c r="A193" s="510"/>
      <c r="B193" s="535" t="str">
        <v>a déduire pour peinture chassis</v>
      </c>
      <c r="C193" s="504" t="s">
        <v>739</v>
      </c>
    </row>
    <row r="194" spans="1:3" x14ac:dyDescent="0.25">
      <c r="A194" s="510"/>
      <c r="B194" s="535" t="str">
        <v>Peinture murs</v>
      </c>
      <c r="C194" s="504" t="s">
        <v>739</v>
      </c>
    </row>
    <row r="195" spans="1:3" x14ac:dyDescent="0.25">
      <c r="A195" s="510"/>
      <c r="B195" s="535" t="str">
        <v>Enduit projeté mur</v>
      </c>
      <c r="C195" s="504" t="s">
        <v>739</v>
      </c>
    </row>
    <row r="196" spans="1:3" x14ac:dyDescent="0.25">
      <c r="A196" s="510"/>
      <c r="B196" s="535" t="str">
        <v>Revet.Acoustique mural à coller</v>
      </c>
      <c r="C196" s="504" t="s">
        <v>739</v>
      </c>
    </row>
    <row r="197" spans="1:3" x14ac:dyDescent="0.25">
      <c r="A197" s="510"/>
      <c r="B197" s="535" t="str">
        <v xml:space="preserve">Peinture plafonds </v>
      </c>
      <c r="C197" s="504" t="s">
        <v>739</v>
      </c>
    </row>
    <row r="198" spans="1:3" x14ac:dyDescent="0.25">
      <c r="A198" s="510"/>
      <c r="B198" s="535" t="str">
        <v>Lasure plafond</v>
      </c>
      <c r="C198" s="504" t="s">
        <v>739</v>
      </c>
    </row>
    <row r="199" spans="1:3" x14ac:dyDescent="0.25">
      <c r="A199" s="510"/>
      <c r="B199" s="535" t="str">
        <v>Peinture plafonds ext</v>
      </c>
      <c r="C199" s="504" t="s">
        <v>739</v>
      </c>
    </row>
    <row r="200" spans="1:3" x14ac:dyDescent="0.25">
      <c r="A200" s="510"/>
      <c r="B200" s="535" t="str">
        <v>Peinture plafonds retombées</v>
      </c>
      <c r="C200" s="504" t="s">
        <v>739</v>
      </c>
    </row>
    <row r="201" spans="1:3" ht="15.75" thickBot="1" x14ac:dyDescent="0.3">
      <c r="A201" s="511"/>
      <c r="B201" s="536" t="str">
        <v>Enduit projeté plafond</v>
      </c>
      <c r="C201" s="505" t="s">
        <v>739</v>
      </c>
    </row>
    <row r="202" spans="1:3" x14ac:dyDescent="0.25">
      <c r="A202" s="509" t="s">
        <v>561</v>
      </c>
      <c r="B202" s="534" t="str">
        <v>Grilles à ventelles</v>
      </c>
      <c r="C202" s="503" t="s">
        <v>739</v>
      </c>
    </row>
    <row r="203" spans="1:3" x14ac:dyDescent="0.25">
      <c r="A203" s="510"/>
      <c r="B203" s="535" t="str">
        <v>Plaques de signalisations "Porte coupe-feu"</v>
      </c>
      <c r="C203" s="504" t="s">
        <v>739</v>
      </c>
    </row>
    <row r="204" spans="1:3" x14ac:dyDescent="0.25">
      <c r="A204" s="510"/>
      <c r="B204" s="535" t="str">
        <v>Plaques signalétiques sur locaux courants</v>
      </c>
      <c r="C204" s="504" t="s">
        <v>739</v>
      </c>
    </row>
    <row r="205" spans="1:3" ht="15.75" thickBot="1" x14ac:dyDescent="0.3">
      <c r="A205" s="511"/>
      <c r="B205" s="536" t="str">
        <v>Plaques signalétiques sur locaux WC</v>
      </c>
      <c r="C205" s="505" t="s">
        <v>739</v>
      </c>
    </row>
    <row r="206" spans="1:3" x14ac:dyDescent="0.25">
      <c r="A206" s="509" t="s">
        <v>748</v>
      </c>
      <c r="B206" s="550" t="str">
        <v>Côtés pris en compte pour calculs habillage bois</v>
      </c>
      <c r="C206" s="512" t="s">
        <v>741</v>
      </c>
    </row>
    <row r="207" spans="1:3" x14ac:dyDescent="0.25">
      <c r="A207" s="510"/>
      <c r="B207" s="551">
        <v>0</v>
      </c>
      <c r="C207" s="513"/>
    </row>
    <row r="208" spans="1:3" x14ac:dyDescent="0.25">
      <c r="A208" s="510"/>
      <c r="B208" s="551">
        <v>0</v>
      </c>
      <c r="C208" s="513"/>
    </row>
    <row r="209" spans="1:3" x14ac:dyDescent="0.25">
      <c r="A209" s="510"/>
      <c r="B209" s="551">
        <v>0</v>
      </c>
      <c r="C209" s="513"/>
    </row>
    <row r="210" spans="1:3" x14ac:dyDescent="0.25">
      <c r="A210" s="510"/>
      <c r="B210" s="551">
        <v>0</v>
      </c>
      <c r="C210" s="513"/>
    </row>
    <row r="211" spans="1:3" x14ac:dyDescent="0.25">
      <c r="A211" s="510"/>
      <c r="B211" s="529" t="str">
        <v>a déduire pour peinture cloisons, doublages porte 93</v>
      </c>
      <c r="C211" s="513"/>
    </row>
    <row r="212" spans="1:3" ht="30" x14ac:dyDescent="0.25">
      <c r="A212" s="510"/>
      <c r="B212" s="529" t="str">
        <v>a déduire pour peinture sur cloisons, doublages porte 140</v>
      </c>
      <c r="C212" s="513"/>
    </row>
    <row r="213" spans="1:3" x14ac:dyDescent="0.25">
      <c r="A213" s="510"/>
      <c r="B213" s="529" t="str">
        <v>a déduire pour peinture chassis</v>
      </c>
      <c r="C213" s="513"/>
    </row>
    <row r="214" spans="1:3" ht="15.75" thickBot="1" x14ac:dyDescent="0.3">
      <c r="A214" s="511"/>
      <c r="B214" s="552" t="str">
        <v>Habillage bois murs</v>
      </c>
      <c r="C214" s="514"/>
    </row>
    <row r="215" spans="1:3" x14ac:dyDescent="0.25">
      <c r="A215" s="509" t="s">
        <v>747</v>
      </c>
      <c r="B215" s="550" t="str">
        <v>Côtés pris en compte pour habillage pierre intérieur</v>
      </c>
      <c r="C215" s="515" t="s">
        <v>741</v>
      </c>
    </row>
    <row r="216" spans="1:3" x14ac:dyDescent="0.25">
      <c r="A216" s="510"/>
      <c r="B216" s="551">
        <v>0</v>
      </c>
      <c r="C216" s="516"/>
    </row>
    <row r="217" spans="1:3" x14ac:dyDescent="0.25">
      <c r="A217" s="510"/>
      <c r="B217" s="551">
        <v>0</v>
      </c>
      <c r="C217" s="516"/>
    </row>
    <row r="218" spans="1:3" x14ac:dyDescent="0.25">
      <c r="A218" s="510"/>
      <c r="B218" s="551">
        <v>0</v>
      </c>
      <c r="C218" s="516"/>
    </row>
    <row r="219" spans="1:3" x14ac:dyDescent="0.25">
      <c r="A219" s="510"/>
      <c r="B219" s="551">
        <v>0</v>
      </c>
      <c r="C219" s="516"/>
    </row>
    <row r="220" spans="1:3" x14ac:dyDescent="0.25">
      <c r="A220" s="510"/>
      <c r="B220" s="529" t="str">
        <v>a déduire pour peinture cloisons, doublages porte 93</v>
      </c>
      <c r="C220" s="516"/>
    </row>
    <row r="221" spans="1:3" ht="30" x14ac:dyDescent="0.25">
      <c r="A221" s="510"/>
      <c r="B221" s="529" t="str">
        <v>a déduire pour peinture sur cloisons, doublages porte 140</v>
      </c>
      <c r="C221" s="516"/>
    </row>
    <row r="222" spans="1:3" x14ac:dyDescent="0.25">
      <c r="A222" s="510"/>
      <c r="B222" s="529" t="str">
        <v>a déduire pour peinture chassis</v>
      </c>
      <c r="C222" s="516"/>
    </row>
    <row r="223" spans="1:3" ht="15.75" thickBot="1" x14ac:dyDescent="0.3">
      <c r="A223" s="511"/>
      <c r="B223" s="552" t="str">
        <v>Pierre intérieure murs</v>
      </c>
      <c r="C223" s="514"/>
    </row>
    <row r="224" spans="1:3" x14ac:dyDescent="0.25">
      <c r="B224" s="553"/>
    </row>
    <row r="225" spans="2:3" x14ac:dyDescent="0.25">
      <c r="B225" s="553"/>
      <c r="C225" s="498"/>
    </row>
    <row r="226" spans="2:3" x14ac:dyDescent="0.25">
      <c r="B226" s="554"/>
      <c r="C226" s="498"/>
    </row>
    <row r="227" spans="2:3" x14ac:dyDescent="0.25">
      <c r="B227" s="554"/>
      <c r="C227" s="498"/>
    </row>
    <row r="228" spans="2:3" x14ac:dyDescent="0.25">
      <c r="B228" s="554"/>
      <c r="C228" s="498"/>
    </row>
    <row r="229" spans="2:3" x14ac:dyDescent="0.25">
      <c r="B229" s="554"/>
      <c r="C229" s="498"/>
    </row>
    <row r="230" spans="2:3" x14ac:dyDescent="0.25">
      <c r="B230" s="554"/>
      <c r="C230" s="498"/>
    </row>
    <row r="231" spans="2:3" x14ac:dyDescent="0.25">
      <c r="B231" s="554"/>
      <c r="C231" s="498"/>
    </row>
    <row r="232" spans="2:3" x14ac:dyDescent="0.25">
      <c r="B232" s="554"/>
      <c r="C232" s="498"/>
    </row>
    <row r="233" spans="2:3" x14ac:dyDescent="0.25">
      <c r="B233" s="554"/>
      <c r="C233" s="498"/>
    </row>
    <row r="234" spans="2:3" x14ac:dyDescent="0.25">
      <c r="B234" s="554"/>
      <c r="C234" s="498"/>
    </row>
    <row r="235" spans="2:3" x14ac:dyDescent="0.25">
      <c r="B235" s="554"/>
      <c r="C235" s="498"/>
    </row>
    <row r="236" spans="2:3" x14ac:dyDescent="0.25">
      <c r="B236" s="554"/>
      <c r="C236" s="498"/>
    </row>
    <row r="237" spans="2:3" x14ac:dyDescent="0.25">
      <c r="B237" s="554"/>
      <c r="C237" s="498"/>
    </row>
    <row r="238" spans="2:3" x14ac:dyDescent="0.25">
      <c r="B238" s="554"/>
      <c r="C238" s="498"/>
    </row>
    <row r="239" spans="2:3" x14ac:dyDescent="0.25">
      <c r="B239" s="554"/>
      <c r="C239" s="498"/>
    </row>
    <row r="240" spans="2:3" x14ac:dyDescent="0.25">
      <c r="B240" s="554"/>
      <c r="C240" s="498"/>
    </row>
    <row r="241" spans="2:3" x14ac:dyDescent="0.25">
      <c r="B241" s="554"/>
      <c r="C241" s="498"/>
    </row>
    <row r="242" spans="2:3" x14ac:dyDescent="0.25">
      <c r="B242" s="554"/>
      <c r="C242" s="498"/>
    </row>
    <row r="243" spans="2:3" x14ac:dyDescent="0.25">
      <c r="B243" s="554"/>
      <c r="C243" s="498"/>
    </row>
    <row r="244" spans="2:3" x14ac:dyDescent="0.25">
      <c r="B244" s="554"/>
      <c r="C244" s="498"/>
    </row>
    <row r="245" spans="2:3" x14ac:dyDescent="0.25">
      <c r="B245" s="554"/>
      <c r="C245" s="498"/>
    </row>
    <row r="246" spans="2:3" x14ac:dyDescent="0.25">
      <c r="B246" s="554"/>
      <c r="C246" s="498"/>
    </row>
    <row r="247" spans="2:3" x14ac:dyDescent="0.25">
      <c r="B247" s="554"/>
      <c r="C247" s="498"/>
    </row>
    <row r="248" spans="2:3" x14ac:dyDescent="0.25">
      <c r="B248" s="554"/>
      <c r="C248" s="498"/>
    </row>
    <row r="249" spans="2:3" x14ac:dyDescent="0.25">
      <c r="B249" s="554"/>
      <c r="C249" s="498"/>
    </row>
    <row r="250" spans="2:3" x14ac:dyDescent="0.25">
      <c r="B250" s="554"/>
      <c r="C250" s="498"/>
    </row>
    <row r="251" spans="2:3" x14ac:dyDescent="0.25">
      <c r="B251" s="554"/>
      <c r="C251" s="498"/>
    </row>
    <row r="252" spans="2:3" x14ac:dyDescent="0.25">
      <c r="B252" s="554"/>
      <c r="C252" s="498"/>
    </row>
    <row r="253" spans="2:3" x14ac:dyDescent="0.25">
      <c r="B253" s="554"/>
      <c r="C253" s="498"/>
    </row>
    <row r="254" spans="2:3" x14ac:dyDescent="0.25">
      <c r="B254" s="554"/>
      <c r="C254" s="498"/>
    </row>
    <row r="255" spans="2:3" x14ac:dyDescent="0.25">
      <c r="B255" s="554"/>
      <c r="C255" s="498"/>
    </row>
    <row r="256" spans="2:3" x14ac:dyDescent="0.25">
      <c r="B256" s="554"/>
      <c r="C256" s="498"/>
    </row>
    <row r="257" spans="2:3" x14ac:dyDescent="0.25">
      <c r="B257" s="554"/>
      <c r="C257" s="498"/>
    </row>
    <row r="258" spans="2:3" x14ac:dyDescent="0.25">
      <c r="B258" s="554"/>
      <c r="C258" s="498"/>
    </row>
    <row r="259" spans="2:3" x14ac:dyDescent="0.25">
      <c r="B259" s="554"/>
      <c r="C259" s="498"/>
    </row>
    <row r="260" spans="2:3" x14ac:dyDescent="0.25">
      <c r="B260" s="554"/>
      <c r="C260" s="498"/>
    </row>
    <row r="261" spans="2:3" x14ac:dyDescent="0.25">
      <c r="B261" s="554"/>
      <c r="C261" s="498"/>
    </row>
    <row r="262" spans="2:3" x14ac:dyDescent="0.25">
      <c r="B262" s="554"/>
      <c r="C262" s="498"/>
    </row>
    <row r="263" spans="2:3" x14ac:dyDescent="0.25">
      <c r="B263" s="554"/>
      <c r="C263" s="498"/>
    </row>
    <row r="264" spans="2:3" x14ac:dyDescent="0.25">
      <c r="B264" s="554"/>
      <c r="C264" s="498"/>
    </row>
    <row r="265" spans="2:3" x14ac:dyDescent="0.25">
      <c r="B265" s="554"/>
      <c r="C265" s="498"/>
    </row>
    <row r="266" spans="2:3" x14ac:dyDescent="0.25">
      <c r="B266" s="554"/>
      <c r="C266" s="498"/>
    </row>
    <row r="267" spans="2:3" x14ac:dyDescent="0.25">
      <c r="B267" s="554"/>
      <c r="C267" s="498"/>
    </row>
    <row r="268" spans="2:3" x14ac:dyDescent="0.25">
      <c r="B268" s="554"/>
      <c r="C268" s="498"/>
    </row>
    <row r="269" spans="2:3" x14ac:dyDescent="0.25">
      <c r="B269" s="554"/>
      <c r="C269" s="498"/>
    </row>
    <row r="270" spans="2:3" x14ac:dyDescent="0.25">
      <c r="B270" s="554"/>
      <c r="C270" s="498"/>
    </row>
    <row r="271" spans="2:3" x14ac:dyDescent="0.25">
      <c r="B271" s="554"/>
    </row>
    <row r="272" spans="2:3" x14ac:dyDescent="0.25">
      <c r="B272" s="554"/>
    </row>
    <row r="273" spans="2:2" x14ac:dyDescent="0.25">
      <c r="B273" s="554"/>
    </row>
    <row r="274" spans="2:2" x14ac:dyDescent="0.25">
      <c r="B274" s="554"/>
    </row>
    <row r="275" spans="2:2" x14ac:dyDescent="0.25">
      <c r="B275" s="554"/>
    </row>
    <row r="276" spans="2:2" x14ac:dyDescent="0.25">
      <c r="B276" s="554"/>
    </row>
  </sheetData>
  <mergeCells count="17">
    <mergeCell ref="A44:A63"/>
    <mergeCell ref="C69:C71"/>
    <mergeCell ref="C74:C78"/>
    <mergeCell ref="C61:C63"/>
    <mergeCell ref="A2:A19"/>
    <mergeCell ref="A20:A33"/>
    <mergeCell ref="A34:A35"/>
    <mergeCell ref="A215:A223"/>
    <mergeCell ref="A206:A214"/>
    <mergeCell ref="C206:C214"/>
    <mergeCell ref="C215:C223"/>
    <mergeCell ref="A72:A99"/>
    <mergeCell ref="A100:A123"/>
    <mergeCell ref="A124:A157"/>
    <mergeCell ref="A175:A185"/>
    <mergeCell ref="A186:A201"/>
    <mergeCell ref="A202:A205"/>
  </mergeCells>
  <phoneticPr fontId="5" type="noConversion"/>
  <dataValidations count="1">
    <dataValidation type="list" showInputMessage="1" showErrorMessage="1" sqref="C2:C61 C215 C64:C69 C72:C74 C79:C206" xr:uid="{FA2F874E-A239-4D77-9385-06F0039CAC65}">
      <formula1>"Oui,Non"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HU206"/>
  <sheetViews>
    <sheetView topLeftCell="A3" zoomScale="91" zoomScaleNormal="91" workbookViewId="0">
      <pane xSplit="7725" ySplit="1710" topLeftCell="K2" activePane="bottomRight"/>
      <selection activeCell="A2" sqref="A2:XFD2"/>
      <selection pane="topRight" activeCell="R3" sqref="R1:R1048576"/>
      <selection pane="bottomLeft" activeCell="D20" sqref="D20"/>
      <selection pane="bottomRight" activeCell="R11" sqref="R11"/>
    </sheetView>
  </sheetViews>
  <sheetFormatPr baseColWidth="10" defaultColWidth="11.42578125" defaultRowHeight="15" x14ac:dyDescent="0.25"/>
  <cols>
    <col min="1" max="1" width="29.5703125" style="1" customWidth="1"/>
    <col min="2" max="2" width="5.5703125" style="55" bestFit="1" customWidth="1"/>
    <col min="3" max="3" width="6.42578125" style="55" bestFit="1" customWidth="1"/>
    <col min="4" max="5" width="7" style="55" customWidth="1"/>
    <col min="6" max="6" width="11.42578125" style="2"/>
    <col min="7" max="7" width="10" style="2" customWidth="1"/>
    <col min="8" max="8" width="9.85546875" style="2" customWidth="1"/>
    <col min="9" max="9" width="10.85546875" style="2" customWidth="1"/>
    <col min="10" max="10" width="11.42578125" style="2" customWidth="1"/>
    <col min="11" max="22" width="11.42578125" style="2"/>
    <col min="23" max="23" width="12.85546875" style="2" customWidth="1"/>
    <col min="24" max="24" width="11.42578125" style="2"/>
    <col min="25" max="25" width="11.7109375" style="2" customWidth="1"/>
    <col min="26" max="39" width="11.42578125" style="2" customWidth="1"/>
    <col min="40" max="40" width="11.42578125" style="54" customWidth="1"/>
    <col min="41" max="48" width="11.42578125" style="2" customWidth="1"/>
    <col min="49" max="49" width="11.42578125" style="59" customWidth="1"/>
    <col min="50" max="62" width="11.42578125" style="2" customWidth="1"/>
    <col min="63" max="63" width="11.42578125" style="150" customWidth="1"/>
    <col min="64" max="66" width="11.42578125" style="2" customWidth="1"/>
    <col min="67" max="67" width="5.42578125" style="1" customWidth="1"/>
    <col min="68" max="68" width="4.5703125" style="1" bestFit="1" customWidth="1"/>
    <col min="69" max="69" width="11.42578125" style="2"/>
    <col min="70" max="71" width="11.42578125" style="59" customWidth="1"/>
    <col min="72" max="74" width="11.42578125" style="2" customWidth="1"/>
    <col min="75" max="75" width="5.42578125" style="1" customWidth="1"/>
    <col min="76" max="76" width="5.42578125" style="1" bestFit="1" customWidth="1"/>
    <col min="77" max="77" width="11.42578125" style="2"/>
    <col min="78" max="79" width="11.42578125" style="66" customWidth="1"/>
    <col min="80" max="80" width="6.42578125" style="1" customWidth="1"/>
    <col min="81" max="82" width="6.5703125" style="1" customWidth="1"/>
    <col min="83" max="83" width="6.5703125" style="1" bestFit="1" customWidth="1"/>
    <col min="84" max="84" width="5.5703125" style="1" bestFit="1" customWidth="1"/>
    <col min="85" max="101" width="11.42578125" style="2" customWidth="1"/>
    <col min="102" max="102" width="11.5703125" style="1" customWidth="1"/>
    <col min="103" max="123" width="11.42578125" style="2" customWidth="1"/>
    <col min="124" max="124" width="6.5703125" style="2" customWidth="1"/>
    <col min="125" max="126" width="4.7109375" style="2" customWidth="1"/>
    <col min="127" max="138" width="11.42578125" style="2" customWidth="1"/>
    <col min="139" max="139" width="11.42578125" style="67" customWidth="1"/>
    <col min="140" max="142" width="5.28515625" style="2" customWidth="1"/>
    <col min="143" max="143" width="10.5703125" style="67" customWidth="1"/>
    <col min="144" max="148" width="5.28515625" style="2" customWidth="1"/>
    <col min="149" max="163" width="11.42578125" style="2" customWidth="1"/>
    <col min="164" max="164" width="5.42578125" style="1" customWidth="1"/>
    <col min="165" max="165" width="5.42578125" style="1" bestFit="1" customWidth="1"/>
    <col min="166" max="166" width="5.140625" style="1" bestFit="1" customWidth="1"/>
    <col min="167" max="167" width="5" style="1" bestFit="1" customWidth="1"/>
    <col min="168" max="168" width="4.5703125" style="1" bestFit="1" customWidth="1"/>
    <col min="169" max="169" width="11.42578125" style="2" customWidth="1"/>
    <col min="170" max="170" width="5.42578125" style="1" customWidth="1"/>
    <col min="171" max="171" width="5.42578125" style="1" bestFit="1" customWidth="1"/>
    <col min="172" max="172" width="5.140625" style="1" bestFit="1" customWidth="1"/>
    <col min="173" max="173" width="5" style="1" bestFit="1" customWidth="1"/>
    <col min="174" max="174" width="4.5703125" style="1" bestFit="1" customWidth="1"/>
    <col min="175" max="179" width="11.42578125" style="2" customWidth="1"/>
    <col min="180" max="180" width="11.42578125" style="150" customWidth="1"/>
    <col min="181" max="181" width="5.42578125" style="1" customWidth="1"/>
    <col min="182" max="182" width="5.42578125" style="1" bestFit="1" customWidth="1"/>
    <col min="183" max="183" width="5.140625" style="1" bestFit="1" customWidth="1"/>
    <col min="184" max="184" width="5.42578125" style="1" bestFit="1" customWidth="1"/>
    <col min="185" max="185" width="4.5703125" style="1" bestFit="1" customWidth="1"/>
    <col min="186" max="191" width="11.42578125" style="2" customWidth="1"/>
    <col min="192" max="192" width="5.42578125" style="1" customWidth="1"/>
    <col min="193" max="193" width="7.140625" style="1" bestFit="1" customWidth="1"/>
    <col min="194" max="194" width="6" style="1" bestFit="1" customWidth="1"/>
    <col min="195" max="195" width="5.5703125" style="1" bestFit="1" customWidth="1"/>
    <col min="196" max="196" width="5.140625" style="1" bestFit="1" customWidth="1"/>
    <col min="197" max="206" width="11.42578125" style="2" customWidth="1"/>
    <col min="207" max="207" width="11.42578125" style="1" customWidth="1"/>
    <col min="208" max="208" width="11.42578125" style="69" customWidth="1"/>
    <col min="209" max="209" width="14.140625" style="2" customWidth="1"/>
    <col min="210" max="210" width="12.28515625" style="2" customWidth="1"/>
    <col min="211" max="211" width="12.42578125" style="2" customWidth="1"/>
    <col min="212" max="212" width="5.42578125" style="47" customWidth="1"/>
    <col min="213" max="213" width="5.42578125" style="47" bestFit="1" customWidth="1"/>
    <col min="214" max="215" width="5.5703125" style="47" bestFit="1" customWidth="1"/>
    <col min="216" max="216" width="5.140625" style="47" bestFit="1" customWidth="1"/>
    <col min="217" max="220" width="11.42578125" style="49" customWidth="1"/>
    <col min="221" max="221" width="5.42578125" style="47" customWidth="1"/>
    <col min="222" max="222" width="5.42578125" style="47" bestFit="1" customWidth="1"/>
    <col min="223" max="224" width="5.5703125" style="47" bestFit="1" customWidth="1"/>
    <col min="225" max="225" width="5.140625" style="47" bestFit="1" customWidth="1"/>
    <col min="226" max="229" width="11.42578125" style="49" customWidth="1"/>
    <col min="230" max="16384" width="11.42578125" style="1"/>
  </cols>
  <sheetData>
    <row r="1" spans="1:229" ht="40.5" hidden="1" customHeight="1" x14ac:dyDescent="0.25">
      <c r="A1" s="519" t="s">
        <v>738</v>
      </c>
      <c r="B1" s="519"/>
      <c r="C1" s="519"/>
      <c r="D1" s="519"/>
      <c r="E1" s="519"/>
      <c r="F1" s="519"/>
      <c r="G1" s="519"/>
      <c r="I1" s="2" t="b">
        <v>0</v>
      </c>
    </row>
    <row r="2" spans="1:229" ht="40.5" customHeight="1" x14ac:dyDescent="0.25">
      <c r="A2" s="2"/>
      <c r="B2" s="2"/>
      <c r="C2" s="2"/>
      <c r="D2" s="2"/>
      <c r="E2" s="2"/>
      <c r="H2" s="519" t="s">
        <v>744</v>
      </c>
      <c r="I2" s="519"/>
      <c r="J2" s="519"/>
      <c r="K2" s="519"/>
      <c r="L2" s="519"/>
      <c r="M2" s="519"/>
      <c r="N2" s="519"/>
      <c r="O2" s="519"/>
      <c r="P2" s="519"/>
      <c r="Q2" s="519"/>
      <c r="R2" s="519"/>
      <c r="S2" s="519"/>
      <c r="T2" s="519"/>
      <c r="U2" s="519"/>
      <c r="V2" s="519"/>
      <c r="W2" s="519"/>
      <c r="X2" s="519"/>
      <c r="Y2" s="519"/>
    </row>
    <row r="3" spans="1:229" ht="57" customHeight="1" x14ac:dyDescent="0.25">
      <c r="B3" s="55" t="s">
        <v>12</v>
      </c>
      <c r="C3" s="55" t="s">
        <v>13</v>
      </c>
      <c r="D3" s="55" t="s">
        <v>6</v>
      </c>
      <c r="E3" s="55" t="s">
        <v>6</v>
      </c>
      <c r="F3" s="2" t="s">
        <v>4</v>
      </c>
      <c r="G3" s="2" t="s">
        <v>5</v>
      </c>
      <c r="H3" s="507" t="s">
        <v>740</v>
      </c>
      <c r="I3" s="507" t="s">
        <v>737</v>
      </c>
      <c r="J3" s="507" t="s">
        <v>48</v>
      </c>
      <c r="K3" s="507" t="s">
        <v>49</v>
      </c>
      <c r="L3" s="286" t="s">
        <v>16</v>
      </c>
      <c r="M3" s="286" t="s">
        <v>30</v>
      </c>
      <c r="N3" s="286" t="s">
        <v>188</v>
      </c>
      <c r="O3" s="286" t="s">
        <v>402</v>
      </c>
      <c r="P3" s="286" t="s">
        <v>216</v>
      </c>
      <c r="Q3" s="4" t="s">
        <v>27</v>
      </c>
      <c r="R3" s="4" t="s">
        <v>71</v>
      </c>
      <c r="S3" s="286" t="s">
        <v>361</v>
      </c>
      <c r="T3" s="4" t="s">
        <v>7</v>
      </c>
      <c r="U3" s="4" t="s">
        <v>413</v>
      </c>
      <c r="V3" s="4" t="s">
        <v>10</v>
      </c>
      <c r="W3" s="508" t="s">
        <v>321</v>
      </c>
      <c r="X3" s="508" t="s">
        <v>731</v>
      </c>
      <c r="Y3" s="508" t="s">
        <v>421</v>
      </c>
      <c r="Z3" s="2" t="s">
        <v>28</v>
      </c>
      <c r="AA3" s="3" t="s">
        <v>729</v>
      </c>
      <c r="AB3" s="3" t="s">
        <v>730</v>
      </c>
      <c r="AC3" s="3" t="s">
        <v>189</v>
      </c>
      <c r="AD3" s="3" t="s">
        <v>608</v>
      </c>
      <c r="AE3" s="3" t="s">
        <v>414</v>
      </c>
      <c r="AF3" s="3" t="s">
        <v>415</v>
      </c>
      <c r="AG3" s="3" t="s">
        <v>435</v>
      </c>
      <c r="AH3" s="3" t="s">
        <v>438</v>
      </c>
      <c r="AI3" s="3" t="s">
        <v>195</v>
      </c>
      <c r="AJ3" s="3" t="s">
        <v>196</v>
      </c>
      <c r="AK3" s="3" t="s">
        <v>418</v>
      </c>
      <c r="AL3" s="3" t="s">
        <v>639</v>
      </c>
      <c r="AM3" s="3" t="s">
        <v>710</v>
      </c>
      <c r="AN3" s="58" t="s">
        <v>283</v>
      </c>
      <c r="AO3" s="3" t="s">
        <v>191</v>
      </c>
      <c r="AP3" s="2" t="s">
        <v>17</v>
      </c>
      <c r="AQ3" s="2" t="s">
        <v>124</v>
      </c>
      <c r="AR3" s="3" t="s">
        <v>423</v>
      </c>
      <c r="AS3" s="2" t="s">
        <v>39</v>
      </c>
      <c r="AT3" s="3" t="s">
        <v>444</v>
      </c>
      <c r="AU3" s="3" t="s">
        <v>131</v>
      </c>
      <c r="AV3" s="3" t="s">
        <v>120</v>
      </c>
      <c r="AW3" s="59" t="s">
        <v>126</v>
      </c>
      <c r="AX3" s="3" t="s">
        <v>706</v>
      </c>
      <c r="AY3" s="3" t="s">
        <v>111</v>
      </c>
      <c r="AZ3" s="3" t="s">
        <v>178</v>
      </c>
      <c r="BA3" s="3" t="s">
        <v>15</v>
      </c>
      <c r="BB3" s="3" t="s">
        <v>716</v>
      </c>
      <c r="BC3" s="3" t="s">
        <v>717</v>
      </c>
      <c r="BD3" s="3" t="s">
        <v>9</v>
      </c>
      <c r="BE3" s="3" t="s">
        <v>8</v>
      </c>
      <c r="BF3" s="3" t="s">
        <v>427</v>
      </c>
      <c r="BG3" s="3" t="s">
        <v>133</v>
      </c>
      <c r="BH3" s="3" t="s">
        <v>93</v>
      </c>
      <c r="BI3" s="3" t="s">
        <v>217</v>
      </c>
      <c r="BJ3" s="3" t="s">
        <v>218</v>
      </c>
      <c r="BK3" s="170" t="s">
        <v>450</v>
      </c>
      <c r="BL3" s="3" t="s">
        <v>125</v>
      </c>
      <c r="BM3" s="3" t="s">
        <v>403</v>
      </c>
      <c r="BN3" s="3" t="s">
        <v>360</v>
      </c>
      <c r="BO3" s="521" t="s">
        <v>21</v>
      </c>
      <c r="BP3" s="521"/>
      <c r="BQ3" s="521"/>
      <c r="BR3" s="60" t="s">
        <v>270</v>
      </c>
      <c r="BS3" s="60" t="s">
        <v>269</v>
      </c>
      <c r="BT3" s="3" t="s">
        <v>132</v>
      </c>
      <c r="BU3" s="3" t="s">
        <v>152</v>
      </c>
      <c r="BV3" s="3" t="s">
        <v>700</v>
      </c>
      <c r="BW3" s="521" t="s">
        <v>192</v>
      </c>
      <c r="BX3" s="521"/>
      <c r="BY3" s="521"/>
      <c r="BZ3" s="61" t="s">
        <v>143</v>
      </c>
      <c r="CA3" s="61" t="s">
        <v>142</v>
      </c>
      <c r="CB3" s="522" t="s">
        <v>19</v>
      </c>
      <c r="CC3" s="522"/>
      <c r="CD3" s="522"/>
      <c r="CE3" s="522"/>
      <c r="CF3" s="522"/>
      <c r="CG3" s="3" t="s">
        <v>29</v>
      </c>
      <c r="CH3" s="3" t="s">
        <v>44</v>
      </c>
      <c r="CI3" s="3" t="s">
        <v>623</v>
      </c>
      <c r="CJ3" s="3" t="s">
        <v>446</v>
      </c>
      <c r="CK3" s="3" t="s">
        <v>197</v>
      </c>
      <c r="CL3" s="3" t="s">
        <v>206</v>
      </c>
      <c r="CM3" s="3" t="s">
        <v>14</v>
      </c>
      <c r="CN3" s="3" t="s">
        <v>576</v>
      </c>
      <c r="CO3" s="3" t="s">
        <v>177</v>
      </c>
      <c r="CP3" s="3" t="s">
        <v>274</v>
      </c>
      <c r="CQ3" s="3" t="s">
        <v>26</v>
      </c>
      <c r="CR3" s="3" t="s">
        <v>429</v>
      </c>
      <c r="CS3" s="57" t="s">
        <v>20</v>
      </c>
      <c r="CT3" s="57" t="s">
        <v>37</v>
      </c>
      <c r="CU3" s="57" t="s">
        <v>25</v>
      </c>
      <c r="CV3" s="57" t="s">
        <v>405</v>
      </c>
      <c r="CW3" s="57" t="s">
        <v>451</v>
      </c>
      <c r="CY3" s="56" t="s">
        <v>23</v>
      </c>
      <c r="CZ3" s="56" t="s">
        <v>24</v>
      </c>
      <c r="DA3" s="56" t="s">
        <v>33</v>
      </c>
      <c r="DB3" s="62" t="s">
        <v>324</v>
      </c>
      <c r="DC3" s="62" t="s">
        <v>431</v>
      </c>
      <c r="DD3" s="62" t="s">
        <v>212</v>
      </c>
      <c r="DE3" s="62" t="s">
        <v>626</v>
      </c>
      <c r="DF3" s="62" t="s">
        <v>627</v>
      </c>
      <c r="DG3" s="62" t="s">
        <v>286</v>
      </c>
      <c r="DH3" s="62" t="s">
        <v>424</v>
      </c>
      <c r="DI3" s="62" t="s">
        <v>222</v>
      </c>
      <c r="DJ3" s="62" t="s">
        <v>224</v>
      </c>
      <c r="DK3" s="62" t="s">
        <v>110</v>
      </c>
      <c r="DL3" s="62" t="s">
        <v>282</v>
      </c>
      <c r="DM3" s="62" t="s">
        <v>268</v>
      </c>
      <c r="DN3" s="62" t="s">
        <v>577</v>
      </c>
      <c r="DO3" s="62" t="s">
        <v>580</v>
      </c>
      <c r="DP3" s="62" t="s">
        <v>579</v>
      </c>
      <c r="DQ3" s="62" t="s">
        <v>523</v>
      </c>
      <c r="DR3" s="62" t="s">
        <v>226</v>
      </c>
      <c r="DS3" s="62" t="s">
        <v>207</v>
      </c>
      <c r="DT3" s="523" t="s">
        <v>127</v>
      </c>
      <c r="DU3" s="523"/>
      <c r="DV3" s="523"/>
      <c r="DW3" s="523"/>
      <c r="DX3" s="3" t="s">
        <v>625</v>
      </c>
      <c r="DY3" s="3" t="s">
        <v>630</v>
      </c>
      <c r="DZ3" s="3" t="s">
        <v>278</v>
      </c>
      <c r="EA3" s="3" t="s">
        <v>277</v>
      </c>
      <c r="EB3" s="3" t="s">
        <v>40</v>
      </c>
      <c r="EC3" s="3" t="s">
        <v>41</v>
      </c>
      <c r="ED3" s="3" t="s">
        <v>228</v>
      </c>
      <c r="EE3" s="3" t="s">
        <v>288</v>
      </c>
      <c r="EF3" s="3" t="s">
        <v>289</v>
      </c>
      <c r="EG3" s="3" t="s">
        <v>229</v>
      </c>
      <c r="EH3" s="3" t="s">
        <v>214</v>
      </c>
      <c r="EI3" s="521" t="s">
        <v>209</v>
      </c>
      <c r="EJ3" s="521"/>
      <c r="EK3" s="521"/>
      <c r="EL3" s="521"/>
      <c r="EM3" s="521" t="s">
        <v>210</v>
      </c>
      <c r="EN3" s="521"/>
      <c r="EO3" s="521"/>
      <c r="EP3" s="521"/>
      <c r="EQ3" s="521"/>
      <c r="ER3" s="521"/>
      <c r="ES3" s="3" t="s">
        <v>173</v>
      </c>
      <c r="ET3" s="3" t="s">
        <v>409</v>
      </c>
      <c r="EU3" s="3" t="s">
        <v>410</v>
      </c>
      <c r="EV3" s="3" t="s">
        <v>635</v>
      </c>
      <c r="EW3" s="3" t="s">
        <v>284</v>
      </c>
      <c r="EX3" s="3" t="s">
        <v>330</v>
      </c>
      <c r="EY3" s="3" t="s">
        <v>38</v>
      </c>
      <c r="EZ3" s="3" t="s">
        <v>137</v>
      </c>
      <c r="FA3" s="3" t="s">
        <v>276</v>
      </c>
      <c r="FB3" s="3" t="s">
        <v>407</v>
      </c>
      <c r="FC3" s="3" t="s">
        <v>521</v>
      </c>
      <c r="FD3" s="3" t="s">
        <v>408</v>
      </c>
      <c r="FE3" s="3" t="s">
        <v>50</v>
      </c>
      <c r="FF3" s="3" t="s">
        <v>51</v>
      </c>
      <c r="FG3" s="3" t="s">
        <v>287</v>
      </c>
      <c r="FH3" s="522" t="s">
        <v>135</v>
      </c>
      <c r="FI3" s="522"/>
      <c r="FJ3" s="522"/>
      <c r="FK3" s="522"/>
      <c r="FL3" s="522"/>
      <c r="FM3" s="57" t="s">
        <v>136</v>
      </c>
      <c r="FN3" s="522" t="s">
        <v>328</v>
      </c>
      <c r="FO3" s="522"/>
      <c r="FP3" s="522"/>
      <c r="FQ3" s="522"/>
      <c r="FR3" s="522"/>
      <c r="FS3" s="57" t="s">
        <v>329</v>
      </c>
      <c r="FT3" s="3" t="s">
        <v>59</v>
      </c>
      <c r="FU3" s="3" t="s">
        <v>134</v>
      </c>
      <c r="FV3" s="3" t="s">
        <v>650</v>
      </c>
      <c r="FW3" s="3" t="s">
        <v>707</v>
      </c>
      <c r="FX3" s="170" t="s">
        <v>708</v>
      </c>
      <c r="FY3" s="522" t="s">
        <v>36</v>
      </c>
      <c r="FZ3" s="522"/>
      <c r="GA3" s="522"/>
      <c r="GB3" s="522"/>
      <c r="GC3" s="522"/>
      <c r="GD3" s="56" t="s">
        <v>23</v>
      </c>
      <c r="GE3" s="56" t="s">
        <v>24</v>
      </c>
      <c r="GF3" s="56" t="s">
        <v>33</v>
      </c>
      <c r="GG3" s="2" t="s">
        <v>11</v>
      </c>
      <c r="GH3" s="2" t="s">
        <v>18</v>
      </c>
      <c r="GI3" s="3" t="s">
        <v>522</v>
      </c>
      <c r="GJ3" s="522" t="s">
        <v>35</v>
      </c>
      <c r="GK3" s="522"/>
      <c r="GL3" s="522"/>
      <c r="GM3" s="522"/>
      <c r="GN3" s="522"/>
      <c r="GO3" s="56" t="s">
        <v>45</v>
      </c>
      <c r="GP3" s="56" t="s">
        <v>46</v>
      </c>
      <c r="GQ3" s="56" t="s">
        <v>47</v>
      </c>
      <c r="GR3" s="3" t="s">
        <v>22</v>
      </c>
      <c r="GS3" s="3" t="s">
        <v>296</v>
      </c>
      <c r="GT3" s="3" t="s">
        <v>528</v>
      </c>
      <c r="GU3" s="3" t="s">
        <v>34</v>
      </c>
      <c r="GV3" s="3" t="s">
        <v>319</v>
      </c>
      <c r="GW3" s="3" t="s">
        <v>138</v>
      </c>
      <c r="GX3" s="3" t="s">
        <v>401</v>
      </c>
      <c r="GY3" s="3" t="s">
        <v>295</v>
      </c>
      <c r="GZ3" s="63" t="s">
        <v>112</v>
      </c>
      <c r="HA3" s="57" t="s">
        <v>42</v>
      </c>
      <c r="HB3" s="57" t="s">
        <v>43</v>
      </c>
      <c r="HC3" s="57" t="s">
        <v>265</v>
      </c>
      <c r="HD3" s="520" t="s">
        <v>297</v>
      </c>
      <c r="HE3" s="520"/>
      <c r="HF3" s="520"/>
      <c r="HG3" s="520"/>
      <c r="HH3" s="520"/>
      <c r="HI3" s="499" t="s">
        <v>45</v>
      </c>
      <c r="HJ3" s="499" t="s">
        <v>46</v>
      </c>
      <c r="HK3" s="499" t="s">
        <v>47</v>
      </c>
      <c r="HL3" s="500" t="s">
        <v>298</v>
      </c>
      <c r="HM3" s="520" t="s">
        <v>325</v>
      </c>
      <c r="HN3" s="520"/>
      <c r="HO3" s="520"/>
      <c r="HP3" s="520"/>
      <c r="HQ3" s="520"/>
      <c r="HR3" s="499" t="s">
        <v>45</v>
      </c>
      <c r="HS3" s="499" t="s">
        <v>46</v>
      </c>
      <c r="HT3" s="499" t="s">
        <v>47</v>
      </c>
      <c r="HU3" s="500" t="s">
        <v>326</v>
      </c>
    </row>
    <row r="4" spans="1:229" ht="23.25" x14ac:dyDescent="0.25">
      <c r="A4" s="43"/>
      <c r="D4" s="56" t="s">
        <v>32</v>
      </c>
      <c r="E4" s="56" t="s">
        <v>31</v>
      </c>
      <c r="H4" s="2" t="s">
        <v>2</v>
      </c>
      <c r="I4" s="2" t="s">
        <v>2</v>
      </c>
      <c r="J4" s="2" t="s">
        <v>2</v>
      </c>
      <c r="K4" s="2" t="s">
        <v>0</v>
      </c>
      <c r="L4" s="2" t="s">
        <v>0</v>
      </c>
      <c r="M4" s="2" t="s">
        <v>0</v>
      </c>
      <c r="N4" s="2" t="s">
        <v>0</v>
      </c>
      <c r="O4" s="2" t="s">
        <v>0</v>
      </c>
      <c r="P4" s="2" t="s">
        <v>0</v>
      </c>
      <c r="Q4" s="2" t="s">
        <v>1</v>
      </c>
      <c r="R4" s="2" t="s">
        <v>1</v>
      </c>
      <c r="S4" s="2" t="s">
        <v>1</v>
      </c>
      <c r="T4" s="2" t="s">
        <v>1</v>
      </c>
      <c r="U4" s="2" t="s">
        <v>1</v>
      </c>
      <c r="V4" s="2" t="s">
        <v>1</v>
      </c>
      <c r="W4" s="2" t="s">
        <v>1</v>
      </c>
      <c r="X4" s="2" t="s">
        <v>1</v>
      </c>
      <c r="Y4" s="2" t="s">
        <v>1</v>
      </c>
      <c r="Z4" s="2" t="s">
        <v>0</v>
      </c>
      <c r="AA4" s="2" t="s">
        <v>0</v>
      </c>
      <c r="AB4" s="2" t="s">
        <v>0</v>
      </c>
      <c r="AC4" s="2" t="s">
        <v>0</v>
      </c>
      <c r="AD4" s="2" t="s">
        <v>1</v>
      </c>
      <c r="AE4" s="2" t="s">
        <v>1</v>
      </c>
      <c r="AF4" s="2" t="s">
        <v>0</v>
      </c>
      <c r="AG4" s="2" t="s">
        <v>0</v>
      </c>
      <c r="AI4" s="2" t="s">
        <v>0</v>
      </c>
      <c r="AJ4" s="2" t="s">
        <v>0</v>
      </c>
      <c r="AK4" s="2" t="s">
        <v>0</v>
      </c>
      <c r="AL4" s="2" t="s">
        <v>0</v>
      </c>
      <c r="AM4" s="2" t="s">
        <v>0</v>
      </c>
      <c r="AN4" s="54" t="s">
        <v>0</v>
      </c>
      <c r="AO4" s="2" t="s">
        <v>0</v>
      </c>
      <c r="AP4" s="2" t="s">
        <v>1</v>
      </c>
      <c r="AQ4" s="2" t="s">
        <v>1</v>
      </c>
      <c r="AR4" s="2" t="s">
        <v>1</v>
      </c>
      <c r="AS4" s="2" t="s">
        <v>1</v>
      </c>
      <c r="AT4" s="2" t="s">
        <v>1</v>
      </c>
      <c r="AU4" s="2" t="s">
        <v>1</v>
      </c>
      <c r="AV4" s="2" t="s">
        <v>1</v>
      </c>
      <c r="AW4" s="59" t="s">
        <v>2</v>
      </c>
      <c r="AX4" s="2" t="s">
        <v>1</v>
      </c>
      <c r="AY4" s="2" t="s">
        <v>1</v>
      </c>
      <c r="AZ4" s="2" t="s">
        <v>1</v>
      </c>
      <c r="BA4" s="2" t="s">
        <v>1</v>
      </c>
      <c r="BB4" s="2" t="s">
        <v>1</v>
      </c>
      <c r="BC4" s="2" t="s">
        <v>1</v>
      </c>
      <c r="BD4" s="2" t="s">
        <v>1</v>
      </c>
      <c r="BE4" s="2" t="s">
        <v>1</v>
      </c>
      <c r="BF4" s="2" t="s">
        <v>1</v>
      </c>
      <c r="BG4" s="2" t="s">
        <v>1</v>
      </c>
      <c r="BH4" s="65" t="s">
        <v>122</v>
      </c>
      <c r="BI4" s="2" t="s">
        <v>1</v>
      </c>
      <c r="BK4" s="150" t="s">
        <v>1</v>
      </c>
      <c r="BL4" s="2" t="s">
        <v>1</v>
      </c>
      <c r="BM4" s="2" t="s">
        <v>1</v>
      </c>
      <c r="BN4" s="2" t="s">
        <v>1</v>
      </c>
      <c r="BO4" s="55" t="s">
        <v>12</v>
      </c>
      <c r="BP4" s="55" t="s">
        <v>6</v>
      </c>
      <c r="BQ4" s="2" t="s">
        <v>1</v>
      </c>
      <c r="BU4" s="2" t="s">
        <v>153</v>
      </c>
      <c r="BV4" s="2" t="s">
        <v>105</v>
      </c>
      <c r="BW4" s="55" t="s">
        <v>6</v>
      </c>
      <c r="BX4" s="55" t="s">
        <v>12</v>
      </c>
      <c r="BY4" s="2" t="s">
        <v>1</v>
      </c>
      <c r="BZ4" s="66" t="s">
        <v>2</v>
      </c>
      <c r="CA4" s="66" t="s">
        <v>2</v>
      </c>
      <c r="CB4" s="55" t="s">
        <v>6</v>
      </c>
      <c r="CC4" s="55" t="s">
        <v>12</v>
      </c>
      <c r="CD4" s="55" t="s">
        <v>12</v>
      </c>
      <c r="CE4" s="55" t="s">
        <v>13</v>
      </c>
      <c r="CF4" s="55" t="s">
        <v>13</v>
      </c>
      <c r="CG4" s="2" t="s">
        <v>1</v>
      </c>
      <c r="CH4" s="2" t="s">
        <v>1</v>
      </c>
      <c r="CI4" s="2" t="s">
        <v>1</v>
      </c>
      <c r="CJ4" s="2" t="s">
        <v>1</v>
      </c>
      <c r="CK4" s="2" t="s">
        <v>1</v>
      </c>
      <c r="CL4" s="2" t="s">
        <v>1</v>
      </c>
      <c r="CM4" s="2" t="s">
        <v>1</v>
      </c>
      <c r="CN4" s="2" t="s">
        <v>1</v>
      </c>
      <c r="CO4" s="2" t="s">
        <v>1</v>
      </c>
      <c r="CP4" s="2" t="s">
        <v>1</v>
      </c>
      <c r="CQ4" s="2" t="s">
        <v>1</v>
      </c>
      <c r="CR4" s="2" t="s">
        <v>1</v>
      </c>
      <c r="CS4" s="2" t="s">
        <v>1</v>
      </c>
      <c r="CT4" s="2" t="s">
        <v>1</v>
      </c>
      <c r="CU4" s="2" t="s">
        <v>1</v>
      </c>
      <c r="CV4" s="2" t="s">
        <v>1</v>
      </c>
      <c r="CW4" s="2" t="s">
        <v>1</v>
      </c>
      <c r="CY4" s="2" t="s">
        <v>2</v>
      </c>
      <c r="CZ4" s="2" t="s">
        <v>2</v>
      </c>
      <c r="DA4" s="2" t="s">
        <v>1</v>
      </c>
      <c r="DT4" s="55" t="s">
        <v>12</v>
      </c>
      <c r="DU4" s="55" t="s">
        <v>555</v>
      </c>
      <c r="DV4" s="55" t="s">
        <v>105</v>
      </c>
      <c r="DW4" s="2" t="s">
        <v>1</v>
      </c>
      <c r="DX4" s="2" t="s">
        <v>2</v>
      </c>
      <c r="DY4" s="2" t="s">
        <v>2</v>
      </c>
      <c r="DZ4" s="2" t="s">
        <v>2</v>
      </c>
      <c r="EI4" s="67" t="s">
        <v>0</v>
      </c>
      <c r="EJ4" s="68">
        <v>0.9</v>
      </c>
      <c r="EK4" s="68">
        <v>1.6</v>
      </c>
      <c r="EL4" s="68">
        <v>2.2200000000000002</v>
      </c>
      <c r="EM4" s="161" t="s">
        <v>426</v>
      </c>
      <c r="EN4" s="68">
        <v>1</v>
      </c>
      <c r="EO4" s="68">
        <v>0.9</v>
      </c>
      <c r="EP4" s="68">
        <v>1.7</v>
      </c>
      <c r="EQ4" s="68">
        <v>2.1</v>
      </c>
      <c r="ER4" s="68">
        <v>2.5</v>
      </c>
      <c r="ES4" s="2" t="s">
        <v>0</v>
      </c>
      <c r="ET4" s="2" t="s">
        <v>0</v>
      </c>
      <c r="EU4" s="2" t="s">
        <v>0</v>
      </c>
      <c r="EV4" s="2" t="s">
        <v>0</v>
      </c>
      <c r="EW4" s="2" t="s">
        <v>1</v>
      </c>
      <c r="EX4" s="2" t="s">
        <v>0</v>
      </c>
      <c r="EY4" s="2" t="s">
        <v>0</v>
      </c>
      <c r="EZ4" s="2" t="s">
        <v>0</v>
      </c>
      <c r="FA4" s="2" t="s">
        <v>0</v>
      </c>
      <c r="FB4" s="2" t="s">
        <v>0</v>
      </c>
      <c r="FC4" s="2" t="s">
        <v>0</v>
      </c>
      <c r="FD4" s="2" t="s">
        <v>2</v>
      </c>
      <c r="FE4" s="2" t="s">
        <v>0</v>
      </c>
      <c r="FF4" s="2" t="s">
        <v>2</v>
      </c>
      <c r="FG4" s="2" t="s">
        <v>2</v>
      </c>
      <c r="FH4" s="55" t="s">
        <v>6</v>
      </c>
      <c r="FI4" s="55" t="s">
        <v>12</v>
      </c>
      <c r="FJ4" s="55" t="s">
        <v>12</v>
      </c>
      <c r="FK4" s="55" t="s">
        <v>13</v>
      </c>
      <c r="FL4" s="55" t="s">
        <v>13</v>
      </c>
      <c r="FM4" s="2" t="s">
        <v>1</v>
      </c>
      <c r="FN4" s="55" t="s">
        <v>6</v>
      </c>
      <c r="FO4" s="55" t="s">
        <v>12</v>
      </c>
      <c r="FP4" s="55" t="s">
        <v>12</v>
      </c>
      <c r="FQ4" s="55" t="s">
        <v>13</v>
      </c>
      <c r="FR4" s="55" t="s">
        <v>13</v>
      </c>
      <c r="FS4" s="2" t="s">
        <v>1</v>
      </c>
      <c r="FT4" s="2" t="s">
        <v>0</v>
      </c>
      <c r="FU4" s="2" t="s">
        <v>0</v>
      </c>
      <c r="FV4" s="2" t="s">
        <v>1</v>
      </c>
      <c r="FW4" s="2" t="s">
        <v>1</v>
      </c>
      <c r="FX4" s="150" t="s">
        <v>1</v>
      </c>
      <c r="FY4" s="55" t="s">
        <v>6</v>
      </c>
      <c r="FZ4" s="55" t="s">
        <v>12</v>
      </c>
      <c r="GA4" s="55" t="s">
        <v>12</v>
      </c>
      <c r="GB4" s="55" t="s">
        <v>13</v>
      </c>
      <c r="GC4" s="55" t="s">
        <v>13</v>
      </c>
      <c r="GD4" s="2" t="s">
        <v>2</v>
      </c>
      <c r="GE4" s="2" t="s">
        <v>2</v>
      </c>
      <c r="GF4" s="2" t="s">
        <v>1</v>
      </c>
      <c r="GG4" s="2" t="s">
        <v>1</v>
      </c>
      <c r="GH4" s="2" t="s">
        <v>1</v>
      </c>
      <c r="GI4" s="2" t="s">
        <v>1</v>
      </c>
      <c r="GJ4" s="55" t="s">
        <v>6</v>
      </c>
      <c r="GK4" s="55" t="s">
        <v>12</v>
      </c>
      <c r="GL4" s="55" t="s">
        <v>12</v>
      </c>
      <c r="GM4" s="55" t="s">
        <v>13</v>
      </c>
      <c r="GN4" s="55" t="s">
        <v>13</v>
      </c>
      <c r="GO4" s="2" t="s">
        <v>2</v>
      </c>
      <c r="GP4" s="2" t="s">
        <v>2</v>
      </c>
      <c r="GQ4" s="2" t="s">
        <v>1</v>
      </c>
      <c r="GR4" s="2" t="s">
        <v>1</v>
      </c>
      <c r="GT4" s="2" t="s">
        <v>1</v>
      </c>
      <c r="GU4" s="2" t="s">
        <v>1</v>
      </c>
      <c r="GV4" s="2" t="s">
        <v>1</v>
      </c>
      <c r="GW4" s="2" t="s">
        <v>1</v>
      </c>
      <c r="GX4" s="2" t="s">
        <v>1</v>
      </c>
      <c r="GY4" s="2" t="s">
        <v>1</v>
      </c>
      <c r="GZ4" s="69" t="s">
        <v>1</v>
      </c>
      <c r="HD4" s="501" t="s">
        <v>6</v>
      </c>
      <c r="HE4" s="501" t="s">
        <v>12</v>
      </c>
      <c r="HF4" s="501" t="s">
        <v>12</v>
      </c>
      <c r="HG4" s="501" t="s">
        <v>13</v>
      </c>
      <c r="HH4" s="501" t="s">
        <v>13</v>
      </c>
      <c r="HI4" s="502" t="s">
        <v>2</v>
      </c>
      <c r="HJ4" s="502" t="s">
        <v>2</v>
      </c>
      <c r="HK4" s="502" t="s">
        <v>1</v>
      </c>
      <c r="HL4" s="502" t="s">
        <v>1</v>
      </c>
      <c r="HM4" s="501" t="s">
        <v>6</v>
      </c>
      <c r="HN4" s="501" t="s">
        <v>12</v>
      </c>
      <c r="HO4" s="501" t="s">
        <v>12</v>
      </c>
      <c r="HP4" s="501" t="s">
        <v>13</v>
      </c>
      <c r="HQ4" s="501" t="s">
        <v>13</v>
      </c>
      <c r="HR4" s="502" t="s">
        <v>2</v>
      </c>
      <c r="HS4" s="502" t="s">
        <v>2</v>
      </c>
      <c r="HT4" s="502" t="s">
        <v>1</v>
      </c>
      <c r="HU4" s="502" t="s">
        <v>1</v>
      </c>
    </row>
    <row r="5" spans="1:229" s="75" customFormat="1" ht="26.25" x14ac:dyDescent="0.45">
      <c r="A5" s="71" t="s">
        <v>641</v>
      </c>
      <c r="B5" s="72"/>
      <c r="C5" s="72"/>
      <c r="D5" s="72"/>
      <c r="E5" s="72"/>
      <c r="F5" s="5"/>
      <c r="G5" s="5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73"/>
      <c r="AA5" s="73"/>
      <c r="AB5" s="73"/>
      <c r="AC5" s="73"/>
      <c r="AD5" s="73"/>
      <c r="AE5" s="73"/>
      <c r="AF5" s="73"/>
      <c r="AG5" s="52"/>
      <c r="AH5" s="52"/>
      <c r="AI5" s="73"/>
      <c r="AJ5" s="73"/>
      <c r="AK5" s="73"/>
      <c r="AL5" s="73"/>
      <c r="AM5" s="73"/>
      <c r="AN5" s="54"/>
      <c r="AO5" s="6"/>
      <c r="AP5" s="4"/>
      <c r="AQ5" s="4"/>
      <c r="AR5" s="4"/>
      <c r="AS5" s="4"/>
      <c r="AT5" s="4"/>
      <c r="AU5" s="4"/>
      <c r="AV5" s="4"/>
      <c r="AW5" s="46"/>
      <c r="AX5" s="74"/>
      <c r="AY5" s="74"/>
      <c r="AZ5" s="74"/>
      <c r="BA5" s="74"/>
      <c r="BB5" s="74"/>
      <c r="BC5" s="74"/>
      <c r="BD5" s="74"/>
      <c r="BE5" s="74"/>
      <c r="BF5" s="74"/>
      <c r="BG5" s="74"/>
      <c r="BH5" s="74"/>
      <c r="BI5" s="74"/>
      <c r="BJ5" s="74"/>
      <c r="BK5" s="171"/>
      <c r="BL5" s="74"/>
      <c r="BM5" s="74"/>
      <c r="BN5" s="64"/>
      <c r="BQ5" s="74"/>
      <c r="BR5" s="76"/>
      <c r="BS5" s="76"/>
      <c r="BT5" s="77"/>
      <c r="BU5" s="78"/>
      <c r="BV5" s="78"/>
      <c r="BW5" s="79"/>
      <c r="BX5" s="79"/>
      <c r="BY5" s="80"/>
      <c r="BZ5" s="81"/>
      <c r="CA5" s="81"/>
      <c r="CB5" s="82"/>
      <c r="CC5" s="82"/>
      <c r="CD5" s="82"/>
      <c r="CE5" s="82"/>
      <c r="CF5" s="82"/>
      <c r="CG5" s="83"/>
      <c r="CH5" s="83"/>
      <c r="CI5" s="83"/>
      <c r="CJ5" s="83"/>
      <c r="CK5" s="83"/>
      <c r="CL5" s="83"/>
      <c r="CM5" s="83"/>
      <c r="CN5" s="83"/>
      <c r="CO5" s="83"/>
      <c r="CP5" s="83"/>
      <c r="CQ5" s="83"/>
      <c r="CR5" s="83"/>
      <c r="CS5" s="83"/>
      <c r="CT5" s="83"/>
      <c r="CU5" s="83"/>
      <c r="CV5" s="83"/>
      <c r="CW5" s="83"/>
      <c r="CX5" s="82"/>
      <c r="CY5" s="6"/>
      <c r="CZ5" s="6"/>
      <c r="DA5" s="6"/>
      <c r="DB5" s="84"/>
      <c r="DC5" s="84"/>
      <c r="DD5" s="84"/>
      <c r="DE5" s="84"/>
      <c r="DF5" s="84"/>
      <c r="DG5" s="84"/>
      <c r="DH5" s="84"/>
      <c r="DI5" s="84"/>
      <c r="DJ5" s="84"/>
      <c r="DK5" s="84"/>
      <c r="DL5" s="84"/>
      <c r="DM5" s="84"/>
      <c r="DN5" s="84"/>
      <c r="DO5" s="84"/>
      <c r="DP5" s="84"/>
      <c r="DQ5" s="84"/>
      <c r="DR5" s="84"/>
      <c r="DS5" s="84"/>
      <c r="DT5" s="84"/>
      <c r="DU5" s="84"/>
      <c r="DV5" s="84"/>
      <c r="DW5" s="84"/>
      <c r="DX5" s="84"/>
      <c r="DY5" s="84"/>
      <c r="DZ5" s="84"/>
      <c r="EA5" s="84"/>
      <c r="EB5" s="85"/>
      <c r="EC5" s="85"/>
      <c r="ED5" s="85"/>
      <c r="EE5" s="85"/>
      <c r="EF5" s="85"/>
      <c r="EG5" s="85"/>
      <c r="EH5" s="85"/>
      <c r="EI5" s="86"/>
      <c r="EJ5" s="84"/>
      <c r="EK5" s="84"/>
      <c r="EL5" s="84"/>
      <c r="EM5" s="86"/>
      <c r="EN5" s="84"/>
      <c r="EO5" s="84"/>
      <c r="EP5" s="84"/>
      <c r="EQ5" s="84"/>
      <c r="ER5" s="84"/>
      <c r="ES5" s="84"/>
      <c r="ET5" s="84"/>
      <c r="EU5" s="84"/>
      <c r="EV5" s="84"/>
      <c r="EW5" s="84"/>
      <c r="EX5" s="84"/>
      <c r="EY5" s="84"/>
      <c r="EZ5" s="84"/>
      <c r="FA5" s="84"/>
      <c r="FB5" s="84"/>
      <c r="FC5" s="84"/>
      <c r="FD5" s="84"/>
      <c r="FE5" s="84"/>
      <c r="FF5" s="84"/>
      <c r="FG5" s="84"/>
      <c r="FH5" s="79"/>
      <c r="FI5" s="79"/>
      <c r="FJ5" s="79"/>
      <c r="FK5" s="79"/>
      <c r="FL5" s="79"/>
      <c r="FM5" s="87"/>
      <c r="FN5" s="47"/>
      <c r="FO5" s="47"/>
      <c r="FP5" s="47"/>
      <c r="FQ5" s="47"/>
      <c r="FR5" s="47"/>
      <c r="FS5" s="48"/>
      <c r="FT5" s="88"/>
      <c r="FU5" s="88"/>
      <c r="FV5" s="88"/>
      <c r="FW5" s="88"/>
      <c r="FX5" s="457"/>
      <c r="GD5" s="5"/>
      <c r="GE5" s="5"/>
      <c r="GF5" s="5"/>
      <c r="GG5" s="5"/>
      <c r="GH5" s="5"/>
      <c r="GI5" s="89"/>
      <c r="GO5" s="5"/>
      <c r="GP5" s="5"/>
      <c r="GQ5" s="5"/>
      <c r="GR5" s="89"/>
      <c r="GS5" s="89"/>
      <c r="GT5" s="89"/>
      <c r="GU5" s="89"/>
      <c r="GV5" s="89"/>
      <c r="GW5" s="89"/>
      <c r="GX5" s="89"/>
      <c r="GZ5" s="90"/>
      <c r="HA5" s="5"/>
      <c r="HB5" s="5"/>
      <c r="HC5" s="5"/>
      <c r="HD5" s="50"/>
      <c r="HE5" s="50"/>
      <c r="HF5" s="50"/>
      <c r="HG5" s="50"/>
      <c r="HH5" s="50"/>
      <c r="HI5" s="52"/>
      <c r="HJ5" s="52"/>
      <c r="HK5" s="52"/>
      <c r="HL5" s="51"/>
      <c r="HM5" s="47"/>
      <c r="HN5" s="47"/>
      <c r="HO5" s="47"/>
      <c r="HP5" s="47"/>
      <c r="HQ5" s="47"/>
      <c r="HR5" s="49"/>
      <c r="HS5" s="49"/>
      <c r="HT5" s="49"/>
      <c r="HU5" s="48"/>
    </row>
    <row r="6" spans="1:229" s="91" customFormat="1" x14ac:dyDescent="0.25">
      <c r="A6" s="91" t="s">
        <v>633</v>
      </c>
      <c r="B6" s="92">
        <v>4.8499999999999996</v>
      </c>
      <c r="C6" s="92">
        <v>4.55</v>
      </c>
      <c r="D6" s="93">
        <v>2.5</v>
      </c>
      <c r="E6" s="93">
        <v>3.02</v>
      </c>
      <c r="F6" s="94">
        <f>B6*C6</f>
        <v>22.067499999999999</v>
      </c>
      <c r="G6" s="95">
        <f>(B6+C6)*2</f>
        <v>18.799999999999997</v>
      </c>
      <c r="H6" s="96"/>
      <c r="I6" s="96"/>
      <c r="J6" s="96"/>
      <c r="K6" s="96">
        <v>1.23</v>
      </c>
      <c r="L6" s="173"/>
      <c r="M6" s="173"/>
      <c r="N6" s="96">
        <f>G6-I6*0.93-J6*1.4-K6</f>
        <v>17.569999999999997</v>
      </c>
      <c r="O6" s="96">
        <v>1.23</v>
      </c>
      <c r="P6" s="96"/>
      <c r="Q6" s="96"/>
      <c r="R6" s="96"/>
      <c r="S6" s="96"/>
      <c r="T6" s="97"/>
      <c r="U6" s="97"/>
      <c r="V6" s="97"/>
      <c r="W6" s="97">
        <f>F6</f>
        <v>22.067499999999999</v>
      </c>
      <c r="X6" s="97"/>
      <c r="Y6" s="97"/>
      <c r="Z6" s="98"/>
      <c r="AA6" s="98"/>
      <c r="AB6" s="98"/>
      <c r="AC6" s="98"/>
      <c r="AD6" s="98"/>
      <c r="AE6" s="98"/>
      <c r="AF6" s="98"/>
      <c r="AG6" s="127"/>
      <c r="AH6" s="127"/>
      <c r="AI6" s="98"/>
      <c r="AJ6" s="98"/>
      <c r="AK6" s="98"/>
      <c r="AL6" s="98"/>
      <c r="AM6" s="98"/>
      <c r="AN6" s="99"/>
      <c r="AO6" s="100"/>
      <c r="AP6" s="96"/>
      <c r="AQ6" s="97"/>
      <c r="AR6" s="97">
        <f>F6</f>
        <v>22.067499999999999</v>
      </c>
      <c r="AS6" s="97"/>
      <c r="AT6" s="97">
        <f>AR6</f>
        <v>22.067499999999999</v>
      </c>
      <c r="AU6" s="97"/>
      <c r="AV6" s="97">
        <f>F6</f>
        <v>22.067499999999999</v>
      </c>
      <c r="AW6" s="101">
        <v>4</v>
      </c>
      <c r="AX6" s="95"/>
      <c r="AY6" s="95"/>
      <c r="AZ6" s="95"/>
      <c r="BA6" s="94">
        <f>F6</f>
        <v>22.067499999999999</v>
      </c>
      <c r="BD6" s="94"/>
      <c r="BE6" s="102"/>
      <c r="BF6" s="103"/>
      <c r="BG6" s="102"/>
      <c r="BH6" s="102"/>
      <c r="BI6" s="102"/>
      <c r="BJ6" s="102"/>
      <c r="BK6" s="102"/>
      <c r="BL6" s="103"/>
      <c r="BM6" s="102"/>
      <c r="BN6" s="104"/>
      <c r="BO6" s="105"/>
      <c r="BP6" s="105"/>
      <c r="BQ6" s="103">
        <f>BO6*BP6</f>
        <v>0</v>
      </c>
      <c r="BR6" s="106"/>
      <c r="BS6" s="106"/>
      <c r="BT6" s="107"/>
      <c r="BU6" s="108"/>
      <c r="BV6" s="108"/>
      <c r="BW6" s="109"/>
      <c r="BX6" s="109"/>
      <c r="BY6" s="110"/>
      <c r="BZ6" s="111"/>
      <c r="CA6" s="111"/>
      <c r="CB6" s="112">
        <f>E6</f>
        <v>3.02</v>
      </c>
      <c r="CC6" s="112">
        <v>1.65</v>
      </c>
      <c r="CD6" s="112">
        <v>1.56</v>
      </c>
      <c r="CE6" s="112"/>
      <c r="CF6" s="112"/>
      <c r="CG6" s="113"/>
      <c r="CH6" s="114">
        <f>SUM(CC6:CF6)*CB6-CY6*0.93*2.04-CZ6*1.4*2.04-DA6</f>
        <v>9.6942000000000004</v>
      </c>
      <c r="CI6" s="114"/>
      <c r="CJ6" s="113"/>
      <c r="CK6" s="117"/>
      <c r="CL6" s="100"/>
      <c r="CM6" s="100"/>
      <c r="CN6" s="100"/>
      <c r="CO6" s="100"/>
      <c r="CP6" s="100"/>
      <c r="CQ6" s="115"/>
      <c r="CR6" s="100"/>
      <c r="CS6" s="100"/>
      <c r="CT6" s="100"/>
      <c r="CU6" s="116"/>
      <c r="CV6" s="116">
        <f>CH6</f>
        <v>9.6942000000000004</v>
      </c>
      <c r="CW6" s="116"/>
      <c r="CX6" s="117"/>
      <c r="CY6" s="100">
        <v>0</v>
      </c>
      <c r="CZ6" s="100">
        <v>0</v>
      </c>
      <c r="DA6" s="100">
        <v>0</v>
      </c>
      <c r="DB6" s="118"/>
      <c r="DC6" s="118"/>
      <c r="DD6" s="118"/>
      <c r="DE6" s="118"/>
      <c r="DF6" s="118"/>
      <c r="DG6" s="118"/>
      <c r="DH6" s="118"/>
      <c r="DI6" s="118"/>
      <c r="DJ6" s="118"/>
      <c r="DK6" s="118"/>
      <c r="DL6" s="118"/>
      <c r="DM6" s="118"/>
      <c r="DN6" s="118"/>
      <c r="DO6" s="118"/>
      <c r="DP6" s="118"/>
      <c r="DQ6" s="118"/>
      <c r="DR6" s="118"/>
      <c r="DS6" s="118"/>
      <c r="DT6" s="118"/>
      <c r="DU6" s="118"/>
      <c r="DV6" s="118"/>
      <c r="DW6" s="118"/>
      <c r="DX6" s="118"/>
      <c r="DY6" s="118"/>
      <c r="DZ6" s="118"/>
      <c r="EA6" s="118"/>
      <c r="EB6" s="119"/>
      <c r="EC6" s="119"/>
      <c r="ED6" s="119"/>
      <c r="EE6" s="119"/>
      <c r="EF6" s="119"/>
      <c r="EG6" s="119"/>
      <c r="EH6" s="119"/>
      <c r="EI6" s="120"/>
      <c r="EJ6" s="118"/>
      <c r="EK6" s="118"/>
      <c r="EL6" s="118"/>
      <c r="EM6" s="120"/>
      <c r="EN6" s="118"/>
      <c r="EO6" s="118"/>
      <c r="EP6" s="118"/>
      <c r="EQ6" s="118"/>
      <c r="ER6" s="118"/>
      <c r="ES6" s="118"/>
      <c r="ET6" s="118">
        <v>0</v>
      </c>
      <c r="EU6" s="118"/>
      <c r="EV6" s="118">
        <v>4.45</v>
      </c>
      <c r="EW6" s="118"/>
      <c r="EX6" s="118"/>
      <c r="EY6" s="118"/>
      <c r="EZ6" s="118"/>
      <c r="FA6" s="118"/>
      <c r="FB6" s="118"/>
      <c r="FC6" s="118"/>
      <c r="FD6" s="118"/>
      <c r="FE6" s="118"/>
      <c r="FF6" s="118"/>
      <c r="FG6" s="118"/>
      <c r="FH6" s="109">
        <f>GJ6</f>
        <v>2.5</v>
      </c>
      <c r="FI6" s="109"/>
      <c r="FJ6" s="109"/>
      <c r="FK6" s="109"/>
      <c r="FL6" s="109"/>
      <c r="FM6" s="121">
        <f>SUM(FI6:FL6)*FH6</f>
        <v>0</v>
      </c>
      <c r="FN6" s="122">
        <f>GP6</f>
        <v>0</v>
      </c>
      <c r="FO6" s="122"/>
      <c r="FP6" s="122"/>
      <c r="FQ6" s="122"/>
      <c r="FR6" s="122"/>
      <c r="FS6" s="123">
        <f>SUM(FO6:FR6)*FN6</f>
        <v>0</v>
      </c>
      <c r="FT6" s="124"/>
      <c r="FU6" s="124"/>
      <c r="FV6" s="124"/>
      <c r="FW6" s="124"/>
      <c r="FX6" s="225"/>
      <c r="FY6" s="105">
        <f>D6</f>
        <v>2.5</v>
      </c>
      <c r="FZ6" s="105">
        <f>G6</f>
        <v>18.799999999999997</v>
      </c>
      <c r="GA6" s="105">
        <v>-1.23</v>
      </c>
      <c r="GB6" s="105"/>
      <c r="GC6" s="105"/>
      <c r="GD6" s="95"/>
      <c r="GE6" s="95"/>
      <c r="GF6" s="94">
        <f>DA6+DA7</f>
        <v>2.0914999999999999</v>
      </c>
      <c r="GG6" s="94">
        <f>SUM(FZ6:GC6)*FY6-GD6*0.93*2.04-GE6*1.4*2.04-GF6</f>
        <v>41.833499999999987</v>
      </c>
      <c r="GH6" s="95"/>
      <c r="GI6" s="94"/>
      <c r="GJ6" s="105">
        <f>D6</f>
        <v>2.5</v>
      </c>
      <c r="GK6" s="105">
        <f>G6</f>
        <v>18.799999999999997</v>
      </c>
      <c r="GL6" s="105">
        <v>-1.23</v>
      </c>
      <c r="GM6" s="105"/>
      <c r="GN6" s="105"/>
      <c r="GO6" s="95">
        <v>0</v>
      </c>
      <c r="GP6" s="95">
        <v>0</v>
      </c>
      <c r="GQ6" s="94">
        <f>DA6+DA7</f>
        <v>2.0914999999999999</v>
      </c>
      <c r="GR6" s="94">
        <f>SUM(GK6:GN6)*GJ6-GO6*0.93*2.04-GP6*1.4*2.04-GQ6-GG6-GQ7</f>
        <v>0</v>
      </c>
      <c r="GS6" s="94"/>
      <c r="GT6" s="94"/>
      <c r="GU6" s="94">
        <f>SUM(BD6:BH6)</f>
        <v>0</v>
      </c>
      <c r="GV6" s="94"/>
      <c r="GX6" s="95">
        <f>SUM(BQ6:BQ8)</f>
        <v>0</v>
      </c>
      <c r="GY6" s="95"/>
      <c r="GZ6" s="125"/>
      <c r="HA6" s="95"/>
      <c r="HB6" s="95"/>
      <c r="HC6" s="95"/>
      <c r="HD6" s="126">
        <f>E6-D6</f>
        <v>0.52</v>
      </c>
      <c r="HE6" s="126"/>
      <c r="HF6" s="126"/>
      <c r="HG6" s="126"/>
      <c r="HH6" s="126"/>
      <c r="HI6" s="127"/>
      <c r="HJ6" s="127"/>
      <c r="HK6" s="127"/>
      <c r="HL6" s="128">
        <f>SUM(HE6:HH6)*HD6-HI6*0.93*2.04-HJ6*1.4*2.04-HK6</f>
        <v>0</v>
      </c>
      <c r="HM6" s="122">
        <f>AA6</f>
        <v>0</v>
      </c>
      <c r="HN6" s="122"/>
      <c r="HO6" s="122"/>
      <c r="HP6" s="122"/>
      <c r="HQ6" s="122"/>
      <c r="HR6" s="129"/>
      <c r="HS6" s="129"/>
      <c r="HT6" s="123"/>
      <c r="HU6" s="123"/>
    </row>
    <row r="7" spans="1:229" s="75" customFormat="1" x14ac:dyDescent="0.25">
      <c r="A7" s="75" t="s">
        <v>634</v>
      </c>
      <c r="B7" s="72"/>
      <c r="C7" s="72"/>
      <c r="D7" s="130"/>
      <c r="E7" s="130"/>
      <c r="F7" s="131"/>
      <c r="G7" s="5"/>
      <c r="H7" s="4"/>
      <c r="I7" s="4"/>
      <c r="J7" s="4"/>
      <c r="K7" s="4"/>
      <c r="L7" s="4"/>
      <c r="M7" s="4"/>
      <c r="N7" s="4"/>
      <c r="O7" s="132"/>
      <c r="P7" s="132"/>
      <c r="Q7" s="4"/>
      <c r="R7" s="4"/>
      <c r="S7" s="4"/>
      <c r="T7" s="133"/>
      <c r="U7" s="45"/>
      <c r="V7" s="45"/>
      <c r="W7" s="45"/>
      <c r="X7" s="45"/>
      <c r="Y7" s="45"/>
      <c r="Z7" s="73"/>
      <c r="AA7" s="73"/>
      <c r="AB7" s="73"/>
      <c r="AC7" s="73"/>
      <c r="AD7" s="73"/>
      <c r="AE7" s="73"/>
      <c r="AF7" s="73"/>
      <c r="AG7" s="52"/>
      <c r="AH7" s="52"/>
      <c r="AI7" s="73"/>
      <c r="AJ7" s="73"/>
      <c r="AK7" s="73"/>
      <c r="AL7" s="73"/>
      <c r="AM7" s="73"/>
      <c r="AN7" s="54"/>
      <c r="AO7" s="6"/>
      <c r="AP7" s="4"/>
      <c r="AQ7" s="45"/>
      <c r="AR7" s="45"/>
      <c r="AS7" s="45"/>
      <c r="AT7" s="45"/>
      <c r="AU7" s="45"/>
      <c r="AV7" s="45"/>
      <c r="AW7" s="46"/>
      <c r="AX7" s="5"/>
      <c r="AY7" s="5"/>
      <c r="AZ7" s="5"/>
      <c r="BA7" s="131"/>
      <c r="BB7" s="169"/>
      <c r="BC7" s="169"/>
      <c r="BD7" s="5"/>
      <c r="BE7" s="74"/>
      <c r="BF7" s="74"/>
      <c r="BG7" s="74"/>
      <c r="BH7" s="74"/>
      <c r="BI7" s="74"/>
      <c r="BJ7" s="74"/>
      <c r="BK7" s="171"/>
      <c r="BL7" s="74"/>
      <c r="BM7" s="74"/>
      <c r="BN7" s="64"/>
      <c r="BO7" s="134"/>
      <c r="BP7" s="134"/>
      <c r="BQ7" s="74"/>
      <c r="BR7" s="76"/>
      <c r="BS7" s="76"/>
      <c r="BT7" s="77"/>
      <c r="BU7" s="78"/>
      <c r="BV7" s="78"/>
      <c r="BW7" s="135"/>
      <c r="BX7" s="135"/>
      <c r="BY7" s="79"/>
      <c r="BZ7" s="136"/>
      <c r="CA7" s="136"/>
      <c r="CB7" s="137">
        <f>CB6</f>
        <v>3.02</v>
      </c>
      <c r="CC7" s="137">
        <f>B6</f>
        <v>4.8499999999999996</v>
      </c>
      <c r="CD7" s="137"/>
      <c r="CE7" s="137"/>
      <c r="CF7" s="137"/>
      <c r="CG7" s="82"/>
      <c r="CH7" s="138"/>
      <c r="CI7" s="138"/>
      <c r="CJ7" s="138"/>
      <c r="CK7" s="138"/>
      <c r="CL7" s="82"/>
      <c r="CM7" s="138">
        <f>SUM(CC7:CF7)*CB7-CY7*0.93*2.04-CZ7*1.4*2.04-DA7</f>
        <v>12.555499999999999</v>
      </c>
      <c r="CN7" s="138"/>
      <c r="CO7" s="6"/>
      <c r="CP7" s="6"/>
      <c r="CQ7" s="7"/>
      <c r="CR7" s="6"/>
      <c r="CS7" s="6"/>
      <c r="CT7" s="6"/>
      <c r="CU7" s="139"/>
      <c r="CV7" s="139">
        <f>CM7</f>
        <v>12.555499999999999</v>
      </c>
      <c r="CW7" s="139"/>
      <c r="CX7" s="82"/>
      <c r="CY7" s="6">
        <v>0</v>
      </c>
      <c r="CZ7" s="6">
        <v>0</v>
      </c>
      <c r="DA7" s="6">
        <f>4.45*0.47</f>
        <v>2.0914999999999999</v>
      </c>
      <c r="DB7" s="84"/>
      <c r="DC7" s="84"/>
      <c r="DD7" s="84"/>
      <c r="DE7" s="84"/>
      <c r="DF7" s="84"/>
      <c r="DG7" s="84"/>
      <c r="DH7" s="84"/>
      <c r="DI7" s="84"/>
      <c r="DJ7" s="84"/>
      <c r="DK7" s="84"/>
      <c r="DL7" s="84"/>
      <c r="DM7" s="84"/>
      <c r="DN7" s="84"/>
      <c r="DO7" s="84"/>
      <c r="DP7" s="84"/>
      <c r="DQ7" s="84"/>
      <c r="DR7" s="84"/>
      <c r="DS7" s="84"/>
      <c r="DT7" s="84"/>
      <c r="DU7" s="84"/>
      <c r="DV7" s="84"/>
      <c r="DW7" s="84"/>
      <c r="DX7" s="84"/>
      <c r="DY7" s="84"/>
      <c r="DZ7" s="84"/>
      <c r="EA7" s="84"/>
      <c r="EB7" s="85"/>
      <c r="EC7" s="85"/>
      <c r="ED7" s="85"/>
      <c r="EE7" s="85"/>
      <c r="EF7" s="85"/>
      <c r="EG7" s="85"/>
      <c r="EH7" s="85"/>
      <c r="EI7" s="86"/>
      <c r="EJ7" s="84"/>
      <c r="EK7" s="84"/>
      <c r="EL7" s="84"/>
      <c r="EM7" s="86"/>
      <c r="EN7" s="84"/>
      <c r="EO7" s="84"/>
      <c r="EP7" s="84"/>
      <c r="EQ7" s="84"/>
      <c r="ER7" s="84"/>
      <c r="ES7" s="84"/>
      <c r="ET7" s="84"/>
      <c r="EU7" s="84"/>
      <c r="EV7" s="84"/>
      <c r="EW7" s="140"/>
      <c r="EX7" s="140"/>
      <c r="EY7" s="84"/>
      <c r="EZ7" s="84"/>
      <c r="FA7" s="84"/>
      <c r="FB7" s="84"/>
      <c r="FC7" s="84"/>
      <c r="FD7" s="84"/>
      <c r="FE7" s="84"/>
      <c r="FF7" s="84"/>
      <c r="FG7" s="84"/>
      <c r="FH7" s="135"/>
      <c r="FI7" s="135"/>
      <c r="FJ7" s="135"/>
      <c r="FK7" s="135"/>
      <c r="FL7" s="135"/>
      <c r="FM7" s="141"/>
      <c r="FN7" s="142"/>
      <c r="FO7" s="142"/>
      <c r="FP7" s="142"/>
      <c r="FQ7" s="142"/>
      <c r="FR7" s="142"/>
      <c r="FS7" s="53"/>
      <c r="FT7" s="88"/>
      <c r="FU7" s="88"/>
      <c r="FV7" s="88"/>
      <c r="FW7" s="88"/>
      <c r="FX7" s="457"/>
      <c r="FY7" s="134"/>
      <c r="FZ7" s="134"/>
      <c r="GA7" s="134"/>
      <c r="GB7" s="134"/>
      <c r="GC7" s="134"/>
      <c r="GD7" s="5"/>
      <c r="GE7" s="5"/>
      <c r="GF7" s="5"/>
      <c r="GG7" s="131"/>
      <c r="GH7" s="5"/>
      <c r="GI7" s="131"/>
      <c r="GJ7" s="134"/>
      <c r="GK7" s="134"/>
      <c r="GL7" s="134" t="s">
        <v>563</v>
      </c>
      <c r="GM7" s="134"/>
      <c r="GN7" s="134"/>
      <c r="GO7" s="5"/>
      <c r="GP7" s="5"/>
      <c r="GQ7" s="5"/>
      <c r="GR7" s="131"/>
      <c r="GS7" s="131"/>
      <c r="GT7" s="131"/>
      <c r="GU7" s="5"/>
      <c r="GV7" s="5"/>
      <c r="GW7" s="5"/>
      <c r="GX7" s="5"/>
      <c r="GY7" s="5"/>
      <c r="GZ7" s="90"/>
      <c r="HA7" s="5"/>
      <c r="HB7" s="5"/>
      <c r="HC7" s="5"/>
      <c r="HD7" s="143"/>
      <c r="HE7" s="143"/>
      <c r="HF7" s="143"/>
      <c r="HG7" s="143"/>
      <c r="HH7" s="143"/>
      <c r="HI7" s="52"/>
      <c r="HJ7" s="52"/>
      <c r="HK7" s="52"/>
      <c r="HL7" s="144"/>
      <c r="HM7" s="142"/>
      <c r="HN7" s="142"/>
      <c r="HO7" s="142"/>
      <c r="HP7" s="142"/>
      <c r="HQ7" s="142"/>
      <c r="HR7" s="49"/>
      <c r="HS7" s="49"/>
      <c r="HT7" s="49"/>
      <c r="HU7" s="53"/>
    </row>
    <row r="8" spans="1:229" s="75" customFormat="1" x14ac:dyDescent="0.25">
      <c r="B8" s="72"/>
      <c r="C8" s="72"/>
      <c r="D8" s="72"/>
      <c r="E8" s="72"/>
      <c r="F8" s="5"/>
      <c r="G8" s="5"/>
      <c r="H8" s="4"/>
      <c r="I8" s="4"/>
      <c r="J8" s="4"/>
      <c r="K8" s="4"/>
      <c r="L8" s="172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73"/>
      <c r="AA8" s="73"/>
      <c r="AB8" s="73"/>
      <c r="AC8" s="73"/>
      <c r="AD8" s="73"/>
      <c r="AE8" s="73"/>
      <c r="AF8" s="73"/>
      <c r="AG8" s="52"/>
      <c r="AH8" s="52"/>
      <c r="AI8" s="73"/>
      <c r="AJ8" s="73"/>
      <c r="AK8" s="73"/>
      <c r="AL8" s="73"/>
      <c r="AM8" s="73"/>
      <c r="AN8" s="54"/>
      <c r="AO8" s="6"/>
      <c r="AP8" s="4"/>
      <c r="AQ8" s="4"/>
      <c r="AR8" s="4"/>
      <c r="AS8" s="4"/>
      <c r="AT8" s="4"/>
      <c r="AU8" s="4"/>
      <c r="AV8" s="4"/>
      <c r="AW8" s="46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131"/>
      <c r="BL8" s="5"/>
      <c r="BM8" s="5"/>
      <c r="BN8" s="49"/>
      <c r="BO8" s="134"/>
      <c r="BP8" s="134"/>
      <c r="BQ8" s="5"/>
      <c r="BR8" s="145"/>
      <c r="BS8" s="145"/>
      <c r="BT8" s="146"/>
      <c r="BU8" s="147"/>
      <c r="BV8" s="147"/>
      <c r="BW8" s="141"/>
      <c r="BX8" s="135"/>
      <c r="BY8" s="79"/>
      <c r="BZ8" s="136"/>
      <c r="CA8" s="136"/>
      <c r="CB8" s="148">
        <f>CB7</f>
        <v>3.02</v>
      </c>
      <c r="CC8" s="137">
        <f>B6</f>
        <v>4.8499999999999996</v>
      </c>
      <c r="CD8" s="137">
        <f>C6</f>
        <v>4.55</v>
      </c>
      <c r="CE8" s="493"/>
      <c r="CF8" s="137"/>
      <c r="CG8" s="149"/>
      <c r="CH8" s="174"/>
      <c r="CI8" s="174"/>
      <c r="CJ8" s="6"/>
      <c r="CK8" s="138">
        <f>SUM(CC8:CF8)*CB8-CY8*0.93*2.04-CZ8*1.4*2.04-DA8</f>
        <v>28.387999999999995</v>
      </c>
      <c r="CL8" s="6"/>
      <c r="CM8" s="138"/>
      <c r="CN8" s="138"/>
      <c r="CO8" s="138"/>
      <c r="CP8" s="138"/>
      <c r="CQ8" s="138"/>
      <c r="CR8" s="6"/>
      <c r="CS8" s="6"/>
      <c r="CT8" s="6"/>
      <c r="CU8" s="6"/>
      <c r="CV8" s="257">
        <f>CK8</f>
        <v>28.387999999999995</v>
      </c>
      <c r="CW8" s="6"/>
      <c r="CX8" s="82"/>
      <c r="CY8" s="6">
        <v>0</v>
      </c>
      <c r="CZ8" s="6">
        <v>0</v>
      </c>
      <c r="DA8" s="6">
        <v>0</v>
      </c>
      <c r="DB8" s="84"/>
      <c r="DC8" s="84"/>
      <c r="DD8" s="84"/>
      <c r="DE8" s="84"/>
      <c r="DF8" s="84"/>
      <c r="DG8" s="84"/>
      <c r="DH8" s="84"/>
      <c r="DI8" s="84"/>
      <c r="DJ8" s="84"/>
      <c r="DK8" s="84"/>
      <c r="DL8" s="84"/>
      <c r="DM8" s="84"/>
      <c r="DN8" s="84"/>
      <c r="DO8" s="84"/>
      <c r="DP8" s="84"/>
      <c r="DQ8" s="84"/>
      <c r="DR8" s="84"/>
      <c r="DS8" s="84"/>
      <c r="DT8" s="84"/>
      <c r="DU8" s="84"/>
      <c r="DV8" s="84"/>
      <c r="DW8" s="84"/>
      <c r="DX8" s="84"/>
      <c r="DY8" s="84"/>
      <c r="DZ8" s="84"/>
      <c r="EA8" s="84"/>
      <c r="EB8" s="85"/>
      <c r="EC8" s="85"/>
      <c r="ED8" s="85"/>
      <c r="EE8" s="85"/>
      <c r="EF8" s="85"/>
      <c r="EG8" s="85"/>
      <c r="EH8" s="85"/>
      <c r="EI8" s="86"/>
      <c r="EJ8" s="84"/>
      <c r="EK8" s="84"/>
      <c r="EL8" s="84"/>
      <c r="EM8" s="86"/>
      <c r="EN8" s="84"/>
      <c r="EO8" s="84"/>
      <c r="EP8" s="84"/>
      <c r="EQ8" s="84"/>
      <c r="ER8" s="84"/>
      <c r="ES8" s="84"/>
      <c r="ET8" s="84"/>
      <c r="EU8" s="84"/>
      <c r="EV8" s="84"/>
      <c r="EW8" s="84"/>
      <c r="EX8" s="84"/>
      <c r="EY8" s="84"/>
      <c r="EZ8" s="84"/>
      <c r="FA8" s="84"/>
      <c r="FB8" s="84"/>
      <c r="FC8" s="84"/>
      <c r="FD8" s="84"/>
      <c r="FE8" s="84"/>
      <c r="FF8" s="84"/>
      <c r="FG8" s="84"/>
      <c r="FH8" s="135"/>
      <c r="FI8" s="135"/>
      <c r="FJ8" s="135"/>
      <c r="FK8" s="135"/>
      <c r="FL8" s="135"/>
      <c r="FM8" s="85"/>
      <c r="FN8" s="142"/>
      <c r="FO8" s="142"/>
      <c r="FP8" s="142"/>
      <c r="FQ8" s="142"/>
      <c r="FR8" s="142"/>
      <c r="FS8" s="49"/>
      <c r="FT8" s="88"/>
      <c r="FU8" s="88"/>
      <c r="FV8" s="88"/>
      <c r="FW8" s="88"/>
      <c r="FX8" s="457"/>
      <c r="FY8" s="134"/>
      <c r="FZ8" s="134"/>
      <c r="GA8" s="134"/>
      <c r="GB8" s="134"/>
      <c r="GC8" s="134"/>
      <c r="GD8" s="5"/>
      <c r="GE8" s="5"/>
      <c r="GF8" s="5"/>
      <c r="GG8" s="5"/>
      <c r="GH8" s="5"/>
      <c r="GI8" s="5"/>
      <c r="GJ8" s="134"/>
      <c r="GK8" s="134"/>
      <c r="GL8" s="134"/>
      <c r="GM8" s="134"/>
      <c r="GN8" s="134"/>
      <c r="GO8" s="5"/>
      <c r="GP8" s="5"/>
      <c r="GQ8" s="5"/>
      <c r="GR8" s="5"/>
      <c r="GS8" s="5"/>
      <c r="GT8" s="5"/>
      <c r="GU8" s="160"/>
      <c r="GV8" s="5"/>
      <c r="GW8" s="5"/>
      <c r="GX8" s="5"/>
      <c r="GY8" s="5"/>
      <c r="GZ8" s="90"/>
      <c r="HA8" s="5"/>
      <c r="HB8" s="5"/>
      <c r="HC8" s="5"/>
      <c r="HD8" s="143"/>
      <c r="HE8" s="143"/>
      <c r="HF8" s="143"/>
      <c r="HG8" s="143"/>
      <c r="HH8" s="143"/>
      <c r="HI8" s="52"/>
      <c r="HJ8" s="52"/>
      <c r="HK8" s="52"/>
      <c r="HL8" s="52"/>
      <c r="HM8" s="142"/>
      <c r="HN8" s="142"/>
      <c r="HO8" s="142"/>
      <c r="HP8" s="142"/>
      <c r="HQ8" s="142"/>
      <c r="HR8" s="49"/>
      <c r="HS8" s="49"/>
      <c r="HT8" s="49"/>
      <c r="HU8" s="49"/>
    </row>
    <row r="9" spans="1:229" s="91" customFormat="1" x14ac:dyDescent="0.25">
      <c r="A9" s="91" t="s">
        <v>638</v>
      </c>
      <c r="B9" s="92"/>
      <c r="C9" s="92"/>
      <c r="D9" s="93">
        <v>2.5</v>
      </c>
      <c r="E9" s="93">
        <v>3.02</v>
      </c>
      <c r="F9" s="94">
        <f>B9*C9</f>
        <v>0</v>
      </c>
      <c r="G9" s="95">
        <f>(B9+C9)*2</f>
        <v>0</v>
      </c>
      <c r="H9" s="96"/>
      <c r="I9" s="96"/>
      <c r="J9" s="96"/>
      <c r="K9" s="96"/>
      <c r="L9" s="96">
        <f>G9-I9*0.93-J9*1.4-K9</f>
        <v>0</v>
      </c>
      <c r="M9" s="173"/>
      <c r="N9" s="173"/>
      <c r="O9" s="96"/>
      <c r="P9" s="96"/>
      <c r="Q9" s="96"/>
      <c r="R9" s="96"/>
      <c r="S9" s="96"/>
      <c r="T9" s="97">
        <f>F9-AP9</f>
        <v>0</v>
      </c>
      <c r="U9" s="97"/>
      <c r="V9" s="97"/>
      <c r="W9" s="97"/>
      <c r="X9" s="97"/>
      <c r="Y9" s="97"/>
      <c r="Z9" s="98">
        <v>1.23</v>
      </c>
      <c r="AA9" s="98">
        <f>19*1.23</f>
        <v>23.37</v>
      </c>
      <c r="AB9" s="98"/>
      <c r="AC9" s="98">
        <f>1.23*6</f>
        <v>7.38</v>
      </c>
      <c r="AD9" s="98"/>
      <c r="AE9" s="98"/>
      <c r="AF9" s="98"/>
      <c r="AG9" s="127"/>
      <c r="AH9" s="127"/>
      <c r="AI9" s="98">
        <v>3.12</v>
      </c>
      <c r="AJ9" s="98">
        <v>3.23</v>
      </c>
      <c r="AK9" s="98"/>
      <c r="AL9" s="98"/>
      <c r="AM9" s="98">
        <f>SUM(AI9:AI11)</f>
        <v>9.2899999999999991</v>
      </c>
      <c r="AN9" s="99"/>
      <c r="AO9" s="100"/>
      <c r="AP9" s="97">
        <v>0</v>
      </c>
      <c r="AQ9" s="97"/>
      <c r="AR9" s="97"/>
      <c r="AS9" s="97"/>
      <c r="AT9" s="97">
        <f>F9</f>
        <v>0</v>
      </c>
      <c r="AU9" s="97"/>
      <c r="AV9" s="97"/>
      <c r="AW9" s="101"/>
      <c r="AX9" s="95"/>
      <c r="AY9" s="95"/>
      <c r="AZ9" s="95"/>
      <c r="BA9" s="94"/>
      <c r="BD9" s="94"/>
      <c r="BE9" s="102"/>
      <c r="BF9" s="103"/>
      <c r="BG9" s="102"/>
      <c r="BH9" s="102"/>
      <c r="BI9" s="102"/>
      <c r="BJ9" s="102"/>
      <c r="BK9" s="102"/>
      <c r="BL9" s="103"/>
      <c r="BM9" s="102"/>
      <c r="BN9" s="104"/>
      <c r="BO9" s="105"/>
      <c r="BP9" s="105"/>
      <c r="BQ9" s="103">
        <f>BO9*BP9</f>
        <v>0</v>
      </c>
      <c r="BR9" s="106"/>
      <c r="BS9" s="106"/>
      <c r="BT9" s="107"/>
      <c r="BU9" s="108"/>
      <c r="BV9" s="108"/>
      <c r="BW9" s="109"/>
      <c r="BX9" s="109"/>
      <c r="BY9" s="110"/>
      <c r="BZ9" s="111"/>
      <c r="CA9" s="111"/>
      <c r="CB9" s="112">
        <f>E9</f>
        <v>3.02</v>
      </c>
      <c r="CC9" s="112"/>
      <c r="CD9" s="112"/>
      <c r="CE9" s="112"/>
      <c r="CF9" s="112"/>
      <c r="CG9" s="113"/>
      <c r="CH9" s="114">
        <f>SUM(CC9:CF9)*CB9-CY9*0.93*2.04-CZ9*1.4*2.04-DA9</f>
        <v>0</v>
      </c>
      <c r="CI9" s="114"/>
      <c r="CJ9" s="113"/>
      <c r="CK9" s="117"/>
      <c r="CL9" s="100"/>
      <c r="CM9" s="100"/>
      <c r="CN9" s="100"/>
      <c r="CO9" s="100"/>
      <c r="CP9" s="100"/>
      <c r="CQ9" s="115"/>
      <c r="CR9" s="100"/>
      <c r="CS9" s="100"/>
      <c r="CT9" s="100"/>
      <c r="CU9" s="116">
        <f>CH9</f>
        <v>0</v>
      </c>
      <c r="CV9" s="116"/>
      <c r="CW9" s="116"/>
      <c r="CX9" s="117"/>
      <c r="CY9" s="100">
        <v>0</v>
      </c>
      <c r="CZ9" s="100">
        <v>0</v>
      </c>
      <c r="DA9" s="100">
        <v>0</v>
      </c>
      <c r="DB9" s="118"/>
      <c r="DC9" s="118"/>
      <c r="DD9" s="118"/>
      <c r="DE9" s="118"/>
      <c r="DF9" s="118"/>
      <c r="DG9" s="118"/>
      <c r="DH9" s="118"/>
      <c r="DI9" s="118"/>
      <c r="DJ9" s="118"/>
      <c r="DK9" s="118"/>
      <c r="DL9" s="118"/>
      <c r="DM9" s="118"/>
      <c r="DN9" s="118"/>
      <c r="DO9" s="118"/>
      <c r="DP9" s="118"/>
      <c r="DQ9" s="118"/>
      <c r="DR9" s="118"/>
      <c r="DS9" s="118"/>
      <c r="DT9" s="118"/>
      <c r="DU9" s="118"/>
      <c r="DV9" s="118"/>
      <c r="DW9" s="118"/>
      <c r="DX9" s="118"/>
      <c r="DY9" s="118"/>
      <c r="DZ9" s="118"/>
      <c r="EA9" s="118"/>
      <c r="EB9" s="119"/>
      <c r="EC9" s="119"/>
      <c r="ED9" s="119"/>
      <c r="EE9" s="119"/>
      <c r="EF9" s="119"/>
      <c r="EG9" s="119"/>
      <c r="EH9" s="119"/>
      <c r="EI9" s="120"/>
      <c r="EJ9" s="118"/>
      <c r="EK9" s="118"/>
      <c r="EL9" s="118"/>
      <c r="EM9" s="120"/>
      <c r="EN9" s="118"/>
      <c r="EO9" s="118"/>
      <c r="EP9" s="118"/>
      <c r="EQ9" s="118"/>
      <c r="ER9" s="118"/>
      <c r="ES9" s="118"/>
      <c r="ET9" s="118">
        <v>0</v>
      </c>
      <c r="EU9" s="118"/>
      <c r="EV9" s="118"/>
      <c r="EW9" s="118"/>
      <c r="EX9" s="118"/>
      <c r="EY9" s="118"/>
      <c r="EZ9" s="118"/>
      <c r="FA9" s="118"/>
      <c r="FB9" s="118"/>
      <c r="FC9" s="118"/>
      <c r="FD9" s="118"/>
      <c r="FE9" s="118"/>
      <c r="FF9" s="118"/>
      <c r="FG9" s="118"/>
      <c r="FH9" s="109">
        <f>GJ9</f>
        <v>2.5</v>
      </c>
      <c r="FI9" s="109"/>
      <c r="FJ9" s="109"/>
      <c r="FK9" s="109"/>
      <c r="FL9" s="109"/>
      <c r="FM9" s="121">
        <f>SUM(FI9:FL9)*FH9</f>
        <v>0</v>
      </c>
      <c r="FN9" s="122">
        <f>GP9</f>
        <v>0</v>
      </c>
      <c r="FO9" s="122"/>
      <c r="FP9" s="122"/>
      <c r="FQ9" s="122"/>
      <c r="FR9" s="122"/>
      <c r="FS9" s="123">
        <f>SUM(FO9:FR9)*FN9</f>
        <v>0</v>
      </c>
      <c r="FT9" s="124"/>
      <c r="FU9" s="124"/>
      <c r="FV9" s="124"/>
      <c r="FW9" s="124"/>
      <c r="FX9" s="225"/>
      <c r="FY9" s="105">
        <f>D9</f>
        <v>2.5</v>
      </c>
      <c r="FZ9" s="105"/>
      <c r="GA9" s="105"/>
      <c r="GB9" s="105"/>
      <c r="GC9" s="105"/>
      <c r="GD9" s="95"/>
      <c r="GE9" s="95"/>
      <c r="GF9" s="94">
        <f>DA9+DA10</f>
        <v>0</v>
      </c>
      <c r="GG9" s="94">
        <f>SUM(FZ9:GC9)*FY9-GD9*0.93*2.04-GE9*1.4*2.04-GF9</f>
        <v>0</v>
      </c>
      <c r="GH9" s="95"/>
      <c r="GI9" s="94"/>
      <c r="GJ9" s="105">
        <f>D9</f>
        <v>2.5</v>
      </c>
      <c r="GK9" s="105"/>
      <c r="GL9" s="105"/>
      <c r="GM9" s="105"/>
      <c r="GN9" s="105"/>
      <c r="GO9" s="95">
        <v>0</v>
      </c>
      <c r="GP9" s="95">
        <v>0</v>
      </c>
      <c r="GQ9" s="94">
        <f>DA9+DA10</f>
        <v>0</v>
      </c>
      <c r="GR9" s="94">
        <f>SUM(GK9:GN9)*GJ9-GO9*0.93*2.04-GP9*1.4*2.04-GQ9-GG9-GQ10</f>
        <v>0</v>
      </c>
      <c r="GS9" s="94"/>
      <c r="GT9" s="94"/>
      <c r="GU9" s="94">
        <f>SUM(BD9:BH9)</f>
        <v>0</v>
      </c>
      <c r="GV9" s="94"/>
      <c r="GX9" s="95">
        <f>SUM(BQ9:BQ11)</f>
        <v>0</v>
      </c>
      <c r="GY9" s="95"/>
      <c r="GZ9" s="125"/>
      <c r="HA9" s="95"/>
      <c r="HB9" s="95"/>
      <c r="HC9" s="95"/>
      <c r="HD9" s="126">
        <f>E9-D9</f>
        <v>0.52</v>
      </c>
      <c r="HE9" s="126"/>
      <c r="HF9" s="126"/>
      <c r="HG9" s="126"/>
      <c r="HH9" s="126"/>
      <c r="HI9" s="127"/>
      <c r="HJ9" s="127"/>
      <c r="HK9" s="127"/>
      <c r="HL9" s="128">
        <f>SUM(HE9:HH9)*HD9-HI9*0.93*2.04-HJ9*1.4*2.04-HK9</f>
        <v>0</v>
      </c>
      <c r="HM9" s="122">
        <f>AA9</f>
        <v>23.37</v>
      </c>
      <c r="HN9" s="122"/>
      <c r="HO9" s="122"/>
      <c r="HP9" s="122"/>
      <c r="HQ9" s="122"/>
      <c r="HR9" s="129"/>
      <c r="HS9" s="129"/>
      <c r="HT9" s="123"/>
      <c r="HU9" s="123"/>
    </row>
    <row r="10" spans="1:229" s="75" customFormat="1" x14ac:dyDescent="0.25">
      <c r="A10" s="75" t="s">
        <v>637</v>
      </c>
      <c r="B10" s="72"/>
      <c r="C10" s="72"/>
      <c r="D10" s="130"/>
      <c r="E10" s="130"/>
      <c r="F10" s="131"/>
      <c r="G10" s="5"/>
      <c r="H10" s="4"/>
      <c r="I10" s="4"/>
      <c r="J10" s="4"/>
      <c r="K10" s="4"/>
      <c r="L10" s="4"/>
      <c r="M10" s="4"/>
      <c r="N10" s="4"/>
      <c r="O10" s="132"/>
      <c r="P10" s="132"/>
      <c r="Q10" s="4"/>
      <c r="R10" s="4"/>
      <c r="S10" s="4"/>
      <c r="T10" s="133"/>
      <c r="U10" s="45"/>
      <c r="V10" s="45"/>
      <c r="W10" s="45"/>
      <c r="X10" s="45"/>
      <c r="Y10" s="45"/>
      <c r="Z10" s="73">
        <f>Z9</f>
        <v>1.23</v>
      </c>
      <c r="AA10" s="73"/>
      <c r="AB10" s="73"/>
      <c r="AC10" s="73"/>
      <c r="AD10" s="73"/>
      <c r="AE10" s="73"/>
      <c r="AF10" s="73"/>
      <c r="AG10" s="52"/>
      <c r="AH10" s="52"/>
      <c r="AI10" s="73">
        <v>3.05</v>
      </c>
      <c r="AJ10" s="73">
        <v>1.23</v>
      </c>
      <c r="AK10" s="73"/>
      <c r="AL10" s="73"/>
      <c r="AM10" s="73">
        <f>SUM(AJ9:AJ11)</f>
        <v>9.36</v>
      </c>
      <c r="AN10" s="54"/>
      <c r="AO10" s="6"/>
      <c r="AP10" s="4"/>
      <c r="AQ10" s="45"/>
      <c r="AR10" s="45"/>
      <c r="AS10" s="45"/>
      <c r="AT10" s="45"/>
      <c r="AU10" s="45"/>
      <c r="AV10" s="45"/>
      <c r="AW10" s="46"/>
      <c r="AX10" s="5"/>
      <c r="AY10" s="5"/>
      <c r="AZ10" s="5"/>
      <c r="BA10" s="131"/>
      <c r="BB10" s="169"/>
      <c r="BC10" s="169"/>
      <c r="BD10" s="5"/>
      <c r="BE10" s="74"/>
      <c r="BF10" s="74"/>
      <c r="BG10" s="74"/>
      <c r="BH10" s="74"/>
      <c r="BI10" s="74"/>
      <c r="BJ10" s="74"/>
      <c r="BK10" s="171"/>
      <c r="BL10" s="74"/>
      <c r="BM10" s="74"/>
      <c r="BN10" s="64"/>
      <c r="BO10" s="134"/>
      <c r="BP10" s="134"/>
      <c r="BQ10" s="74"/>
      <c r="BR10" s="76"/>
      <c r="BS10" s="76"/>
      <c r="BT10" s="77"/>
      <c r="BU10" s="78"/>
      <c r="BV10" s="78"/>
      <c r="BW10" s="135"/>
      <c r="BX10" s="135"/>
      <c r="BY10" s="79"/>
      <c r="BZ10" s="136"/>
      <c r="CA10" s="136"/>
      <c r="CB10" s="137">
        <f>CB9</f>
        <v>3.02</v>
      </c>
      <c r="CC10" s="137"/>
      <c r="CD10" s="137"/>
      <c r="CE10" s="137"/>
      <c r="CF10" s="137"/>
      <c r="CG10" s="82"/>
      <c r="CH10" s="138"/>
      <c r="CI10" s="138"/>
      <c r="CJ10" s="138"/>
      <c r="CK10" s="138"/>
      <c r="CL10" s="82"/>
      <c r="CM10" s="138">
        <f>SUM(CC10:CF10)*CB10-CY10*0.93*2.04-CZ10*1.4*2.04-DA10</f>
        <v>0</v>
      </c>
      <c r="CN10" s="138"/>
      <c r="CO10" s="6"/>
      <c r="CP10" s="6"/>
      <c r="CQ10" s="7"/>
      <c r="CR10" s="6"/>
      <c r="CS10" s="6"/>
      <c r="CT10" s="6"/>
      <c r="CU10" s="139">
        <f>CM10</f>
        <v>0</v>
      </c>
      <c r="CV10" s="139"/>
      <c r="CW10" s="139"/>
      <c r="CX10" s="82"/>
      <c r="CY10" s="6">
        <v>0</v>
      </c>
      <c r="CZ10" s="6">
        <v>0</v>
      </c>
      <c r="DA10" s="6">
        <v>0</v>
      </c>
      <c r="DB10" s="84"/>
      <c r="DC10" s="84"/>
      <c r="DD10" s="84"/>
      <c r="DE10" s="84"/>
      <c r="DF10" s="84"/>
      <c r="DG10" s="84"/>
      <c r="DH10" s="84"/>
      <c r="DI10" s="84"/>
      <c r="DJ10" s="84"/>
      <c r="DK10" s="84"/>
      <c r="DL10" s="84"/>
      <c r="DM10" s="84"/>
      <c r="DN10" s="84"/>
      <c r="DO10" s="84"/>
      <c r="DP10" s="84"/>
      <c r="DQ10" s="84"/>
      <c r="DR10" s="84"/>
      <c r="DS10" s="84"/>
      <c r="DT10" s="84"/>
      <c r="DU10" s="84"/>
      <c r="DV10" s="84"/>
      <c r="DW10" s="84"/>
      <c r="DX10" s="84"/>
      <c r="DY10" s="84"/>
      <c r="DZ10" s="84"/>
      <c r="EA10" s="84"/>
      <c r="EB10" s="85"/>
      <c r="EC10" s="85"/>
      <c r="ED10" s="85"/>
      <c r="EE10" s="85"/>
      <c r="EF10" s="85"/>
      <c r="EG10" s="85"/>
      <c r="EH10" s="85"/>
      <c r="EI10" s="86"/>
      <c r="EJ10" s="84"/>
      <c r="EK10" s="84"/>
      <c r="EL10" s="84"/>
      <c r="EM10" s="86"/>
      <c r="EN10" s="84"/>
      <c r="EO10" s="84"/>
      <c r="EP10" s="84"/>
      <c r="EQ10" s="84"/>
      <c r="ER10" s="84"/>
      <c r="ES10" s="84"/>
      <c r="ET10" s="84"/>
      <c r="EU10" s="84"/>
      <c r="EV10" s="84"/>
      <c r="EW10" s="140"/>
      <c r="EX10" s="140"/>
      <c r="EY10" s="84"/>
      <c r="EZ10" s="84"/>
      <c r="FA10" s="84"/>
      <c r="FB10" s="84"/>
      <c r="FC10" s="84"/>
      <c r="FD10" s="84"/>
      <c r="FE10" s="84"/>
      <c r="FF10" s="84"/>
      <c r="FG10" s="84"/>
      <c r="FH10" s="135"/>
      <c r="FI10" s="135"/>
      <c r="FJ10" s="135"/>
      <c r="FK10" s="135"/>
      <c r="FL10" s="135"/>
      <c r="FM10" s="141"/>
      <c r="FN10" s="142"/>
      <c r="FO10" s="142"/>
      <c r="FP10" s="142"/>
      <c r="FQ10" s="142"/>
      <c r="FR10" s="142"/>
      <c r="FS10" s="53"/>
      <c r="FT10" s="88"/>
      <c r="FU10" s="88"/>
      <c r="FV10" s="88"/>
      <c r="FW10" s="88"/>
      <c r="FX10" s="457"/>
      <c r="FY10" s="134"/>
      <c r="FZ10" s="134"/>
      <c r="GA10" s="134"/>
      <c r="GB10" s="134"/>
      <c r="GC10" s="134"/>
      <c r="GD10" s="5"/>
      <c r="GE10" s="5"/>
      <c r="GF10" s="5"/>
      <c r="GG10" s="131"/>
      <c r="GH10" s="5"/>
      <c r="GI10" s="131"/>
      <c r="GJ10" s="134"/>
      <c r="GK10" s="134"/>
      <c r="GL10" s="134" t="s">
        <v>563</v>
      </c>
      <c r="GM10" s="134"/>
      <c r="GN10" s="134"/>
      <c r="GO10" s="5"/>
      <c r="GP10" s="5"/>
      <c r="GQ10" s="5"/>
      <c r="GR10" s="131"/>
      <c r="GS10" s="131"/>
      <c r="GT10" s="131"/>
      <c r="GU10" s="5"/>
      <c r="GV10" s="5"/>
      <c r="GW10" s="5"/>
      <c r="GX10" s="5"/>
      <c r="GY10" s="5"/>
      <c r="GZ10" s="90"/>
      <c r="HA10" s="5"/>
      <c r="HB10" s="5"/>
      <c r="HC10" s="5"/>
      <c r="HD10" s="143"/>
      <c r="HE10" s="143"/>
      <c r="HF10" s="143"/>
      <c r="HG10" s="143"/>
      <c r="HH10" s="143"/>
      <c r="HI10" s="52"/>
      <c r="HJ10" s="52"/>
      <c r="HK10" s="52"/>
      <c r="HL10" s="144"/>
      <c r="HM10" s="142"/>
      <c r="HN10" s="142"/>
      <c r="HO10" s="142"/>
      <c r="HP10" s="142"/>
      <c r="HQ10" s="142"/>
      <c r="HR10" s="49"/>
      <c r="HS10" s="49"/>
      <c r="HT10" s="49"/>
      <c r="HU10" s="53"/>
    </row>
    <row r="11" spans="1:229" s="196" customFormat="1" x14ac:dyDescent="0.25">
      <c r="B11" s="197"/>
      <c r="C11" s="197"/>
      <c r="D11" s="197"/>
      <c r="E11" s="197"/>
      <c r="F11" s="160"/>
      <c r="G11" s="160"/>
      <c r="H11" s="172"/>
      <c r="I11" s="172"/>
      <c r="J11" s="172"/>
      <c r="K11" s="172"/>
      <c r="L11" s="172"/>
      <c r="M11" s="172"/>
      <c r="N11" s="172"/>
      <c r="O11" s="172"/>
      <c r="P11" s="172"/>
      <c r="Q11" s="172"/>
      <c r="R11" s="172"/>
      <c r="S11" s="172"/>
      <c r="T11" s="172"/>
      <c r="U11" s="172"/>
      <c r="V11" s="172"/>
      <c r="W11" s="172"/>
      <c r="X11" s="172"/>
      <c r="Y11" s="172"/>
      <c r="Z11" s="198">
        <f>Z10</f>
        <v>1.23</v>
      </c>
      <c r="AA11" s="198"/>
      <c r="AB11" s="198"/>
      <c r="AC11" s="198"/>
      <c r="AD11" s="198"/>
      <c r="AE11" s="198"/>
      <c r="AF11" s="198"/>
      <c r="AG11" s="199"/>
      <c r="AH11" s="199"/>
      <c r="AI11" s="198">
        <v>3.12</v>
      </c>
      <c r="AJ11" s="198">
        <f>(0.55+1.9)*2</f>
        <v>4.9000000000000004</v>
      </c>
      <c r="AK11" s="198"/>
      <c r="AL11" s="198"/>
      <c r="AM11" s="198"/>
      <c r="AN11" s="200"/>
      <c r="AO11" s="201"/>
      <c r="AP11" s="172"/>
      <c r="AQ11" s="172"/>
      <c r="AR11" s="172"/>
      <c r="AS11" s="172"/>
      <c r="AT11" s="172"/>
      <c r="AU11" s="172"/>
      <c r="AV11" s="172"/>
      <c r="AW11" s="202"/>
      <c r="AX11" s="160"/>
      <c r="AY11" s="160"/>
      <c r="AZ11" s="160"/>
      <c r="BA11" s="160"/>
      <c r="BB11" s="160"/>
      <c r="BC11" s="160"/>
      <c r="BD11" s="160"/>
      <c r="BE11" s="160"/>
      <c r="BF11" s="160"/>
      <c r="BG11" s="160"/>
      <c r="BH11" s="160"/>
      <c r="BI11" s="160"/>
      <c r="BJ11" s="160"/>
      <c r="BK11" s="203"/>
      <c r="BL11" s="160"/>
      <c r="BM11" s="160"/>
      <c r="BN11" s="204"/>
      <c r="BO11" s="205"/>
      <c r="BP11" s="205"/>
      <c r="BQ11" s="160"/>
      <c r="BR11" s="206"/>
      <c r="BS11" s="206"/>
      <c r="BT11" s="207"/>
      <c r="BU11" s="208"/>
      <c r="BV11" s="208"/>
      <c r="BW11" s="209"/>
      <c r="BX11" s="210"/>
      <c r="BY11" s="211"/>
      <c r="BZ11" s="212"/>
      <c r="CA11" s="212"/>
      <c r="CB11" s="213">
        <f>CB10</f>
        <v>3.02</v>
      </c>
      <c r="CC11" s="214"/>
      <c r="CD11" s="214"/>
      <c r="CE11" s="214"/>
      <c r="CF11" s="214"/>
      <c r="CG11" s="215"/>
      <c r="CH11" s="174"/>
      <c r="CI11" s="174"/>
      <c r="CJ11" s="201"/>
      <c r="CK11" s="174"/>
      <c r="CL11" s="201"/>
      <c r="CM11" s="174"/>
      <c r="CN11" s="174"/>
      <c r="CO11" s="174"/>
      <c r="CP11" s="174"/>
      <c r="CQ11" s="174">
        <f>SUM(CC11:CF11)*CB11-CY11*0.93*2.04-CZ11*1.4*2.04-DA11</f>
        <v>0</v>
      </c>
      <c r="CR11" s="201"/>
      <c r="CS11" s="201"/>
      <c r="CT11" s="201"/>
      <c r="CU11" s="201"/>
      <c r="CV11" s="201"/>
      <c r="CW11" s="201"/>
      <c r="CX11" s="216"/>
      <c r="CY11" s="201">
        <v>0</v>
      </c>
      <c r="CZ11" s="201">
        <v>0</v>
      </c>
      <c r="DA11" s="201">
        <v>0</v>
      </c>
      <c r="DB11" s="217"/>
      <c r="DC11" s="217"/>
      <c r="DD11" s="217"/>
      <c r="DE11" s="217"/>
      <c r="DF11" s="217"/>
      <c r="DG11" s="217"/>
      <c r="DH11" s="217"/>
      <c r="DI11" s="217"/>
      <c r="DJ11" s="217"/>
      <c r="DK11" s="217"/>
      <c r="DL11" s="217"/>
      <c r="DM11" s="217"/>
      <c r="DN11" s="217"/>
      <c r="DO11" s="217"/>
      <c r="DP11" s="217"/>
      <c r="DQ11" s="217"/>
      <c r="DR11" s="217"/>
      <c r="DS11" s="217"/>
      <c r="DT11" s="217"/>
      <c r="DU11" s="217"/>
      <c r="DV11" s="217"/>
      <c r="DW11" s="217"/>
      <c r="DX11" s="217"/>
      <c r="DY11" s="217"/>
      <c r="DZ11" s="217"/>
      <c r="EA11" s="217"/>
      <c r="EB11" s="218"/>
      <c r="EC11" s="218"/>
      <c r="ED11" s="218"/>
      <c r="EE11" s="218"/>
      <c r="EF11" s="218"/>
      <c r="EG11" s="218"/>
      <c r="EH11" s="218"/>
      <c r="EI11" s="219"/>
      <c r="EJ11" s="217"/>
      <c r="EK11" s="217"/>
      <c r="EL11" s="217"/>
      <c r="EM11" s="219"/>
      <c r="EN11" s="217"/>
      <c r="EO11" s="217"/>
      <c r="EP11" s="217"/>
      <c r="EQ11" s="217"/>
      <c r="ER11" s="217"/>
      <c r="ES11" s="217"/>
      <c r="ET11" s="217"/>
      <c r="EU11" s="217"/>
      <c r="EV11" s="217"/>
      <c r="EW11" s="217"/>
      <c r="EX11" s="217"/>
      <c r="EY11" s="217"/>
      <c r="EZ11" s="217"/>
      <c r="FA11" s="217"/>
      <c r="FB11" s="217"/>
      <c r="FC11" s="217"/>
      <c r="FD11" s="217"/>
      <c r="FE11" s="217"/>
      <c r="FF11" s="217"/>
      <c r="FG11" s="217"/>
      <c r="FH11" s="210"/>
      <c r="FI11" s="210"/>
      <c r="FJ11" s="210"/>
      <c r="FK11" s="210"/>
      <c r="FL11" s="210"/>
      <c r="FM11" s="218"/>
      <c r="FN11" s="220"/>
      <c r="FO11" s="220"/>
      <c r="FP11" s="220"/>
      <c r="FQ11" s="220"/>
      <c r="FR11" s="220"/>
      <c r="FS11" s="204"/>
      <c r="FT11" s="221"/>
      <c r="FU11" s="221"/>
      <c r="FV11" s="221"/>
      <c r="FW11" s="221"/>
      <c r="FX11" s="496"/>
      <c r="FY11" s="205"/>
      <c r="FZ11" s="205"/>
      <c r="GA11" s="205"/>
      <c r="GB11" s="205"/>
      <c r="GC11" s="205"/>
      <c r="GD11" s="160"/>
      <c r="GE11" s="160"/>
      <c r="GF11" s="160"/>
      <c r="GG11" s="160"/>
      <c r="GH11" s="160"/>
      <c r="GI11" s="160"/>
      <c r="GJ11" s="205"/>
      <c r="GK11" s="205"/>
      <c r="GL11" s="205"/>
      <c r="GM11" s="205"/>
      <c r="GN11" s="205"/>
      <c r="GO11" s="160"/>
      <c r="GP11" s="160"/>
      <c r="GQ11" s="160"/>
      <c r="GR11" s="160"/>
      <c r="GS11" s="160"/>
      <c r="GT11" s="160"/>
      <c r="GU11" s="160"/>
      <c r="GV11" s="160"/>
      <c r="GW11" s="160"/>
      <c r="GX11" s="160"/>
      <c r="GY11" s="160"/>
      <c r="GZ11" s="222"/>
      <c r="HA11" s="160"/>
      <c r="HB11" s="160"/>
      <c r="HC11" s="160"/>
      <c r="HD11" s="223"/>
      <c r="HE11" s="223"/>
      <c r="HF11" s="223"/>
      <c r="HG11" s="223"/>
      <c r="HH11" s="223"/>
      <c r="HI11" s="199"/>
      <c r="HJ11" s="199"/>
      <c r="HK11" s="199"/>
      <c r="HL11" s="199"/>
      <c r="HM11" s="220"/>
      <c r="HN11" s="220"/>
      <c r="HO11" s="220"/>
      <c r="HP11" s="220"/>
      <c r="HQ11" s="220"/>
      <c r="HR11" s="204"/>
      <c r="HS11" s="204"/>
      <c r="HT11" s="204"/>
      <c r="HU11" s="204"/>
    </row>
    <row r="12" spans="1:229" s="91" customFormat="1" x14ac:dyDescent="0.25">
      <c r="A12" s="91" t="s">
        <v>702</v>
      </c>
      <c r="B12" s="92"/>
      <c r="C12" s="92"/>
      <c r="D12" s="93">
        <v>2.5</v>
      </c>
      <c r="E12" s="93">
        <v>3.02</v>
      </c>
      <c r="F12" s="94">
        <f>B12*C12</f>
        <v>0</v>
      </c>
      <c r="G12" s="95">
        <f>(B12+C12)*2</f>
        <v>0</v>
      </c>
      <c r="H12" s="96"/>
      <c r="I12" s="96"/>
      <c r="J12" s="96"/>
      <c r="K12" s="96"/>
      <c r="L12" s="96">
        <f>G12-I12*0.93-J12*1.4-K12</f>
        <v>0</v>
      </c>
      <c r="M12" s="173"/>
      <c r="N12" s="173"/>
      <c r="O12" s="96"/>
      <c r="P12" s="96"/>
      <c r="Q12" s="96"/>
      <c r="R12" s="96"/>
      <c r="S12" s="96"/>
      <c r="T12" s="97">
        <f>F12-AP12</f>
        <v>0</v>
      </c>
      <c r="U12" s="97"/>
      <c r="V12" s="97"/>
      <c r="W12" s="97"/>
      <c r="X12" s="97"/>
      <c r="Y12" s="97"/>
      <c r="Z12" s="98"/>
      <c r="AA12" s="98"/>
      <c r="AB12" s="98"/>
      <c r="AC12" s="98"/>
      <c r="AD12" s="98"/>
      <c r="AE12" s="98"/>
      <c r="AF12" s="98"/>
      <c r="AG12" s="127"/>
      <c r="AH12" s="127"/>
      <c r="AI12" s="98"/>
      <c r="AJ12" s="98"/>
      <c r="AK12" s="98"/>
      <c r="AL12" s="98"/>
      <c r="AM12" s="98"/>
      <c r="AN12" s="99"/>
      <c r="AO12" s="100"/>
      <c r="AP12" s="97">
        <v>0</v>
      </c>
      <c r="AQ12" s="97"/>
      <c r="AR12" s="97"/>
      <c r="AS12" s="97"/>
      <c r="AT12" s="97">
        <f>F12</f>
        <v>0</v>
      </c>
      <c r="AU12" s="97"/>
      <c r="AV12" s="97"/>
      <c r="AW12" s="101"/>
      <c r="AX12" s="95"/>
      <c r="AY12" s="95"/>
      <c r="AZ12" s="95"/>
      <c r="BA12" s="94"/>
      <c r="BD12" s="94"/>
      <c r="BE12" s="102"/>
      <c r="BF12" s="103"/>
      <c r="BG12" s="102"/>
      <c r="BH12" s="102"/>
      <c r="BI12" s="102"/>
      <c r="BJ12" s="102"/>
      <c r="BK12" s="102"/>
      <c r="BL12" s="103"/>
      <c r="BM12" s="102"/>
      <c r="BN12" s="104"/>
      <c r="BO12" s="105"/>
      <c r="BP12" s="105"/>
      <c r="BQ12" s="103">
        <f>BO12*BP12</f>
        <v>0</v>
      </c>
      <c r="BR12" s="106"/>
      <c r="BS12" s="106"/>
      <c r="BT12" s="107"/>
      <c r="BU12" s="108"/>
      <c r="BV12" s="108">
        <v>1</v>
      </c>
      <c r="BW12" s="109"/>
      <c r="BX12" s="109"/>
      <c r="BY12" s="110"/>
      <c r="BZ12" s="111"/>
      <c r="CA12" s="111"/>
      <c r="CB12" s="112">
        <f>E12</f>
        <v>3.02</v>
      </c>
      <c r="CC12" s="112"/>
      <c r="CD12" s="112"/>
      <c r="CE12" s="112"/>
      <c r="CF12" s="112"/>
      <c r="CG12" s="113"/>
      <c r="CH12" s="114">
        <f>SUM(CC12:CF12)*CB12-CY12*0.93*2.04-CZ12*1.4*2.04-DA12</f>
        <v>0</v>
      </c>
      <c r="CI12" s="114"/>
      <c r="CJ12" s="113"/>
      <c r="CK12" s="117"/>
      <c r="CL12" s="100"/>
      <c r="CM12" s="100"/>
      <c r="CN12" s="100"/>
      <c r="CO12" s="100"/>
      <c r="CP12" s="100"/>
      <c r="CQ12" s="115"/>
      <c r="CR12" s="100"/>
      <c r="CS12" s="100"/>
      <c r="CT12" s="100"/>
      <c r="CU12" s="116">
        <f>CH12</f>
        <v>0</v>
      </c>
      <c r="CV12" s="116"/>
      <c r="CW12" s="116"/>
      <c r="CX12" s="117"/>
      <c r="CY12" s="100">
        <v>0</v>
      </c>
      <c r="CZ12" s="100">
        <v>0</v>
      </c>
      <c r="DA12" s="100">
        <v>0</v>
      </c>
      <c r="DB12" s="118"/>
      <c r="DC12" s="118"/>
      <c r="DD12" s="118"/>
      <c r="DE12" s="118"/>
      <c r="DF12" s="118"/>
      <c r="DG12" s="118"/>
      <c r="DH12" s="118"/>
      <c r="DI12" s="118"/>
      <c r="DJ12" s="118"/>
      <c r="DK12" s="118"/>
      <c r="DL12" s="118"/>
      <c r="DM12" s="118"/>
      <c r="DN12" s="118"/>
      <c r="DO12" s="118"/>
      <c r="DP12" s="118"/>
      <c r="DQ12" s="118"/>
      <c r="DR12" s="118"/>
      <c r="DS12" s="118"/>
      <c r="DT12" s="118"/>
      <c r="DU12" s="118"/>
      <c r="DV12" s="118"/>
      <c r="DW12" s="118"/>
      <c r="DX12" s="118"/>
      <c r="DY12" s="118"/>
      <c r="DZ12" s="118"/>
      <c r="EA12" s="118"/>
      <c r="EB12" s="119"/>
      <c r="EC12" s="119"/>
      <c r="ED12" s="119"/>
      <c r="EE12" s="119"/>
      <c r="EF12" s="119"/>
      <c r="EG12" s="119"/>
      <c r="EH12" s="119"/>
      <c r="EI12" s="120"/>
      <c r="EJ12" s="118"/>
      <c r="EK12" s="118"/>
      <c r="EL12" s="118"/>
      <c r="EM12" s="120"/>
      <c r="EN12" s="118"/>
      <c r="EO12" s="118"/>
      <c r="EP12" s="118"/>
      <c r="EQ12" s="118"/>
      <c r="ER12" s="118"/>
      <c r="ES12" s="118"/>
      <c r="ET12" s="118">
        <v>0</v>
      </c>
      <c r="EU12" s="118"/>
      <c r="EV12" s="118"/>
      <c r="EW12" s="118"/>
      <c r="EX12" s="118"/>
      <c r="EY12" s="118"/>
      <c r="EZ12" s="118"/>
      <c r="FA12" s="118"/>
      <c r="FB12" s="118"/>
      <c r="FC12" s="118"/>
      <c r="FD12" s="118"/>
      <c r="FE12" s="118"/>
      <c r="FF12" s="118"/>
      <c r="FG12" s="118"/>
      <c r="FH12" s="109">
        <f>GJ12</f>
        <v>2.5</v>
      </c>
      <c r="FI12" s="109"/>
      <c r="FJ12" s="109"/>
      <c r="FK12" s="109"/>
      <c r="FL12" s="109"/>
      <c r="FM12" s="121">
        <f>SUM(FI12:FL12)*FH12</f>
        <v>0</v>
      </c>
      <c r="FN12" s="122">
        <f>GP12</f>
        <v>0</v>
      </c>
      <c r="FO12" s="122"/>
      <c r="FP12" s="122"/>
      <c r="FQ12" s="122"/>
      <c r="FR12" s="122"/>
      <c r="FS12" s="123">
        <f>SUM(FO12:FR12)*FN12</f>
        <v>0</v>
      </c>
      <c r="FT12" s="124"/>
      <c r="FU12" s="124"/>
      <c r="FV12" s="124"/>
      <c r="FW12" s="124"/>
      <c r="FX12" s="225"/>
      <c r="FY12" s="105">
        <f>D12</f>
        <v>2.5</v>
      </c>
      <c r="FZ12" s="105"/>
      <c r="GA12" s="105"/>
      <c r="GB12" s="105"/>
      <c r="GC12" s="105"/>
      <c r="GD12" s="95"/>
      <c r="GE12" s="95"/>
      <c r="GF12" s="94">
        <f>DA12+DA13</f>
        <v>0</v>
      </c>
      <c r="GG12" s="94">
        <f>SUM(FZ12:GC12)*FY12-GD12*0.93*2.04-GE12*1.4*2.04-GF12</f>
        <v>0</v>
      </c>
      <c r="GH12" s="95"/>
      <c r="GI12" s="94"/>
      <c r="GJ12" s="105">
        <f>D12</f>
        <v>2.5</v>
      </c>
      <c r="GK12" s="105"/>
      <c r="GL12" s="105"/>
      <c r="GM12" s="105"/>
      <c r="GN12" s="105"/>
      <c r="GO12" s="95">
        <v>0</v>
      </c>
      <c r="GP12" s="95">
        <v>0</v>
      </c>
      <c r="GQ12" s="94">
        <f>DA12+DA13</f>
        <v>0</v>
      </c>
      <c r="GR12" s="94">
        <f>SUM(GK12:GN12)*GJ12-GO12*0.93*2.04-GP12*1.4*2.04-GQ12-GG12-GQ13</f>
        <v>0</v>
      </c>
      <c r="GS12" s="94"/>
      <c r="GT12" s="94"/>
      <c r="GU12" s="94">
        <f>SUM(BD12:BH12)</f>
        <v>0</v>
      </c>
      <c r="GV12" s="94"/>
      <c r="GX12" s="95">
        <f>SUM(BQ12:BQ14)</f>
        <v>0</v>
      </c>
      <c r="GY12" s="95"/>
      <c r="GZ12" s="125"/>
      <c r="HA12" s="95"/>
      <c r="HB12" s="95"/>
      <c r="HC12" s="95"/>
      <c r="HD12" s="126">
        <f>E12-D12</f>
        <v>0.52</v>
      </c>
      <c r="HE12" s="126"/>
      <c r="HF12" s="126"/>
      <c r="HG12" s="126"/>
      <c r="HH12" s="126"/>
      <c r="HI12" s="127"/>
      <c r="HJ12" s="127"/>
      <c r="HK12" s="127"/>
      <c r="HL12" s="128">
        <f>SUM(HE12:HH12)*HD12-HI12*0.93*2.04-HJ12*1.4*2.04-HK12</f>
        <v>0</v>
      </c>
      <c r="HM12" s="122">
        <f>AA12</f>
        <v>0</v>
      </c>
      <c r="HN12" s="122"/>
      <c r="HO12" s="122"/>
      <c r="HP12" s="122"/>
      <c r="HQ12" s="122"/>
      <c r="HR12" s="129"/>
      <c r="HS12" s="129"/>
      <c r="HT12" s="123"/>
      <c r="HU12" s="123"/>
    </row>
    <row r="13" spans="1:229" s="75" customFormat="1" x14ac:dyDescent="0.25">
      <c r="A13" s="75" t="s">
        <v>703</v>
      </c>
      <c r="B13" s="72"/>
      <c r="C13" s="72"/>
      <c r="D13" s="130"/>
      <c r="E13" s="130"/>
      <c r="F13" s="131"/>
      <c r="G13" s="5"/>
      <c r="H13" s="4"/>
      <c r="I13" s="4"/>
      <c r="J13" s="4"/>
      <c r="K13" s="4"/>
      <c r="L13" s="4"/>
      <c r="M13" s="4"/>
      <c r="N13" s="4"/>
      <c r="O13" s="132"/>
      <c r="P13" s="132"/>
      <c r="Q13" s="4"/>
      <c r="R13" s="4"/>
      <c r="S13" s="4"/>
      <c r="T13" s="133"/>
      <c r="U13" s="45"/>
      <c r="V13" s="45"/>
      <c r="W13" s="45"/>
      <c r="X13" s="45"/>
      <c r="Y13" s="45"/>
      <c r="Z13" s="73"/>
      <c r="AA13" s="73"/>
      <c r="AB13" s="73"/>
      <c r="AC13" s="73"/>
      <c r="AD13" s="73"/>
      <c r="AE13" s="73"/>
      <c r="AF13" s="73"/>
      <c r="AG13" s="52"/>
      <c r="AH13" s="52"/>
      <c r="AI13" s="73"/>
      <c r="AJ13" s="73"/>
      <c r="AK13" s="73"/>
      <c r="AL13" s="73"/>
      <c r="AM13" s="73"/>
      <c r="AN13" s="54"/>
      <c r="AO13" s="6"/>
      <c r="AP13" s="4"/>
      <c r="AQ13" s="45"/>
      <c r="AR13" s="45"/>
      <c r="AS13" s="45"/>
      <c r="AT13" s="45"/>
      <c r="AU13" s="45"/>
      <c r="AV13" s="45"/>
      <c r="AW13" s="46"/>
      <c r="AX13" s="5"/>
      <c r="AY13" s="5"/>
      <c r="AZ13" s="5"/>
      <c r="BA13" s="131"/>
      <c r="BB13" s="169"/>
      <c r="BC13" s="169"/>
      <c r="BD13" s="5"/>
      <c r="BE13" s="74"/>
      <c r="BF13" s="74"/>
      <c r="BG13" s="74"/>
      <c r="BH13" s="74"/>
      <c r="BI13" s="74"/>
      <c r="BJ13" s="74"/>
      <c r="BK13" s="171"/>
      <c r="BL13" s="74"/>
      <c r="BM13" s="74"/>
      <c r="BN13" s="64"/>
      <c r="BO13" s="134"/>
      <c r="BP13" s="134"/>
      <c r="BQ13" s="74"/>
      <c r="BR13" s="76"/>
      <c r="BS13" s="76"/>
      <c r="BT13" s="77"/>
      <c r="BU13" s="78"/>
      <c r="BV13" s="78"/>
      <c r="BW13" s="135"/>
      <c r="BX13" s="135"/>
      <c r="BY13" s="79"/>
      <c r="BZ13" s="136"/>
      <c r="CA13" s="136"/>
      <c r="CB13" s="137">
        <f>CB12</f>
        <v>3.02</v>
      </c>
      <c r="CC13" s="137"/>
      <c r="CD13" s="137"/>
      <c r="CE13" s="137"/>
      <c r="CF13" s="137"/>
      <c r="CG13" s="82"/>
      <c r="CH13" s="138"/>
      <c r="CI13" s="138"/>
      <c r="CJ13" s="138"/>
      <c r="CK13" s="138"/>
      <c r="CL13" s="82"/>
      <c r="CM13" s="138">
        <f>SUM(CC13:CF13)*CB13-CY13*0.93*2.04-CZ13*1.4*2.04-DA13</f>
        <v>0</v>
      </c>
      <c r="CN13" s="138"/>
      <c r="CO13" s="6"/>
      <c r="CP13" s="6"/>
      <c r="CQ13" s="7"/>
      <c r="CR13" s="6"/>
      <c r="CS13" s="6"/>
      <c r="CT13" s="6"/>
      <c r="CU13" s="139">
        <f>CM13</f>
        <v>0</v>
      </c>
      <c r="CV13" s="139"/>
      <c r="CW13" s="139"/>
      <c r="CX13" s="82"/>
      <c r="CY13" s="6">
        <v>0</v>
      </c>
      <c r="CZ13" s="6">
        <v>0</v>
      </c>
      <c r="DA13" s="6">
        <v>0</v>
      </c>
      <c r="DB13" s="84"/>
      <c r="DC13" s="84"/>
      <c r="DD13" s="84"/>
      <c r="DE13" s="84"/>
      <c r="DF13" s="84"/>
      <c r="DG13" s="84"/>
      <c r="DH13" s="84"/>
      <c r="DI13" s="84"/>
      <c r="DJ13" s="84"/>
      <c r="DK13" s="84"/>
      <c r="DL13" s="84"/>
      <c r="DM13" s="84"/>
      <c r="DN13" s="84"/>
      <c r="DO13" s="84"/>
      <c r="DP13" s="84"/>
      <c r="DQ13" s="84"/>
      <c r="DR13" s="84"/>
      <c r="DS13" s="84"/>
      <c r="DT13" s="84"/>
      <c r="DU13" s="84"/>
      <c r="DV13" s="84"/>
      <c r="DW13" s="84"/>
      <c r="DX13" s="84"/>
      <c r="DY13" s="84"/>
      <c r="DZ13" s="84"/>
      <c r="EA13" s="84"/>
      <c r="EB13" s="85"/>
      <c r="EC13" s="85"/>
      <c r="ED13" s="85"/>
      <c r="EE13" s="85"/>
      <c r="EF13" s="85"/>
      <c r="EG13" s="85"/>
      <c r="EH13" s="85"/>
      <c r="EI13" s="86"/>
      <c r="EJ13" s="84"/>
      <c r="EK13" s="84"/>
      <c r="EL13" s="84"/>
      <c r="EM13" s="86"/>
      <c r="EN13" s="84"/>
      <c r="EO13" s="84"/>
      <c r="EP13" s="84"/>
      <c r="EQ13" s="84"/>
      <c r="ER13" s="84"/>
      <c r="ES13" s="84"/>
      <c r="ET13" s="84"/>
      <c r="EU13" s="84"/>
      <c r="EV13" s="84"/>
      <c r="EW13" s="140"/>
      <c r="EX13" s="140"/>
      <c r="EY13" s="84"/>
      <c r="EZ13" s="84"/>
      <c r="FA13" s="84"/>
      <c r="FB13" s="84"/>
      <c r="FC13" s="84"/>
      <c r="FD13" s="84"/>
      <c r="FE13" s="84"/>
      <c r="FF13" s="84"/>
      <c r="FG13" s="84"/>
      <c r="FH13" s="135"/>
      <c r="FI13" s="135"/>
      <c r="FJ13" s="135"/>
      <c r="FK13" s="135"/>
      <c r="FL13" s="135"/>
      <c r="FM13" s="141"/>
      <c r="FN13" s="142"/>
      <c r="FO13" s="142"/>
      <c r="FP13" s="142"/>
      <c r="FQ13" s="142"/>
      <c r="FR13" s="142"/>
      <c r="FS13" s="53"/>
      <c r="FT13" s="88"/>
      <c r="FU13" s="88"/>
      <c r="FV13" s="88"/>
      <c r="FW13" s="88"/>
      <c r="FX13" s="457"/>
      <c r="FY13" s="134"/>
      <c r="FZ13" s="134"/>
      <c r="GA13" s="134"/>
      <c r="GB13" s="134"/>
      <c r="GC13" s="134"/>
      <c r="GD13" s="5"/>
      <c r="GE13" s="5"/>
      <c r="GF13" s="5"/>
      <c r="GG13" s="131"/>
      <c r="GH13" s="5"/>
      <c r="GI13" s="131"/>
      <c r="GJ13" s="134"/>
      <c r="GK13" s="134"/>
      <c r="GL13" s="134" t="s">
        <v>563</v>
      </c>
      <c r="GM13" s="134"/>
      <c r="GN13" s="134"/>
      <c r="GO13" s="5"/>
      <c r="GP13" s="5"/>
      <c r="GQ13" s="5"/>
      <c r="GR13" s="131"/>
      <c r="GS13" s="131"/>
      <c r="GT13" s="131"/>
      <c r="GU13" s="5"/>
      <c r="GV13" s="5"/>
      <c r="GW13" s="5"/>
      <c r="GX13" s="5"/>
      <c r="GY13" s="5"/>
      <c r="GZ13" s="90"/>
      <c r="HA13" s="5"/>
      <c r="HB13" s="5"/>
      <c r="HC13" s="5"/>
      <c r="HD13" s="143"/>
      <c r="HE13" s="143"/>
      <c r="HF13" s="143"/>
      <c r="HG13" s="143"/>
      <c r="HH13" s="143"/>
      <c r="HI13" s="52"/>
      <c r="HJ13" s="52"/>
      <c r="HK13" s="52"/>
      <c r="HL13" s="144"/>
      <c r="HM13" s="142"/>
      <c r="HN13" s="142"/>
      <c r="HO13" s="142"/>
      <c r="HP13" s="142"/>
      <c r="HQ13" s="142"/>
      <c r="HR13" s="49"/>
      <c r="HS13" s="49"/>
      <c r="HT13" s="49"/>
      <c r="HU13" s="53"/>
    </row>
    <row r="14" spans="1:229" s="196" customFormat="1" x14ac:dyDescent="0.25">
      <c r="B14" s="197"/>
      <c r="C14" s="197"/>
      <c r="D14" s="197"/>
      <c r="E14" s="197"/>
      <c r="F14" s="160"/>
      <c r="G14" s="160"/>
      <c r="H14" s="172"/>
      <c r="I14" s="172"/>
      <c r="J14" s="172"/>
      <c r="K14" s="172"/>
      <c r="L14" s="172"/>
      <c r="M14" s="172"/>
      <c r="N14" s="172"/>
      <c r="O14" s="172"/>
      <c r="P14" s="172"/>
      <c r="Q14" s="172"/>
      <c r="R14" s="172"/>
      <c r="S14" s="172"/>
      <c r="T14" s="172"/>
      <c r="U14" s="172"/>
      <c r="V14" s="172"/>
      <c r="W14" s="172"/>
      <c r="X14" s="172"/>
      <c r="Y14" s="172"/>
      <c r="Z14" s="198"/>
      <c r="AA14" s="198"/>
      <c r="AB14" s="198"/>
      <c r="AC14" s="198"/>
      <c r="AD14" s="198"/>
      <c r="AE14" s="198"/>
      <c r="AF14" s="198"/>
      <c r="AG14" s="199"/>
      <c r="AH14" s="199"/>
      <c r="AI14" s="198"/>
      <c r="AJ14" s="198"/>
      <c r="AK14" s="198"/>
      <c r="AL14" s="198"/>
      <c r="AM14" s="198"/>
      <c r="AN14" s="200"/>
      <c r="AO14" s="201"/>
      <c r="AP14" s="172"/>
      <c r="AQ14" s="172"/>
      <c r="AR14" s="172"/>
      <c r="AS14" s="172"/>
      <c r="AT14" s="172"/>
      <c r="AU14" s="172"/>
      <c r="AV14" s="172"/>
      <c r="AW14" s="202"/>
      <c r="AX14" s="160"/>
      <c r="AY14" s="160"/>
      <c r="AZ14" s="160"/>
      <c r="BA14" s="160"/>
      <c r="BB14" s="160"/>
      <c r="BC14" s="160"/>
      <c r="BD14" s="160"/>
      <c r="BE14" s="160"/>
      <c r="BF14" s="160"/>
      <c r="BG14" s="160"/>
      <c r="BH14" s="160"/>
      <c r="BI14" s="160"/>
      <c r="BJ14" s="160"/>
      <c r="BK14" s="203"/>
      <c r="BL14" s="160"/>
      <c r="BM14" s="160"/>
      <c r="BN14" s="204"/>
      <c r="BO14" s="205"/>
      <c r="BP14" s="205"/>
      <c r="BQ14" s="160"/>
      <c r="BR14" s="206"/>
      <c r="BS14" s="206"/>
      <c r="BT14" s="207"/>
      <c r="BU14" s="208"/>
      <c r="BV14" s="208"/>
      <c r="BW14" s="209"/>
      <c r="BX14" s="210"/>
      <c r="BY14" s="211"/>
      <c r="BZ14" s="212"/>
      <c r="CA14" s="212"/>
      <c r="CB14" s="213">
        <f>CB13</f>
        <v>3.02</v>
      </c>
      <c r="CC14" s="214"/>
      <c r="CD14" s="214"/>
      <c r="CE14" s="214"/>
      <c r="CF14" s="214"/>
      <c r="CG14" s="215"/>
      <c r="CH14" s="174"/>
      <c r="CI14" s="174"/>
      <c r="CJ14" s="201"/>
      <c r="CK14" s="174"/>
      <c r="CL14" s="201"/>
      <c r="CM14" s="174"/>
      <c r="CN14" s="174"/>
      <c r="CO14" s="174"/>
      <c r="CP14" s="174"/>
      <c r="CQ14" s="174">
        <f>SUM(CC14:CF14)*CB14-CY14*0.93*2.04-CZ14*1.4*2.04-DA14</f>
        <v>0</v>
      </c>
      <c r="CR14" s="201"/>
      <c r="CS14" s="201"/>
      <c r="CT14" s="201"/>
      <c r="CU14" s="201"/>
      <c r="CV14" s="201"/>
      <c r="CW14" s="201"/>
      <c r="CX14" s="216"/>
      <c r="CY14" s="201">
        <v>0</v>
      </c>
      <c r="CZ14" s="201">
        <v>0</v>
      </c>
      <c r="DA14" s="201">
        <v>0</v>
      </c>
      <c r="DB14" s="217"/>
      <c r="DC14" s="217"/>
      <c r="DD14" s="217"/>
      <c r="DE14" s="217"/>
      <c r="DF14" s="217"/>
      <c r="DG14" s="217"/>
      <c r="DH14" s="217"/>
      <c r="DI14" s="217"/>
      <c r="DJ14" s="217"/>
      <c r="DK14" s="217"/>
      <c r="DL14" s="217"/>
      <c r="DM14" s="217"/>
      <c r="DN14" s="217"/>
      <c r="DO14" s="217"/>
      <c r="DP14" s="217"/>
      <c r="DQ14" s="217"/>
      <c r="DR14" s="217"/>
      <c r="DS14" s="217"/>
      <c r="DT14" s="217"/>
      <c r="DU14" s="217"/>
      <c r="DV14" s="217"/>
      <c r="DW14" s="217"/>
      <c r="DX14" s="217"/>
      <c r="DY14" s="217"/>
      <c r="DZ14" s="217"/>
      <c r="EA14" s="217"/>
      <c r="EB14" s="218"/>
      <c r="EC14" s="218"/>
      <c r="ED14" s="218"/>
      <c r="EE14" s="218"/>
      <c r="EF14" s="218"/>
      <c r="EG14" s="218"/>
      <c r="EH14" s="218"/>
      <c r="EI14" s="219"/>
      <c r="EJ14" s="217"/>
      <c r="EK14" s="217"/>
      <c r="EL14" s="217"/>
      <c r="EM14" s="219"/>
      <c r="EN14" s="217"/>
      <c r="EO14" s="217"/>
      <c r="EP14" s="217"/>
      <c r="EQ14" s="217"/>
      <c r="ER14" s="217"/>
      <c r="ES14" s="217"/>
      <c r="ET14" s="217"/>
      <c r="EU14" s="217"/>
      <c r="EV14" s="217"/>
      <c r="EW14" s="217"/>
      <c r="EX14" s="217"/>
      <c r="EY14" s="217"/>
      <c r="EZ14" s="217"/>
      <c r="FA14" s="217"/>
      <c r="FB14" s="217"/>
      <c r="FC14" s="217"/>
      <c r="FD14" s="217"/>
      <c r="FE14" s="217"/>
      <c r="FF14" s="217"/>
      <c r="FG14" s="217"/>
      <c r="FH14" s="210"/>
      <c r="FI14" s="210"/>
      <c r="FJ14" s="210"/>
      <c r="FK14" s="210"/>
      <c r="FL14" s="210"/>
      <c r="FM14" s="218"/>
      <c r="FN14" s="220"/>
      <c r="FO14" s="220"/>
      <c r="FP14" s="220"/>
      <c r="FQ14" s="220"/>
      <c r="FR14" s="220"/>
      <c r="FS14" s="204"/>
      <c r="FT14" s="221"/>
      <c r="FU14" s="221"/>
      <c r="FV14" s="221"/>
      <c r="FW14" s="221"/>
      <c r="FX14" s="496"/>
      <c r="FY14" s="205"/>
      <c r="FZ14" s="205"/>
      <c r="GA14" s="205"/>
      <c r="GB14" s="205"/>
      <c r="GC14" s="205"/>
      <c r="GD14" s="160"/>
      <c r="GE14" s="160"/>
      <c r="GF14" s="160"/>
      <c r="GG14" s="160"/>
      <c r="GH14" s="160"/>
      <c r="GI14" s="160"/>
      <c r="GJ14" s="205"/>
      <c r="GK14" s="205"/>
      <c r="GL14" s="205"/>
      <c r="GM14" s="205"/>
      <c r="GN14" s="205"/>
      <c r="GO14" s="160"/>
      <c r="GP14" s="160"/>
      <c r="GQ14" s="160"/>
      <c r="GR14" s="160"/>
      <c r="GS14" s="160"/>
      <c r="GT14" s="160"/>
      <c r="GU14" s="160"/>
      <c r="GV14" s="160"/>
      <c r="GW14" s="160"/>
      <c r="GX14" s="160"/>
      <c r="GY14" s="160"/>
      <c r="GZ14" s="222"/>
      <c r="HA14" s="160"/>
      <c r="HB14" s="160"/>
      <c r="HC14" s="160"/>
      <c r="HD14" s="223"/>
      <c r="HE14" s="223"/>
      <c r="HF14" s="223"/>
      <c r="HG14" s="223"/>
      <c r="HH14" s="223"/>
      <c r="HI14" s="199"/>
      <c r="HJ14" s="199"/>
      <c r="HK14" s="199"/>
      <c r="HL14" s="199"/>
      <c r="HM14" s="220"/>
      <c r="HN14" s="220"/>
      <c r="HO14" s="220"/>
      <c r="HP14" s="220"/>
      <c r="HQ14" s="220"/>
      <c r="HR14" s="204"/>
      <c r="HS14" s="204"/>
      <c r="HT14" s="204"/>
      <c r="HU14" s="204"/>
    </row>
    <row r="15" spans="1:229" s="75" customFormat="1" ht="26.25" x14ac:dyDescent="0.45">
      <c r="A15" s="71" t="s">
        <v>642</v>
      </c>
      <c r="B15" s="72"/>
      <c r="C15" s="72"/>
      <c r="D15" s="72"/>
      <c r="E15" s="72"/>
      <c r="F15" s="5"/>
      <c r="G15" s="5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73"/>
      <c r="AA15" s="73"/>
      <c r="AB15" s="73"/>
      <c r="AC15" s="73"/>
      <c r="AD15" s="73"/>
      <c r="AE15" s="73"/>
      <c r="AF15" s="73"/>
      <c r="AG15" s="52"/>
      <c r="AH15" s="52"/>
      <c r="AI15" s="73"/>
      <c r="AJ15" s="73"/>
      <c r="AK15" s="73"/>
      <c r="AL15" s="73"/>
      <c r="AM15" s="73"/>
      <c r="AN15" s="54"/>
      <c r="AO15" s="6"/>
      <c r="AP15" s="4"/>
      <c r="AQ15" s="4"/>
      <c r="AR15" s="4"/>
      <c r="AS15" s="4"/>
      <c r="AT15" s="4"/>
      <c r="AU15" s="4"/>
      <c r="AV15" s="4"/>
      <c r="AW15" s="46"/>
      <c r="AX15" s="74"/>
      <c r="AY15" s="74"/>
      <c r="AZ15" s="74"/>
      <c r="BA15" s="74"/>
      <c r="BB15" s="74"/>
      <c r="BC15" s="74"/>
      <c r="BD15" s="74"/>
      <c r="BE15" s="74"/>
      <c r="BF15" s="74"/>
      <c r="BG15" s="74"/>
      <c r="BH15" s="74"/>
      <c r="BI15" s="74"/>
      <c r="BJ15" s="74"/>
      <c r="BK15" s="171"/>
      <c r="BL15" s="74"/>
      <c r="BM15" s="74"/>
      <c r="BN15" s="64"/>
      <c r="BQ15" s="74"/>
      <c r="BR15" s="76"/>
      <c r="BS15" s="76"/>
      <c r="BT15" s="77"/>
      <c r="BU15" s="78"/>
      <c r="BV15" s="78"/>
      <c r="BW15" s="79"/>
      <c r="BX15" s="79"/>
      <c r="BY15" s="80"/>
      <c r="BZ15" s="81"/>
      <c r="CA15" s="81"/>
      <c r="CB15" s="82"/>
      <c r="CC15" s="82"/>
      <c r="CD15" s="82"/>
      <c r="CE15" s="82"/>
      <c r="CF15" s="82"/>
      <c r="CG15" s="83"/>
      <c r="CH15" s="83"/>
      <c r="CI15" s="83"/>
      <c r="CJ15" s="83"/>
      <c r="CK15" s="83"/>
      <c r="CL15" s="83"/>
      <c r="CM15" s="83"/>
      <c r="CN15" s="83"/>
      <c r="CO15" s="83"/>
      <c r="CP15" s="83"/>
      <c r="CQ15" s="83"/>
      <c r="CR15" s="83"/>
      <c r="CS15" s="83"/>
      <c r="CT15" s="83"/>
      <c r="CU15" s="83"/>
      <c r="CV15" s="83"/>
      <c r="CW15" s="83"/>
      <c r="CX15" s="82"/>
      <c r="CY15" s="6"/>
      <c r="CZ15" s="6"/>
      <c r="DA15" s="6"/>
      <c r="DB15" s="84"/>
      <c r="DC15" s="84"/>
      <c r="DD15" s="84"/>
      <c r="DE15" s="84"/>
      <c r="DF15" s="84"/>
      <c r="DG15" s="84"/>
      <c r="DH15" s="84"/>
      <c r="DI15" s="84"/>
      <c r="DJ15" s="84"/>
      <c r="DK15" s="84"/>
      <c r="DL15" s="84"/>
      <c r="DM15" s="84"/>
      <c r="DN15" s="84"/>
      <c r="DO15" s="84"/>
      <c r="DP15" s="84"/>
      <c r="DQ15" s="84"/>
      <c r="DR15" s="84"/>
      <c r="DS15" s="84"/>
      <c r="DT15" s="84"/>
      <c r="DU15" s="84"/>
      <c r="DV15" s="84"/>
      <c r="DW15" s="84"/>
      <c r="DX15" s="84"/>
      <c r="DY15" s="84"/>
      <c r="DZ15" s="84"/>
      <c r="EA15" s="84"/>
      <c r="EB15" s="85"/>
      <c r="EC15" s="85"/>
      <c r="ED15" s="85"/>
      <c r="EE15" s="85"/>
      <c r="EF15" s="85"/>
      <c r="EG15" s="85"/>
      <c r="EH15" s="85"/>
      <c r="EI15" s="86"/>
      <c r="EJ15" s="84"/>
      <c r="EK15" s="84"/>
      <c r="EL15" s="84"/>
      <c r="EM15" s="86"/>
      <c r="EN15" s="84"/>
      <c r="EO15" s="84"/>
      <c r="EP15" s="84"/>
      <c r="EQ15" s="84"/>
      <c r="ER15" s="84"/>
      <c r="ES15" s="84"/>
      <c r="ET15" s="84"/>
      <c r="EU15" s="84"/>
      <c r="EV15" s="84"/>
      <c r="EW15" s="84"/>
      <c r="EX15" s="84"/>
      <c r="EY15" s="84"/>
      <c r="EZ15" s="84"/>
      <c r="FA15" s="84"/>
      <c r="FB15" s="84"/>
      <c r="FC15" s="84"/>
      <c r="FD15" s="84"/>
      <c r="FE15" s="84"/>
      <c r="FF15" s="84"/>
      <c r="FG15" s="84"/>
      <c r="FH15" s="79"/>
      <c r="FI15" s="79"/>
      <c r="FJ15" s="79"/>
      <c r="FK15" s="79"/>
      <c r="FL15" s="79"/>
      <c r="FM15" s="87"/>
      <c r="FN15" s="47"/>
      <c r="FO15" s="47"/>
      <c r="FP15" s="47"/>
      <c r="FQ15" s="47"/>
      <c r="FR15" s="47"/>
      <c r="FS15" s="48"/>
      <c r="FT15" s="88"/>
      <c r="FU15" s="88"/>
      <c r="FV15" s="88"/>
      <c r="FW15" s="88"/>
      <c r="FX15" s="457"/>
      <c r="GD15" s="5"/>
      <c r="GE15" s="5"/>
      <c r="GF15" s="5"/>
      <c r="GG15" s="5"/>
      <c r="GH15" s="5"/>
      <c r="GI15" s="89"/>
      <c r="GO15" s="5"/>
      <c r="GP15" s="5"/>
      <c r="GQ15" s="5"/>
      <c r="GR15" s="89"/>
      <c r="GS15" s="89"/>
      <c r="GT15" s="89"/>
      <c r="GU15" s="89"/>
      <c r="GV15" s="89"/>
      <c r="GW15" s="89"/>
      <c r="GX15" s="89"/>
      <c r="GZ15" s="90"/>
      <c r="HA15" s="5"/>
      <c r="HB15" s="5"/>
      <c r="HC15" s="5"/>
      <c r="HD15" s="50"/>
      <c r="HE15" s="50"/>
      <c r="HF15" s="50"/>
      <c r="HG15" s="50"/>
      <c r="HH15" s="50"/>
      <c r="HI15" s="52"/>
      <c r="HJ15" s="52"/>
      <c r="HK15" s="52"/>
      <c r="HL15" s="51"/>
      <c r="HM15" s="47"/>
      <c r="HN15" s="47"/>
      <c r="HO15" s="47"/>
      <c r="HP15" s="47"/>
      <c r="HQ15" s="47"/>
      <c r="HR15" s="49"/>
      <c r="HS15" s="49"/>
      <c r="HT15" s="49"/>
      <c r="HU15" s="48"/>
    </row>
    <row r="16" spans="1:229" s="91" customFormat="1" x14ac:dyDescent="0.25">
      <c r="A16" s="91" t="s">
        <v>643</v>
      </c>
      <c r="B16" s="92"/>
      <c r="C16" s="92"/>
      <c r="D16" s="93">
        <v>2.5</v>
      </c>
      <c r="E16" s="93">
        <v>3</v>
      </c>
      <c r="F16" s="94">
        <v>18.8</v>
      </c>
      <c r="G16" s="95">
        <v>18.899999999999999</v>
      </c>
      <c r="H16" s="96"/>
      <c r="I16" s="96"/>
      <c r="J16" s="96"/>
      <c r="K16" s="96">
        <v>4.66</v>
      </c>
      <c r="L16" s="96">
        <f>G16-I16*0.93-J16*1.4-K16</f>
        <v>14.239999999999998</v>
      </c>
      <c r="M16" s="173"/>
      <c r="N16" s="173"/>
      <c r="O16" s="96"/>
      <c r="P16" s="96"/>
      <c r="Q16" s="96"/>
      <c r="R16" s="96"/>
      <c r="S16" s="96"/>
      <c r="T16" s="97">
        <f>F16</f>
        <v>18.8</v>
      </c>
      <c r="U16" s="97"/>
      <c r="V16" s="97"/>
      <c r="W16" s="97"/>
      <c r="X16" s="97"/>
      <c r="Y16" s="97"/>
      <c r="Z16" s="98"/>
      <c r="AA16" s="98"/>
      <c r="AB16" s="98"/>
      <c r="AC16" s="98"/>
      <c r="AD16" s="98"/>
      <c r="AE16" s="98"/>
      <c r="AF16" s="98"/>
      <c r="AG16" s="127"/>
      <c r="AH16" s="127"/>
      <c r="AI16" s="98"/>
      <c r="AJ16" s="98"/>
      <c r="AK16" s="98"/>
      <c r="AL16" s="98"/>
      <c r="AM16" s="98"/>
      <c r="AN16" s="99"/>
      <c r="AO16" s="100"/>
      <c r="AP16" s="96"/>
      <c r="AQ16" s="97"/>
      <c r="AR16" s="97"/>
      <c r="AS16" s="97"/>
      <c r="AT16" s="97">
        <f>F16</f>
        <v>18.8</v>
      </c>
      <c r="AU16" s="97">
        <f>AT16</f>
        <v>18.8</v>
      </c>
      <c r="AV16" s="97"/>
      <c r="AW16" s="101"/>
      <c r="AX16" s="95"/>
      <c r="AY16" s="95"/>
      <c r="AZ16" s="95"/>
      <c r="BB16" s="94">
        <f>F16</f>
        <v>18.8</v>
      </c>
      <c r="BD16" s="94"/>
      <c r="BE16" s="102"/>
      <c r="BF16" s="103"/>
      <c r="BG16" s="102"/>
      <c r="BH16" s="102"/>
      <c r="BI16" s="102"/>
      <c r="BJ16" s="102"/>
      <c r="BK16" s="102"/>
      <c r="BL16" s="103"/>
      <c r="BM16" s="102"/>
      <c r="BN16" s="104"/>
      <c r="BO16" s="105"/>
      <c r="BP16" s="105"/>
      <c r="BQ16" s="103">
        <f>BO16*BP16</f>
        <v>0</v>
      </c>
      <c r="BR16" s="106"/>
      <c r="BS16" s="106"/>
      <c r="BT16" s="107"/>
      <c r="BU16" s="108"/>
      <c r="BV16" s="108"/>
      <c r="BW16" s="109"/>
      <c r="BX16" s="109"/>
      <c r="BY16" s="110"/>
      <c r="BZ16" s="111"/>
      <c r="CA16" s="111"/>
      <c r="CB16" s="112">
        <f>E16</f>
        <v>3</v>
      </c>
      <c r="CC16" s="112"/>
      <c r="CD16" s="112">
        <v>3.55</v>
      </c>
      <c r="CE16" s="112"/>
      <c r="CF16" s="112"/>
      <c r="CG16" s="113"/>
      <c r="CH16" s="114"/>
      <c r="CI16" s="114"/>
      <c r="CJ16" s="113"/>
      <c r="CK16" s="117"/>
      <c r="CL16" s="114">
        <f>SUM(CC16:CF16)*CB16-CY16*0.93*2.04-CZ16*1.4*2.04-DA16</f>
        <v>10.232399999999998</v>
      </c>
      <c r="CM16" s="100"/>
      <c r="CN16" s="100"/>
      <c r="CO16" s="100"/>
      <c r="CP16" s="100"/>
      <c r="CQ16" s="115"/>
      <c r="CR16" s="100"/>
      <c r="CS16" s="100"/>
      <c r="CT16" s="100"/>
      <c r="CU16" s="116"/>
      <c r="CV16" s="116"/>
      <c r="CW16" s="116"/>
      <c r="CX16" s="117"/>
      <c r="CY16" s="100">
        <v>0</v>
      </c>
      <c r="CZ16" s="100">
        <v>0</v>
      </c>
      <c r="DA16" s="100">
        <f>0.87*0.48</f>
        <v>0.41759999999999997</v>
      </c>
      <c r="DB16" s="118"/>
      <c r="DC16" s="118"/>
      <c r="DD16" s="118"/>
      <c r="DE16" s="118"/>
      <c r="DF16" s="118"/>
      <c r="DG16" s="118"/>
      <c r="DH16" s="118"/>
      <c r="DI16" s="118"/>
      <c r="DJ16" s="118"/>
      <c r="DK16" s="118"/>
      <c r="DL16" s="118"/>
      <c r="DM16" s="118"/>
      <c r="DN16" s="118"/>
      <c r="DO16" s="118"/>
      <c r="DP16" s="118"/>
      <c r="DQ16" s="118"/>
      <c r="DR16" s="118"/>
      <c r="DS16" s="118"/>
      <c r="DT16" s="118"/>
      <c r="DU16" s="118"/>
      <c r="DV16" s="118"/>
      <c r="DW16" s="118"/>
      <c r="DX16" s="118"/>
      <c r="DY16" s="118"/>
      <c r="DZ16" s="118"/>
      <c r="EA16" s="118"/>
      <c r="EB16" s="119"/>
      <c r="EC16" s="119"/>
      <c r="ED16" s="119"/>
      <c r="EE16" s="119"/>
      <c r="EF16" s="119"/>
      <c r="EG16" s="119"/>
      <c r="EH16" s="119"/>
      <c r="EI16" s="120"/>
      <c r="EJ16" s="118"/>
      <c r="EK16" s="118"/>
      <c r="EL16" s="118"/>
      <c r="EM16" s="120"/>
      <c r="EN16" s="118"/>
      <c r="EO16" s="118"/>
      <c r="EP16" s="118"/>
      <c r="EQ16" s="118"/>
      <c r="ER16" s="118"/>
      <c r="ES16" s="118"/>
      <c r="ET16" s="118">
        <v>0.87</v>
      </c>
      <c r="EU16" s="118"/>
      <c r="EV16" s="118"/>
      <c r="EW16" s="118"/>
      <c r="EX16" s="118"/>
      <c r="EY16" s="118"/>
      <c r="EZ16" s="118"/>
      <c r="FA16" s="118"/>
      <c r="FB16" s="118"/>
      <c r="FC16" s="118"/>
      <c r="FD16" s="118"/>
      <c r="FE16" s="118"/>
      <c r="FF16" s="118"/>
      <c r="FG16" s="118"/>
      <c r="FH16" s="109">
        <f>GJ16</f>
        <v>2.5</v>
      </c>
      <c r="FI16" s="109"/>
      <c r="FJ16" s="109"/>
      <c r="FK16" s="109"/>
      <c r="FL16" s="109"/>
      <c r="FM16" s="121">
        <f>SUM(FI16:FL16)*FH16</f>
        <v>0</v>
      </c>
      <c r="FN16" s="122">
        <f>GP16</f>
        <v>0</v>
      </c>
      <c r="FO16" s="122"/>
      <c r="FP16" s="122"/>
      <c r="FQ16" s="122"/>
      <c r="FR16" s="122"/>
      <c r="FS16" s="123">
        <f>SUM(FO16:FR16)*FN16</f>
        <v>0</v>
      </c>
      <c r="FT16" s="124"/>
      <c r="FU16" s="124"/>
      <c r="FV16" s="124"/>
      <c r="FW16" s="124"/>
      <c r="FX16" s="225"/>
      <c r="FY16" s="105">
        <f>D16</f>
        <v>2.5</v>
      </c>
      <c r="FZ16" s="105"/>
      <c r="GA16" s="105"/>
      <c r="GB16" s="105"/>
      <c r="GC16" s="105"/>
      <c r="GD16" s="95"/>
      <c r="GE16" s="95"/>
      <c r="GF16" s="94"/>
      <c r="GG16" s="94">
        <f>SUM(FZ16:GC16)*FY16-GD16*0.93*2.04-GE16*1.4*2.04-GF16</f>
        <v>0</v>
      </c>
      <c r="GH16" s="95"/>
      <c r="GI16" s="94"/>
      <c r="GJ16" s="105">
        <f>D16</f>
        <v>2.5</v>
      </c>
      <c r="GK16" s="105">
        <f>G16</f>
        <v>18.899999999999999</v>
      </c>
      <c r="GL16" s="105">
        <v>-4.66</v>
      </c>
      <c r="GM16" s="105"/>
      <c r="GN16" s="105"/>
      <c r="GO16" s="95">
        <v>0</v>
      </c>
      <c r="GP16" s="95">
        <v>0</v>
      </c>
      <c r="GQ16" s="94">
        <f>DA16+DA17</f>
        <v>0.41759999999999997</v>
      </c>
      <c r="GR16" s="94">
        <f>SUM(GK16:GN16)*GJ16-GO16*0.93*2.04-GP16*1.4*2.04-GQ16-GG16-GQ17</f>
        <v>35.182399999999994</v>
      </c>
      <c r="GS16" s="94"/>
      <c r="GT16" s="94"/>
      <c r="GU16" s="94">
        <f>SUM(BD16:BH16)</f>
        <v>0</v>
      </c>
      <c r="GV16" s="94"/>
      <c r="GX16" s="95">
        <f>SUM(BQ16:BQ18)</f>
        <v>0</v>
      </c>
      <c r="GY16" s="95"/>
      <c r="GZ16" s="125"/>
      <c r="HA16" s="95"/>
      <c r="HB16" s="95"/>
      <c r="HC16" s="95"/>
      <c r="HD16" s="126">
        <f>E16-D16</f>
        <v>0.5</v>
      </c>
      <c r="HE16" s="126"/>
      <c r="HF16" s="126"/>
      <c r="HG16" s="126"/>
      <c r="HH16" s="126"/>
      <c r="HI16" s="127"/>
      <c r="HJ16" s="127"/>
      <c r="HK16" s="127"/>
      <c r="HL16" s="128">
        <f>SUM(HE16:HH16)*HD16-HI16*0.93*2.04-HJ16*1.4*2.04-HK16</f>
        <v>0</v>
      </c>
      <c r="HM16" s="122">
        <f>AA16</f>
        <v>0</v>
      </c>
      <c r="HN16" s="122"/>
      <c r="HO16" s="122"/>
      <c r="HP16" s="122"/>
      <c r="HQ16" s="122"/>
      <c r="HR16" s="129"/>
      <c r="HS16" s="129"/>
      <c r="HT16" s="123"/>
      <c r="HU16" s="123"/>
    </row>
    <row r="17" spans="1:229" s="75" customFormat="1" x14ac:dyDescent="0.25">
      <c r="B17" s="72"/>
      <c r="C17" s="72"/>
      <c r="D17" s="130"/>
      <c r="E17" s="130"/>
      <c r="F17" s="131"/>
      <c r="G17" s="5"/>
      <c r="H17" s="4"/>
      <c r="I17" s="4"/>
      <c r="J17" s="4"/>
      <c r="K17" s="4"/>
      <c r="L17" s="4"/>
      <c r="M17" s="4"/>
      <c r="N17" s="4"/>
      <c r="O17" s="132"/>
      <c r="P17" s="132"/>
      <c r="Q17" s="4"/>
      <c r="R17" s="4"/>
      <c r="S17" s="4"/>
      <c r="T17" s="133"/>
      <c r="U17" s="45"/>
      <c r="V17" s="45"/>
      <c r="W17" s="45"/>
      <c r="X17" s="45"/>
      <c r="Y17" s="45"/>
      <c r="Z17" s="73"/>
      <c r="AA17" s="73"/>
      <c r="AB17" s="73"/>
      <c r="AC17" s="73"/>
      <c r="AD17" s="73"/>
      <c r="AE17" s="73"/>
      <c r="AF17" s="73"/>
      <c r="AG17" s="52"/>
      <c r="AH17" s="52"/>
      <c r="AI17" s="73"/>
      <c r="AJ17" s="73"/>
      <c r="AK17" s="73"/>
      <c r="AL17" s="73"/>
      <c r="AM17" s="73"/>
      <c r="AN17" s="54"/>
      <c r="AO17" s="6"/>
      <c r="AP17" s="4"/>
      <c r="AQ17" s="45"/>
      <c r="AR17" s="45"/>
      <c r="AS17" s="45"/>
      <c r="AT17" s="45"/>
      <c r="AU17" s="45"/>
      <c r="AV17" s="45"/>
      <c r="AW17" s="46"/>
      <c r="AX17" s="5"/>
      <c r="AY17" s="5"/>
      <c r="AZ17" s="5"/>
      <c r="BA17" s="131"/>
      <c r="BB17" s="169"/>
      <c r="BC17" s="169"/>
      <c r="BD17" s="5"/>
      <c r="BE17" s="74"/>
      <c r="BF17" s="74"/>
      <c r="BG17" s="74"/>
      <c r="BH17" s="74"/>
      <c r="BI17" s="74"/>
      <c r="BJ17" s="74"/>
      <c r="BK17" s="171"/>
      <c r="BL17" s="74"/>
      <c r="BM17" s="74"/>
      <c r="BN17" s="64"/>
      <c r="BO17" s="134"/>
      <c r="BP17" s="134"/>
      <c r="BQ17" s="74"/>
      <c r="BR17" s="76"/>
      <c r="BS17" s="76"/>
      <c r="BT17" s="77"/>
      <c r="BU17" s="78"/>
      <c r="BV17" s="78"/>
      <c r="BW17" s="135"/>
      <c r="BX17" s="135"/>
      <c r="BY17" s="79"/>
      <c r="BZ17" s="136"/>
      <c r="CA17" s="136"/>
      <c r="CB17" s="137">
        <f>CB16</f>
        <v>3</v>
      </c>
      <c r="CC17" s="137"/>
      <c r="CD17" s="137"/>
      <c r="CE17" s="137">
        <v>5.14</v>
      </c>
      <c r="CF17" s="137"/>
      <c r="CG17" s="82"/>
      <c r="CH17" s="138"/>
      <c r="CI17" s="138"/>
      <c r="CJ17" s="138"/>
      <c r="CK17" s="138"/>
      <c r="CL17" s="82"/>
      <c r="CM17" s="138">
        <f>SUM(CC17:CF17)*CB17-CY17*0.93*2.04-CZ17*1.4*2.04-DA17</f>
        <v>15.419999999999998</v>
      </c>
      <c r="CN17" s="138"/>
      <c r="CO17" s="6"/>
      <c r="CP17" s="6"/>
      <c r="CQ17" s="7"/>
      <c r="CR17" s="6"/>
      <c r="CS17" s="6"/>
      <c r="CT17" s="6"/>
      <c r="CU17" s="139"/>
      <c r="CV17" s="139"/>
      <c r="CW17" s="139"/>
      <c r="CX17" s="82"/>
      <c r="CY17" s="6">
        <v>0</v>
      </c>
      <c r="CZ17" s="6">
        <v>0</v>
      </c>
      <c r="DA17" s="6">
        <v>0</v>
      </c>
      <c r="DB17" s="84"/>
      <c r="DC17" s="84"/>
      <c r="DD17" s="84"/>
      <c r="DE17" s="84"/>
      <c r="DF17" s="84"/>
      <c r="DG17" s="84"/>
      <c r="DH17" s="84"/>
      <c r="DI17" s="84"/>
      <c r="DJ17" s="84"/>
      <c r="DK17" s="84"/>
      <c r="DL17" s="84"/>
      <c r="DM17" s="84"/>
      <c r="DN17" s="84"/>
      <c r="DO17" s="84"/>
      <c r="DP17" s="84"/>
      <c r="DQ17" s="84"/>
      <c r="DR17" s="84"/>
      <c r="DS17" s="84"/>
      <c r="DT17" s="84"/>
      <c r="DU17" s="84"/>
      <c r="DV17" s="84"/>
      <c r="DW17" s="84"/>
      <c r="DX17" s="84"/>
      <c r="DY17" s="84"/>
      <c r="DZ17" s="84"/>
      <c r="EA17" s="84"/>
      <c r="EB17" s="85"/>
      <c r="EC17" s="85"/>
      <c r="ED17" s="85"/>
      <c r="EE17" s="85"/>
      <c r="EF17" s="85"/>
      <c r="EG17" s="85"/>
      <c r="EH17" s="85"/>
      <c r="EI17" s="86"/>
      <c r="EJ17" s="84"/>
      <c r="EK17" s="84"/>
      <c r="EL17" s="84"/>
      <c r="EM17" s="86"/>
      <c r="EN17" s="84"/>
      <c r="EO17" s="84"/>
      <c r="EP17" s="84"/>
      <c r="EQ17" s="84"/>
      <c r="ER17" s="84"/>
      <c r="ES17" s="84"/>
      <c r="ET17" s="84"/>
      <c r="EU17" s="84"/>
      <c r="EV17" s="84"/>
      <c r="EW17" s="140"/>
      <c r="EX17" s="140"/>
      <c r="EY17" s="84"/>
      <c r="EZ17" s="84"/>
      <c r="FA17" s="84"/>
      <c r="FB17" s="84"/>
      <c r="FC17" s="84"/>
      <c r="FD17" s="84"/>
      <c r="FE17" s="84"/>
      <c r="FF17" s="84"/>
      <c r="FG17" s="84"/>
      <c r="FH17" s="135"/>
      <c r="FI17" s="135"/>
      <c r="FJ17" s="135"/>
      <c r="FK17" s="135"/>
      <c r="FL17" s="135"/>
      <c r="FM17" s="141"/>
      <c r="FN17" s="142"/>
      <c r="FO17" s="142"/>
      <c r="FP17" s="142"/>
      <c r="FQ17" s="142"/>
      <c r="FR17" s="142"/>
      <c r="FS17" s="53"/>
      <c r="FT17" s="88"/>
      <c r="FU17" s="88"/>
      <c r="FV17" s="88"/>
      <c r="FW17" s="88"/>
      <c r="FX17" s="457"/>
      <c r="FY17" s="134"/>
      <c r="FZ17" s="134"/>
      <c r="GA17" s="134"/>
      <c r="GB17" s="134"/>
      <c r="GC17" s="134"/>
      <c r="GD17" s="5"/>
      <c r="GE17" s="5"/>
      <c r="GF17" s="5"/>
      <c r="GG17" s="131"/>
      <c r="GH17" s="5"/>
      <c r="GI17" s="131"/>
      <c r="GJ17" s="134"/>
      <c r="GK17" s="134"/>
      <c r="GL17" s="134" t="s">
        <v>563</v>
      </c>
      <c r="GM17" s="134"/>
      <c r="GN17" s="134"/>
      <c r="GO17" s="5"/>
      <c r="GP17" s="5"/>
      <c r="GQ17" s="5"/>
      <c r="GR17" s="131"/>
      <c r="GS17" s="131"/>
      <c r="GT17" s="131"/>
      <c r="GU17" s="5"/>
      <c r="GV17" s="5"/>
      <c r="GW17" s="5"/>
      <c r="GX17" s="5"/>
      <c r="GY17" s="5"/>
      <c r="GZ17" s="90"/>
      <c r="HA17" s="5"/>
      <c r="HB17" s="5"/>
      <c r="HC17" s="5"/>
      <c r="HD17" s="143"/>
      <c r="HE17" s="143"/>
      <c r="HF17" s="143"/>
      <c r="HG17" s="143"/>
      <c r="HH17" s="143"/>
      <c r="HI17" s="52"/>
      <c r="HJ17" s="52"/>
      <c r="HK17" s="52"/>
      <c r="HL17" s="144"/>
      <c r="HM17" s="142"/>
      <c r="HN17" s="142"/>
      <c r="HO17" s="142"/>
      <c r="HP17" s="142"/>
      <c r="HQ17" s="142"/>
      <c r="HR17" s="49"/>
      <c r="HS17" s="49"/>
      <c r="HT17" s="49"/>
      <c r="HU17" s="53"/>
    </row>
    <row r="18" spans="1:229" s="75" customFormat="1" x14ac:dyDescent="0.25">
      <c r="B18" s="72"/>
      <c r="C18" s="72"/>
      <c r="D18" s="72"/>
      <c r="E18" s="72"/>
      <c r="F18" s="5"/>
      <c r="G18" s="5"/>
      <c r="H18" s="4"/>
      <c r="I18" s="4"/>
      <c r="J18" s="4"/>
      <c r="K18" s="4"/>
      <c r="L18" s="172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73"/>
      <c r="AA18" s="73"/>
      <c r="AB18" s="73"/>
      <c r="AC18" s="73"/>
      <c r="AD18" s="73"/>
      <c r="AE18" s="73"/>
      <c r="AF18" s="73"/>
      <c r="AG18" s="52"/>
      <c r="AH18" s="52"/>
      <c r="AI18" s="73"/>
      <c r="AJ18" s="73"/>
      <c r="AK18" s="73"/>
      <c r="AL18" s="73"/>
      <c r="AM18" s="73"/>
      <c r="AN18" s="54"/>
      <c r="AO18" s="6"/>
      <c r="AP18" s="4"/>
      <c r="AQ18" s="4"/>
      <c r="AR18" s="4"/>
      <c r="AS18" s="4"/>
      <c r="AT18" s="4"/>
      <c r="AU18" s="4"/>
      <c r="AV18" s="4"/>
      <c r="AW18" s="46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131"/>
      <c r="BL18" s="5"/>
      <c r="BM18" s="5"/>
      <c r="BN18" s="49"/>
      <c r="BO18" s="134"/>
      <c r="BP18" s="134"/>
      <c r="BQ18" s="5"/>
      <c r="BR18" s="145"/>
      <c r="BS18" s="145"/>
      <c r="BT18" s="146"/>
      <c r="BU18" s="147"/>
      <c r="BV18" s="147"/>
      <c r="BW18" s="141"/>
      <c r="BX18" s="135"/>
      <c r="BY18" s="79"/>
      <c r="BZ18" s="136"/>
      <c r="CA18" s="136"/>
      <c r="CB18" s="148">
        <f>CB17</f>
        <v>3</v>
      </c>
      <c r="CC18" s="137"/>
      <c r="CD18" s="137"/>
      <c r="CE18" s="137"/>
      <c r="CF18" s="137"/>
      <c r="CG18" s="149"/>
      <c r="CH18" s="174"/>
      <c r="CI18" s="174"/>
      <c r="CJ18" s="6"/>
      <c r="CK18" s="138">
        <f>SUM(CC18:CF18)*CB18-CY18*0.93*2.04-CZ18*1.4*2.04-DA18</f>
        <v>0</v>
      </c>
      <c r="CL18" s="6"/>
      <c r="CM18" s="138"/>
      <c r="CN18" s="138"/>
      <c r="CO18" s="138"/>
      <c r="CP18" s="138"/>
      <c r="CQ18" s="138"/>
      <c r="CR18" s="6"/>
      <c r="CS18" s="6"/>
      <c r="CT18" s="6"/>
      <c r="CU18" s="6"/>
      <c r="CV18" s="6"/>
      <c r="CW18" s="6"/>
      <c r="CX18" s="82"/>
      <c r="CY18" s="6">
        <v>0</v>
      </c>
      <c r="CZ18" s="6">
        <v>0</v>
      </c>
      <c r="DA18" s="6">
        <v>0</v>
      </c>
      <c r="DB18" s="84"/>
      <c r="DC18" s="84"/>
      <c r="DD18" s="84"/>
      <c r="DE18" s="84"/>
      <c r="DF18" s="84"/>
      <c r="DG18" s="84"/>
      <c r="DH18" s="84"/>
      <c r="DI18" s="84"/>
      <c r="DJ18" s="84"/>
      <c r="DK18" s="84"/>
      <c r="DL18" s="84"/>
      <c r="DM18" s="84"/>
      <c r="DN18" s="84"/>
      <c r="DO18" s="84"/>
      <c r="DP18" s="84"/>
      <c r="DQ18" s="84"/>
      <c r="DR18" s="84"/>
      <c r="DS18" s="84"/>
      <c r="DT18" s="84"/>
      <c r="DU18" s="84"/>
      <c r="DV18" s="84"/>
      <c r="DW18" s="84"/>
      <c r="DX18" s="84"/>
      <c r="DY18" s="84"/>
      <c r="DZ18" s="84"/>
      <c r="EA18" s="84"/>
      <c r="EB18" s="85"/>
      <c r="EC18" s="85"/>
      <c r="ED18" s="85"/>
      <c r="EE18" s="85"/>
      <c r="EF18" s="85"/>
      <c r="EG18" s="85"/>
      <c r="EH18" s="85"/>
      <c r="EI18" s="86"/>
      <c r="EJ18" s="84"/>
      <c r="EK18" s="84"/>
      <c r="EL18" s="84"/>
      <c r="EM18" s="86"/>
      <c r="EN18" s="84"/>
      <c r="EO18" s="84"/>
      <c r="EP18" s="84"/>
      <c r="EQ18" s="84"/>
      <c r="ER18" s="84"/>
      <c r="ES18" s="84"/>
      <c r="ET18" s="84"/>
      <c r="EU18" s="84"/>
      <c r="EV18" s="84"/>
      <c r="EW18" s="84"/>
      <c r="EX18" s="84"/>
      <c r="EY18" s="84"/>
      <c r="EZ18" s="84"/>
      <c r="FA18" s="84"/>
      <c r="FB18" s="84"/>
      <c r="FC18" s="84"/>
      <c r="FD18" s="84"/>
      <c r="FE18" s="84"/>
      <c r="FF18" s="84"/>
      <c r="FG18" s="84"/>
      <c r="FH18" s="135"/>
      <c r="FI18" s="135"/>
      <c r="FJ18" s="135"/>
      <c r="FK18" s="135"/>
      <c r="FL18" s="135"/>
      <c r="FM18" s="85"/>
      <c r="FN18" s="142"/>
      <c r="FO18" s="142"/>
      <c r="FP18" s="142"/>
      <c r="FQ18" s="142"/>
      <c r="FR18" s="142"/>
      <c r="FS18" s="49"/>
      <c r="FT18" s="88"/>
      <c r="FU18" s="88"/>
      <c r="FV18" s="88"/>
      <c r="FW18" s="88"/>
      <c r="FX18" s="457"/>
      <c r="FY18" s="134"/>
      <c r="FZ18" s="134"/>
      <c r="GA18" s="134"/>
      <c r="GB18" s="134"/>
      <c r="GC18" s="134"/>
      <c r="GD18" s="5"/>
      <c r="GE18" s="5"/>
      <c r="GF18" s="5"/>
      <c r="GG18" s="5"/>
      <c r="GH18" s="5"/>
      <c r="GI18" s="5"/>
      <c r="GJ18" s="134"/>
      <c r="GK18" s="134"/>
      <c r="GL18" s="134"/>
      <c r="GM18" s="134"/>
      <c r="GN18" s="134"/>
      <c r="GO18" s="5"/>
      <c r="GP18" s="5"/>
      <c r="GQ18" s="5"/>
      <c r="GR18" s="5"/>
      <c r="GS18" s="5"/>
      <c r="GT18" s="5"/>
      <c r="GU18" s="160"/>
      <c r="GV18" s="5"/>
      <c r="GW18" s="5"/>
      <c r="GX18" s="5"/>
      <c r="GY18" s="5"/>
      <c r="GZ18" s="90"/>
      <c r="HA18" s="5"/>
      <c r="HB18" s="5"/>
      <c r="HC18" s="5"/>
      <c r="HD18" s="143"/>
      <c r="HE18" s="143"/>
      <c r="HF18" s="143"/>
      <c r="HG18" s="143"/>
      <c r="HH18" s="143"/>
      <c r="HI18" s="52"/>
      <c r="HJ18" s="52"/>
      <c r="HK18" s="52"/>
      <c r="HL18" s="52"/>
      <c r="HM18" s="142"/>
      <c r="HN18" s="142"/>
      <c r="HO18" s="142"/>
      <c r="HP18" s="142"/>
      <c r="HQ18" s="142"/>
      <c r="HR18" s="49"/>
      <c r="HS18" s="49"/>
      <c r="HT18" s="49"/>
      <c r="HU18" s="49"/>
    </row>
    <row r="19" spans="1:229" s="91" customFormat="1" x14ac:dyDescent="0.25">
      <c r="A19" s="91" t="s">
        <v>644</v>
      </c>
      <c r="B19" s="92">
        <v>4.95</v>
      </c>
      <c r="C19" s="92">
        <v>4.72</v>
      </c>
      <c r="D19" s="93">
        <v>2.5</v>
      </c>
      <c r="E19" s="93">
        <v>3</v>
      </c>
      <c r="F19" s="94">
        <f>B19*C19</f>
        <v>23.364000000000001</v>
      </c>
      <c r="G19" s="95">
        <f>(B19+C19)*2</f>
        <v>19.34</v>
      </c>
      <c r="H19" s="96"/>
      <c r="I19" s="96"/>
      <c r="J19" s="96"/>
      <c r="K19" s="96"/>
      <c r="L19" s="96"/>
      <c r="M19" s="173"/>
      <c r="N19" s="173"/>
      <c r="O19" s="96"/>
      <c r="P19" s="96"/>
      <c r="Q19" s="96"/>
      <c r="R19" s="96"/>
      <c r="S19" s="96"/>
      <c r="T19" s="97"/>
      <c r="U19" s="97"/>
      <c r="V19" s="97"/>
      <c r="W19" s="97"/>
      <c r="X19" s="97"/>
      <c r="Y19" s="97"/>
      <c r="Z19" s="98"/>
      <c r="AA19" s="98"/>
      <c r="AB19" s="98"/>
      <c r="AC19" s="98"/>
      <c r="AD19" s="98"/>
      <c r="AE19" s="98"/>
      <c r="AF19" s="98"/>
      <c r="AG19" s="127"/>
      <c r="AH19" s="127"/>
      <c r="AI19" s="98"/>
      <c r="AJ19" s="98"/>
      <c r="AK19" s="98"/>
      <c r="AL19" s="98"/>
      <c r="AM19" s="98"/>
      <c r="AN19" s="99"/>
      <c r="AO19" s="100"/>
      <c r="AP19" s="96"/>
      <c r="AQ19" s="97"/>
      <c r="AR19" s="97"/>
      <c r="AS19" s="97"/>
      <c r="AT19" s="97"/>
      <c r="AU19" s="97">
        <f>AT19</f>
        <v>0</v>
      </c>
      <c r="AV19" s="97"/>
      <c r="AW19" s="101"/>
      <c r="AX19" s="95"/>
      <c r="AY19" s="95"/>
      <c r="AZ19" s="95"/>
      <c r="BB19" s="94"/>
      <c r="BC19" s="94"/>
      <c r="BD19" s="94"/>
      <c r="BE19" s="102"/>
      <c r="BF19" s="103"/>
      <c r="BG19" s="102"/>
      <c r="BH19" s="102"/>
      <c r="BI19" s="102"/>
      <c r="BJ19" s="102"/>
      <c r="BK19" s="102"/>
      <c r="BL19" s="103"/>
      <c r="BM19" s="102"/>
      <c r="BN19" s="104"/>
      <c r="BO19" s="105"/>
      <c r="BP19" s="105"/>
      <c r="BQ19" s="103">
        <f>BO19*BP19</f>
        <v>0</v>
      </c>
      <c r="BR19" s="106"/>
      <c r="BS19" s="106"/>
      <c r="BT19" s="107"/>
      <c r="BU19" s="108"/>
      <c r="BV19" s="108"/>
      <c r="BW19" s="109"/>
      <c r="BX19" s="109"/>
      <c r="BY19" s="110"/>
      <c r="BZ19" s="111"/>
      <c r="CA19" s="111"/>
      <c r="CB19" s="112">
        <f>E19</f>
        <v>3</v>
      </c>
      <c r="CC19" s="112"/>
      <c r="CD19" s="112"/>
      <c r="CE19" s="112"/>
      <c r="CF19" s="112"/>
      <c r="CG19" s="113"/>
      <c r="CH19" s="114">
        <f>SUM(CC19:CF19)*CB19-CY19*0.93*2.04-CZ19*1.4*2.04-DA19</f>
        <v>0</v>
      </c>
      <c r="CI19" s="114"/>
      <c r="CJ19" s="113"/>
      <c r="CK19" s="117"/>
      <c r="CL19" s="100"/>
      <c r="CM19" s="100"/>
      <c r="CN19" s="100"/>
      <c r="CO19" s="100"/>
      <c r="CP19" s="100"/>
      <c r="CQ19" s="115"/>
      <c r="CR19" s="100"/>
      <c r="CS19" s="100"/>
      <c r="CT19" s="100"/>
      <c r="CU19" s="116"/>
      <c r="CV19" s="116"/>
      <c r="CW19" s="116"/>
      <c r="CX19" s="117"/>
      <c r="CY19" s="100">
        <v>0</v>
      </c>
      <c r="CZ19" s="100">
        <v>0</v>
      </c>
      <c r="DA19" s="100">
        <v>0</v>
      </c>
      <c r="DB19" s="118"/>
      <c r="DC19" s="118"/>
      <c r="DD19" s="118"/>
      <c r="DE19" s="118"/>
      <c r="DF19" s="118"/>
      <c r="DG19" s="118"/>
      <c r="DH19" s="118"/>
      <c r="DI19" s="118"/>
      <c r="DJ19" s="118"/>
      <c r="DK19" s="118"/>
      <c r="DL19" s="118"/>
      <c r="DM19" s="118"/>
      <c r="DN19" s="118"/>
      <c r="DO19" s="118"/>
      <c r="DP19" s="118"/>
      <c r="DQ19" s="118"/>
      <c r="DR19" s="118"/>
      <c r="DS19" s="118"/>
      <c r="DT19" s="118"/>
      <c r="DU19" s="118"/>
      <c r="DV19" s="118"/>
      <c r="DW19" s="118"/>
      <c r="DX19" s="118"/>
      <c r="DY19" s="118"/>
      <c r="DZ19" s="118"/>
      <c r="EA19" s="118"/>
      <c r="EB19" s="119"/>
      <c r="EC19" s="119"/>
      <c r="ED19" s="119"/>
      <c r="EE19" s="119"/>
      <c r="EF19" s="119"/>
      <c r="EG19" s="119"/>
      <c r="EH19" s="119"/>
      <c r="EI19" s="120"/>
      <c r="EJ19" s="118"/>
      <c r="EK19" s="118"/>
      <c r="EL19" s="118"/>
      <c r="EM19" s="120"/>
      <c r="EN19" s="118"/>
      <c r="EO19" s="118"/>
      <c r="EP19" s="118"/>
      <c r="EQ19" s="118"/>
      <c r="ER19" s="118"/>
      <c r="ES19" s="118"/>
      <c r="ET19" s="118">
        <v>0</v>
      </c>
      <c r="EU19" s="118"/>
      <c r="EV19" s="118"/>
      <c r="EW19" s="118"/>
      <c r="EX19" s="118"/>
      <c r="EY19" s="118"/>
      <c r="EZ19" s="118"/>
      <c r="FA19" s="118"/>
      <c r="FB19" s="118"/>
      <c r="FC19" s="118"/>
      <c r="FD19" s="118"/>
      <c r="FE19" s="118"/>
      <c r="FF19" s="118"/>
      <c r="FG19" s="118"/>
      <c r="FH19" s="109">
        <f>GJ19</f>
        <v>2.5</v>
      </c>
      <c r="FI19" s="109"/>
      <c r="FJ19" s="109"/>
      <c r="FK19" s="109"/>
      <c r="FL19" s="109"/>
      <c r="FM19" s="121">
        <f>SUM(FI19:FL19)*FH19</f>
        <v>0</v>
      </c>
      <c r="FN19" s="122">
        <f>GP19</f>
        <v>0</v>
      </c>
      <c r="FO19" s="122"/>
      <c r="FP19" s="122"/>
      <c r="FQ19" s="122"/>
      <c r="FR19" s="122"/>
      <c r="FS19" s="123">
        <f>SUM(FO19:FR19)*FN19</f>
        <v>0</v>
      </c>
      <c r="FT19" s="124"/>
      <c r="FU19" s="124"/>
      <c r="FV19" s="124"/>
      <c r="FW19" s="124"/>
      <c r="FX19" s="225"/>
      <c r="FY19" s="105">
        <f>D19</f>
        <v>2.5</v>
      </c>
      <c r="FZ19" s="105"/>
      <c r="GA19" s="105"/>
      <c r="GB19" s="105"/>
      <c r="GC19" s="105"/>
      <c r="GD19" s="95"/>
      <c r="GE19" s="95"/>
      <c r="GF19" s="94"/>
      <c r="GG19" s="94">
        <f>SUM(FZ19:GC19)*FY19-GD19*0.93*2.04-GE19*1.4*2.04-GF19</f>
        <v>0</v>
      </c>
      <c r="GH19" s="95"/>
      <c r="GI19" s="94"/>
      <c r="GJ19" s="105">
        <f>D19</f>
        <v>2.5</v>
      </c>
      <c r="GK19" s="105"/>
      <c r="GL19" s="105"/>
      <c r="GM19" s="105"/>
      <c r="GN19" s="105"/>
      <c r="GO19" s="95">
        <v>0</v>
      </c>
      <c r="GP19" s="95">
        <v>0</v>
      </c>
      <c r="GQ19" s="94">
        <f>DA19+DA20</f>
        <v>0</v>
      </c>
      <c r="GR19" s="94">
        <f>SUM(GK19:GN19)*GJ19-GO19*0.93*2.04-GP19*1.4*2.04-GQ19-GG19-GQ20</f>
        <v>0</v>
      </c>
      <c r="GS19" s="94"/>
      <c r="GT19" s="94"/>
      <c r="GU19" s="94">
        <f>SUM(BD19:BH19)</f>
        <v>0</v>
      </c>
      <c r="GV19" s="94"/>
      <c r="GX19" s="95">
        <f>SUM(BQ19:BQ21)</f>
        <v>0</v>
      </c>
      <c r="GY19" s="95"/>
      <c r="GZ19" s="125"/>
      <c r="HA19" s="95"/>
      <c r="HB19" s="95"/>
      <c r="HC19" s="95"/>
      <c r="HD19" s="126">
        <f>E19-D19</f>
        <v>0.5</v>
      </c>
      <c r="HE19" s="126"/>
      <c r="HF19" s="126"/>
      <c r="HG19" s="126"/>
      <c r="HH19" s="126"/>
      <c r="HI19" s="127"/>
      <c r="HJ19" s="127"/>
      <c r="HK19" s="127"/>
      <c r="HL19" s="128">
        <f>SUM(HE19:HH19)*HD19-HI19*0.93*2.04-HJ19*1.4*2.04-HK19</f>
        <v>0</v>
      </c>
      <c r="HM19" s="122">
        <f>AA19</f>
        <v>0</v>
      </c>
      <c r="HN19" s="122"/>
      <c r="HO19" s="122"/>
      <c r="HP19" s="122"/>
      <c r="HQ19" s="122"/>
      <c r="HR19" s="129"/>
      <c r="HS19" s="129"/>
      <c r="HT19" s="123"/>
      <c r="HU19" s="123"/>
    </row>
    <row r="20" spans="1:229" s="75" customFormat="1" x14ac:dyDescent="0.25">
      <c r="A20" s="75" t="s">
        <v>645</v>
      </c>
      <c r="B20" s="72"/>
      <c r="C20" s="72"/>
      <c r="D20" s="130"/>
      <c r="E20" s="130"/>
      <c r="F20" s="131"/>
      <c r="G20" s="5"/>
      <c r="H20" s="4"/>
      <c r="I20" s="4"/>
      <c r="J20" s="4"/>
      <c r="K20" s="4"/>
      <c r="L20" s="4"/>
      <c r="M20" s="4"/>
      <c r="N20" s="4"/>
      <c r="O20" s="132"/>
      <c r="P20" s="132"/>
      <c r="Q20" s="4"/>
      <c r="R20" s="4"/>
      <c r="S20" s="4"/>
      <c r="T20" s="133"/>
      <c r="U20" s="45"/>
      <c r="V20" s="45"/>
      <c r="W20" s="45"/>
      <c r="X20" s="45"/>
      <c r="Y20" s="45"/>
      <c r="Z20" s="73"/>
      <c r="AA20" s="73"/>
      <c r="AB20" s="73"/>
      <c r="AC20" s="73"/>
      <c r="AD20" s="73"/>
      <c r="AE20" s="73"/>
      <c r="AF20" s="73"/>
      <c r="AG20" s="52"/>
      <c r="AH20" s="52"/>
      <c r="AI20" s="73"/>
      <c r="AJ20" s="73"/>
      <c r="AK20" s="73"/>
      <c r="AL20" s="73"/>
      <c r="AM20" s="73"/>
      <c r="AN20" s="54"/>
      <c r="AO20" s="6"/>
      <c r="AP20" s="4"/>
      <c r="AQ20" s="45"/>
      <c r="AR20" s="45"/>
      <c r="AS20" s="45"/>
      <c r="AT20" s="45"/>
      <c r="AU20" s="45"/>
      <c r="AV20" s="45"/>
      <c r="AW20" s="46"/>
      <c r="AX20" s="5"/>
      <c r="AY20" s="5"/>
      <c r="AZ20" s="5"/>
      <c r="BA20" s="131"/>
      <c r="BB20" s="169"/>
      <c r="BC20" s="169"/>
      <c r="BD20" s="5"/>
      <c r="BE20" s="74"/>
      <c r="BF20" s="74"/>
      <c r="BG20" s="74"/>
      <c r="BH20" s="74"/>
      <c r="BI20" s="74"/>
      <c r="BJ20" s="74"/>
      <c r="BK20" s="171"/>
      <c r="BL20" s="74"/>
      <c r="BM20" s="74"/>
      <c r="BN20" s="64"/>
      <c r="BO20" s="134"/>
      <c r="BP20" s="134"/>
      <c r="BQ20" s="74"/>
      <c r="BR20" s="76"/>
      <c r="BS20" s="76"/>
      <c r="BT20" s="77"/>
      <c r="BU20" s="78"/>
      <c r="BV20" s="78"/>
      <c r="BW20" s="135"/>
      <c r="BX20" s="135"/>
      <c r="BY20" s="79"/>
      <c r="BZ20" s="136"/>
      <c r="CA20" s="136"/>
      <c r="CB20" s="137">
        <f>CB19</f>
        <v>3</v>
      </c>
      <c r="CC20" s="137"/>
      <c r="CD20" s="137"/>
      <c r="CE20" s="137"/>
      <c r="CF20" s="137"/>
      <c r="CG20" s="82"/>
      <c r="CH20" s="138"/>
      <c r="CI20" s="138"/>
      <c r="CJ20" s="138"/>
      <c r="CK20" s="138"/>
      <c r="CL20" s="82"/>
      <c r="CM20" s="138">
        <f>SUM(CC20:CF20)*CB20-CY20*0.93*2.04-CZ20*1.4*2.04-DA20</f>
        <v>0</v>
      </c>
      <c r="CN20" s="138"/>
      <c r="CO20" s="6"/>
      <c r="CP20" s="6"/>
      <c r="CQ20" s="7"/>
      <c r="CR20" s="6"/>
      <c r="CS20" s="6"/>
      <c r="CT20" s="6"/>
      <c r="CU20" s="139"/>
      <c r="CV20" s="139"/>
      <c r="CW20" s="139"/>
      <c r="CX20" s="82"/>
      <c r="CY20" s="6">
        <v>0</v>
      </c>
      <c r="CZ20" s="6">
        <v>0</v>
      </c>
      <c r="DA20" s="6">
        <v>0</v>
      </c>
      <c r="DB20" s="84"/>
      <c r="DC20" s="84"/>
      <c r="DD20" s="84"/>
      <c r="DE20" s="84"/>
      <c r="DF20" s="84"/>
      <c r="DG20" s="84"/>
      <c r="DH20" s="84"/>
      <c r="DI20" s="84"/>
      <c r="DJ20" s="84"/>
      <c r="DK20" s="84"/>
      <c r="DL20" s="84"/>
      <c r="DM20" s="84"/>
      <c r="DN20" s="84"/>
      <c r="DO20" s="84"/>
      <c r="DP20" s="84"/>
      <c r="DQ20" s="84"/>
      <c r="DR20" s="84"/>
      <c r="DS20" s="84"/>
      <c r="DT20" s="84"/>
      <c r="DU20" s="84"/>
      <c r="DV20" s="84"/>
      <c r="DW20" s="84"/>
      <c r="DX20" s="84"/>
      <c r="DY20" s="84"/>
      <c r="DZ20" s="84"/>
      <c r="EA20" s="84"/>
      <c r="EB20" s="85"/>
      <c r="EC20" s="85"/>
      <c r="ED20" s="85"/>
      <c r="EE20" s="85"/>
      <c r="EF20" s="85"/>
      <c r="EG20" s="85"/>
      <c r="EH20" s="85"/>
      <c r="EI20" s="86"/>
      <c r="EJ20" s="84"/>
      <c r="EK20" s="84"/>
      <c r="EL20" s="84"/>
      <c r="EM20" s="86"/>
      <c r="EN20" s="84"/>
      <c r="EO20" s="84"/>
      <c r="EP20" s="84"/>
      <c r="EQ20" s="84"/>
      <c r="ER20" s="84"/>
      <c r="ES20" s="84"/>
      <c r="ET20" s="84"/>
      <c r="EU20" s="84"/>
      <c r="EV20" s="84"/>
      <c r="EW20" s="140"/>
      <c r="EX20" s="140"/>
      <c r="EY20" s="84"/>
      <c r="EZ20" s="84"/>
      <c r="FA20" s="84"/>
      <c r="FB20" s="84"/>
      <c r="FC20" s="84"/>
      <c r="FD20" s="84"/>
      <c r="FE20" s="84"/>
      <c r="FF20" s="84"/>
      <c r="FG20" s="84"/>
      <c r="FH20" s="135"/>
      <c r="FI20" s="135"/>
      <c r="FJ20" s="135"/>
      <c r="FK20" s="135"/>
      <c r="FL20" s="135"/>
      <c r="FM20" s="141"/>
      <c r="FN20" s="142"/>
      <c r="FO20" s="142"/>
      <c r="FP20" s="142"/>
      <c r="FQ20" s="142"/>
      <c r="FR20" s="142"/>
      <c r="FS20" s="53"/>
      <c r="FT20" s="88"/>
      <c r="FU20" s="88"/>
      <c r="FV20" s="88"/>
      <c r="FW20" s="88"/>
      <c r="FX20" s="457"/>
      <c r="FY20" s="134"/>
      <c r="FZ20" s="134"/>
      <c r="GA20" s="134"/>
      <c r="GB20" s="134"/>
      <c r="GC20" s="134"/>
      <c r="GD20" s="5"/>
      <c r="GE20" s="5"/>
      <c r="GF20" s="5"/>
      <c r="GG20" s="131"/>
      <c r="GH20" s="5"/>
      <c r="GI20" s="131"/>
      <c r="GJ20" s="134"/>
      <c r="GK20" s="134"/>
      <c r="GL20" s="134" t="s">
        <v>563</v>
      </c>
      <c r="GM20" s="134"/>
      <c r="GN20" s="134"/>
      <c r="GO20" s="5"/>
      <c r="GP20" s="5"/>
      <c r="GQ20" s="5"/>
      <c r="GR20" s="131"/>
      <c r="GS20" s="131"/>
      <c r="GT20" s="131"/>
      <c r="GU20" s="5"/>
      <c r="GV20" s="5"/>
      <c r="GW20" s="5"/>
      <c r="GX20" s="5"/>
      <c r="GY20" s="5"/>
      <c r="GZ20" s="90"/>
      <c r="HA20" s="5"/>
      <c r="HB20" s="5"/>
      <c r="HC20" s="5"/>
      <c r="HD20" s="143"/>
      <c r="HE20" s="143"/>
      <c r="HF20" s="143"/>
      <c r="HG20" s="143"/>
      <c r="HH20" s="143"/>
      <c r="HI20" s="52"/>
      <c r="HJ20" s="52"/>
      <c r="HK20" s="52"/>
      <c r="HL20" s="144"/>
      <c r="HM20" s="142"/>
      <c r="HN20" s="142"/>
      <c r="HO20" s="142"/>
      <c r="HP20" s="142"/>
      <c r="HQ20" s="142"/>
      <c r="HR20" s="49"/>
      <c r="HS20" s="49"/>
      <c r="HT20" s="49"/>
      <c r="HU20" s="53"/>
    </row>
    <row r="21" spans="1:229" s="75" customFormat="1" x14ac:dyDescent="0.25">
      <c r="B21" s="72"/>
      <c r="C21" s="72"/>
      <c r="D21" s="72"/>
      <c r="E21" s="72"/>
      <c r="F21" s="5"/>
      <c r="G21" s="5"/>
      <c r="H21" s="4"/>
      <c r="I21" s="4"/>
      <c r="J21" s="4"/>
      <c r="K21" s="4"/>
      <c r="L21" s="172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73"/>
      <c r="AA21" s="73"/>
      <c r="AB21" s="73"/>
      <c r="AC21" s="73"/>
      <c r="AD21" s="73"/>
      <c r="AE21" s="73"/>
      <c r="AF21" s="73"/>
      <c r="AG21" s="52"/>
      <c r="AH21" s="52"/>
      <c r="AI21" s="73"/>
      <c r="AJ21" s="73"/>
      <c r="AK21" s="73"/>
      <c r="AL21" s="73"/>
      <c r="AM21" s="73"/>
      <c r="AN21" s="54"/>
      <c r="AO21" s="6"/>
      <c r="AP21" s="4"/>
      <c r="AQ21" s="4"/>
      <c r="AR21" s="4"/>
      <c r="AS21" s="4"/>
      <c r="AT21" s="4"/>
      <c r="AU21" s="4"/>
      <c r="AV21" s="4"/>
      <c r="AW21" s="46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131"/>
      <c r="BL21" s="5"/>
      <c r="BM21" s="5"/>
      <c r="BN21" s="49"/>
      <c r="BO21" s="134"/>
      <c r="BP21" s="134"/>
      <c r="BQ21" s="5"/>
      <c r="BR21" s="145"/>
      <c r="BS21" s="145"/>
      <c r="BT21" s="146"/>
      <c r="BU21" s="147"/>
      <c r="BV21" s="147"/>
      <c r="BW21" s="141"/>
      <c r="BX21" s="135"/>
      <c r="BY21" s="79"/>
      <c r="BZ21" s="136"/>
      <c r="CA21" s="136"/>
      <c r="CB21" s="148">
        <f>CB20</f>
        <v>3</v>
      </c>
      <c r="CC21" s="137"/>
      <c r="CD21" s="137"/>
      <c r="CE21" s="137"/>
      <c r="CF21" s="137"/>
      <c r="CG21" s="149"/>
      <c r="CH21" s="174"/>
      <c r="CI21" s="174"/>
      <c r="CJ21" s="6"/>
      <c r="CK21" s="138">
        <f>SUM(CC21:CF21)*CB21-CY21*0.93*2.04-CZ21*1.4*2.04-DA21</f>
        <v>0</v>
      </c>
      <c r="CL21" s="6"/>
      <c r="CM21" s="138"/>
      <c r="CN21" s="138"/>
      <c r="CO21" s="138"/>
      <c r="CP21" s="138"/>
      <c r="CQ21" s="138"/>
      <c r="CR21" s="6"/>
      <c r="CS21" s="6"/>
      <c r="CT21" s="6"/>
      <c r="CU21" s="6"/>
      <c r="CV21" s="6"/>
      <c r="CW21" s="6"/>
      <c r="CX21" s="82"/>
      <c r="CY21" s="6">
        <v>0</v>
      </c>
      <c r="CZ21" s="6">
        <v>0</v>
      </c>
      <c r="DA21" s="6">
        <v>0</v>
      </c>
      <c r="DB21" s="84"/>
      <c r="DC21" s="84"/>
      <c r="DD21" s="84"/>
      <c r="DE21" s="84"/>
      <c r="DF21" s="84"/>
      <c r="DG21" s="84"/>
      <c r="DH21" s="84"/>
      <c r="DI21" s="84"/>
      <c r="DJ21" s="84"/>
      <c r="DK21" s="84"/>
      <c r="DL21" s="84"/>
      <c r="DM21" s="84"/>
      <c r="DN21" s="84"/>
      <c r="DO21" s="84"/>
      <c r="DP21" s="84"/>
      <c r="DQ21" s="84"/>
      <c r="DR21" s="84"/>
      <c r="DS21" s="84"/>
      <c r="DT21" s="84"/>
      <c r="DU21" s="84"/>
      <c r="DV21" s="84"/>
      <c r="DW21" s="84"/>
      <c r="DX21" s="84"/>
      <c r="DY21" s="84"/>
      <c r="DZ21" s="84"/>
      <c r="EA21" s="84"/>
      <c r="EB21" s="85"/>
      <c r="EC21" s="85"/>
      <c r="ED21" s="85"/>
      <c r="EE21" s="85"/>
      <c r="EF21" s="85"/>
      <c r="EG21" s="85"/>
      <c r="EH21" s="85"/>
      <c r="EI21" s="86"/>
      <c r="EJ21" s="84"/>
      <c r="EK21" s="84"/>
      <c r="EL21" s="84"/>
      <c r="EM21" s="86"/>
      <c r="EN21" s="84"/>
      <c r="EO21" s="84"/>
      <c r="EP21" s="84"/>
      <c r="EQ21" s="84"/>
      <c r="ER21" s="84"/>
      <c r="ES21" s="84"/>
      <c r="ET21" s="84"/>
      <c r="EU21" s="84"/>
      <c r="EV21" s="84"/>
      <c r="EW21" s="84"/>
      <c r="EX21" s="84"/>
      <c r="EY21" s="84"/>
      <c r="EZ21" s="84"/>
      <c r="FA21" s="84"/>
      <c r="FB21" s="84"/>
      <c r="FC21" s="84"/>
      <c r="FD21" s="84"/>
      <c r="FE21" s="84"/>
      <c r="FF21" s="84"/>
      <c r="FG21" s="84"/>
      <c r="FH21" s="135"/>
      <c r="FI21" s="135"/>
      <c r="FJ21" s="135"/>
      <c r="FK21" s="135"/>
      <c r="FL21" s="135"/>
      <c r="FM21" s="85"/>
      <c r="FN21" s="142"/>
      <c r="FO21" s="142"/>
      <c r="FP21" s="142"/>
      <c r="FQ21" s="142"/>
      <c r="FR21" s="142"/>
      <c r="FS21" s="49"/>
      <c r="FT21" s="88"/>
      <c r="FU21" s="88"/>
      <c r="FV21" s="88"/>
      <c r="FW21" s="88"/>
      <c r="FX21" s="457"/>
      <c r="FY21" s="134"/>
      <c r="FZ21" s="134"/>
      <c r="GA21" s="134"/>
      <c r="GB21" s="134"/>
      <c r="GC21" s="134"/>
      <c r="GD21" s="5"/>
      <c r="GE21" s="5"/>
      <c r="GF21" s="5"/>
      <c r="GG21" s="5"/>
      <c r="GH21" s="5"/>
      <c r="GI21" s="5"/>
      <c r="GJ21" s="134"/>
      <c r="GK21" s="134"/>
      <c r="GL21" s="134"/>
      <c r="GM21" s="134"/>
      <c r="GN21" s="134"/>
      <c r="GO21" s="5"/>
      <c r="GP21" s="5"/>
      <c r="GQ21" s="5"/>
      <c r="GR21" s="5"/>
      <c r="GS21" s="5"/>
      <c r="GT21" s="5"/>
      <c r="GU21" s="160"/>
      <c r="GV21" s="5"/>
      <c r="GW21" s="5"/>
      <c r="GX21" s="5"/>
      <c r="GY21" s="5"/>
      <c r="GZ21" s="90"/>
      <c r="HA21" s="5"/>
      <c r="HB21" s="5"/>
      <c r="HC21" s="5"/>
      <c r="HD21" s="143"/>
      <c r="HE21" s="143"/>
      <c r="HF21" s="143"/>
      <c r="HG21" s="143"/>
      <c r="HH21" s="143"/>
      <c r="HI21" s="52"/>
      <c r="HJ21" s="52"/>
      <c r="HK21" s="52"/>
      <c r="HL21" s="52"/>
      <c r="HM21" s="142"/>
      <c r="HN21" s="142"/>
      <c r="HO21" s="142"/>
      <c r="HP21" s="142"/>
      <c r="HQ21" s="142"/>
      <c r="HR21" s="49"/>
      <c r="HS21" s="49"/>
      <c r="HT21" s="49"/>
      <c r="HU21" s="49"/>
    </row>
    <row r="22" spans="1:229" s="91" customFormat="1" x14ac:dyDescent="0.25">
      <c r="A22" s="91" t="s">
        <v>646</v>
      </c>
      <c r="B22" s="92">
        <v>12.35</v>
      </c>
      <c r="C22" s="92">
        <v>1.62</v>
      </c>
      <c r="D22" s="93">
        <v>2.44</v>
      </c>
      <c r="E22" s="93">
        <v>3</v>
      </c>
      <c r="F22" s="94">
        <f>B22*C22</f>
        <v>20.007000000000001</v>
      </c>
      <c r="G22" s="95">
        <f>(B22+C22)*2</f>
        <v>27.939999999999998</v>
      </c>
      <c r="H22" s="96"/>
      <c r="I22" s="96">
        <v>4</v>
      </c>
      <c r="J22" s="96">
        <v>1</v>
      </c>
      <c r="K22" s="96">
        <f>B22</f>
        <v>12.35</v>
      </c>
      <c r="L22" s="96">
        <f>G22-I22*0.93-J22*1.4-K22</f>
        <v>10.47</v>
      </c>
      <c r="M22" s="173"/>
      <c r="N22" s="173"/>
      <c r="O22" s="96">
        <v>12.35</v>
      </c>
      <c r="P22" s="96"/>
      <c r="Q22" s="96"/>
      <c r="R22" s="96"/>
      <c r="S22" s="96"/>
      <c r="T22" s="97">
        <f>F22</f>
        <v>20.007000000000001</v>
      </c>
      <c r="U22" s="97"/>
      <c r="V22" s="97"/>
      <c r="W22" s="97"/>
      <c r="X22" s="97"/>
      <c r="Y22" s="97"/>
      <c r="Z22" s="98"/>
      <c r="AA22" s="98"/>
      <c r="AB22" s="98"/>
      <c r="AC22" s="98"/>
      <c r="AD22" s="98"/>
      <c r="AE22" s="98"/>
      <c r="AF22" s="98"/>
      <c r="AG22" s="127"/>
      <c r="AH22" s="127"/>
      <c r="AI22" s="98"/>
      <c r="AJ22" s="98"/>
      <c r="AK22" s="98"/>
      <c r="AL22" s="98"/>
      <c r="AM22" s="98"/>
      <c r="AN22" s="99"/>
      <c r="AO22" s="100"/>
      <c r="AP22" s="96"/>
      <c r="AQ22" s="97"/>
      <c r="AR22" s="97"/>
      <c r="AS22" s="97"/>
      <c r="AT22" s="97">
        <f>F22</f>
        <v>20.007000000000001</v>
      </c>
      <c r="AU22" s="97">
        <f>AT22</f>
        <v>20.007000000000001</v>
      </c>
      <c r="AV22" s="97"/>
      <c r="AW22" s="101"/>
      <c r="AX22" s="95"/>
      <c r="AY22" s="95"/>
      <c r="AZ22" s="95"/>
      <c r="BA22" s="94"/>
      <c r="BB22" s="94">
        <f>12.35*1.3</f>
        <v>16.055</v>
      </c>
      <c r="BC22" s="94"/>
      <c r="BD22" s="94"/>
      <c r="BE22" s="102"/>
      <c r="BF22" s="103"/>
      <c r="BG22" s="102">
        <f>12.35*0.65</f>
        <v>8.0274999999999999</v>
      </c>
      <c r="BH22" s="102"/>
      <c r="BI22" s="102"/>
      <c r="BJ22" s="102"/>
      <c r="BK22" s="102"/>
      <c r="BL22" s="103"/>
      <c r="BM22" s="102"/>
      <c r="BN22" s="104"/>
      <c r="BO22" s="105"/>
      <c r="BP22" s="105"/>
      <c r="BQ22" s="103">
        <f>BO22*BP22</f>
        <v>0</v>
      </c>
      <c r="BR22" s="106"/>
      <c r="BS22" s="106"/>
      <c r="BT22" s="107"/>
      <c r="BU22" s="108"/>
      <c r="BV22" s="108"/>
      <c r="BW22" s="109"/>
      <c r="BX22" s="109"/>
      <c r="BY22" s="110"/>
      <c r="BZ22" s="111"/>
      <c r="CA22" s="111"/>
      <c r="CB22" s="112">
        <f>E22</f>
        <v>3</v>
      </c>
      <c r="CC22" s="112"/>
      <c r="CD22" s="112"/>
      <c r="CE22" s="112"/>
      <c r="CF22" s="112"/>
      <c r="CG22" s="113"/>
      <c r="CH22" s="114">
        <f>SUM(CC22:CF22)*CB22-CY22*0.93*2.04-CZ22*1.4*2.04-DA22</f>
        <v>0</v>
      </c>
      <c r="CI22" s="114"/>
      <c r="CJ22" s="113"/>
      <c r="CK22" s="117"/>
      <c r="CL22" s="100"/>
      <c r="CM22" s="100"/>
      <c r="CN22" s="100"/>
      <c r="CO22" s="100"/>
      <c r="CP22" s="100"/>
      <c r="CQ22" s="115"/>
      <c r="CR22" s="100"/>
      <c r="CS22" s="100"/>
      <c r="CT22" s="100"/>
      <c r="CU22" s="116"/>
      <c r="CV22" s="116"/>
      <c r="CW22" s="116"/>
      <c r="CX22" s="117"/>
      <c r="CY22" s="100">
        <v>0</v>
      </c>
      <c r="CZ22" s="100">
        <v>0</v>
      </c>
      <c r="DA22" s="100">
        <v>0</v>
      </c>
      <c r="DB22" s="118"/>
      <c r="DC22" s="118"/>
      <c r="DD22" s="118"/>
      <c r="DE22" s="118"/>
      <c r="DF22" s="118"/>
      <c r="DG22" s="118"/>
      <c r="DH22" s="118"/>
      <c r="DI22" s="118"/>
      <c r="DJ22" s="118"/>
      <c r="DK22" s="118"/>
      <c r="DL22" s="118"/>
      <c r="DM22" s="118"/>
      <c r="DN22" s="118"/>
      <c r="DO22" s="118"/>
      <c r="DP22" s="118"/>
      <c r="DQ22" s="118"/>
      <c r="DR22" s="118"/>
      <c r="DS22" s="118"/>
      <c r="DT22" s="118"/>
      <c r="DU22" s="118"/>
      <c r="DV22" s="118"/>
      <c r="DW22" s="118"/>
      <c r="DX22" s="118"/>
      <c r="DY22" s="118"/>
      <c r="DZ22" s="118"/>
      <c r="EA22" s="118"/>
      <c r="EB22" s="119"/>
      <c r="EC22" s="119"/>
      <c r="ED22" s="119"/>
      <c r="EE22" s="119"/>
      <c r="EF22" s="119"/>
      <c r="EG22" s="119"/>
      <c r="EH22" s="119"/>
      <c r="EI22" s="120"/>
      <c r="EJ22" s="118"/>
      <c r="EK22" s="118"/>
      <c r="EL22" s="118"/>
      <c r="EM22" s="120"/>
      <c r="EN22" s="118"/>
      <c r="EO22" s="118"/>
      <c r="EP22" s="118"/>
      <c r="EQ22" s="118"/>
      <c r="ER22" s="118"/>
      <c r="ES22" s="118"/>
      <c r="ET22" s="118">
        <v>0</v>
      </c>
      <c r="EU22" s="118"/>
      <c r="EV22" s="118"/>
      <c r="EW22" s="118"/>
      <c r="EX22" s="118"/>
      <c r="EY22" s="118"/>
      <c r="EZ22" s="118"/>
      <c r="FA22" s="118"/>
      <c r="FB22" s="118"/>
      <c r="FC22" s="118"/>
      <c r="FD22" s="118"/>
      <c r="FE22" s="118"/>
      <c r="FF22" s="118"/>
      <c r="FG22" s="118"/>
      <c r="FH22" s="109">
        <f>GJ22</f>
        <v>2.44</v>
      </c>
      <c r="FI22" s="109"/>
      <c r="FJ22" s="109"/>
      <c r="FK22" s="109"/>
      <c r="FL22" s="109"/>
      <c r="FM22" s="121">
        <f>SUM(FI22:FL22)*FH22</f>
        <v>0</v>
      </c>
      <c r="FN22" s="122">
        <f>GP22</f>
        <v>1</v>
      </c>
      <c r="FO22" s="122"/>
      <c r="FP22" s="122"/>
      <c r="FQ22" s="122"/>
      <c r="FR22" s="122"/>
      <c r="FS22" s="123">
        <f>SUM(FO22:FR22)*FN22</f>
        <v>0</v>
      </c>
      <c r="FT22" s="124"/>
      <c r="FU22" s="124"/>
      <c r="FV22" s="124"/>
      <c r="FW22" s="124"/>
      <c r="FX22" s="225"/>
      <c r="FY22" s="105">
        <f>D22</f>
        <v>2.44</v>
      </c>
      <c r="FZ22" s="105"/>
      <c r="GA22" s="105"/>
      <c r="GB22" s="105"/>
      <c r="GC22" s="105"/>
      <c r="GD22" s="95"/>
      <c r="GE22" s="95"/>
      <c r="GF22" s="94"/>
      <c r="GG22" s="94">
        <f>SUM(FZ22:GC22)*FY22-GD22*0.93*2.04-GE22*1.4*2.04-GF22</f>
        <v>0</v>
      </c>
      <c r="GH22" s="95"/>
      <c r="GI22" s="94"/>
      <c r="GJ22" s="105">
        <f>D22</f>
        <v>2.44</v>
      </c>
      <c r="GK22" s="105">
        <f>G22</f>
        <v>27.939999999999998</v>
      </c>
      <c r="GL22" s="105">
        <f>-B22</f>
        <v>-12.35</v>
      </c>
      <c r="GM22" s="105"/>
      <c r="GN22" s="105"/>
      <c r="GO22" s="95">
        <v>4</v>
      </c>
      <c r="GP22" s="95">
        <v>1</v>
      </c>
      <c r="GQ22" s="94">
        <f>DA22+DA23</f>
        <v>0</v>
      </c>
      <c r="GR22" s="94">
        <f>SUM(GK22:GN22)*GJ22-GO22*0.93*2.04-GP22*1.4*2.04-GQ22-GG22-GQ23</f>
        <v>27.594799999999992</v>
      </c>
      <c r="GS22" s="94"/>
      <c r="GT22" s="94"/>
      <c r="GU22" s="94">
        <f>SUM(BD22:BH22)</f>
        <v>8.0274999999999999</v>
      </c>
      <c r="GV22" s="94"/>
      <c r="GX22" s="95">
        <f>SUM(BQ22:BQ24)</f>
        <v>0</v>
      </c>
      <c r="GY22" s="95"/>
      <c r="GZ22" s="125"/>
      <c r="HA22" s="95"/>
      <c r="HB22" s="95"/>
      <c r="HC22" s="95"/>
      <c r="HD22" s="126">
        <f>E22-D22</f>
        <v>0.56000000000000005</v>
      </c>
      <c r="HE22" s="126"/>
      <c r="HF22" s="126"/>
      <c r="HG22" s="126"/>
      <c r="HH22" s="126"/>
      <c r="HI22" s="127"/>
      <c r="HJ22" s="127"/>
      <c r="HK22" s="127"/>
      <c r="HL22" s="128">
        <f>SUM(HE22:HH22)*HD22-HI22*0.93*2.04-HJ22*1.4*2.04-HK22</f>
        <v>0</v>
      </c>
      <c r="HM22" s="122">
        <f>AA22</f>
        <v>0</v>
      </c>
      <c r="HN22" s="122"/>
      <c r="HO22" s="122"/>
      <c r="HP22" s="122"/>
      <c r="HQ22" s="122"/>
      <c r="HR22" s="129"/>
      <c r="HS22" s="129"/>
      <c r="HT22" s="123"/>
      <c r="HU22" s="123"/>
    </row>
    <row r="23" spans="1:229" s="75" customFormat="1" x14ac:dyDescent="0.25">
      <c r="A23" s="224" t="s">
        <v>647</v>
      </c>
      <c r="B23" s="72"/>
      <c r="C23" s="72"/>
      <c r="D23" s="130"/>
      <c r="E23" s="130"/>
      <c r="F23" s="131"/>
      <c r="G23" s="5"/>
      <c r="H23" s="4"/>
      <c r="I23" s="4"/>
      <c r="J23" s="4"/>
      <c r="K23" s="4"/>
      <c r="L23" s="4"/>
      <c r="M23" s="4"/>
      <c r="N23" s="4"/>
      <c r="O23" s="132"/>
      <c r="P23" s="132"/>
      <c r="Q23" s="4"/>
      <c r="R23" s="4"/>
      <c r="S23" s="4"/>
      <c r="T23" s="133"/>
      <c r="U23" s="45"/>
      <c r="V23" s="45"/>
      <c r="W23" s="45"/>
      <c r="X23" s="45"/>
      <c r="Y23" s="45"/>
      <c r="Z23" s="73"/>
      <c r="AA23" s="73"/>
      <c r="AB23" s="73"/>
      <c r="AC23" s="73"/>
      <c r="AD23" s="73"/>
      <c r="AE23" s="73"/>
      <c r="AF23" s="73"/>
      <c r="AG23" s="52"/>
      <c r="AH23" s="52"/>
      <c r="AI23" s="73"/>
      <c r="AJ23" s="73"/>
      <c r="AK23" s="73"/>
      <c r="AL23" s="73"/>
      <c r="AM23" s="73"/>
      <c r="AN23" s="54"/>
      <c r="AO23" s="6"/>
      <c r="AP23" s="4"/>
      <c r="AQ23" s="45"/>
      <c r="AR23" s="45"/>
      <c r="AS23" s="45"/>
      <c r="AT23" s="45"/>
      <c r="AU23" s="45"/>
      <c r="AV23" s="45"/>
      <c r="AW23" s="46"/>
      <c r="AX23" s="5"/>
      <c r="AY23" s="5"/>
      <c r="AZ23" s="5"/>
      <c r="BA23" s="131"/>
      <c r="BB23" s="169"/>
      <c r="BC23" s="169"/>
      <c r="BD23" s="5"/>
      <c r="BE23" s="74"/>
      <c r="BF23" s="74"/>
      <c r="BG23" s="74"/>
      <c r="BH23" s="74"/>
      <c r="BI23" s="74"/>
      <c r="BJ23" s="74"/>
      <c r="BK23" s="171"/>
      <c r="BL23" s="74"/>
      <c r="BM23" s="74"/>
      <c r="BN23" s="64"/>
      <c r="BO23" s="134"/>
      <c r="BP23" s="134"/>
      <c r="BQ23" s="74"/>
      <c r="BR23" s="76"/>
      <c r="BS23" s="76"/>
      <c r="BT23" s="77"/>
      <c r="BU23" s="78"/>
      <c r="BV23" s="78"/>
      <c r="BW23" s="135"/>
      <c r="BX23" s="135"/>
      <c r="BY23" s="79"/>
      <c r="BZ23" s="136"/>
      <c r="CA23" s="136"/>
      <c r="CB23" s="137">
        <f>CB22</f>
        <v>3</v>
      </c>
      <c r="CC23" s="137"/>
      <c r="CD23" s="137"/>
      <c r="CE23" s="137"/>
      <c r="CF23" s="137"/>
      <c r="CG23" s="82"/>
      <c r="CH23" s="138"/>
      <c r="CI23" s="138"/>
      <c r="CJ23" s="138"/>
      <c r="CK23" s="82"/>
      <c r="CL23" s="82"/>
      <c r="CM23" s="138">
        <f>SUM(CC23:CF23)*CB23-CY23*0.93*2.04-CZ23*1.4*2.04-DA23</f>
        <v>0</v>
      </c>
      <c r="CN23" s="138"/>
      <c r="CO23" s="6"/>
      <c r="CP23" s="6"/>
      <c r="CQ23" s="7"/>
      <c r="CR23" s="6"/>
      <c r="CS23" s="6"/>
      <c r="CT23" s="6"/>
      <c r="CU23" s="139"/>
      <c r="CV23" s="139"/>
      <c r="CW23" s="139"/>
      <c r="CX23" s="82"/>
      <c r="CY23" s="6">
        <v>0</v>
      </c>
      <c r="CZ23" s="6">
        <v>0</v>
      </c>
      <c r="DA23" s="6">
        <v>0</v>
      </c>
      <c r="DB23" s="84"/>
      <c r="DC23" s="84"/>
      <c r="DD23" s="84"/>
      <c r="DE23" s="84"/>
      <c r="DF23" s="84"/>
      <c r="DG23" s="84"/>
      <c r="DH23" s="84"/>
      <c r="DI23" s="84"/>
      <c r="DJ23" s="84"/>
      <c r="DK23" s="84"/>
      <c r="DL23" s="84"/>
      <c r="DM23" s="84"/>
      <c r="DN23" s="84"/>
      <c r="DO23" s="84"/>
      <c r="DP23" s="84"/>
      <c r="DQ23" s="84"/>
      <c r="DR23" s="84"/>
      <c r="DS23" s="84"/>
      <c r="DT23" s="84"/>
      <c r="DU23" s="84"/>
      <c r="DV23" s="84"/>
      <c r="DW23" s="84"/>
      <c r="DX23" s="84"/>
      <c r="DY23" s="84"/>
      <c r="DZ23" s="84"/>
      <c r="EA23" s="84"/>
      <c r="EB23" s="85"/>
      <c r="EC23" s="85"/>
      <c r="ED23" s="85"/>
      <c r="EE23" s="85"/>
      <c r="EF23" s="85"/>
      <c r="EG23" s="85"/>
      <c r="EH23" s="85"/>
      <c r="EI23" s="86"/>
      <c r="EJ23" s="84"/>
      <c r="EK23" s="84"/>
      <c r="EL23" s="84"/>
      <c r="EM23" s="86"/>
      <c r="EN23" s="84"/>
      <c r="EO23" s="84"/>
      <c r="EP23" s="84"/>
      <c r="EQ23" s="84"/>
      <c r="ER23" s="84"/>
      <c r="ES23" s="84"/>
      <c r="ET23" s="84"/>
      <c r="EU23" s="84"/>
      <c r="EV23" s="84"/>
      <c r="EW23" s="140"/>
      <c r="EX23" s="140"/>
      <c r="EY23" s="84"/>
      <c r="EZ23" s="84"/>
      <c r="FA23" s="84"/>
      <c r="FB23" s="84"/>
      <c r="FC23" s="84"/>
      <c r="FD23" s="84"/>
      <c r="FE23" s="84"/>
      <c r="FF23" s="84"/>
      <c r="FG23" s="84"/>
      <c r="FH23" s="135"/>
      <c r="FI23" s="135"/>
      <c r="FJ23" s="135"/>
      <c r="FK23" s="135"/>
      <c r="FL23" s="135"/>
      <c r="FM23" s="141"/>
      <c r="FN23" s="142"/>
      <c r="FO23" s="142"/>
      <c r="FP23" s="142"/>
      <c r="FQ23" s="142"/>
      <c r="FR23" s="142"/>
      <c r="FS23" s="53"/>
      <c r="FT23" s="88"/>
      <c r="FU23" s="88"/>
      <c r="FV23" s="88"/>
      <c r="FW23" s="88"/>
      <c r="FX23" s="457"/>
      <c r="FY23" s="134"/>
      <c r="FZ23" s="134"/>
      <c r="GA23" s="134"/>
      <c r="GB23" s="134"/>
      <c r="GC23" s="134"/>
      <c r="GD23" s="5"/>
      <c r="GE23" s="5"/>
      <c r="GF23" s="5"/>
      <c r="GG23" s="131"/>
      <c r="GH23" s="5"/>
      <c r="GI23" s="131"/>
      <c r="GJ23" s="134"/>
      <c r="GK23" s="134"/>
      <c r="GL23" s="134" t="s">
        <v>563</v>
      </c>
      <c r="GM23" s="134"/>
      <c r="GN23" s="134"/>
      <c r="GO23" s="5"/>
      <c r="GP23" s="5"/>
      <c r="GQ23" s="5"/>
      <c r="GR23" s="131"/>
      <c r="GS23" s="131"/>
      <c r="GT23" s="131"/>
      <c r="GU23" s="5"/>
      <c r="GV23" s="5"/>
      <c r="GW23" s="5"/>
      <c r="GX23" s="5"/>
      <c r="GY23" s="5"/>
      <c r="GZ23" s="90"/>
      <c r="HA23" s="5"/>
      <c r="HB23" s="5"/>
      <c r="HC23" s="5"/>
      <c r="HD23" s="143"/>
      <c r="HE23" s="143"/>
      <c r="HF23" s="143"/>
      <c r="HG23" s="143"/>
      <c r="HH23" s="143"/>
      <c r="HI23" s="52"/>
      <c r="HJ23" s="52"/>
      <c r="HK23" s="52"/>
      <c r="HL23" s="144"/>
      <c r="HM23" s="142"/>
      <c r="HN23" s="142"/>
      <c r="HO23" s="142"/>
      <c r="HP23" s="142"/>
      <c r="HQ23" s="142"/>
      <c r="HR23" s="49"/>
      <c r="HS23" s="49"/>
      <c r="HT23" s="49"/>
      <c r="HU23" s="53"/>
    </row>
    <row r="24" spans="1:229" s="75" customFormat="1" x14ac:dyDescent="0.25">
      <c r="B24" s="72"/>
      <c r="C24" s="72"/>
      <c r="D24" s="72"/>
      <c r="E24" s="72"/>
      <c r="F24" s="5"/>
      <c r="G24" s="5"/>
      <c r="H24" s="4"/>
      <c r="I24" s="4"/>
      <c r="J24" s="4"/>
      <c r="K24" s="4"/>
      <c r="L24" s="172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73"/>
      <c r="AA24" s="73"/>
      <c r="AB24" s="73"/>
      <c r="AC24" s="73"/>
      <c r="AD24" s="73"/>
      <c r="AE24" s="73"/>
      <c r="AF24" s="73"/>
      <c r="AG24" s="52"/>
      <c r="AH24" s="52"/>
      <c r="AI24" s="73"/>
      <c r="AJ24" s="73"/>
      <c r="AK24" s="73"/>
      <c r="AL24" s="73"/>
      <c r="AM24" s="73"/>
      <c r="AN24" s="54"/>
      <c r="AO24" s="6"/>
      <c r="AP24" s="4"/>
      <c r="AQ24" s="4"/>
      <c r="AR24" s="4"/>
      <c r="AS24" s="4"/>
      <c r="AT24" s="4"/>
      <c r="AU24" s="4"/>
      <c r="AV24" s="4"/>
      <c r="AW24" s="46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131"/>
      <c r="BL24" s="5"/>
      <c r="BM24" s="5"/>
      <c r="BN24" s="49"/>
      <c r="BO24" s="134"/>
      <c r="BP24" s="134"/>
      <c r="BQ24" s="5"/>
      <c r="BR24" s="145"/>
      <c r="BS24" s="145"/>
      <c r="BT24" s="146"/>
      <c r="BU24" s="147"/>
      <c r="BV24" s="147"/>
      <c r="BW24" s="141"/>
      <c r="BX24" s="135"/>
      <c r="BY24" s="79"/>
      <c r="BZ24" s="136"/>
      <c r="CA24" s="136"/>
      <c r="CB24" s="148">
        <f>CB23</f>
        <v>3</v>
      </c>
      <c r="CC24" s="137"/>
      <c r="CD24" s="137"/>
      <c r="CE24" s="137"/>
      <c r="CF24" s="137"/>
      <c r="CG24" s="149"/>
      <c r="CH24" s="174"/>
      <c r="CI24" s="174"/>
      <c r="CJ24" s="6"/>
      <c r="CK24" s="138">
        <f>SUM(CC24:CF24)*CB24-CY24*0.93*2.04-CZ24*1.4*2.04-DA24</f>
        <v>0</v>
      </c>
      <c r="CL24" s="6"/>
      <c r="CM24" s="138"/>
      <c r="CN24" s="138"/>
      <c r="CO24" s="138"/>
      <c r="CP24" s="138"/>
      <c r="CQ24" s="138"/>
      <c r="CR24" s="6"/>
      <c r="CS24" s="6"/>
      <c r="CT24" s="6"/>
      <c r="CU24" s="6"/>
      <c r="CV24" s="6"/>
      <c r="CW24" s="6"/>
      <c r="CX24" s="82"/>
      <c r="CY24" s="6">
        <v>0</v>
      </c>
      <c r="CZ24" s="6">
        <v>0</v>
      </c>
      <c r="DA24" s="6">
        <v>0</v>
      </c>
      <c r="DB24" s="84"/>
      <c r="DC24" s="84"/>
      <c r="DD24" s="84"/>
      <c r="DE24" s="84"/>
      <c r="DF24" s="84"/>
      <c r="DG24" s="84"/>
      <c r="DH24" s="84"/>
      <c r="DI24" s="84"/>
      <c r="DJ24" s="84"/>
      <c r="DK24" s="84"/>
      <c r="DL24" s="84"/>
      <c r="DM24" s="84"/>
      <c r="DN24" s="84"/>
      <c r="DO24" s="84"/>
      <c r="DP24" s="84"/>
      <c r="DQ24" s="84"/>
      <c r="DR24" s="84"/>
      <c r="DS24" s="84"/>
      <c r="DT24" s="84"/>
      <c r="DU24" s="84"/>
      <c r="DV24" s="84"/>
      <c r="DW24" s="84"/>
      <c r="DX24" s="84"/>
      <c r="DY24" s="84"/>
      <c r="DZ24" s="84"/>
      <c r="EA24" s="84"/>
      <c r="EB24" s="85"/>
      <c r="EC24" s="85"/>
      <c r="ED24" s="85"/>
      <c r="EE24" s="85"/>
      <c r="EF24" s="85"/>
      <c r="EG24" s="85"/>
      <c r="EH24" s="85"/>
      <c r="EI24" s="86"/>
      <c r="EJ24" s="84"/>
      <c r="EK24" s="84"/>
      <c r="EL24" s="84"/>
      <c r="EM24" s="86"/>
      <c r="EN24" s="84"/>
      <c r="EO24" s="84"/>
      <c r="EP24" s="84"/>
      <c r="EQ24" s="84"/>
      <c r="ER24" s="84"/>
      <c r="ES24" s="84"/>
      <c r="ET24" s="84"/>
      <c r="EU24" s="84"/>
      <c r="EV24" s="84"/>
      <c r="EW24" s="84"/>
      <c r="EX24" s="84"/>
      <c r="EY24" s="84"/>
      <c r="EZ24" s="84"/>
      <c r="FA24" s="84"/>
      <c r="FB24" s="84"/>
      <c r="FC24" s="84"/>
      <c r="FD24" s="84"/>
      <c r="FE24" s="84"/>
      <c r="FF24" s="84"/>
      <c r="FG24" s="84"/>
      <c r="FH24" s="135"/>
      <c r="FI24" s="135"/>
      <c r="FJ24" s="135"/>
      <c r="FK24" s="135"/>
      <c r="FL24" s="135"/>
      <c r="FM24" s="85"/>
      <c r="FN24" s="142"/>
      <c r="FO24" s="142"/>
      <c r="FP24" s="142"/>
      <c r="FQ24" s="142"/>
      <c r="FR24" s="142"/>
      <c r="FS24" s="49"/>
      <c r="FT24" s="88"/>
      <c r="FU24" s="88"/>
      <c r="FV24" s="88"/>
      <c r="FW24" s="88"/>
      <c r="FX24" s="457"/>
      <c r="FY24" s="134"/>
      <c r="FZ24" s="134"/>
      <c r="GA24" s="134"/>
      <c r="GB24" s="134"/>
      <c r="GC24" s="134"/>
      <c r="GD24" s="5"/>
      <c r="GE24" s="5"/>
      <c r="GF24" s="5"/>
      <c r="GG24" s="5"/>
      <c r="GH24" s="5"/>
      <c r="GI24" s="5"/>
      <c r="GJ24" s="134"/>
      <c r="GK24" s="134"/>
      <c r="GL24" s="134"/>
      <c r="GM24" s="134"/>
      <c r="GN24" s="134"/>
      <c r="GO24" s="5"/>
      <c r="GP24" s="5"/>
      <c r="GQ24" s="5"/>
      <c r="GR24" s="5"/>
      <c r="GS24" s="5"/>
      <c r="GT24" s="5"/>
      <c r="GU24" s="160"/>
      <c r="GV24" s="5"/>
      <c r="GW24" s="5"/>
      <c r="GX24" s="5"/>
      <c r="GY24" s="5"/>
      <c r="GZ24" s="90"/>
      <c r="HA24" s="5"/>
      <c r="HB24" s="5"/>
      <c r="HC24" s="5"/>
      <c r="HD24" s="143"/>
      <c r="HE24" s="143"/>
      <c r="HF24" s="143"/>
      <c r="HG24" s="143"/>
      <c r="HH24" s="143"/>
      <c r="HI24" s="52"/>
      <c r="HJ24" s="52"/>
      <c r="HK24" s="52"/>
      <c r="HL24" s="52"/>
      <c r="HM24" s="142"/>
      <c r="HN24" s="142"/>
      <c r="HO24" s="142"/>
      <c r="HP24" s="142"/>
      <c r="HQ24" s="142"/>
      <c r="HR24" s="49"/>
      <c r="HS24" s="49"/>
      <c r="HT24" s="49"/>
      <c r="HU24" s="49"/>
    </row>
    <row r="25" spans="1:229" s="91" customFormat="1" x14ac:dyDescent="0.25">
      <c r="A25" s="91" t="s">
        <v>648</v>
      </c>
      <c r="B25" s="92">
        <v>9.3000000000000007</v>
      </c>
      <c r="C25" s="92">
        <v>0.34</v>
      </c>
      <c r="D25" s="93">
        <v>2.44</v>
      </c>
      <c r="E25" s="93">
        <v>3</v>
      </c>
      <c r="F25" s="94">
        <f>B25*C25</f>
        <v>3.1620000000000004</v>
      </c>
      <c r="G25" s="95">
        <f>(B25+C25)*2</f>
        <v>19.28</v>
      </c>
      <c r="H25" s="96"/>
      <c r="I25" s="96"/>
      <c r="J25" s="96"/>
      <c r="K25" s="97">
        <f>B25+C25+C25+1.4</f>
        <v>11.38</v>
      </c>
      <c r="L25" s="96">
        <f>G25-I25*0.93-J25*1.4-K25</f>
        <v>7.9</v>
      </c>
      <c r="M25" s="173"/>
      <c r="N25" s="173"/>
      <c r="O25" s="96">
        <f>B25</f>
        <v>9.3000000000000007</v>
      </c>
      <c r="P25" s="96"/>
      <c r="Q25" s="96"/>
      <c r="R25" s="96"/>
      <c r="S25" s="96"/>
      <c r="T25" s="97">
        <f>F25</f>
        <v>3.1620000000000004</v>
      </c>
      <c r="U25" s="97"/>
      <c r="V25" s="97"/>
      <c r="W25" s="97"/>
      <c r="X25" s="97"/>
      <c r="Y25" s="97"/>
      <c r="Z25" s="98"/>
      <c r="AA25" s="98"/>
      <c r="AB25" s="98"/>
      <c r="AC25" s="98"/>
      <c r="AD25" s="98"/>
      <c r="AE25" s="98"/>
      <c r="AF25" s="98"/>
      <c r="AG25" s="127"/>
      <c r="AH25" s="127"/>
      <c r="AI25" s="98"/>
      <c r="AJ25" s="98"/>
      <c r="AK25" s="98"/>
      <c r="AL25" s="98"/>
      <c r="AM25" s="98"/>
      <c r="AN25" s="99"/>
      <c r="AO25" s="100"/>
      <c r="AP25" s="96"/>
      <c r="AQ25" s="97"/>
      <c r="AR25" s="97"/>
      <c r="AS25" s="97"/>
      <c r="AT25" s="97">
        <f>F25</f>
        <v>3.1620000000000004</v>
      </c>
      <c r="AU25" s="97">
        <f>AT25</f>
        <v>3.1620000000000004</v>
      </c>
      <c r="AV25" s="97"/>
      <c r="AW25" s="101"/>
      <c r="AX25" s="95"/>
      <c r="AY25" s="95"/>
      <c r="AZ25" s="95"/>
      <c r="BA25" s="94"/>
      <c r="BB25" s="94"/>
      <c r="BC25" s="94"/>
      <c r="BD25" s="94"/>
      <c r="BE25" s="102"/>
      <c r="BF25" s="103"/>
      <c r="BG25" s="102">
        <f>F25</f>
        <v>3.1620000000000004</v>
      </c>
      <c r="BH25" s="102"/>
      <c r="BI25" s="102"/>
      <c r="BJ25" s="102"/>
      <c r="BK25" s="102"/>
      <c r="BL25" s="103"/>
      <c r="BM25" s="102"/>
      <c r="BN25" s="104"/>
      <c r="BO25" s="105"/>
      <c r="BP25" s="105"/>
      <c r="BQ25" s="103">
        <f>BO25*BP25</f>
        <v>0</v>
      </c>
      <c r="BR25" s="106"/>
      <c r="BS25" s="106"/>
      <c r="BT25" s="107"/>
      <c r="BU25" s="108"/>
      <c r="BV25" s="108"/>
      <c r="BW25" s="109"/>
      <c r="BX25" s="109"/>
      <c r="BY25" s="110"/>
      <c r="BZ25" s="111"/>
      <c r="CA25" s="111"/>
      <c r="CB25" s="112">
        <f>E25</f>
        <v>3</v>
      </c>
      <c r="CC25" s="112"/>
      <c r="CD25" s="112"/>
      <c r="CE25" s="112"/>
      <c r="CF25" s="112"/>
      <c r="CG25" s="113"/>
      <c r="CH25" s="114">
        <f>SUM(CC25:CF25)*CB25-CY25*0.93*2.04-CZ25*1.4*2.04-DA25</f>
        <v>0</v>
      </c>
      <c r="CI25" s="114"/>
      <c r="CJ25" s="113"/>
      <c r="CK25" s="117"/>
      <c r="CL25" s="100"/>
      <c r="CM25" s="100"/>
      <c r="CN25" s="100"/>
      <c r="CO25" s="100"/>
      <c r="CP25" s="100"/>
      <c r="CQ25" s="115"/>
      <c r="CR25" s="100"/>
      <c r="CS25" s="100"/>
      <c r="CT25" s="100"/>
      <c r="CU25" s="116"/>
      <c r="CV25" s="116"/>
      <c r="CW25" s="116"/>
      <c r="CX25" s="117"/>
      <c r="CY25" s="100">
        <v>0</v>
      </c>
      <c r="CZ25" s="100">
        <v>0</v>
      </c>
      <c r="DA25" s="100">
        <v>0</v>
      </c>
      <c r="DB25" s="118"/>
      <c r="DC25" s="118"/>
      <c r="DD25" s="118"/>
      <c r="DE25" s="118"/>
      <c r="DF25" s="118"/>
      <c r="DG25" s="118"/>
      <c r="DH25" s="118"/>
      <c r="DI25" s="118"/>
      <c r="DJ25" s="118"/>
      <c r="DK25" s="118"/>
      <c r="DL25" s="118"/>
      <c r="DM25" s="118"/>
      <c r="DN25" s="118"/>
      <c r="DO25" s="118"/>
      <c r="DP25" s="118"/>
      <c r="DQ25" s="118"/>
      <c r="DR25" s="118"/>
      <c r="DS25" s="118"/>
      <c r="DT25" s="118"/>
      <c r="DU25" s="118"/>
      <c r="DV25" s="118"/>
      <c r="DW25" s="118"/>
      <c r="DX25" s="118"/>
      <c r="DY25" s="118"/>
      <c r="DZ25" s="118"/>
      <c r="EA25" s="118"/>
      <c r="EB25" s="119"/>
      <c r="EC25" s="119"/>
      <c r="ED25" s="119"/>
      <c r="EE25" s="119"/>
      <c r="EF25" s="119"/>
      <c r="EG25" s="119"/>
      <c r="EH25" s="119"/>
      <c r="EI25" s="120"/>
      <c r="EJ25" s="118"/>
      <c r="EK25" s="118"/>
      <c r="EL25" s="118"/>
      <c r="EM25" s="120"/>
      <c r="EN25" s="118"/>
      <c r="EO25" s="118"/>
      <c r="EP25" s="118"/>
      <c r="EQ25" s="118"/>
      <c r="ER25" s="118"/>
      <c r="ES25" s="118"/>
      <c r="ET25" s="118">
        <v>0</v>
      </c>
      <c r="EU25" s="118"/>
      <c r="EV25" s="118"/>
      <c r="EW25" s="118"/>
      <c r="EX25" s="118"/>
      <c r="EY25" s="118"/>
      <c r="EZ25" s="118"/>
      <c r="FA25" s="118"/>
      <c r="FB25" s="118"/>
      <c r="FC25" s="118"/>
      <c r="FD25" s="118"/>
      <c r="FE25" s="118"/>
      <c r="FF25" s="118"/>
      <c r="FG25" s="118"/>
      <c r="FH25" s="109">
        <f>GJ25</f>
        <v>2.44</v>
      </c>
      <c r="FI25" s="109"/>
      <c r="FJ25" s="109"/>
      <c r="FK25" s="109"/>
      <c r="FL25" s="109"/>
      <c r="FM25" s="121">
        <f>SUM(FI25:FL25)*FH25</f>
        <v>0</v>
      </c>
      <c r="FN25" s="122">
        <f>GP25</f>
        <v>0</v>
      </c>
      <c r="FO25" s="122"/>
      <c r="FP25" s="122"/>
      <c r="FQ25" s="122"/>
      <c r="FR25" s="122"/>
      <c r="FS25" s="123">
        <f>SUM(FO25:FR25)*FN25</f>
        <v>0</v>
      </c>
      <c r="FT25" s="124"/>
      <c r="FU25" s="124"/>
      <c r="FV25" s="124"/>
      <c r="FW25" s="124"/>
      <c r="FX25" s="225"/>
      <c r="FY25" s="105">
        <f>D25</f>
        <v>2.44</v>
      </c>
      <c r="FZ25" s="105"/>
      <c r="GA25" s="105"/>
      <c r="GB25" s="105"/>
      <c r="GC25" s="105"/>
      <c r="GD25" s="95"/>
      <c r="GE25" s="95"/>
      <c r="GF25" s="94"/>
      <c r="GG25" s="94">
        <f>SUM(FZ25:GC25)*FY25-GD25*0.93*2.04-GE25*1.4*2.04-GF25</f>
        <v>0</v>
      </c>
      <c r="GH25" s="95"/>
      <c r="GI25" s="94"/>
      <c r="GJ25" s="105">
        <f>D25</f>
        <v>2.44</v>
      </c>
      <c r="GK25" s="105">
        <f>B25</f>
        <v>9.3000000000000007</v>
      </c>
      <c r="GL25" s="105"/>
      <c r="GM25" s="105"/>
      <c r="GN25" s="105"/>
      <c r="GO25" s="95"/>
      <c r="GP25" s="95"/>
      <c r="GQ25" s="94">
        <f>DA25+DA26</f>
        <v>0</v>
      </c>
      <c r="GR25" s="94">
        <f>SUM(GK25:GN25)*GJ25-GO25*0.93*2.04-GP25*1.4*2.04-GQ25-GG25-GQ26</f>
        <v>22.692</v>
      </c>
      <c r="GS25" s="94"/>
      <c r="GT25" s="94"/>
      <c r="GU25" s="94">
        <f>SUM(BD25:BH25)</f>
        <v>3.1620000000000004</v>
      </c>
      <c r="GV25" s="94"/>
      <c r="GX25" s="95">
        <f>SUM(BQ25:BQ27)</f>
        <v>0</v>
      </c>
      <c r="GY25" s="95"/>
      <c r="GZ25" s="125"/>
      <c r="HA25" s="95"/>
      <c r="HB25" s="95"/>
      <c r="HC25" s="95"/>
      <c r="HD25" s="126">
        <f>E25-D25</f>
        <v>0.56000000000000005</v>
      </c>
      <c r="HE25" s="126"/>
      <c r="HF25" s="126"/>
      <c r="HG25" s="126"/>
      <c r="HH25" s="126"/>
      <c r="HI25" s="127"/>
      <c r="HJ25" s="127"/>
      <c r="HK25" s="127"/>
      <c r="HL25" s="128">
        <f>SUM(HE25:HH25)*HD25-HI25*0.93*2.04-HJ25*1.4*2.04-HK25</f>
        <v>0</v>
      </c>
      <c r="HM25" s="122">
        <f>AA25</f>
        <v>0</v>
      </c>
      <c r="HN25" s="122"/>
      <c r="HO25" s="122"/>
      <c r="HP25" s="122"/>
      <c r="HQ25" s="122"/>
      <c r="HR25" s="129"/>
      <c r="HS25" s="129"/>
      <c r="HT25" s="123"/>
      <c r="HU25" s="123"/>
    </row>
    <row r="26" spans="1:229" s="75" customFormat="1" x14ac:dyDescent="0.25">
      <c r="A26" s="224" t="s">
        <v>647</v>
      </c>
      <c r="B26" s="72"/>
      <c r="C26" s="72"/>
      <c r="D26" s="130"/>
      <c r="E26" s="130"/>
      <c r="F26" s="131"/>
      <c r="G26" s="5"/>
      <c r="H26" s="4"/>
      <c r="I26" s="4"/>
      <c r="J26" s="4"/>
      <c r="K26" s="4"/>
      <c r="L26" s="4"/>
      <c r="M26" s="4"/>
      <c r="N26" s="4"/>
      <c r="O26" s="132"/>
      <c r="P26" s="132"/>
      <c r="Q26" s="4"/>
      <c r="R26" s="4"/>
      <c r="S26" s="4"/>
      <c r="T26" s="133"/>
      <c r="U26" s="45"/>
      <c r="V26" s="45"/>
      <c r="W26" s="45"/>
      <c r="X26" s="45"/>
      <c r="Y26" s="45"/>
      <c r="Z26" s="73"/>
      <c r="AA26" s="73"/>
      <c r="AB26" s="73"/>
      <c r="AC26" s="73"/>
      <c r="AD26" s="73"/>
      <c r="AE26" s="73"/>
      <c r="AF26" s="73"/>
      <c r="AG26" s="52"/>
      <c r="AH26" s="52"/>
      <c r="AI26" s="73"/>
      <c r="AJ26" s="73"/>
      <c r="AK26" s="73"/>
      <c r="AL26" s="73"/>
      <c r="AM26" s="73"/>
      <c r="AN26" s="54"/>
      <c r="AO26" s="6"/>
      <c r="AP26" s="4"/>
      <c r="AQ26" s="45"/>
      <c r="AR26" s="45"/>
      <c r="AS26" s="45"/>
      <c r="AT26" s="45"/>
      <c r="AU26" s="45"/>
      <c r="AV26" s="45"/>
      <c r="AW26" s="46"/>
      <c r="AX26" s="5"/>
      <c r="AY26" s="5"/>
      <c r="AZ26" s="5"/>
      <c r="BA26" s="131"/>
      <c r="BB26" s="169"/>
      <c r="BC26" s="169"/>
      <c r="BD26" s="5"/>
      <c r="BE26" s="74"/>
      <c r="BF26" s="74"/>
      <c r="BG26" s="74"/>
      <c r="BH26" s="74"/>
      <c r="BI26" s="74"/>
      <c r="BJ26" s="74"/>
      <c r="BK26" s="171"/>
      <c r="BL26" s="74"/>
      <c r="BM26" s="74"/>
      <c r="BN26" s="64"/>
      <c r="BO26" s="134"/>
      <c r="BP26" s="134"/>
      <c r="BQ26" s="74"/>
      <c r="BR26" s="76"/>
      <c r="BS26" s="76"/>
      <c r="BT26" s="77"/>
      <c r="BU26" s="78"/>
      <c r="BV26" s="78"/>
      <c r="BW26" s="135"/>
      <c r="BX26" s="135"/>
      <c r="BY26" s="79"/>
      <c r="BZ26" s="136"/>
      <c r="CA26" s="136"/>
      <c r="CB26" s="137">
        <f>CB25</f>
        <v>3</v>
      </c>
      <c r="CC26" s="137"/>
      <c r="CD26" s="137"/>
      <c r="CE26" s="137"/>
      <c r="CF26" s="137"/>
      <c r="CG26" s="82"/>
      <c r="CH26" s="138"/>
      <c r="CI26" s="138"/>
      <c r="CJ26" s="138"/>
      <c r="CK26" s="82"/>
      <c r="CL26" s="82"/>
      <c r="CM26" s="138">
        <f>SUM(CC26:CF26)*CB26-CY26*0.93*2.04-CZ26*1.4*2.04-DA26</f>
        <v>0</v>
      </c>
      <c r="CN26" s="138"/>
      <c r="CO26" s="6"/>
      <c r="CP26" s="6"/>
      <c r="CQ26" s="7"/>
      <c r="CR26" s="6"/>
      <c r="CS26" s="6"/>
      <c r="CT26" s="6"/>
      <c r="CU26" s="139"/>
      <c r="CV26" s="139"/>
      <c r="CW26" s="139"/>
      <c r="CX26" s="82"/>
      <c r="CY26" s="6">
        <v>0</v>
      </c>
      <c r="CZ26" s="6">
        <v>0</v>
      </c>
      <c r="DA26" s="6">
        <v>0</v>
      </c>
      <c r="DB26" s="84"/>
      <c r="DC26" s="84"/>
      <c r="DD26" s="84"/>
      <c r="DE26" s="84"/>
      <c r="DF26" s="84"/>
      <c r="DG26" s="84"/>
      <c r="DH26" s="84"/>
      <c r="DI26" s="84"/>
      <c r="DJ26" s="84"/>
      <c r="DK26" s="84"/>
      <c r="DL26" s="84"/>
      <c r="DM26" s="84"/>
      <c r="DN26" s="84"/>
      <c r="DO26" s="84"/>
      <c r="DP26" s="84"/>
      <c r="DQ26" s="84"/>
      <c r="DR26" s="84"/>
      <c r="DS26" s="84"/>
      <c r="DT26" s="84"/>
      <c r="DU26" s="84"/>
      <c r="DV26" s="84"/>
      <c r="DW26" s="84"/>
      <c r="DX26" s="84"/>
      <c r="DY26" s="84"/>
      <c r="DZ26" s="84"/>
      <c r="EA26" s="84"/>
      <c r="EB26" s="85"/>
      <c r="EC26" s="85"/>
      <c r="ED26" s="85"/>
      <c r="EE26" s="85"/>
      <c r="EF26" s="85"/>
      <c r="EG26" s="85"/>
      <c r="EH26" s="85"/>
      <c r="EI26" s="86"/>
      <c r="EJ26" s="84"/>
      <c r="EK26" s="84"/>
      <c r="EL26" s="84"/>
      <c r="EM26" s="86"/>
      <c r="EN26" s="84"/>
      <c r="EO26" s="84"/>
      <c r="EP26" s="84"/>
      <c r="EQ26" s="84"/>
      <c r="ER26" s="84"/>
      <c r="ES26" s="84"/>
      <c r="ET26" s="84"/>
      <c r="EU26" s="84"/>
      <c r="EV26" s="84"/>
      <c r="EW26" s="140"/>
      <c r="EX26" s="140"/>
      <c r="EY26" s="84"/>
      <c r="EZ26" s="84"/>
      <c r="FA26" s="84"/>
      <c r="FB26" s="84"/>
      <c r="FC26" s="84"/>
      <c r="FD26" s="84"/>
      <c r="FE26" s="84"/>
      <c r="FF26" s="84"/>
      <c r="FG26" s="84"/>
      <c r="FH26" s="135"/>
      <c r="FI26" s="135"/>
      <c r="FJ26" s="135"/>
      <c r="FK26" s="135"/>
      <c r="FL26" s="135"/>
      <c r="FM26" s="141"/>
      <c r="FN26" s="142"/>
      <c r="FO26" s="142"/>
      <c r="FP26" s="142"/>
      <c r="FQ26" s="142"/>
      <c r="FR26" s="142"/>
      <c r="FS26" s="53"/>
      <c r="FT26" s="88"/>
      <c r="FU26" s="88"/>
      <c r="FV26" s="88"/>
      <c r="FW26" s="88"/>
      <c r="FX26" s="457"/>
      <c r="FY26" s="134"/>
      <c r="FZ26" s="134"/>
      <c r="GA26" s="134"/>
      <c r="GB26" s="134"/>
      <c r="GC26" s="134"/>
      <c r="GD26" s="5"/>
      <c r="GE26" s="5"/>
      <c r="GF26" s="5"/>
      <c r="GG26" s="131"/>
      <c r="GH26" s="5"/>
      <c r="GI26" s="131"/>
      <c r="GJ26" s="134"/>
      <c r="GK26" s="134"/>
      <c r="GL26" s="134" t="s">
        <v>563</v>
      </c>
      <c r="GM26" s="134"/>
      <c r="GN26" s="134"/>
      <c r="GO26" s="5"/>
      <c r="GP26" s="5"/>
      <c r="GQ26" s="5"/>
      <c r="GR26" s="131"/>
      <c r="GS26" s="131"/>
      <c r="GT26" s="131"/>
      <c r="GU26" s="5"/>
      <c r="GV26" s="5"/>
      <c r="GW26" s="5"/>
      <c r="GX26" s="5"/>
      <c r="GY26" s="5"/>
      <c r="GZ26" s="90"/>
      <c r="HA26" s="5"/>
      <c r="HB26" s="5"/>
      <c r="HC26" s="5"/>
      <c r="HD26" s="143"/>
      <c r="HE26" s="143"/>
      <c r="HF26" s="143"/>
      <c r="HG26" s="143"/>
      <c r="HH26" s="143"/>
      <c r="HI26" s="52"/>
      <c r="HJ26" s="52"/>
      <c r="HK26" s="52"/>
      <c r="HL26" s="144"/>
      <c r="HM26" s="142"/>
      <c r="HN26" s="142"/>
      <c r="HO26" s="142"/>
      <c r="HP26" s="142"/>
      <c r="HQ26" s="142"/>
      <c r="HR26" s="49"/>
      <c r="HS26" s="49"/>
      <c r="HT26" s="49"/>
      <c r="HU26" s="53"/>
    </row>
    <row r="27" spans="1:229" s="75" customFormat="1" x14ac:dyDescent="0.25">
      <c r="B27" s="72"/>
      <c r="C27" s="72"/>
      <c r="D27" s="72"/>
      <c r="E27" s="72"/>
      <c r="F27" s="5"/>
      <c r="G27" s="5"/>
      <c r="H27" s="4"/>
      <c r="I27" s="4"/>
      <c r="J27" s="4"/>
      <c r="K27" s="4"/>
      <c r="L27" s="172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73"/>
      <c r="AA27" s="73"/>
      <c r="AB27" s="73"/>
      <c r="AC27" s="73"/>
      <c r="AD27" s="73"/>
      <c r="AE27" s="73"/>
      <c r="AF27" s="73"/>
      <c r="AG27" s="52"/>
      <c r="AH27" s="52"/>
      <c r="AI27" s="73"/>
      <c r="AJ27" s="73"/>
      <c r="AK27" s="73"/>
      <c r="AL27" s="73"/>
      <c r="AM27" s="73"/>
      <c r="AN27" s="54"/>
      <c r="AO27" s="6"/>
      <c r="AP27" s="4"/>
      <c r="AQ27" s="4"/>
      <c r="AR27" s="4"/>
      <c r="AS27" s="4"/>
      <c r="AT27" s="4"/>
      <c r="AU27" s="4"/>
      <c r="AV27" s="4"/>
      <c r="AW27" s="46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131"/>
      <c r="BL27" s="5"/>
      <c r="BM27" s="5"/>
      <c r="BN27" s="49"/>
      <c r="BO27" s="134"/>
      <c r="BP27" s="134"/>
      <c r="BQ27" s="5"/>
      <c r="BR27" s="145"/>
      <c r="BS27" s="145"/>
      <c r="BT27" s="146"/>
      <c r="BU27" s="147"/>
      <c r="BV27" s="147"/>
      <c r="BW27" s="141"/>
      <c r="BX27" s="135"/>
      <c r="BY27" s="79"/>
      <c r="BZ27" s="136"/>
      <c r="CA27" s="136"/>
      <c r="CB27" s="148">
        <f>CB26</f>
        <v>3</v>
      </c>
      <c r="CC27" s="137"/>
      <c r="CD27" s="137"/>
      <c r="CE27" s="137"/>
      <c r="CF27" s="137"/>
      <c r="CG27" s="149"/>
      <c r="CH27" s="174"/>
      <c r="CI27" s="174"/>
      <c r="CJ27" s="6"/>
      <c r="CK27" s="138">
        <f>SUM(CC27:CF27)*CB27-CY27*0.93*2.04-CZ27*1.4*2.04-DA27</f>
        <v>0</v>
      </c>
      <c r="CL27" s="6"/>
      <c r="CM27" s="138"/>
      <c r="CN27" s="138"/>
      <c r="CO27" s="138"/>
      <c r="CP27" s="138"/>
      <c r="CQ27" s="138"/>
      <c r="CR27" s="6"/>
      <c r="CS27" s="6"/>
      <c r="CT27" s="6"/>
      <c r="CU27" s="6"/>
      <c r="CV27" s="6"/>
      <c r="CW27" s="6"/>
      <c r="CX27" s="82"/>
      <c r="CY27" s="6">
        <v>0</v>
      </c>
      <c r="CZ27" s="6">
        <v>0</v>
      </c>
      <c r="DA27" s="6">
        <v>0</v>
      </c>
      <c r="DB27" s="84"/>
      <c r="DC27" s="84"/>
      <c r="DD27" s="84"/>
      <c r="DE27" s="84"/>
      <c r="DF27" s="84"/>
      <c r="DG27" s="84"/>
      <c r="DH27" s="84"/>
      <c r="DI27" s="84"/>
      <c r="DJ27" s="84"/>
      <c r="DK27" s="84"/>
      <c r="DL27" s="84"/>
      <c r="DM27" s="84"/>
      <c r="DN27" s="84"/>
      <c r="DO27" s="84"/>
      <c r="DP27" s="84"/>
      <c r="DQ27" s="84"/>
      <c r="DR27" s="84"/>
      <c r="DS27" s="84"/>
      <c r="DT27" s="84"/>
      <c r="DU27" s="84"/>
      <c r="DV27" s="84"/>
      <c r="DW27" s="84"/>
      <c r="DX27" s="84"/>
      <c r="DY27" s="84"/>
      <c r="DZ27" s="84"/>
      <c r="EA27" s="84"/>
      <c r="EB27" s="85"/>
      <c r="EC27" s="85"/>
      <c r="ED27" s="85"/>
      <c r="EE27" s="85"/>
      <c r="EF27" s="85"/>
      <c r="EG27" s="85"/>
      <c r="EH27" s="85"/>
      <c r="EI27" s="86"/>
      <c r="EJ27" s="84"/>
      <c r="EK27" s="84"/>
      <c r="EL27" s="84"/>
      <c r="EM27" s="86"/>
      <c r="EN27" s="84"/>
      <c r="EO27" s="84"/>
      <c r="EP27" s="84"/>
      <c r="EQ27" s="84"/>
      <c r="ER27" s="84"/>
      <c r="ES27" s="84"/>
      <c r="ET27" s="84"/>
      <c r="EU27" s="84"/>
      <c r="EV27" s="84"/>
      <c r="EW27" s="84"/>
      <c r="EX27" s="84"/>
      <c r="EY27" s="84"/>
      <c r="EZ27" s="84"/>
      <c r="FA27" s="84"/>
      <c r="FB27" s="84"/>
      <c r="FC27" s="84"/>
      <c r="FD27" s="84"/>
      <c r="FE27" s="84"/>
      <c r="FF27" s="84"/>
      <c r="FG27" s="84"/>
      <c r="FH27" s="135"/>
      <c r="FI27" s="135"/>
      <c r="FJ27" s="135"/>
      <c r="FK27" s="135"/>
      <c r="FL27" s="135"/>
      <c r="FM27" s="85"/>
      <c r="FN27" s="142"/>
      <c r="FO27" s="142"/>
      <c r="FP27" s="142"/>
      <c r="FQ27" s="142"/>
      <c r="FR27" s="142"/>
      <c r="FS27" s="49"/>
      <c r="FT27" s="88"/>
      <c r="FU27" s="88"/>
      <c r="FV27" s="88"/>
      <c r="FW27" s="88"/>
      <c r="FX27" s="457"/>
      <c r="FY27" s="134"/>
      <c r="FZ27" s="134"/>
      <c r="GA27" s="134"/>
      <c r="GB27" s="134"/>
      <c r="GC27" s="134"/>
      <c r="GD27" s="5"/>
      <c r="GE27" s="5"/>
      <c r="GF27" s="5"/>
      <c r="GG27" s="5"/>
      <c r="GH27" s="5"/>
      <c r="GI27" s="5"/>
      <c r="GJ27" s="134"/>
      <c r="GK27" s="134"/>
      <c r="GL27" s="134"/>
      <c r="GM27" s="134"/>
      <c r="GN27" s="134"/>
      <c r="GO27" s="5"/>
      <c r="GP27" s="5"/>
      <c r="GQ27" s="494" t="s">
        <v>704</v>
      </c>
      <c r="GR27" s="5"/>
      <c r="GS27" s="5"/>
      <c r="GT27" s="5"/>
      <c r="GU27" s="160"/>
      <c r="GV27" s="5"/>
      <c r="GW27" s="5"/>
      <c r="GX27" s="5"/>
      <c r="GY27" s="5"/>
      <c r="GZ27" s="90"/>
      <c r="HA27" s="5"/>
      <c r="HB27" s="5"/>
      <c r="HC27" s="5"/>
      <c r="HD27" s="143"/>
      <c r="HE27" s="143"/>
      <c r="HF27" s="143"/>
      <c r="HG27" s="143"/>
      <c r="HH27" s="143"/>
      <c r="HI27" s="52"/>
      <c r="HJ27" s="52"/>
      <c r="HK27" s="52"/>
      <c r="HL27" s="52"/>
      <c r="HM27" s="142"/>
      <c r="HN27" s="142"/>
      <c r="HO27" s="142"/>
      <c r="HP27" s="142"/>
      <c r="HQ27" s="142"/>
      <c r="HR27" s="49"/>
      <c r="HS27" s="49"/>
      <c r="HT27" s="49"/>
      <c r="HU27" s="49"/>
    </row>
    <row r="28" spans="1:229" s="91" customFormat="1" x14ac:dyDescent="0.25">
      <c r="A28" s="91" t="s">
        <v>649</v>
      </c>
      <c r="B28" s="92">
        <v>18.34</v>
      </c>
      <c r="C28" s="92">
        <v>1.84</v>
      </c>
      <c r="D28" s="93">
        <v>2.44</v>
      </c>
      <c r="E28" s="93">
        <v>3</v>
      </c>
      <c r="F28" s="94">
        <f>B28*C28</f>
        <v>33.745600000000003</v>
      </c>
      <c r="G28" s="95">
        <f>(B28+C28)*2</f>
        <v>40.36</v>
      </c>
      <c r="H28" s="96"/>
      <c r="I28" s="96"/>
      <c r="J28" s="96"/>
      <c r="K28" s="96">
        <f>1.7+4.66+8.37+14.86</f>
        <v>29.59</v>
      </c>
      <c r="L28" s="96">
        <f>G28-I28*0.93-J28*1.4-K28</f>
        <v>10.77</v>
      </c>
      <c r="M28" s="173"/>
      <c r="N28" s="173"/>
      <c r="O28" s="96">
        <f>B28</f>
        <v>18.34</v>
      </c>
      <c r="P28" s="96"/>
      <c r="Q28" s="96"/>
      <c r="R28" s="96"/>
      <c r="S28" s="96"/>
      <c r="T28" s="97">
        <f>F28</f>
        <v>33.745600000000003</v>
      </c>
      <c r="U28" s="97"/>
      <c r="V28" s="97"/>
      <c r="W28" s="97"/>
      <c r="X28" s="97"/>
      <c r="Y28" s="97"/>
      <c r="Z28" s="98"/>
      <c r="AA28" s="98"/>
      <c r="AB28" s="98"/>
      <c r="AC28" s="98"/>
      <c r="AD28" s="98"/>
      <c r="AE28" s="98"/>
      <c r="AF28" s="98"/>
      <c r="AG28" s="127"/>
      <c r="AH28" s="127"/>
      <c r="AI28" s="98"/>
      <c r="AJ28" s="98"/>
      <c r="AK28" s="98"/>
      <c r="AL28" s="98"/>
      <c r="AM28" s="98"/>
      <c r="AN28" s="99"/>
      <c r="AO28" s="100"/>
      <c r="AP28" s="96"/>
      <c r="AQ28" s="97"/>
      <c r="AR28" s="97"/>
      <c r="AS28" s="97"/>
      <c r="AT28" s="97">
        <f>F28</f>
        <v>33.745600000000003</v>
      </c>
      <c r="AU28" s="97">
        <f>AT28</f>
        <v>33.745600000000003</v>
      </c>
      <c r="AV28" s="97"/>
      <c r="AW28" s="101"/>
      <c r="AX28" s="95"/>
      <c r="AY28" s="95"/>
      <c r="AZ28" s="95"/>
      <c r="BA28" s="94"/>
      <c r="BB28" s="94">
        <f>18.34*1.64</f>
        <v>30.077599999999997</v>
      </c>
      <c r="BC28" s="94"/>
      <c r="BD28" s="94"/>
      <c r="BE28" s="102"/>
      <c r="BF28" s="103"/>
      <c r="BG28" s="102">
        <f>18.34*0.65</f>
        <v>11.921000000000001</v>
      </c>
      <c r="BH28" s="102"/>
      <c r="BI28" s="102"/>
      <c r="BJ28" s="102"/>
      <c r="BK28" s="102"/>
      <c r="BL28" s="103"/>
      <c r="BM28" s="102"/>
      <c r="BN28" s="104"/>
      <c r="BO28" s="105"/>
      <c r="BP28" s="105"/>
      <c r="BQ28" s="103">
        <f>BO28*BP28</f>
        <v>0</v>
      </c>
      <c r="BR28" s="106"/>
      <c r="BS28" s="106"/>
      <c r="BT28" s="107"/>
      <c r="BU28" s="108"/>
      <c r="BV28" s="108"/>
      <c r="BW28" s="109"/>
      <c r="BX28" s="109"/>
      <c r="BY28" s="110"/>
      <c r="BZ28" s="111"/>
      <c r="CA28" s="111"/>
      <c r="CB28" s="112">
        <f>E28</f>
        <v>3</v>
      </c>
      <c r="CC28" s="112"/>
      <c r="CD28" s="112"/>
      <c r="CE28" s="112"/>
      <c r="CF28" s="112"/>
      <c r="CG28" s="113"/>
      <c r="CH28" s="114">
        <f>SUM(CC28:CF28)*CB28-CY28*0.93*2.04-CZ28*1.4*2.04-DA28</f>
        <v>0</v>
      </c>
      <c r="CI28" s="114"/>
      <c r="CJ28" s="113"/>
      <c r="CK28" s="117"/>
      <c r="CL28" s="100"/>
      <c r="CM28" s="100"/>
      <c r="CN28" s="100"/>
      <c r="CO28" s="100"/>
      <c r="CP28" s="100"/>
      <c r="CQ28" s="115"/>
      <c r="CR28" s="100"/>
      <c r="CS28" s="100"/>
      <c r="CT28" s="100"/>
      <c r="CU28" s="116"/>
      <c r="CV28" s="116"/>
      <c r="CW28" s="116"/>
      <c r="CX28" s="117"/>
      <c r="CY28" s="100">
        <v>0</v>
      </c>
      <c r="CZ28" s="100">
        <v>0</v>
      </c>
      <c r="DA28" s="100">
        <v>0</v>
      </c>
      <c r="DB28" s="118"/>
      <c r="DC28" s="118"/>
      <c r="DD28" s="118"/>
      <c r="DE28" s="118"/>
      <c r="DF28" s="118"/>
      <c r="DG28" s="118"/>
      <c r="DH28" s="118"/>
      <c r="DI28" s="118"/>
      <c r="DJ28" s="118"/>
      <c r="DK28" s="118"/>
      <c r="DL28" s="118"/>
      <c r="DM28" s="118"/>
      <c r="DN28" s="118"/>
      <c r="DO28" s="118"/>
      <c r="DP28" s="118"/>
      <c r="DQ28" s="118"/>
      <c r="DR28" s="118"/>
      <c r="DS28" s="118"/>
      <c r="DT28" s="118"/>
      <c r="DU28" s="118"/>
      <c r="DV28" s="118"/>
      <c r="DW28" s="118"/>
      <c r="DX28" s="118"/>
      <c r="DY28" s="118"/>
      <c r="DZ28" s="118"/>
      <c r="EA28" s="118"/>
      <c r="EB28" s="119"/>
      <c r="EC28" s="119">
        <v>1</v>
      </c>
      <c r="ED28" s="119"/>
      <c r="EE28" s="119"/>
      <c r="EF28" s="119"/>
      <c r="EG28" s="119"/>
      <c r="EH28" s="119"/>
      <c r="EI28" s="120"/>
      <c r="EJ28" s="118"/>
      <c r="EK28" s="118"/>
      <c r="EL28" s="118"/>
      <c r="EM28" s="120"/>
      <c r="EN28" s="118"/>
      <c r="EO28" s="118"/>
      <c r="EP28" s="118"/>
      <c r="EQ28" s="118"/>
      <c r="ER28" s="118"/>
      <c r="ES28" s="118"/>
      <c r="ET28" s="118">
        <v>0</v>
      </c>
      <c r="EU28" s="118"/>
      <c r="EV28" s="118"/>
      <c r="EW28" s="118"/>
      <c r="EX28" s="118"/>
      <c r="EY28" s="118"/>
      <c r="EZ28" s="118"/>
      <c r="FA28" s="118"/>
      <c r="FB28" s="118"/>
      <c r="FC28" s="118"/>
      <c r="FD28" s="118"/>
      <c r="FE28" s="118"/>
      <c r="FF28" s="118"/>
      <c r="FG28" s="118"/>
      <c r="FH28" s="109">
        <f>GJ28</f>
        <v>2.44</v>
      </c>
      <c r="FI28" s="109"/>
      <c r="FJ28" s="109"/>
      <c r="FK28" s="109"/>
      <c r="FL28" s="109"/>
      <c r="FM28" s="121">
        <f>SUM(FI28:FL28)*FH28</f>
        <v>0</v>
      </c>
      <c r="FN28" s="122">
        <f>GP28</f>
        <v>0</v>
      </c>
      <c r="FO28" s="122"/>
      <c r="FP28" s="122"/>
      <c r="FQ28" s="122"/>
      <c r="FR28" s="122"/>
      <c r="FS28" s="123">
        <f>SUM(FO28:FR28)*FN28</f>
        <v>0</v>
      </c>
      <c r="FT28" s="124"/>
      <c r="FU28" s="124"/>
      <c r="FV28" s="225">
        <f>(18.34+2.31)*2.44</f>
        <v>50.385999999999996</v>
      </c>
      <c r="FW28" s="225"/>
      <c r="FX28" s="225"/>
      <c r="FY28" s="105">
        <f>D28</f>
        <v>2.44</v>
      </c>
      <c r="FZ28" s="105"/>
      <c r="GA28" s="105"/>
      <c r="GB28" s="105"/>
      <c r="GC28" s="105"/>
      <c r="GD28" s="95"/>
      <c r="GE28" s="95"/>
      <c r="GF28" s="94"/>
      <c r="GG28" s="94">
        <f>SUM(FZ28:GC28)*FY28-GD28*0.93*2.04-GE28*1.4*2.04-GF28</f>
        <v>0</v>
      </c>
      <c r="GH28" s="95"/>
      <c r="GI28" s="94"/>
      <c r="GJ28" s="105">
        <f>D28</f>
        <v>2.44</v>
      </c>
      <c r="GK28" s="105">
        <f>B28</f>
        <v>18.34</v>
      </c>
      <c r="GL28" s="105">
        <v>-4.66</v>
      </c>
      <c r="GM28" s="105">
        <f>C28</f>
        <v>1.84</v>
      </c>
      <c r="GN28" s="105"/>
      <c r="GO28" s="95"/>
      <c r="GP28" s="95"/>
      <c r="GQ28" s="94">
        <f>DA28+DA29</f>
        <v>0</v>
      </c>
      <c r="GR28" s="94">
        <f>SUM(GK28:GN28)*GJ28-GO28*0.93*2.04-GP28*1.4*2.04-GQ28-GG28-GQ29</f>
        <v>37.8688</v>
      </c>
      <c r="GS28" s="94"/>
      <c r="GT28" s="94"/>
      <c r="GU28" s="94">
        <f>SUM(BD28:BH28)</f>
        <v>11.921000000000001</v>
      </c>
      <c r="GV28" s="94"/>
      <c r="GX28" s="95">
        <f>SUM(BQ28:BQ30)</f>
        <v>0</v>
      </c>
      <c r="GY28" s="95"/>
      <c r="GZ28" s="125"/>
      <c r="HA28" s="95"/>
      <c r="HB28" s="95"/>
      <c r="HC28" s="95"/>
      <c r="HD28" s="126">
        <f>E28-D28</f>
        <v>0.56000000000000005</v>
      </c>
      <c r="HE28" s="126"/>
      <c r="HF28" s="126"/>
      <c r="HG28" s="126"/>
      <c r="HH28" s="126"/>
      <c r="HI28" s="127"/>
      <c r="HJ28" s="127"/>
      <c r="HK28" s="127"/>
      <c r="HL28" s="128">
        <f>SUM(HE28:HH28)*HD28-HI28*0.93*2.04-HJ28*1.4*2.04-HK28</f>
        <v>0</v>
      </c>
      <c r="HM28" s="122">
        <f>AA28</f>
        <v>0</v>
      </c>
      <c r="HN28" s="122"/>
      <c r="HO28" s="122"/>
      <c r="HP28" s="122"/>
      <c r="HQ28" s="122"/>
      <c r="HR28" s="129"/>
      <c r="HS28" s="129"/>
      <c r="HT28" s="123"/>
      <c r="HU28" s="123"/>
    </row>
    <row r="29" spans="1:229" s="75" customFormat="1" x14ac:dyDescent="0.25">
      <c r="A29" s="224" t="s">
        <v>647</v>
      </c>
      <c r="B29" s="72"/>
      <c r="C29" s="72"/>
      <c r="D29" s="130"/>
      <c r="E29" s="130"/>
      <c r="F29" s="131"/>
      <c r="G29" s="5"/>
      <c r="H29" s="4"/>
      <c r="I29" s="4"/>
      <c r="J29" s="4"/>
      <c r="K29" s="4"/>
      <c r="L29" s="4"/>
      <c r="M29" s="4"/>
      <c r="N29" s="4"/>
      <c r="O29" s="132"/>
      <c r="P29" s="132"/>
      <c r="Q29" s="4"/>
      <c r="R29" s="4"/>
      <c r="S29" s="4"/>
      <c r="T29" s="133"/>
      <c r="U29" s="45"/>
      <c r="V29" s="45"/>
      <c r="W29" s="45"/>
      <c r="X29" s="45"/>
      <c r="Y29" s="45"/>
      <c r="Z29" s="73"/>
      <c r="AA29" s="73"/>
      <c r="AB29" s="73"/>
      <c r="AC29" s="73"/>
      <c r="AD29" s="73"/>
      <c r="AE29" s="73"/>
      <c r="AF29" s="73"/>
      <c r="AG29" s="52"/>
      <c r="AH29" s="52"/>
      <c r="AI29" s="73"/>
      <c r="AJ29" s="73"/>
      <c r="AK29" s="73"/>
      <c r="AL29" s="73"/>
      <c r="AM29" s="73"/>
      <c r="AN29" s="54"/>
      <c r="AO29" s="6"/>
      <c r="AP29" s="4"/>
      <c r="AQ29" s="45"/>
      <c r="AR29" s="45"/>
      <c r="AS29" s="45"/>
      <c r="AT29" s="45"/>
      <c r="AU29" s="45"/>
      <c r="AV29" s="45"/>
      <c r="AW29" s="46"/>
      <c r="AX29" s="5"/>
      <c r="AY29" s="5"/>
      <c r="AZ29" s="5"/>
      <c r="BA29" s="131"/>
      <c r="BB29" s="169"/>
      <c r="BC29" s="169"/>
      <c r="BD29" s="5"/>
      <c r="BE29" s="74"/>
      <c r="BF29" s="74"/>
      <c r="BG29" s="74"/>
      <c r="BH29" s="74"/>
      <c r="BI29" s="74"/>
      <c r="BJ29" s="74"/>
      <c r="BK29" s="171"/>
      <c r="BL29" s="74"/>
      <c r="BM29" s="74"/>
      <c r="BN29" s="64"/>
      <c r="BO29" s="134"/>
      <c r="BP29" s="134"/>
      <c r="BQ29" s="74"/>
      <c r="BR29" s="76"/>
      <c r="BS29" s="76"/>
      <c r="BT29" s="77"/>
      <c r="BU29" s="78"/>
      <c r="BV29" s="78"/>
      <c r="BW29" s="135"/>
      <c r="BX29" s="135"/>
      <c r="BY29" s="79"/>
      <c r="BZ29" s="136"/>
      <c r="CA29" s="136"/>
      <c r="CB29" s="137">
        <f>CB28</f>
        <v>3</v>
      </c>
      <c r="CC29" s="137"/>
      <c r="CD29" s="137"/>
      <c r="CE29" s="137"/>
      <c r="CF29" s="137"/>
      <c r="CG29" s="82"/>
      <c r="CH29" s="138"/>
      <c r="CI29" s="138"/>
      <c r="CJ29" s="138"/>
      <c r="CK29" s="82"/>
      <c r="CL29" s="82"/>
      <c r="CM29" s="138">
        <f>SUM(CC29:CF29)*CB29-CY29*0.93*2.04-CZ29*1.4*2.04-DA29</f>
        <v>0</v>
      </c>
      <c r="CN29" s="138"/>
      <c r="CO29" s="6"/>
      <c r="CP29" s="6"/>
      <c r="CQ29" s="7"/>
      <c r="CR29" s="6"/>
      <c r="CS29" s="6"/>
      <c r="CT29" s="6"/>
      <c r="CU29" s="139"/>
      <c r="CV29" s="139"/>
      <c r="CW29" s="139"/>
      <c r="CX29" s="82"/>
      <c r="CY29" s="6">
        <v>0</v>
      </c>
      <c r="CZ29" s="6">
        <v>0</v>
      </c>
      <c r="DA29" s="6">
        <v>0</v>
      </c>
      <c r="DB29" s="84"/>
      <c r="DC29" s="84"/>
      <c r="DD29" s="84"/>
      <c r="DE29" s="84"/>
      <c r="DF29" s="84"/>
      <c r="DG29" s="84"/>
      <c r="DH29" s="84"/>
      <c r="DI29" s="84"/>
      <c r="DJ29" s="84"/>
      <c r="DK29" s="84"/>
      <c r="DL29" s="84"/>
      <c r="DM29" s="84"/>
      <c r="DN29" s="84"/>
      <c r="DO29" s="84"/>
      <c r="DP29" s="84"/>
      <c r="DQ29" s="84"/>
      <c r="DR29" s="84"/>
      <c r="DS29" s="84"/>
      <c r="DT29" s="84"/>
      <c r="DU29" s="84"/>
      <c r="DV29" s="84"/>
      <c r="DW29" s="84"/>
      <c r="DX29" s="84"/>
      <c r="DY29" s="84"/>
      <c r="DZ29" s="84"/>
      <c r="EA29" s="84"/>
      <c r="EB29" s="85"/>
      <c r="EC29" s="85"/>
      <c r="ED29" s="85"/>
      <c r="EE29" s="85"/>
      <c r="EF29" s="85"/>
      <c r="EG29" s="85"/>
      <c r="EH29" s="85"/>
      <c r="EI29" s="86"/>
      <c r="EJ29" s="84"/>
      <c r="EK29" s="84"/>
      <c r="EL29" s="84"/>
      <c r="EM29" s="86"/>
      <c r="EN29" s="84"/>
      <c r="EO29" s="84"/>
      <c r="EP29" s="84"/>
      <c r="EQ29" s="84"/>
      <c r="ER29" s="84"/>
      <c r="ES29" s="84"/>
      <c r="ET29" s="84"/>
      <c r="EU29" s="84"/>
      <c r="EV29" s="84"/>
      <c r="EW29" s="140"/>
      <c r="EX29" s="140"/>
      <c r="EY29" s="84"/>
      <c r="EZ29" s="84"/>
      <c r="FA29" s="84"/>
      <c r="FB29" s="84"/>
      <c r="FC29" s="84"/>
      <c r="FD29" s="84"/>
      <c r="FE29" s="84"/>
      <c r="FF29" s="84"/>
      <c r="FG29" s="84"/>
      <c r="FH29" s="135"/>
      <c r="FI29" s="135"/>
      <c r="FJ29" s="135"/>
      <c r="FK29" s="135"/>
      <c r="FL29" s="135"/>
      <c r="FM29" s="141"/>
      <c r="FN29" s="142"/>
      <c r="FO29" s="142"/>
      <c r="FP29" s="142"/>
      <c r="FQ29" s="142"/>
      <c r="FR29" s="142"/>
      <c r="FS29" s="53"/>
      <c r="FT29" s="88"/>
      <c r="FU29" s="88"/>
      <c r="FV29" s="495" t="s">
        <v>705</v>
      </c>
      <c r="FW29" s="495"/>
      <c r="FX29" s="497"/>
      <c r="FY29" s="134"/>
      <c r="FZ29" s="134"/>
      <c r="GA29" s="134"/>
      <c r="GB29" s="134"/>
      <c r="GC29" s="134"/>
      <c r="GD29" s="5"/>
      <c r="GE29" s="5"/>
      <c r="GF29" s="5"/>
      <c r="GG29" s="131"/>
      <c r="GH29" s="5"/>
      <c r="GI29" s="131"/>
      <c r="GJ29" s="134"/>
      <c r="GK29" s="134"/>
      <c r="GL29" s="134" t="s">
        <v>563</v>
      </c>
      <c r="GM29" s="134"/>
      <c r="GN29" s="134"/>
      <c r="GO29" s="5"/>
      <c r="GP29" s="5"/>
      <c r="GQ29" s="5"/>
      <c r="GR29" s="131"/>
      <c r="GS29" s="131"/>
      <c r="GT29" s="131"/>
      <c r="GU29" s="5"/>
      <c r="GV29" s="5"/>
      <c r="GW29" s="5"/>
      <c r="GX29" s="5"/>
      <c r="GY29" s="5"/>
      <c r="GZ29" s="90"/>
      <c r="HA29" s="5"/>
      <c r="HB29" s="5"/>
      <c r="HC29" s="5"/>
      <c r="HD29" s="143"/>
      <c r="HE29" s="143"/>
      <c r="HF29" s="143"/>
      <c r="HG29" s="143"/>
      <c r="HH29" s="143"/>
      <c r="HI29" s="52"/>
      <c r="HJ29" s="52"/>
      <c r="HK29" s="52"/>
      <c r="HL29" s="144"/>
      <c r="HM29" s="142"/>
      <c r="HN29" s="142"/>
      <c r="HO29" s="142"/>
      <c r="HP29" s="142"/>
      <c r="HQ29" s="142"/>
      <c r="HR29" s="49"/>
      <c r="HS29" s="49"/>
      <c r="HT29" s="49"/>
      <c r="HU29" s="53"/>
    </row>
    <row r="30" spans="1:229" s="196" customFormat="1" x14ac:dyDescent="0.25">
      <c r="B30" s="197"/>
      <c r="C30" s="197"/>
      <c r="D30" s="197"/>
      <c r="E30" s="197"/>
      <c r="F30" s="160"/>
      <c r="G30" s="160"/>
      <c r="H30" s="172"/>
      <c r="I30" s="172"/>
      <c r="J30" s="172"/>
      <c r="K30" s="172"/>
      <c r="L30" s="172"/>
      <c r="M30" s="172"/>
      <c r="N30" s="172"/>
      <c r="O30" s="172"/>
      <c r="P30" s="172"/>
      <c r="Q30" s="172"/>
      <c r="R30" s="172"/>
      <c r="S30" s="172"/>
      <c r="T30" s="172"/>
      <c r="U30" s="172"/>
      <c r="V30" s="172"/>
      <c r="W30" s="172"/>
      <c r="X30" s="172"/>
      <c r="Y30" s="172"/>
      <c r="Z30" s="198"/>
      <c r="AA30" s="198"/>
      <c r="AB30" s="198"/>
      <c r="AC30" s="198"/>
      <c r="AD30" s="198"/>
      <c r="AE30" s="198"/>
      <c r="AF30" s="198"/>
      <c r="AG30" s="199"/>
      <c r="AH30" s="199"/>
      <c r="AI30" s="198"/>
      <c r="AJ30" s="198"/>
      <c r="AK30" s="198"/>
      <c r="AL30" s="198"/>
      <c r="AM30" s="198"/>
      <c r="AN30" s="200"/>
      <c r="AO30" s="201"/>
      <c r="AP30" s="172"/>
      <c r="AQ30" s="172"/>
      <c r="AR30" s="172"/>
      <c r="AS30" s="172"/>
      <c r="AT30" s="172"/>
      <c r="AU30" s="172"/>
      <c r="AV30" s="172"/>
      <c r="AW30" s="202"/>
      <c r="AX30" s="160"/>
      <c r="AY30" s="160"/>
      <c r="AZ30" s="160"/>
      <c r="BA30" s="160"/>
      <c r="BB30" s="160"/>
      <c r="BC30" s="160"/>
      <c r="BD30" s="160"/>
      <c r="BE30" s="160"/>
      <c r="BF30" s="160"/>
      <c r="BG30" s="160"/>
      <c r="BH30" s="160"/>
      <c r="BI30" s="160"/>
      <c r="BJ30" s="160"/>
      <c r="BK30" s="203"/>
      <c r="BL30" s="160"/>
      <c r="BM30" s="160"/>
      <c r="BN30" s="204"/>
      <c r="BO30" s="205"/>
      <c r="BP30" s="205"/>
      <c r="BQ30" s="160"/>
      <c r="BR30" s="206"/>
      <c r="BS30" s="206"/>
      <c r="BT30" s="207"/>
      <c r="BU30" s="208"/>
      <c r="BV30" s="208"/>
      <c r="BW30" s="209"/>
      <c r="BX30" s="210"/>
      <c r="BY30" s="211"/>
      <c r="BZ30" s="212"/>
      <c r="CA30" s="212"/>
      <c r="CB30" s="213">
        <f>CB29</f>
        <v>3</v>
      </c>
      <c r="CC30" s="214"/>
      <c r="CD30" s="214"/>
      <c r="CE30" s="214"/>
      <c r="CF30" s="214"/>
      <c r="CG30" s="215"/>
      <c r="CH30" s="174"/>
      <c r="CI30" s="174"/>
      <c r="CJ30" s="201"/>
      <c r="CK30" s="174">
        <f>SUM(CC30:CF30)*CB30-CY30*0.93*2.04-CZ30*1.4*2.04-DA30</f>
        <v>0</v>
      </c>
      <c r="CL30" s="201"/>
      <c r="CM30" s="174"/>
      <c r="CN30" s="174"/>
      <c r="CO30" s="174"/>
      <c r="CP30" s="174"/>
      <c r="CQ30" s="174"/>
      <c r="CR30" s="201"/>
      <c r="CS30" s="201"/>
      <c r="CT30" s="201"/>
      <c r="CU30" s="201"/>
      <c r="CV30" s="201"/>
      <c r="CW30" s="201"/>
      <c r="CX30" s="216"/>
      <c r="CY30" s="201">
        <v>0</v>
      </c>
      <c r="CZ30" s="201">
        <v>0</v>
      </c>
      <c r="DA30" s="201">
        <v>0</v>
      </c>
      <c r="DB30" s="217"/>
      <c r="DC30" s="217"/>
      <c r="DD30" s="217"/>
      <c r="DE30" s="217"/>
      <c r="DF30" s="217"/>
      <c r="DG30" s="217"/>
      <c r="DH30" s="217"/>
      <c r="DI30" s="217"/>
      <c r="DJ30" s="217"/>
      <c r="DK30" s="217"/>
      <c r="DL30" s="217"/>
      <c r="DM30" s="217"/>
      <c r="DN30" s="217"/>
      <c r="DO30" s="217"/>
      <c r="DP30" s="217"/>
      <c r="DQ30" s="217"/>
      <c r="DR30" s="217"/>
      <c r="DS30" s="217"/>
      <c r="DT30" s="217"/>
      <c r="DU30" s="217"/>
      <c r="DV30" s="217"/>
      <c r="DW30" s="217"/>
      <c r="DX30" s="217"/>
      <c r="DY30" s="217"/>
      <c r="DZ30" s="217"/>
      <c r="EA30" s="217"/>
      <c r="EB30" s="218"/>
      <c r="EC30" s="218"/>
      <c r="ED30" s="218"/>
      <c r="EE30" s="218"/>
      <c r="EF30" s="218"/>
      <c r="EG30" s="218"/>
      <c r="EH30" s="218"/>
      <c r="EI30" s="219"/>
      <c r="EJ30" s="217"/>
      <c r="EK30" s="217"/>
      <c r="EL30" s="217"/>
      <c r="EM30" s="219"/>
      <c r="EN30" s="217"/>
      <c r="EO30" s="217"/>
      <c r="EP30" s="217"/>
      <c r="EQ30" s="217"/>
      <c r="ER30" s="217"/>
      <c r="ES30" s="217"/>
      <c r="ET30" s="217"/>
      <c r="EU30" s="217"/>
      <c r="EV30" s="217"/>
      <c r="EW30" s="217"/>
      <c r="EX30" s="217"/>
      <c r="EY30" s="217"/>
      <c r="EZ30" s="217"/>
      <c r="FA30" s="217"/>
      <c r="FB30" s="217"/>
      <c r="FC30" s="217"/>
      <c r="FD30" s="217"/>
      <c r="FE30" s="217"/>
      <c r="FF30" s="217"/>
      <c r="FG30" s="217"/>
      <c r="FH30" s="210"/>
      <c r="FI30" s="210"/>
      <c r="FJ30" s="210"/>
      <c r="FK30" s="210"/>
      <c r="FL30" s="210"/>
      <c r="FM30" s="218"/>
      <c r="FN30" s="220"/>
      <c r="FO30" s="220"/>
      <c r="FP30" s="220"/>
      <c r="FQ30" s="220"/>
      <c r="FR30" s="220"/>
      <c r="FS30" s="204"/>
      <c r="FT30" s="221"/>
      <c r="FU30" s="221"/>
      <c r="FV30" s="221"/>
      <c r="FW30" s="221"/>
      <c r="FX30" s="496"/>
      <c r="FY30" s="205"/>
      <c r="FZ30" s="205"/>
      <c r="GA30" s="205"/>
      <c r="GB30" s="205"/>
      <c r="GC30" s="205"/>
      <c r="GD30" s="160"/>
      <c r="GE30" s="160"/>
      <c r="GF30" s="160"/>
      <c r="GG30" s="160"/>
      <c r="GH30" s="160"/>
      <c r="GI30" s="160"/>
      <c r="GJ30" s="205"/>
      <c r="GK30" s="205"/>
      <c r="GL30" s="205"/>
      <c r="GM30" s="205"/>
      <c r="GN30" s="205"/>
      <c r="GO30" s="160"/>
      <c r="GP30" s="160"/>
      <c r="GQ30" s="160"/>
      <c r="GR30" s="160"/>
      <c r="GS30" s="160"/>
      <c r="GT30" s="160"/>
      <c r="GU30" s="160"/>
      <c r="GV30" s="160"/>
      <c r="GW30" s="160"/>
      <c r="GX30" s="160"/>
      <c r="GY30" s="160"/>
      <c r="GZ30" s="222"/>
      <c r="HA30" s="160"/>
      <c r="HB30" s="160"/>
      <c r="HC30" s="160"/>
      <c r="HD30" s="223"/>
      <c r="HE30" s="223"/>
      <c r="HF30" s="223"/>
      <c r="HG30" s="223"/>
      <c r="HH30" s="223"/>
      <c r="HI30" s="199"/>
      <c r="HJ30" s="199"/>
      <c r="HK30" s="199"/>
      <c r="HL30" s="199"/>
      <c r="HM30" s="220"/>
      <c r="HN30" s="220"/>
      <c r="HO30" s="220"/>
      <c r="HP30" s="220"/>
      <c r="HQ30" s="220"/>
      <c r="HR30" s="204"/>
      <c r="HS30" s="204"/>
      <c r="HT30" s="204"/>
      <c r="HU30" s="204"/>
    </row>
    <row r="31" spans="1:229" s="75" customFormat="1" ht="26.25" x14ac:dyDescent="0.45">
      <c r="A31" s="71" t="s">
        <v>651</v>
      </c>
      <c r="B31" s="72"/>
      <c r="C31" s="72"/>
      <c r="D31" s="72"/>
      <c r="E31" s="72"/>
      <c r="F31" s="5"/>
      <c r="G31" s="5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73"/>
      <c r="AA31" s="73"/>
      <c r="AB31" s="73"/>
      <c r="AC31" s="73"/>
      <c r="AD31" s="73"/>
      <c r="AE31" s="73"/>
      <c r="AF31" s="73"/>
      <c r="AG31" s="52"/>
      <c r="AH31" s="52"/>
      <c r="AI31" s="73"/>
      <c r="AJ31" s="73"/>
      <c r="AK31" s="73"/>
      <c r="AL31" s="73"/>
      <c r="AM31" s="73"/>
      <c r="AN31" s="54"/>
      <c r="AO31" s="6"/>
      <c r="AP31" s="4"/>
      <c r="AQ31" s="4"/>
      <c r="AR31" s="4"/>
      <c r="AS31" s="4"/>
      <c r="AT31" s="4"/>
      <c r="AU31" s="4"/>
      <c r="AV31" s="4"/>
      <c r="AW31" s="46"/>
      <c r="AX31" s="74"/>
      <c r="AY31" s="74"/>
      <c r="AZ31" s="74"/>
      <c r="BA31" s="74"/>
      <c r="BB31" s="74"/>
      <c r="BC31" s="74"/>
      <c r="BD31" s="74"/>
      <c r="BE31" s="74"/>
      <c r="BF31" s="74"/>
      <c r="BG31" s="74"/>
      <c r="BH31" s="74"/>
      <c r="BI31" s="74"/>
      <c r="BJ31" s="74"/>
      <c r="BK31" s="171"/>
      <c r="BL31" s="74"/>
      <c r="BM31" s="74"/>
      <c r="BN31" s="64"/>
      <c r="BQ31" s="74"/>
      <c r="BR31" s="76"/>
      <c r="BS31" s="76"/>
      <c r="BT31" s="77"/>
      <c r="BU31" s="78"/>
      <c r="BV31" s="78"/>
      <c r="BW31" s="79"/>
      <c r="BX31" s="79"/>
      <c r="BY31" s="80"/>
      <c r="BZ31" s="81"/>
      <c r="CA31" s="81"/>
      <c r="CB31" s="82"/>
      <c r="CC31" s="82"/>
      <c r="CD31" s="82"/>
      <c r="CE31" s="82"/>
      <c r="CF31" s="82"/>
      <c r="CG31" s="83"/>
      <c r="CH31" s="83"/>
      <c r="CI31" s="83"/>
      <c r="CJ31" s="83"/>
      <c r="CK31" s="83"/>
      <c r="CL31" s="83"/>
      <c r="CM31" s="83"/>
      <c r="CN31" s="83"/>
      <c r="CO31" s="83"/>
      <c r="CP31" s="83"/>
      <c r="CQ31" s="83"/>
      <c r="CR31" s="83"/>
      <c r="CS31" s="83"/>
      <c r="CT31" s="83"/>
      <c r="CU31" s="83"/>
      <c r="CV31" s="83"/>
      <c r="CW31" s="83"/>
      <c r="CX31" s="82"/>
      <c r="CY31" s="6"/>
      <c r="CZ31" s="6"/>
      <c r="DA31" s="6"/>
      <c r="DB31" s="84"/>
      <c r="DC31" s="84"/>
      <c r="DD31" s="84"/>
      <c r="DE31" s="84"/>
      <c r="DF31" s="84"/>
      <c r="DG31" s="84"/>
      <c r="DH31" s="84"/>
      <c r="DI31" s="84"/>
      <c r="DJ31" s="84"/>
      <c r="DK31" s="84"/>
      <c r="DL31" s="84"/>
      <c r="DM31" s="84"/>
      <c r="DN31" s="84"/>
      <c r="DO31" s="84"/>
      <c r="DP31" s="84"/>
      <c r="DQ31" s="84"/>
      <c r="DR31" s="84"/>
      <c r="DS31" s="84"/>
      <c r="DT31" s="84"/>
      <c r="DU31" s="84"/>
      <c r="DV31" s="84"/>
      <c r="DW31" s="84"/>
      <c r="DX31" s="84"/>
      <c r="DY31" s="84"/>
      <c r="DZ31" s="84"/>
      <c r="EA31" s="84"/>
      <c r="EB31" s="85"/>
      <c r="EC31" s="85"/>
      <c r="ED31" s="85"/>
      <c r="EE31" s="85"/>
      <c r="EF31" s="85"/>
      <c r="EG31" s="85"/>
      <c r="EH31" s="85"/>
      <c r="EI31" s="86"/>
      <c r="EJ31" s="84"/>
      <c r="EK31" s="84"/>
      <c r="EL31" s="84"/>
      <c r="EM31" s="86"/>
      <c r="EN31" s="84"/>
      <c r="EO31" s="84"/>
      <c r="EP31" s="84"/>
      <c r="EQ31" s="84"/>
      <c r="ER31" s="84"/>
      <c r="ES31" s="84"/>
      <c r="ET31" s="84"/>
      <c r="EU31" s="84"/>
      <c r="EV31" s="84"/>
      <c r="EW31" s="84"/>
      <c r="EX31" s="84"/>
      <c r="EY31" s="84"/>
      <c r="EZ31" s="84"/>
      <c r="FA31" s="84"/>
      <c r="FB31" s="84"/>
      <c r="FC31" s="84"/>
      <c r="FD31" s="84"/>
      <c r="FE31" s="84"/>
      <c r="FF31" s="84"/>
      <c r="FG31" s="84"/>
      <c r="FH31" s="79"/>
      <c r="FI31" s="79"/>
      <c r="FJ31" s="79"/>
      <c r="FK31" s="79"/>
      <c r="FL31" s="79"/>
      <c r="FM31" s="87"/>
      <c r="FN31" s="47"/>
      <c r="FO31" s="47"/>
      <c r="FP31" s="47"/>
      <c r="FQ31" s="47"/>
      <c r="FR31" s="47"/>
      <c r="FS31" s="48"/>
      <c r="FT31" s="88"/>
      <c r="FU31" s="88"/>
      <c r="FV31" s="88"/>
      <c r="FW31" s="88"/>
      <c r="FX31" s="457"/>
      <c r="GD31" s="5"/>
      <c r="GE31" s="5"/>
      <c r="GF31" s="5"/>
      <c r="GG31" s="5"/>
      <c r="GH31" s="5"/>
      <c r="GI31" s="89"/>
      <c r="GO31" s="5"/>
      <c r="GP31" s="5"/>
      <c r="GQ31" s="5"/>
      <c r="GR31" s="89"/>
      <c r="GS31" s="89"/>
      <c r="GT31" s="89"/>
      <c r="GU31" s="89"/>
      <c r="GV31" s="89"/>
      <c r="GW31" s="89"/>
      <c r="GX31" s="89"/>
      <c r="GZ31" s="90"/>
      <c r="HA31" s="5"/>
      <c r="HB31" s="5"/>
      <c r="HC31" s="5"/>
      <c r="HD31" s="50"/>
      <c r="HE31" s="50"/>
      <c r="HF31" s="50"/>
      <c r="HG31" s="50"/>
      <c r="HH31" s="50"/>
      <c r="HI31" s="52"/>
      <c r="HJ31" s="52"/>
      <c r="HK31" s="52"/>
      <c r="HL31" s="51"/>
      <c r="HM31" s="47"/>
      <c r="HN31" s="47"/>
      <c r="HO31" s="47"/>
      <c r="HP31" s="47"/>
      <c r="HQ31" s="47"/>
      <c r="HR31" s="49"/>
      <c r="HS31" s="49"/>
      <c r="HT31" s="49"/>
      <c r="HU31" s="48"/>
    </row>
    <row r="32" spans="1:229" s="91" customFormat="1" x14ac:dyDescent="0.25">
      <c r="A32" s="91" t="s">
        <v>652</v>
      </c>
      <c r="B32" s="92">
        <v>3.69</v>
      </c>
      <c r="C32" s="92">
        <v>7</v>
      </c>
      <c r="D32" s="93">
        <f>E32</f>
        <v>3.71</v>
      </c>
      <c r="E32" s="93">
        <f>(4.3+3.12)/2</f>
        <v>3.71</v>
      </c>
      <c r="F32" s="94">
        <f>B32*C32</f>
        <v>25.83</v>
      </c>
      <c r="G32" s="95">
        <f>(B32+C32)*2</f>
        <v>21.38</v>
      </c>
      <c r="H32" s="96"/>
      <c r="I32" s="96"/>
      <c r="J32" s="96"/>
      <c r="K32" s="96"/>
      <c r="L32" s="173"/>
      <c r="M32" s="173"/>
      <c r="N32" s="96"/>
      <c r="O32" s="96"/>
      <c r="P32" s="96"/>
      <c r="Q32" s="97">
        <f>F32</f>
        <v>25.83</v>
      </c>
      <c r="R32" s="96"/>
      <c r="S32" s="96"/>
      <c r="T32" s="97"/>
      <c r="U32" s="97"/>
      <c r="V32" s="97"/>
      <c r="W32" s="97"/>
      <c r="X32" s="97"/>
      <c r="Y32" s="97"/>
      <c r="Z32" s="98"/>
      <c r="AA32" s="98"/>
      <c r="AB32" s="98"/>
      <c r="AC32" s="98"/>
      <c r="AD32" s="98"/>
      <c r="AE32" s="98"/>
      <c r="AF32" s="98"/>
      <c r="AG32" s="127"/>
      <c r="AH32" s="127"/>
      <c r="AI32" s="98"/>
      <c r="AJ32" s="98"/>
      <c r="AK32" s="98"/>
      <c r="AL32" s="98"/>
      <c r="AM32" s="98"/>
      <c r="AN32" s="99"/>
      <c r="AO32" s="100"/>
      <c r="AP32" s="96"/>
      <c r="AQ32" s="97"/>
      <c r="AR32" s="97"/>
      <c r="AS32" s="97"/>
      <c r="AT32" s="97"/>
      <c r="AU32" s="97"/>
      <c r="AV32" s="97"/>
      <c r="AW32" s="101"/>
      <c r="AX32" s="95"/>
      <c r="AY32" s="95"/>
      <c r="AZ32" s="95"/>
      <c r="BB32" s="94">
        <f>F32</f>
        <v>25.83</v>
      </c>
      <c r="BC32" s="94"/>
      <c r="BD32" s="94"/>
      <c r="BE32" s="102"/>
      <c r="BF32" s="103"/>
      <c r="BG32" s="102"/>
      <c r="BH32" s="102"/>
      <c r="BI32" s="102"/>
      <c r="BJ32" s="102"/>
      <c r="BK32" s="102"/>
      <c r="BL32" s="103"/>
      <c r="BM32" s="102"/>
      <c r="BN32" s="104"/>
      <c r="BO32" s="105">
        <f>1+1+1+1</f>
        <v>4</v>
      </c>
      <c r="BP32" s="105">
        <v>0.62</v>
      </c>
      <c r="BQ32" s="103">
        <f>BO32*BP32</f>
        <v>2.48</v>
      </c>
      <c r="BR32" s="106"/>
      <c r="BS32" s="106"/>
      <c r="BT32" s="107"/>
      <c r="BU32" s="108"/>
      <c r="BV32" s="108"/>
      <c r="BW32" s="109"/>
      <c r="BX32" s="109"/>
      <c r="BY32" s="110"/>
      <c r="BZ32" s="111"/>
      <c r="CA32" s="111"/>
      <c r="CB32" s="112">
        <f>E32</f>
        <v>3.71</v>
      </c>
      <c r="CC32" s="112"/>
      <c r="CD32" s="112"/>
      <c r="CE32" s="112"/>
      <c r="CF32" s="112"/>
      <c r="CG32" s="113"/>
      <c r="CH32" s="114">
        <f>SUM(CC32:CF32)*CB32-CY32*0.93*2.04-CZ32*1.4*2.04-DA32</f>
        <v>0</v>
      </c>
      <c r="CI32" s="114"/>
      <c r="CJ32" s="113"/>
      <c r="CK32" s="117"/>
      <c r="CL32" s="100"/>
      <c r="CM32" s="100"/>
      <c r="CN32" s="100"/>
      <c r="CO32" s="100"/>
      <c r="CP32" s="100"/>
      <c r="CQ32" s="115"/>
      <c r="CR32" s="100"/>
      <c r="CS32" s="100"/>
      <c r="CT32" s="100"/>
      <c r="CU32" s="116">
        <f>CH32</f>
        <v>0</v>
      </c>
      <c r="CV32" s="116"/>
      <c r="CW32" s="116"/>
      <c r="CX32" s="117"/>
      <c r="CY32" s="100">
        <v>0</v>
      </c>
      <c r="CZ32" s="100">
        <v>0</v>
      </c>
      <c r="DA32" s="100">
        <v>0</v>
      </c>
      <c r="DB32" s="118"/>
      <c r="DC32" s="118"/>
      <c r="DD32" s="118"/>
      <c r="DE32" s="118"/>
      <c r="DF32" s="118"/>
      <c r="DG32" s="118"/>
      <c r="DH32" s="118"/>
      <c r="DI32" s="118"/>
      <c r="DJ32" s="118"/>
      <c r="DK32" s="118"/>
      <c r="DL32" s="118"/>
      <c r="DM32" s="118"/>
      <c r="DN32" s="118">
        <v>1</v>
      </c>
      <c r="DO32" s="118"/>
      <c r="DP32" s="118"/>
      <c r="DQ32" s="118"/>
      <c r="DR32" s="118"/>
      <c r="DS32" s="118"/>
      <c r="DT32" s="118"/>
      <c r="DU32" s="118"/>
      <c r="DV32" s="118"/>
      <c r="DW32" s="118"/>
      <c r="DX32" s="118"/>
      <c r="DY32" s="118"/>
      <c r="DZ32" s="118"/>
      <c r="EA32" s="118"/>
      <c r="EB32" s="119">
        <v>1</v>
      </c>
      <c r="EC32" s="119"/>
      <c r="ED32" s="119"/>
      <c r="EE32" s="119"/>
      <c r="EF32" s="119"/>
      <c r="EG32" s="119"/>
      <c r="EH32" s="119"/>
      <c r="EI32" s="120"/>
      <c r="EJ32" s="118"/>
      <c r="EK32" s="118"/>
      <c r="EL32" s="118"/>
      <c r="EM32" s="120"/>
      <c r="EN32" s="118"/>
      <c r="EO32" s="118"/>
      <c r="EP32" s="118"/>
      <c r="EQ32" s="118"/>
      <c r="ER32" s="118"/>
      <c r="ES32" s="118"/>
      <c r="ET32" s="118">
        <v>0</v>
      </c>
      <c r="EU32" s="118"/>
      <c r="EV32" s="118"/>
      <c r="EW32" s="118"/>
      <c r="EX32" s="118"/>
      <c r="EY32" s="118"/>
      <c r="EZ32" s="118"/>
      <c r="FA32" s="118"/>
      <c r="FB32" s="118"/>
      <c r="FC32" s="118"/>
      <c r="FD32" s="118"/>
      <c r="FE32" s="118"/>
      <c r="FF32" s="118"/>
      <c r="FG32" s="118"/>
      <c r="FH32" s="109">
        <f>GJ32</f>
        <v>3.71</v>
      </c>
      <c r="FI32" s="109"/>
      <c r="FJ32" s="109"/>
      <c r="FK32" s="109"/>
      <c r="FL32" s="109"/>
      <c r="FM32" s="121">
        <f>SUM(FI32:FL32)*FH32</f>
        <v>0</v>
      </c>
      <c r="FN32" s="122">
        <f>GP32</f>
        <v>1</v>
      </c>
      <c r="FO32" s="122"/>
      <c r="FP32" s="122"/>
      <c r="FQ32" s="122"/>
      <c r="FR32" s="122"/>
      <c r="FS32" s="123">
        <f>SUM(FO32:FR32)*FN32</f>
        <v>0</v>
      </c>
      <c r="FT32" s="124"/>
      <c r="FU32" s="124"/>
      <c r="FV32" s="124"/>
      <c r="FW32" s="124"/>
      <c r="FX32" s="225"/>
      <c r="FY32" s="105">
        <f>D32</f>
        <v>3.71</v>
      </c>
      <c r="FZ32" s="105"/>
      <c r="GA32" s="105"/>
      <c r="GB32" s="105"/>
      <c r="GC32" s="105"/>
      <c r="GD32" s="95"/>
      <c r="GE32" s="95"/>
      <c r="GF32" s="94">
        <f>DA32+DA33</f>
        <v>0</v>
      </c>
      <c r="GG32" s="94">
        <f>SUM(FZ32:GC32)*FY32-GD32*0.93*2.04-GE32*1.4*2.04-GF32</f>
        <v>0</v>
      </c>
      <c r="GH32" s="95"/>
      <c r="GI32" s="94"/>
      <c r="GJ32" s="105">
        <f>D32</f>
        <v>3.71</v>
      </c>
      <c r="GK32" s="105">
        <f>G32</f>
        <v>21.38</v>
      </c>
      <c r="GL32" s="105"/>
      <c r="GM32" s="105"/>
      <c r="GN32" s="105"/>
      <c r="GO32" s="95">
        <v>0</v>
      </c>
      <c r="GP32" s="95">
        <v>1</v>
      </c>
      <c r="GQ32" s="94">
        <f>DA32+DA33</f>
        <v>0</v>
      </c>
      <c r="GR32" s="94">
        <f>SUM(GK32:GN32)*GJ32-GO32*0.93*2.04-GP32*1.4*2.04-GQ32-GG32-GQ33</f>
        <v>76.463800000000006</v>
      </c>
      <c r="GS32" s="94"/>
      <c r="GT32" s="94"/>
      <c r="GU32" s="94">
        <f>SUM(BD32:BH32)</f>
        <v>0</v>
      </c>
      <c r="GV32" s="94"/>
      <c r="GX32" s="95">
        <f>SUM(BQ32:BQ34)</f>
        <v>2.48</v>
      </c>
      <c r="GY32" s="95"/>
      <c r="GZ32" s="125"/>
      <c r="HA32" s="95"/>
      <c r="HB32" s="95"/>
      <c r="HC32" s="95"/>
      <c r="HD32" s="126">
        <f>E32-D32</f>
        <v>0</v>
      </c>
      <c r="HE32" s="126"/>
      <c r="HF32" s="126"/>
      <c r="HG32" s="126"/>
      <c r="HH32" s="126"/>
      <c r="HI32" s="127"/>
      <c r="HJ32" s="127"/>
      <c r="HK32" s="127"/>
      <c r="HL32" s="128">
        <f>SUM(HE32:HH32)*HD32-HI32*0.93*2.04-HJ32*1.4*2.04-HK32</f>
        <v>0</v>
      </c>
      <c r="HM32" s="122">
        <f>AA32</f>
        <v>0</v>
      </c>
      <c r="HN32" s="122"/>
      <c r="HO32" s="122"/>
      <c r="HP32" s="122"/>
      <c r="HQ32" s="122"/>
      <c r="HR32" s="129"/>
      <c r="HS32" s="129"/>
      <c r="HT32" s="123"/>
      <c r="HU32" s="123"/>
    </row>
    <row r="33" spans="1:229" s="75" customFormat="1" x14ac:dyDescent="0.25">
      <c r="B33" s="72"/>
      <c r="C33" s="72"/>
      <c r="D33" s="130"/>
      <c r="E33" s="130"/>
      <c r="F33" s="131"/>
      <c r="G33" s="5"/>
      <c r="H33" s="4"/>
      <c r="I33" s="4"/>
      <c r="J33" s="4"/>
      <c r="K33" s="4"/>
      <c r="L33" s="4"/>
      <c r="M33" s="4"/>
      <c r="N33" s="4"/>
      <c r="O33" s="132"/>
      <c r="P33" s="132"/>
      <c r="Q33" s="4"/>
      <c r="R33" s="4"/>
      <c r="S33" s="4"/>
      <c r="T33" s="133"/>
      <c r="U33" s="45"/>
      <c r="V33" s="45"/>
      <c r="W33" s="45"/>
      <c r="X33" s="45"/>
      <c r="Y33" s="45"/>
      <c r="Z33" s="73"/>
      <c r="AA33" s="73"/>
      <c r="AB33" s="73"/>
      <c r="AC33" s="73"/>
      <c r="AD33" s="73"/>
      <c r="AE33" s="73"/>
      <c r="AF33" s="73"/>
      <c r="AG33" s="52"/>
      <c r="AH33" s="52"/>
      <c r="AI33" s="73"/>
      <c r="AJ33" s="73"/>
      <c r="AK33" s="73"/>
      <c r="AL33" s="73"/>
      <c r="AM33" s="73"/>
      <c r="AN33" s="54"/>
      <c r="AO33" s="6"/>
      <c r="AP33" s="4"/>
      <c r="AQ33" s="45"/>
      <c r="AR33" s="45"/>
      <c r="AS33" s="45"/>
      <c r="AT33" s="45"/>
      <c r="AU33" s="45"/>
      <c r="AV33" s="45"/>
      <c r="AW33" s="46"/>
      <c r="AX33" s="5"/>
      <c r="AY33" s="5"/>
      <c r="AZ33" s="5"/>
      <c r="BA33" s="131"/>
      <c r="BB33" s="169"/>
      <c r="BC33" s="169"/>
      <c r="BD33" s="5"/>
      <c r="BE33" s="74"/>
      <c r="BF33" s="74"/>
      <c r="BG33" s="74"/>
      <c r="BH33" s="74"/>
      <c r="BI33" s="74"/>
      <c r="BJ33" s="74"/>
      <c r="BK33" s="171"/>
      <c r="BL33" s="74"/>
      <c r="BM33" s="74"/>
      <c r="BN33" s="64"/>
      <c r="BO33" s="134"/>
      <c r="BP33" s="134"/>
      <c r="BQ33" s="74"/>
      <c r="BR33" s="76"/>
      <c r="BS33" s="76"/>
      <c r="BT33" s="77"/>
      <c r="BU33" s="78"/>
      <c r="BV33" s="78"/>
      <c r="BW33" s="135"/>
      <c r="BX33" s="135"/>
      <c r="BY33" s="79"/>
      <c r="BZ33" s="136"/>
      <c r="CA33" s="136"/>
      <c r="CB33" s="137">
        <f>CB32</f>
        <v>3.71</v>
      </c>
      <c r="CC33" s="137">
        <f>G32</f>
        <v>21.38</v>
      </c>
      <c r="CD33" s="137"/>
      <c r="CE33" s="137"/>
      <c r="CF33" s="137"/>
      <c r="CG33" s="82"/>
      <c r="CH33" s="138"/>
      <c r="CI33" s="138"/>
      <c r="CJ33" s="138"/>
      <c r="CK33" s="138"/>
      <c r="CL33" s="82"/>
      <c r="CM33" s="138">
        <f>SUM(CC33:CF33)*CB33-CY33*0.93*2.04-CZ33*1.4*2.04-DA33</f>
        <v>76.463800000000006</v>
      </c>
      <c r="CN33" s="138"/>
      <c r="CO33" s="6"/>
      <c r="CP33" s="6"/>
      <c r="CQ33" s="7"/>
      <c r="CR33" s="6"/>
      <c r="CS33" s="6"/>
      <c r="CT33" s="6"/>
      <c r="CU33" s="139"/>
      <c r="CV33" s="139"/>
      <c r="CW33" s="139"/>
      <c r="CX33" s="82"/>
      <c r="CY33" s="6">
        <v>0</v>
      </c>
      <c r="CZ33" s="6">
        <v>1</v>
      </c>
      <c r="DA33" s="6">
        <v>0</v>
      </c>
      <c r="DB33" s="84"/>
      <c r="DC33" s="84"/>
      <c r="DD33" s="84"/>
      <c r="DE33" s="84"/>
      <c r="DF33" s="84"/>
      <c r="DG33" s="84"/>
      <c r="DH33" s="84"/>
      <c r="DI33" s="84"/>
      <c r="DJ33" s="84"/>
      <c r="DK33" s="84"/>
      <c r="DL33" s="84"/>
      <c r="DM33" s="84"/>
      <c r="DN33" s="84"/>
      <c r="DO33" s="84"/>
      <c r="DP33" s="84"/>
      <c r="DQ33" s="84"/>
      <c r="DR33" s="84"/>
      <c r="DS33" s="84"/>
      <c r="DT33" s="84"/>
      <c r="DU33" s="84"/>
      <c r="DV33" s="84"/>
      <c r="DW33" s="84"/>
      <c r="DX33" s="84"/>
      <c r="DY33" s="84"/>
      <c r="DZ33" s="84"/>
      <c r="EA33" s="84"/>
      <c r="EB33" s="85"/>
      <c r="EC33" s="85"/>
      <c r="ED33" s="85"/>
      <c r="EE33" s="85"/>
      <c r="EF33" s="85"/>
      <c r="EG33" s="85"/>
      <c r="EH33" s="85"/>
      <c r="EI33" s="86"/>
      <c r="EJ33" s="84"/>
      <c r="EK33" s="84"/>
      <c r="EL33" s="84"/>
      <c r="EM33" s="86"/>
      <c r="EN33" s="84"/>
      <c r="EO33" s="84"/>
      <c r="EP33" s="84"/>
      <c r="EQ33" s="84"/>
      <c r="ER33" s="84"/>
      <c r="ES33" s="84"/>
      <c r="ET33" s="84"/>
      <c r="EU33" s="84"/>
      <c r="EV33" s="84"/>
      <c r="EW33" s="140"/>
      <c r="EX33" s="140"/>
      <c r="EY33" s="84"/>
      <c r="EZ33" s="84"/>
      <c r="FA33" s="84"/>
      <c r="FB33" s="84"/>
      <c r="FC33" s="84"/>
      <c r="FD33" s="84"/>
      <c r="FE33" s="84"/>
      <c r="FF33" s="84"/>
      <c r="FG33" s="84"/>
      <c r="FH33" s="135"/>
      <c r="FI33" s="135"/>
      <c r="FJ33" s="135"/>
      <c r="FK33" s="135"/>
      <c r="FL33" s="135"/>
      <c r="FM33" s="141"/>
      <c r="FN33" s="142"/>
      <c r="FO33" s="142"/>
      <c r="FP33" s="142"/>
      <c r="FQ33" s="142"/>
      <c r="FR33" s="142"/>
      <c r="FS33" s="53"/>
      <c r="FT33" s="88"/>
      <c r="FU33" s="88"/>
      <c r="FV33" s="88"/>
      <c r="FW33" s="88"/>
      <c r="FX33" s="457"/>
      <c r="FY33" s="134"/>
      <c r="FZ33" s="134"/>
      <c r="GA33" s="134"/>
      <c r="GB33" s="134"/>
      <c r="GC33" s="134"/>
      <c r="GD33" s="5"/>
      <c r="GE33" s="5"/>
      <c r="GF33" s="5"/>
      <c r="GG33" s="131"/>
      <c r="GH33" s="5"/>
      <c r="GI33" s="131"/>
      <c r="GJ33" s="134"/>
      <c r="GK33" s="134"/>
      <c r="GL33" s="134" t="s">
        <v>563</v>
      </c>
      <c r="GM33" s="134"/>
      <c r="GN33" s="134"/>
      <c r="GO33" s="5"/>
      <c r="GP33" s="5"/>
      <c r="GQ33" s="5"/>
      <c r="GR33" s="131"/>
      <c r="GS33" s="131"/>
      <c r="GT33" s="131"/>
      <c r="GU33" s="5"/>
      <c r="GV33" s="5"/>
      <c r="GW33" s="5"/>
      <c r="GX33" s="5"/>
      <c r="GY33" s="5"/>
      <c r="GZ33" s="90"/>
      <c r="HA33" s="5"/>
      <c r="HB33" s="5"/>
      <c r="HC33" s="5"/>
      <c r="HD33" s="143"/>
      <c r="HE33" s="143"/>
      <c r="HF33" s="143"/>
      <c r="HG33" s="143"/>
      <c r="HH33" s="143"/>
      <c r="HI33" s="52"/>
      <c r="HJ33" s="52"/>
      <c r="HK33" s="52"/>
      <c r="HL33" s="144"/>
      <c r="HM33" s="142"/>
      <c r="HN33" s="142"/>
      <c r="HO33" s="142"/>
      <c r="HP33" s="142"/>
      <c r="HQ33" s="142"/>
      <c r="HR33" s="49"/>
      <c r="HS33" s="49"/>
      <c r="HT33" s="49"/>
      <c r="HU33" s="53"/>
    </row>
    <row r="34" spans="1:229" s="75" customFormat="1" x14ac:dyDescent="0.25">
      <c r="B34" s="72"/>
      <c r="C34" s="72"/>
      <c r="D34" s="72"/>
      <c r="E34" s="72"/>
      <c r="F34" s="5"/>
      <c r="G34" s="5"/>
      <c r="H34" s="4"/>
      <c r="I34" s="4"/>
      <c r="J34" s="4"/>
      <c r="K34" s="4"/>
      <c r="L34" s="172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73"/>
      <c r="AA34" s="73"/>
      <c r="AB34" s="73"/>
      <c r="AC34" s="73"/>
      <c r="AD34" s="73"/>
      <c r="AE34" s="73"/>
      <c r="AF34" s="73"/>
      <c r="AG34" s="52"/>
      <c r="AH34" s="52"/>
      <c r="AI34" s="73"/>
      <c r="AJ34" s="73"/>
      <c r="AK34" s="73"/>
      <c r="AL34" s="73"/>
      <c r="AM34" s="73"/>
      <c r="AN34" s="54"/>
      <c r="AO34" s="6"/>
      <c r="AP34" s="4"/>
      <c r="AQ34" s="4"/>
      <c r="AR34" s="4"/>
      <c r="AS34" s="4"/>
      <c r="AT34" s="4"/>
      <c r="AU34" s="4"/>
      <c r="AV34" s="4"/>
      <c r="AW34" s="46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131"/>
      <c r="BL34" s="5"/>
      <c r="BM34" s="5"/>
      <c r="BN34" s="49"/>
      <c r="BO34" s="134"/>
      <c r="BP34" s="134"/>
      <c r="BQ34" s="5"/>
      <c r="BR34" s="145"/>
      <c r="BS34" s="145"/>
      <c r="BT34" s="146"/>
      <c r="BU34" s="147"/>
      <c r="BV34" s="147"/>
      <c r="BW34" s="141"/>
      <c r="BX34" s="135"/>
      <c r="BY34" s="79"/>
      <c r="BZ34" s="136"/>
      <c r="CA34" s="136"/>
      <c r="CB34" s="148">
        <f>CB33</f>
        <v>3.71</v>
      </c>
      <c r="CC34" s="137"/>
      <c r="CD34" s="137"/>
      <c r="CE34" s="137"/>
      <c r="CF34" s="137"/>
      <c r="CG34" s="149"/>
      <c r="CH34" s="174"/>
      <c r="CI34" s="174"/>
      <c r="CJ34" s="6"/>
      <c r="CK34" s="138">
        <f>SUM(CC34:CF34)*CB34-CY34*0.93*2.04-CZ34*1.4*2.04-DA34</f>
        <v>0</v>
      </c>
      <c r="CL34" s="6"/>
      <c r="CM34" s="138"/>
      <c r="CN34" s="138"/>
      <c r="CO34" s="138"/>
      <c r="CP34" s="138"/>
      <c r="CQ34" s="138"/>
      <c r="CR34" s="6"/>
      <c r="CS34" s="6"/>
      <c r="CT34" s="6"/>
      <c r="CU34" s="6"/>
      <c r="CV34" s="6"/>
      <c r="CW34" s="6"/>
      <c r="CX34" s="82"/>
      <c r="CY34" s="6">
        <v>0</v>
      </c>
      <c r="CZ34" s="6">
        <v>0</v>
      </c>
      <c r="DA34" s="6">
        <v>0</v>
      </c>
      <c r="DB34" s="84"/>
      <c r="DC34" s="84"/>
      <c r="DD34" s="84"/>
      <c r="DE34" s="84"/>
      <c r="DF34" s="84"/>
      <c r="DG34" s="84"/>
      <c r="DH34" s="84"/>
      <c r="DI34" s="84"/>
      <c r="DJ34" s="84"/>
      <c r="DK34" s="84"/>
      <c r="DL34" s="84"/>
      <c r="DM34" s="84"/>
      <c r="DN34" s="84"/>
      <c r="DO34" s="84"/>
      <c r="DP34" s="84"/>
      <c r="DQ34" s="84"/>
      <c r="DR34" s="84"/>
      <c r="DS34" s="84"/>
      <c r="DT34" s="84"/>
      <c r="DU34" s="84"/>
      <c r="DV34" s="84"/>
      <c r="DW34" s="84"/>
      <c r="DX34" s="84"/>
      <c r="DY34" s="84"/>
      <c r="DZ34" s="84"/>
      <c r="EA34" s="84"/>
      <c r="EB34" s="85"/>
      <c r="EC34" s="85"/>
      <c r="ED34" s="85"/>
      <c r="EE34" s="85"/>
      <c r="EF34" s="85"/>
      <c r="EG34" s="85"/>
      <c r="EH34" s="85"/>
      <c r="EI34" s="86"/>
      <c r="EJ34" s="84"/>
      <c r="EK34" s="84"/>
      <c r="EL34" s="84"/>
      <c r="EM34" s="86"/>
      <c r="EN34" s="84"/>
      <c r="EO34" s="84"/>
      <c r="EP34" s="84"/>
      <c r="EQ34" s="84"/>
      <c r="ER34" s="84"/>
      <c r="ES34" s="84"/>
      <c r="ET34" s="84"/>
      <c r="EU34" s="84"/>
      <c r="EV34" s="84"/>
      <c r="EW34" s="84"/>
      <c r="EX34" s="84"/>
      <c r="EY34" s="84"/>
      <c r="EZ34" s="84"/>
      <c r="FA34" s="84"/>
      <c r="FB34" s="84"/>
      <c r="FC34" s="84"/>
      <c r="FD34" s="84"/>
      <c r="FE34" s="84"/>
      <c r="FF34" s="84"/>
      <c r="FG34" s="84"/>
      <c r="FH34" s="135"/>
      <c r="FI34" s="135"/>
      <c r="FJ34" s="135"/>
      <c r="FK34" s="135"/>
      <c r="FL34" s="135"/>
      <c r="FM34" s="85"/>
      <c r="FN34" s="142"/>
      <c r="FO34" s="142"/>
      <c r="FP34" s="142"/>
      <c r="FQ34" s="142"/>
      <c r="FR34" s="142"/>
      <c r="FS34" s="49"/>
      <c r="FT34" s="88"/>
      <c r="FU34" s="88"/>
      <c r="FV34" s="88"/>
      <c r="FW34" s="88"/>
      <c r="FX34" s="457"/>
      <c r="FY34" s="134"/>
      <c r="FZ34" s="134"/>
      <c r="GA34" s="134"/>
      <c r="GB34" s="134"/>
      <c r="GC34" s="134"/>
      <c r="GD34" s="5"/>
      <c r="GE34" s="5"/>
      <c r="GF34" s="5"/>
      <c r="GG34" s="5"/>
      <c r="GH34" s="5"/>
      <c r="GI34" s="5"/>
      <c r="GJ34" s="134"/>
      <c r="GK34" s="134"/>
      <c r="GL34" s="134"/>
      <c r="GM34" s="134"/>
      <c r="GN34" s="134"/>
      <c r="GO34" s="5"/>
      <c r="GP34" s="5"/>
      <c r="GQ34" s="5"/>
      <c r="GR34" s="5"/>
      <c r="GS34" s="5"/>
      <c r="GT34" s="5"/>
      <c r="GU34" s="160"/>
      <c r="GV34" s="5"/>
      <c r="GW34" s="5"/>
      <c r="GX34" s="5"/>
      <c r="GY34" s="5"/>
      <c r="GZ34" s="90"/>
      <c r="HA34" s="5"/>
      <c r="HB34" s="5"/>
      <c r="HC34" s="5"/>
      <c r="HD34" s="143"/>
      <c r="HE34" s="143"/>
      <c r="HF34" s="143"/>
      <c r="HG34" s="143"/>
      <c r="HH34" s="143"/>
      <c r="HI34" s="52"/>
      <c r="HJ34" s="52"/>
      <c r="HK34" s="52"/>
      <c r="HL34" s="52"/>
      <c r="HM34" s="142"/>
      <c r="HN34" s="142"/>
      <c r="HO34" s="142"/>
      <c r="HP34" s="142"/>
      <c r="HQ34" s="142"/>
      <c r="HR34" s="49"/>
      <c r="HS34" s="49"/>
      <c r="HT34" s="49"/>
      <c r="HU34" s="49"/>
    </row>
    <row r="35" spans="1:229" s="91" customFormat="1" x14ac:dyDescent="0.25">
      <c r="A35" s="91" t="s">
        <v>643</v>
      </c>
      <c r="B35" s="92">
        <v>3.69</v>
      </c>
      <c r="C35" s="92">
        <v>6.93</v>
      </c>
      <c r="D35" s="93">
        <f>E35</f>
        <v>3.71</v>
      </c>
      <c r="E35" s="93">
        <f>(4.3+3.12)/2</f>
        <v>3.71</v>
      </c>
      <c r="F35" s="94">
        <f>B35*C35</f>
        <v>25.5717</v>
      </c>
      <c r="G35" s="95">
        <f>(B35+C35)*2</f>
        <v>21.24</v>
      </c>
      <c r="H35" s="96"/>
      <c r="I35" s="96"/>
      <c r="J35" s="96"/>
      <c r="K35" s="96"/>
      <c r="L35" s="173"/>
      <c r="M35" s="173"/>
      <c r="N35" s="96"/>
      <c r="O35" s="96"/>
      <c r="P35" s="96"/>
      <c r="Q35" s="97">
        <f>F35</f>
        <v>25.5717</v>
      </c>
      <c r="R35" s="96"/>
      <c r="S35" s="96"/>
      <c r="T35" s="97"/>
      <c r="U35" s="97"/>
      <c r="V35" s="97"/>
      <c r="W35" s="97"/>
      <c r="X35" s="97"/>
      <c r="Y35" s="97"/>
      <c r="Z35" s="98"/>
      <c r="AA35" s="98"/>
      <c r="AB35" s="98"/>
      <c r="AC35" s="98"/>
      <c r="AD35" s="98"/>
      <c r="AE35" s="98"/>
      <c r="AF35" s="98"/>
      <c r="AG35" s="127"/>
      <c r="AH35" s="127"/>
      <c r="AI35" s="98"/>
      <c r="AJ35" s="98"/>
      <c r="AK35" s="98"/>
      <c r="AL35" s="98"/>
      <c r="AM35" s="98"/>
      <c r="AN35" s="99"/>
      <c r="AO35" s="100"/>
      <c r="AP35" s="96"/>
      <c r="AQ35" s="97"/>
      <c r="AR35" s="97"/>
      <c r="AS35" s="97"/>
      <c r="AT35" s="97"/>
      <c r="AU35" s="97"/>
      <c r="AV35" s="97"/>
      <c r="AW35" s="101"/>
      <c r="AX35" s="95"/>
      <c r="AY35" s="95"/>
      <c r="AZ35" s="95"/>
      <c r="BB35" s="94">
        <f>F35</f>
        <v>25.5717</v>
      </c>
      <c r="BC35" s="94"/>
      <c r="BD35" s="94"/>
      <c r="BE35" s="102"/>
      <c r="BF35" s="103"/>
      <c r="BG35" s="102"/>
      <c r="BH35" s="102"/>
      <c r="BI35" s="102"/>
      <c r="BJ35" s="102"/>
      <c r="BK35" s="102"/>
      <c r="BL35" s="103"/>
      <c r="BM35" s="102"/>
      <c r="BN35" s="104"/>
      <c r="BO35" s="105">
        <f>1+1+1+1</f>
        <v>4</v>
      </c>
      <c r="BP35" s="105">
        <v>0.62</v>
      </c>
      <c r="BQ35" s="103">
        <f>BO35*BP35</f>
        <v>2.48</v>
      </c>
      <c r="BR35" s="106"/>
      <c r="BS35" s="106"/>
      <c r="BT35" s="107"/>
      <c r="BU35" s="108"/>
      <c r="BV35" s="108"/>
      <c r="BW35" s="109"/>
      <c r="BX35" s="109"/>
      <c r="BY35" s="110"/>
      <c r="BZ35" s="111"/>
      <c r="CA35" s="111"/>
      <c r="CB35" s="112">
        <f>E35</f>
        <v>3.71</v>
      </c>
      <c r="CC35" s="112"/>
      <c r="CD35" s="112"/>
      <c r="CE35" s="112"/>
      <c r="CF35" s="112"/>
      <c r="CG35" s="113"/>
      <c r="CH35" s="114">
        <f>SUM(CC35:CF35)*CB35-CY35*0.93*2.04-CZ35*1.4*2.04-DA35</f>
        <v>0</v>
      </c>
      <c r="CI35" s="114"/>
      <c r="CJ35" s="113"/>
      <c r="CK35" s="117"/>
      <c r="CL35" s="100"/>
      <c r="CM35" s="100"/>
      <c r="CN35" s="100"/>
      <c r="CO35" s="100"/>
      <c r="CP35" s="100"/>
      <c r="CQ35" s="115"/>
      <c r="CR35" s="100"/>
      <c r="CS35" s="100"/>
      <c r="CT35" s="100"/>
      <c r="CU35" s="116">
        <f>CH35</f>
        <v>0</v>
      </c>
      <c r="CV35" s="116"/>
      <c r="CW35" s="116"/>
      <c r="CX35" s="117"/>
      <c r="CY35" s="100">
        <v>0</v>
      </c>
      <c r="CZ35" s="100">
        <v>0</v>
      </c>
      <c r="DA35" s="100">
        <v>0</v>
      </c>
      <c r="DB35" s="118"/>
      <c r="DC35" s="118"/>
      <c r="DD35" s="118"/>
      <c r="DE35" s="118"/>
      <c r="DF35" s="118"/>
      <c r="DG35" s="118"/>
      <c r="DH35" s="118"/>
      <c r="DI35" s="118"/>
      <c r="DJ35" s="118"/>
      <c r="DK35" s="118"/>
      <c r="DL35" s="118"/>
      <c r="DM35" s="118"/>
      <c r="DN35" s="118">
        <v>1</v>
      </c>
      <c r="DO35" s="118"/>
      <c r="DP35" s="118"/>
      <c r="DQ35" s="118"/>
      <c r="DR35" s="118"/>
      <c r="DS35" s="118"/>
      <c r="DT35" s="118"/>
      <c r="DU35" s="118"/>
      <c r="DV35" s="118"/>
      <c r="DW35" s="118"/>
      <c r="DX35" s="118"/>
      <c r="DY35" s="118"/>
      <c r="DZ35" s="118"/>
      <c r="EA35" s="118"/>
      <c r="EB35" s="119">
        <v>1</v>
      </c>
      <c r="EC35" s="119"/>
      <c r="ED35" s="119"/>
      <c r="EE35" s="119"/>
      <c r="EF35" s="119"/>
      <c r="EG35" s="119"/>
      <c r="EH35" s="119"/>
      <c r="EI35" s="120"/>
      <c r="EJ35" s="118"/>
      <c r="EK35" s="118"/>
      <c r="EL35" s="118"/>
      <c r="EM35" s="120"/>
      <c r="EN35" s="118"/>
      <c r="EO35" s="118"/>
      <c r="EP35" s="118"/>
      <c r="EQ35" s="118"/>
      <c r="ER35" s="118"/>
      <c r="ES35" s="118"/>
      <c r="ET35" s="118">
        <v>0</v>
      </c>
      <c r="EU35" s="118"/>
      <c r="EV35" s="118"/>
      <c r="EW35" s="118"/>
      <c r="EX35" s="118"/>
      <c r="EY35" s="118"/>
      <c r="EZ35" s="118"/>
      <c r="FA35" s="118"/>
      <c r="FB35" s="118"/>
      <c r="FC35" s="118"/>
      <c r="FD35" s="118"/>
      <c r="FE35" s="118"/>
      <c r="FF35" s="118"/>
      <c r="FG35" s="118"/>
      <c r="FH35" s="109">
        <f>GJ35</f>
        <v>3.71</v>
      </c>
      <c r="FI35" s="109"/>
      <c r="FJ35" s="109"/>
      <c r="FK35" s="109"/>
      <c r="FL35" s="109"/>
      <c r="FM35" s="121">
        <f>SUM(FI35:FL35)*FH35</f>
        <v>0</v>
      </c>
      <c r="FN35" s="122">
        <f>GP35</f>
        <v>1</v>
      </c>
      <c r="FO35" s="122"/>
      <c r="FP35" s="122"/>
      <c r="FQ35" s="122"/>
      <c r="FR35" s="122"/>
      <c r="FS35" s="123">
        <f>SUM(FO35:FR35)*FN35</f>
        <v>0</v>
      </c>
      <c r="FT35" s="124"/>
      <c r="FU35" s="124"/>
      <c r="FV35" s="124"/>
      <c r="FW35" s="124"/>
      <c r="FX35" s="225"/>
      <c r="FY35" s="105">
        <f>D35</f>
        <v>3.71</v>
      </c>
      <c r="FZ35" s="105"/>
      <c r="GA35" s="105"/>
      <c r="GB35" s="105"/>
      <c r="GC35" s="105"/>
      <c r="GD35" s="95"/>
      <c r="GE35" s="95"/>
      <c r="GF35" s="94">
        <f>DA35+DA36</f>
        <v>0</v>
      </c>
      <c r="GG35" s="94">
        <f>SUM(FZ35:GC35)*FY35-GD35*0.93*2.04-GE35*1.4*2.04-GF35</f>
        <v>0</v>
      </c>
      <c r="GH35" s="95"/>
      <c r="GI35" s="94"/>
      <c r="GJ35" s="105">
        <f>D35</f>
        <v>3.71</v>
      </c>
      <c r="GK35" s="105">
        <f>G35</f>
        <v>21.24</v>
      </c>
      <c r="GL35" s="105"/>
      <c r="GM35" s="105"/>
      <c r="GN35" s="105"/>
      <c r="GO35" s="95">
        <v>0</v>
      </c>
      <c r="GP35" s="95">
        <v>1</v>
      </c>
      <c r="GQ35" s="94">
        <f>DA35+DA36</f>
        <v>0</v>
      </c>
      <c r="GR35" s="94">
        <f>SUM(GK35:GN35)*GJ35-GO35*0.93*2.04-GP35*1.4*2.04-GQ35-GG35-GQ36</f>
        <v>75.944400000000002</v>
      </c>
      <c r="GS35" s="94"/>
      <c r="GT35" s="94"/>
      <c r="GU35" s="94">
        <f>SUM(BD35:BH35)</f>
        <v>0</v>
      </c>
      <c r="GV35" s="94"/>
      <c r="GX35" s="95">
        <f>SUM(BQ35:BQ37)</f>
        <v>2.48</v>
      </c>
      <c r="GY35" s="95"/>
      <c r="GZ35" s="125"/>
      <c r="HA35" s="95"/>
      <c r="HB35" s="95"/>
      <c r="HC35" s="95"/>
      <c r="HD35" s="126">
        <f>E35-D35</f>
        <v>0</v>
      </c>
      <c r="HE35" s="126"/>
      <c r="HF35" s="126"/>
      <c r="HG35" s="126"/>
      <c r="HH35" s="126"/>
      <c r="HI35" s="127"/>
      <c r="HJ35" s="127"/>
      <c r="HK35" s="127"/>
      <c r="HL35" s="128">
        <f>SUM(HE35:HH35)*HD35-HI35*0.93*2.04-HJ35*1.4*2.04-HK35</f>
        <v>0</v>
      </c>
      <c r="HM35" s="122">
        <f>AA35</f>
        <v>0</v>
      </c>
      <c r="HN35" s="122"/>
      <c r="HO35" s="122"/>
      <c r="HP35" s="122"/>
      <c r="HQ35" s="122"/>
      <c r="HR35" s="129"/>
      <c r="HS35" s="129"/>
      <c r="HT35" s="123"/>
      <c r="HU35" s="123"/>
    </row>
    <row r="36" spans="1:229" s="75" customFormat="1" x14ac:dyDescent="0.25">
      <c r="B36" s="72"/>
      <c r="C36" s="72"/>
      <c r="D36" s="130"/>
      <c r="E36" s="130"/>
      <c r="F36" s="131"/>
      <c r="G36" s="5"/>
      <c r="H36" s="4"/>
      <c r="I36" s="4"/>
      <c r="J36" s="4"/>
      <c r="K36" s="4"/>
      <c r="L36" s="4"/>
      <c r="M36" s="4"/>
      <c r="N36" s="4"/>
      <c r="O36" s="132"/>
      <c r="P36" s="132"/>
      <c r="Q36" s="4"/>
      <c r="R36" s="4"/>
      <c r="S36" s="4"/>
      <c r="T36" s="133"/>
      <c r="U36" s="45"/>
      <c r="V36" s="45"/>
      <c r="W36" s="45"/>
      <c r="X36" s="45"/>
      <c r="Y36" s="45"/>
      <c r="Z36" s="73"/>
      <c r="AA36" s="73"/>
      <c r="AB36" s="73"/>
      <c r="AC36" s="73"/>
      <c r="AD36" s="73"/>
      <c r="AE36" s="73"/>
      <c r="AF36" s="73"/>
      <c r="AG36" s="52"/>
      <c r="AH36" s="52"/>
      <c r="AI36" s="73"/>
      <c r="AJ36" s="73"/>
      <c r="AK36" s="73"/>
      <c r="AL36" s="73"/>
      <c r="AM36" s="73"/>
      <c r="AN36" s="54"/>
      <c r="AO36" s="6"/>
      <c r="AP36" s="4"/>
      <c r="AQ36" s="45"/>
      <c r="AR36" s="45"/>
      <c r="AS36" s="45"/>
      <c r="AT36" s="45"/>
      <c r="AU36" s="45"/>
      <c r="AV36" s="45"/>
      <c r="AW36" s="46"/>
      <c r="AX36" s="5"/>
      <c r="AY36" s="5"/>
      <c r="AZ36" s="5"/>
      <c r="BA36" s="131"/>
      <c r="BB36" s="169"/>
      <c r="BC36" s="169"/>
      <c r="BD36" s="5"/>
      <c r="BE36" s="74"/>
      <c r="BF36" s="74"/>
      <c r="BG36" s="74"/>
      <c r="BH36" s="74"/>
      <c r="BI36" s="74"/>
      <c r="BJ36" s="74"/>
      <c r="BK36" s="171"/>
      <c r="BL36" s="74"/>
      <c r="BM36" s="74"/>
      <c r="BN36" s="64"/>
      <c r="BO36" s="134"/>
      <c r="BP36" s="134"/>
      <c r="BQ36" s="74"/>
      <c r="BR36" s="76"/>
      <c r="BS36" s="76"/>
      <c r="BT36" s="77"/>
      <c r="BU36" s="78"/>
      <c r="BV36" s="78"/>
      <c r="BW36" s="135"/>
      <c r="BX36" s="135"/>
      <c r="BY36" s="79"/>
      <c r="BZ36" s="136"/>
      <c r="CA36" s="136"/>
      <c r="CB36" s="137">
        <f>CB35</f>
        <v>3.71</v>
      </c>
      <c r="CC36" s="137">
        <f>G35</f>
        <v>21.24</v>
      </c>
      <c r="CD36" s="137"/>
      <c r="CE36" s="137"/>
      <c r="CF36" s="137"/>
      <c r="CG36" s="82"/>
      <c r="CH36" s="138"/>
      <c r="CI36" s="138"/>
      <c r="CJ36" s="138"/>
      <c r="CK36" s="138"/>
      <c r="CL36" s="82"/>
      <c r="CM36" s="138">
        <f>SUM(CC36:CF36)*CB36-CY36*0.93*2.04-CZ36*1.4*2.04-DA36</f>
        <v>75.944400000000002</v>
      </c>
      <c r="CN36" s="138"/>
      <c r="CO36" s="6"/>
      <c r="CP36" s="6"/>
      <c r="CQ36" s="7"/>
      <c r="CR36" s="6"/>
      <c r="CS36" s="6"/>
      <c r="CT36" s="6"/>
      <c r="CU36" s="139"/>
      <c r="CV36" s="139"/>
      <c r="CW36" s="139"/>
      <c r="CX36" s="82"/>
      <c r="CY36" s="6">
        <v>0</v>
      </c>
      <c r="CZ36" s="6">
        <v>1</v>
      </c>
      <c r="DA36" s="6">
        <v>0</v>
      </c>
      <c r="DB36" s="84"/>
      <c r="DC36" s="84"/>
      <c r="DD36" s="84"/>
      <c r="DE36" s="84"/>
      <c r="DF36" s="84"/>
      <c r="DG36" s="84"/>
      <c r="DH36" s="84"/>
      <c r="DI36" s="84"/>
      <c r="DJ36" s="84"/>
      <c r="DK36" s="84"/>
      <c r="DL36" s="84"/>
      <c r="DM36" s="84"/>
      <c r="DN36" s="84"/>
      <c r="DO36" s="84"/>
      <c r="DP36" s="84"/>
      <c r="DQ36" s="84"/>
      <c r="DR36" s="84"/>
      <c r="DS36" s="84"/>
      <c r="DT36" s="84"/>
      <c r="DU36" s="84"/>
      <c r="DV36" s="84"/>
      <c r="DW36" s="84"/>
      <c r="DX36" s="84"/>
      <c r="DY36" s="84"/>
      <c r="DZ36" s="84"/>
      <c r="EA36" s="84"/>
      <c r="EB36" s="85"/>
      <c r="EC36" s="85"/>
      <c r="ED36" s="85"/>
      <c r="EE36" s="85"/>
      <c r="EF36" s="85"/>
      <c r="EG36" s="85"/>
      <c r="EH36" s="85"/>
      <c r="EI36" s="86"/>
      <c r="EJ36" s="84"/>
      <c r="EK36" s="84"/>
      <c r="EL36" s="84"/>
      <c r="EM36" s="86"/>
      <c r="EN36" s="84"/>
      <c r="EO36" s="84"/>
      <c r="EP36" s="84"/>
      <c r="EQ36" s="84"/>
      <c r="ER36" s="84"/>
      <c r="ES36" s="84"/>
      <c r="ET36" s="84"/>
      <c r="EU36" s="84"/>
      <c r="EV36" s="84"/>
      <c r="EW36" s="140"/>
      <c r="EX36" s="140"/>
      <c r="EY36" s="84"/>
      <c r="EZ36" s="84"/>
      <c r="FA36" s="84"/>
      <c r="FB36" s="84"/>
      <c r="FC36" s="84"/>
      <c r="FD36" s="84"/>
      <c r="FE36" s="84"/>
      <c r="FF36" s="84"/>
      <c r="FG36" s="84"/>
      <c r="FH36" s="135"/>
      <c r="FI36" s="135"/>
      <c r="FJ36" s="135"/>
      <c r="FK36" s="135"/>
      <c r="FL36" s="135"/>
      <c r="FM36" s="141"/>
      <c r="FN36" s="142"/>
      <c r="FO36" s="142"/>
      <c r="FP36" s="142"/>
      <c r="FQ36" s="142"/>
      <c r="FR36" s="142"/>
      <c r="FS36" s="53"/>
      <c r="FT36" s="88"/>
      <c r="FU36" s="88"/>
      <c r="FV36" s="88"/>
      <c r="FW36" s="88"/>
      <c r="FX36" s="457"/>
      <c r="FY36" s="134"/>
      <c r="FZ36" s="134"/>
      <c r="GA36" s="134"/>
      <c r="GB36" s="134"/>
      <c r="GC36" s="134"/>
      <c r="GD36" s="5"/>
      <c r="GE36" s="5"/>
      <c r="GF36" s="5"/>
      <c r="GG36" s="131"/>
      <c r="GH36" s="5"/>
      <c r="GI36" s="131"/>
      <c r="GJ36" s="134"/>
      <c r="GK36" s="134"/>
      <c r="GL36" s="134" t="s">
        <v>563</v>
      </c>
      <c r="GM36" s="134"/>
      <c r="GN36" s="134"/>
      <c r="GO36" s="5"/>
      <c r="GP36" s="5"/>
      <c r="GQ36" s="5"/>
      <c r="GR36" s="131"/>
      <c r="GS36" s="131"/>
      <c r="GT36" s="131"/>
      <c r="GU36" s="5"/>
      <c r="GV36" s="5"/>
      <c r="GW36" s="5"/>
      <c r="GX36" s="5"/>
      <c r="GY36" s="5"/>
      <c r="GZ36" s="90"/>
      <c r="HA36" s="5"/>
      <c r="HB36" s="5"/>
      <c r="HC36" s="5"/>
      <c r="HD36" s="143"/>
      <c r="HE36" s="143"/>
      <c r="HF36" s="143"/>
      <c r="HG36" s="143"/>
      <c r="HH36" s="143"/>
      <c r="HI36" s="52"/>
      <c r="HJ36" s="52"/>
      <c r="HK36" s="52"/>
      <c r="HL36" s="144"/>
      <c r="HM36" s="142"/>
      <c r="HN36" s="142"/>
      <c r="HO36" s="142"/>
      <c r="HP36" s="142"/>
      <c r="HQ36" s="142"/>
      <c r="HR36" s="49"/>
      <c r="HS36" s="49"/>
      <c r="HT36" s="49"/>
      <c r="HU36" s="53"/>
    </row>
    <row r="37" spans="1:229" s="196" customFormat="1" x14ac:dyDescent="0.25">
      <c r="B37" s="197"/>
      <c r="C37" s="197"/>
      <c r="D37" s="197"/>
      <c r="E37" s="197"/>
      <c r="F37" s="160"/>
      <c r="G37" s="160"/>
      <c r="H37" s="172"/>
      <c r="I37" s="172"/>
      <c r="J37" s="172"/>
      <c r="K37" s="172"/>
      <c r="L37" s="172"/>
      <c r="M37" s="172"/>
      <c r="N37" s="172"/>
      <c r="O37" s="172"/>
      <c r="P37" s="172"/>
      <c r="Q37" s="172"/>
      <c r="R37" s="172"/>
      <c r="S37" s="172"/>
      <c r="T37" s="172"/>
      <c r="U37" s="172"/>
      <c r="V37" s="172"/>
      <c r="W37" s="172"/>
      <c r="X37" s="172"/>
      <c r="Y37" s="172"/>
      <c r="Z37" s="198"/>
      <c r="AA37" s="198"/>
      <c r="AB37" s="198"/>
      <c r="AC37" s="198"/>
      <c r="AD37" s="198"/>
      <c r="AE37" s="198"/>
      <c r="AF37" s="198"/>
      <c r="AG37" s="199"/>
      <c r="AH37" s="199"/>
      <c r="AI37" s="198"/>
      <c r="AJ37" s="198"/>
      <c r="AK37" s="198"/>
      <c r="AL37" s="198"/>
      <c r="AM37" s="198"/>
      <c r="AN37" s="200"/>
      <c r="AO37" s="201"/>
      <c r="AP37" s="172"/>
      <c r="AQ37" s="172"/>
      <c r="AR37" s="172"/>
      <c r="AS37" s="172"/>
      <c r="AT37" s="172"/>
      <c r="AU37" s="172"/>
      <c r="AV37" s="172"/>
      <c r="AW37" s="202"/>
      <c r="AX37" s="160"/>
      <c r="AY37" s="160"/>
      <c r="AZ37" s="160"/>
      <c r="BA37" s="160"/>
      <c r="BB37" s="160"/>
      <c r="BC37" s="160"/>
      <c r="BD37" s="160"/>
      <c r="BE37" s="160"/>
      <c r="BF37" s="160"/>
      <c r="BG37" s="160"/>
      <c r="BH37" s="160"/>
      <c r="BI37" s="160"/>
      <c r="BJ37" s="160"/>
      <c r="BK37" s="203"/>
      <c r="BL37" s="160"/>
      <c r="BM37" s="160"/>
      <c r="BN37" s="204"/>
      <c r="BO37" s="205"/>
      <c r="BP37" s="205"/>
      <c r="BQ37" s="160"/>
      <c r="BR37" s="206"/>
      <c r="BS37" s="206"/>
      <c r="BT37" s="207"/>
      <c r="BU37" s="208"/>
      <c r="BV37" s="208"/>
      <c r="BW37" s="209"/>
      <c r="BX37" s="210"/>
      <c r="BY37" s="211"/>
      <c r="BZ37" s="212"/>
      <c r="CA37" s="212"/>
      <c r="CB37" s="213">
        <f>CB36</f>
        <v>3.71</v>
      </c>
      <c r="CC37" s="214"/>
      <c r="CD37" s="214"/>
      <c r="CE37" s="214"/>
      <c r="CF37" s="214"/>
      <c r="CG37" s="215"/>
      <c r="CH37" s="174"/>
      <c r="CI37" s="174"/>
      <c r="CJ37" s="201"/>
      <c r="CK37" s="174">
        <f>SUM(CC37:CF37)*CB37-CY37*0.93*2.04-CZ37*1.4*2.04-DA37</f>
        <v>0</v>
      </c>
      <c r="CL37" s="201"/>
      <c r="CM37" s="174"/>
      <c r="CN37" s="174"/>
      <c r="CO37" s="174"/>
      <c r="CP37" s="174"/>
      <c r="CQ37" s="174"/>
      <c r="CR37" s="201"/>
      <c r="CS37" s="201"/>
      <c r="CT37" s="201"/>
      <c r="CU37" s="201"/>
      <c r="CV37" s="201"/>
      <c r="CW37" s="201"/>
      <c r="CX37" s="216"/>
      <c r="CY37" s="201">
        <v>0</v>
      </c>
      <c r="CZ37" s="201">
        <v>0</v>
      </c>
      <c r="DA37" s="201">
        <v>0</v>
      </c>
      <c r="DB37" s="217"/>
      <c r="DC37" s="217"/>
      <c r="DD37" s="217"/>
      <c r="DE37" s="217"/>
      <c r="DF37" s="217"/>
      <c r="DG37" s="217"/>
      <c r="DH37" s="217"/>
      <c r="DI37" s="217"/>
      <c r="DJ37" s="217"/>
      <c r="DK37" s="217"/>
      <c r="DL37" s="217"/>
      <c r="DM37" s="217"/>
      <c r="DN37" s="217"/>
      <c r="DO37" s="217"/>
      <c r="DP37" s="217"/>
      <c r="DQ37" s="217"/>
      <c r="DR37" s="217"/>
      <c r="DS37" s="217"/>
      <c r="DT37" s="217"/>
      <c r="DU37" s="217"/>
      <c r="DV37" s="217"/>
      <c r="DW37" s="217"/>
      <c r="DX37" s="217"/>
      <c r="DY37" s="217"/>
      <c r="DZ37" s="217"/>
      <c r="EA37" s="217"/>
      <c r="EB37" s="218"/>
      <c r="EC37" s="218"/>
      <c r="ED37" s="218"/>
      <c r="EE37" s="218"/>
      <c r="EF37" s="218"/>
      <c r="EG37" s="218"/>
      <c r="EH37" s="218"/>
      <c r="EI37" s="219"/>
      <c r="EJ37" s="217"/>
      <c r="EK37" s="217"/>
      <c r="EL37" s="217"/>
      <c r="EM37" s="219"/>
      <c r="EN37" s="217"/>
      <c r="EO37" s="217"/>
      <c r="EP37" s="217"/>
      <c r="EQ37" s="217"/>
      <c r="ER37" s="217"/>
      <c r="ES37" s="217"/>
      <c r="ET37" s="217"/>
      <c r="EU37" s="217"/>
      <c r="EV37" s="217"/>
      <c r="EW37" s="217"/>
      <c r="EX37" s="217"/>
      <c r="EY37" s="217"/>
      <c r="EZ37" s="217"/>
      <c r="FA37" s="217"/>
      <c r="FB37" s="217"/>
      <c r="FC37" s="217"/>
      <c r="FD37" s="217"/>
      <c r="FE37" s="217"/>
      <c r="FF37" s="217"/>
      <c r="FG37" s="217"/>
      <c r="FH37" s="210"/>
      <c r="FI37" s="210"/>
      <c r="FJ37" s="210"/>
      <c r="FK37" s="210"/>
      <c r="FL37" s="210"/>
      <c r="FM37" s="218"/>
      <c r="FN37" s="220"/>
      <c r="FO37" s="220"/>
      <c r="FP37" s="220"/>
      <c r="FQ37" s="220"/>
      <c r="FR37" s="220"/>
      <c r="FS37" s="204"/>
      <c r="FT37" s="221"/>
      <c r="FU37" s="221"/>
      <c r="FV37" s="221"/>
      <c r="FW37" s="221"/>
      <c r="FX37" s="496"/>
      <c r="FY37" s="205"/>
      <c r="FZ37" s="205"/>
      <c r="GA37" s="205"/>
      <c r="GB37" s="205"/>
      <c r="GC37" s="205"/>
      <c r="GD37" s="160"/>
      <c r="GE37" s="160"/>
      <c r="GF37" s="160"/>
      <c r="GG37" s="160"/>
      <c r="GH37" s="160"/>
      <c r="GI37" s="160"/>
      <c r="GJ37" s="205"/>
      <c r="GK37" s="205"/>
      <c r="GL37" s="205"/>
      <c r="GM37" s="205"/>
      <c r="GN37" s="205"/>
      <c r="GO37" s="160"/>
      <c r="GP37" s="160"/>
      <c r="GQ37" s="160"/>
      <c r="GR37" s="160"/>
      <c r="GS37" s="160"/>
      <c r="GT37" s="160"/>
      <c r="GU37" s="160"/>
      <c r="GV37" s="160"/>
      <c r="GW37" s="160"/>
      <c r="GX37" s="160"/>
      <c r="GY37" s="160"/>
      <c r="GZ37" s="222"/>
      <c r="HA37" s="160"/>
      <c r="HB37" s="160"/>
      <c r="HC37" s="160"/>
      <c r="HD37" s="223"/>
      <c r="HE37" s="223"/>
      <c r="HF37" s="223"/>
      <c r="HG37" s="223"/>
      <c r="HH37" s="223"/>
      <c r="HI37" s="199"/>
      <c r="HJ37" s="199"/>
      <c r="HK37" s="199"/>
      <c r="HL37" s="199"/>
      <c r="HM37" s="220"/>
      <c r="HN37" s="220"/>
      <c r="HO37" s="220"/>
      <c r="HP37" s="220"/>
      <c r="HQ37" s="220"/>
      <c r="HR37" s="204"/>
      <c r="HS37" s="204"/>
      <c r="HT37" s="204"/>
      <c r="HU37" s="204"/>
    </row>
    <row r="38" spans="1:229" x14ac:dyDescent="0.25">
      <c r="A38" s="91"/>
      <c r="B38" s="92"/>
      <c r="C38" s="92"/>
      <c r="D38" s="93"/>
      <c r="E38" s="93"/>
      <c r="F38" s="94"/>
      <c r="G38" s="95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7"/>
      <c r="U38" s="97"/>
      <c r="V38" s="97"/>
      <c r="W38" s="97"/>
      <c r="X38" s="97"/>
      <c r="Y38" s="97"/>
      <c r="Z38" s="98"/>
      <c r="AA38" s="98"/>
      <c r="AB38" s="98"/>
      <c r="AC38" s="98"/>
      <c r="AD38" s="98"/>
      <c r="AE38" s="98"/>
      <c r="AF38" s="98"/>
      <c r="AG38" s="177"/>
      <c r="AH38" s="177"/>
      <c r="AI38" s="98"/>
      <c r="AJ38" s="98"/>
      <c r="AK38" s="98"/>
      <c r="AL38" s="98"/>
      <c r="AM38" s="98"/>
      <c r="AN38" s="99"/>
      <c r="AO38" s="100"/>
      <c r="AP38" s="96"/>
      <c r="AQ38" s="97"/>
      <c r="AR38" s="97"/>
      <c r="AS38" s="97"/>
      <c r="AT38" s="97"/>
      <c r="AU38" s="97"/>
      <c r="AV38" s="97"/>
      <c r="AW38" s="101"/>
      <c r="AX38" s="95"/>
      <c r="AY38" s="95"/>
      <c r="AZ38" s="95"/>
      <c r="BA38" s="175"/>
      <c r="BB38" s="94"/>
      <c r="BC38" s="94"/>
      <c r="BD38" s="94"/>
      <c r="BE38" s="102"/>
      <c r="BF38" s="103"/>
      <c r="BG38" s="102"/>
      <c r="BH38" s="102"/>
      <c r="BI38" s="102"/>
      <c r="BJ38" s="102"/>
      <c r="BK38" s="102"/>
      <c r="BL38" s="103"/>
      <c r="BM38" s="102"/>
      <c r="BN38" s="104"/>
      <c r="BO38" s="105"/>
      <c r="BP38" s="105"/>
      <c r="BQ38" s="103"/>
      <c r="BR38" s="106"/>
      <c r="BS38" s="106"/>
      <c r="BT38" s="107"/>
      <c r="BU38" s="108"/>
      <c r="BV38" s="108"/>
      <c r="BW38" s="109"/>
      <c r="BX38" s="109"/>
      <c r="BY38" s="110"/>
      <c r="BZ38" s="111"/>
      <c r="CA38" s="111"/>
      <c r="CB38" s="112"/>
      <c r="CC38" s="112"/>
      <c r="CD38" s="112"/>
      <c r="CE38" s="112"/>
      <c r="CF38" s="112"/>
      <c r="CG38" s="113"/>
      <c r="CH38" s="114"/>
      <c r="CI38" s="114"/>
      <c r="CJ38" s="114"/>
      <c r="CK38" s="100"/>
      <c r="CL38" s="100"/>
      <c r="CM38" s="100"/>
      <c r="CN38" s="100"/>
      <c r="CO38" s="100"/>
      <c r="CP38" s="100"/>
      <c r="CQ38" s="115"/>
      <c r="CR38" s="100"/>
      <c r="CS38" s="100"/>
      <c r="CT38" s="100"/>
      <c r="CU38" s="116"/>
      <c r="CV38" s="116"/>
      <c r="CW38" s="116"/>
      <c r="CX38" s="117"/>
      <c r="CY38" s="100"/>
      <c r="CZ38" s="100"/>
      <c r="DA38" s="100"/>
      <c r="DB38" s="118"/>
      <c r="DC38" s="118"/>
      <c r="DD38" s="118"/>
      <c r="DE38" s="118"/>
      <c r="DF38" s="118"/>
      <c r="DG38" s="118"/>
      <c r="DH38" s="118"/>
      <c r="DI38" s="118"/>
      <c r="DJ38" s="118"/>
      <c r="DK38" s="118"/>
      <c r="DL38" s="118"/>
      <c r="DM38" s="118"/>
      <c r="DN38" s="118"/>
      <c r="DO38" s="118"/>
      <c r="DP38" s="118"/>
      <c r="DQ38" s="118"/>
      <c r="DR38" s="118"/>
      <c r="DS38" s="118"/>
      <c r="DT38" s="118"/>
      <c r="DU38" s="118"/>
      <c r="DV38" s="118"/>
      <c r="DW38" s="118"/>
      <c r="DX38" s="118"/>
      <c r="DY38" s="118"/>
      <c r="DZ38" s="118"/>
      <c r="EA38" s="118"/>
      <c r="EB38" s="119"/>
      <c r="EC38" s="119"/>
      <c r="ED38" s="119"/>
      <c r="EE38" s="119"/>
      <c r="EF38" s="119"/>
      <c r="EG38" s="119"/>
      <c r="EH38" s="119"/>
      <c r="EI38" s="120"/>
      <c r="EJ38" s="118"/>
      <c r="EK38" s="118"/>
      <c r="EL38" s="118"/>
      <c r="EM38" s="120"/>
      <c r="EN38" s="118"/>
      <c r="EO38" s="118"/>
      <c r="EP38" s="118"/>
      <c r="EQ38" s="118"/>
      <c r="ER38" s="118"/>
      <c r="ES38" s="118"/>
      <c r="ET38" s="118"/>
      <c r="EU38" s="118"/>
      <c r="EV38" s="118"/>
      <c r="EW38" s="118"/>
      <c r="EX38" s="118"/>
      <c r="EY38" s="118"/>
      <c r="EZ38" s="118"/>
      <c r="FA38" s="118"/>
      <c r="FB38" s="118"/>
      <c r="FC38" s="118"/>
      <c r="FD38" s="118"/>
      <c r="FE38" s="118"/>
      <c r="FF38" s="118"/>
      <c r="FG38" s="118"/>
      <c r="FH38" s="109"/>
      <c r="FI38" s="109"/>
      <c r="FJ38" s="109"/>
      <c r="FK38" s="109"/>
      <c r="FL38" s="109"/>
      <c r="FM38" s="121"/>
      <c r="FN38" s="122"/>
      <c r="FO38" s="122"/>
      <c r="FP38" s="122"/>
      <c r="FQ38" s="122"/>
      <c r="FR38" s="122"/>
      <c r="FS38" s="123"/>
      <c r="FT38" s="124"/>
      <c r="FU38" s="124"/>
      <c r="FV38" s="124"/>
      <c r="FW38" s="124"/>
      <c r="FX38" s="225"/>
      <c r="FY38" s="105"/>
      <c r="FZ38" s="105"/>
      <c r="GA38" s="105"/>
      <c r="GB38" s="105"/>
      <c r="GC38" s="105"/>
      <c r="GD38" s="95"/>
      <c r="GE38" s="95"/>
      <c r="GF38" s="95"/>
      <c r="GG38" s="94"/>
      <c r="GH38" s="95"/>
      <c r="GI38" s="94"/>
      <c r="GJ38" s="105"/>
      <c r="GK38" s="105"/>
      <c r="GL38" s="105"/>
      <c r="GM38" s="105"/>
      <c r="GN38" s="105"/>
      <c r="GO38" s="95"/>
      <c r="GP38" s="95"/>
      <c r="GQ38" s="94"/>
      <c r="GR38" s="94"/>
      <c r="GS38" s="94"/>
      <c r="GT38" s="94"/>
      <c r="GU38" s="94"/>
      <c r="GV38" s="94"/>
      <c r="GW38" s="91"/>
      <c r="GX38" s="95"/>
      <c r="GY38" s="95"/>
      <c r="GZ38" s="125"/>
      <c r="HA38" s="95"/>
      <c r="HB38" s="95"/>
      <c r="HC38" s="95"/>
      <c r="HD38" s="126"/>
      <c r="HE38" s="126"/>
      <c r="HF38" s="126"/>
      <c r="HG38" s="126"/>
      <c r="HH38" s="126"/>
      <c r="HI38" s="127"/>
      <c r="HJ38" s="127"/>
      <c r="HK38" s="127"/>
      <c r="HL38" s="128"/>
      <c r="HM38" s="122"/>
      <c r="HN38" s="122"/>
      <c r="HO38" s="122"/>
      <c r="HP38" s="122"/>
      <c r="HQ38" s="122"/>
      <c r="HR38" s="129"/>
      <c r="HS38" s="129"/>
      <c r="HT38" s="123"/>
      <c r="HU38" s="123"/>
    </row>
    <row r="39" spans="1:229" x14ac:dyDescent="0.25">
      <c r="A39" s="75"/>
      <c r="B39" s="72"/>
      <c r="C39" s="72"/>
      <c r="D39" s="130"/>
      <c r="E39" s="130"/>
      <c r="F39" s="131"/>
      <c r="G39" s="5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5"/>
      <c r="U39" s="45"/>
      <c r="V39" s="45"/>
      <c r="W39" s="45"/>
      <c r="X39" s="45"/>
      <c r="Y39" s="45"/>
      <c r="Z39" s="73"/>
      <c r="AA39" s="73"/>
      <c r="AB39" s="73"/>
      <c r="AC39" s="73"/>
      <c r="AD39" s="73"/>
      <c r="AE39" s="73"/>
      <c r="AF39" s="73"/>
      <c r="AG39" s="179"/>
      <c r="AH39" s="179"/>
      <c r="AI39" s="73"/>
      <c r="AJ39" s="73"/>
      <c r="AK39" s="73"/>
      <c r="AL39" s="73"/>
      <c r="AM39" s="73"/>
      <c r="AO39" s="6"/>
      <c r="AP39" s="4"/>
      <c r="AQ39" s="45"/>
      <c r="AR39" s="45"/>
      <c r="AS39" s="45"/>
      <c r="AT39" s="45"/>
      <c r="AU39" s="45"/>
      <c r="AV39" s="45"/>
      <c r="AW39" s="46"/>
      <c r="AX39" s="5"/>
      <c r="AY39" s="5"/>
      <c r="AZ39" s="5"/>
      <c r="BA39" s="180"/>
      <c r="BB39" s="131"/>
      <c r="BC39" s="131"/>
      <c r="BD39" s="131"/>
      <c r="BE39" s="171"/>
      <c r="BF39" s="74"/>
      <c r="BG39" s="171"/>
      <c r="BH39" s="171"/>
      <c r="BI39" s="171"/>
      <c r="BJ39" s="171"/>
      <c r="BK39" s="171"/>
      <c r="BL39" s="74"/>
      <c r="BM39" s="171"/>
      <c r="BN39" s="181"/>
      <c r="BO39" s="134"/>
      <c r="BP39" s="134"/>
      <c r="BQ39" s="74"/>
      <c r="BR39" s="76"/>
      <c r="BS39" s="76"/>
      <c r="BT39" s="77"/>
      <c r="BU39" s="78"/>
      <c r="BV39" s="78"/>
      <c r="BW39" s="135"/>
      <c r="BX39" s="135"/>
      <c r="BY39" s="79"/>
      <c r="BZ39" s="81"/>
      <c r="CA39" s="81"/>
      <c r="CB39" s="137"/>
      <c r="CC39" s="137"/>
      <c r="CD39" s="137"/>
      <c r="CE39" s="137"/>
      <c r="CF39" s="137"/>
      <c r="CG39" s="149"/>
      <c r="CH39" s="138"/>
      <c r="CI39" s="138"/>
      <c r="CJ39" s="138"/>
      <c r="CK39" s="6"/>
      <c r="CL39" s="6"/>
      <c r="CM39" s="6"/>
      <c r="CN39" s="6"/>
      <c r="CO39" s="6"/>
      <c r="CP39" s="6"/>
      <c r="CQ39" s="7"/>
      <c r="CR39" s="6"/>
      <c r="CS39" s="6"/>
      <c r="CT39" s="6"/>
      <c r="CU39" s="139"/>
      <c r="CV39" s="139"/>
      <c r="CW39" s="139"/>
      <c r="CX39" s="82"/>
      <c r="CY39" s="6"/>
      <c r="CZ39" s="6"/>
      <c r="DA39" s="6"/>
      <c r="DB39" s="84"/>
      <c r="DC39" s="84"/>
      <c r="DD39" s="84"/>
      <c r="DE39" s="84"/>
      <c r="DF39" s="84"/>
      <c r="DG39" s="84"/>
      <c r="DH39" s="84"/>
      <c r="DI39" s="84"/>
      <c r="DJ39" s="84"/>
      <c r="DK39" s="84"/>
      <c r="DL39" s="84"/>
      <c r="DM39" s="84"/>
      <c r="DN39" s="84"/>
      <c r="DO39" s="84"/>
      <c r="DP39" s="84"/>
      <c r="DQ39" s="84"/>
      <c r="DR39" s="84"/>
      <c r="DS39" s="84"/>
      <c r="DT39" s="84"/>
      <c r="DU39" s="84"/>
      <c r="DV39" s="84"/>
      <c r="DW39" s="84"/>
      <c r="DX39" s="84"/>
      <c r="DY39" s="84"/>
      <c r="DZ39" s="84"/>
      <c r="EA39" s="84"/>
      <c r="EB39" s="85"/>
      <c r="EC39" s="85"/>
      <c r="ED39" s="85"/>
      <c r="EE39" s="85"/>
      <c r="EF39" s="85"/>
      <c r="EG39" s="85"/>
      <c r="EH39" s="85"/>
      <c r="EI39" s="86"/>
      <c r="EJ39" s="84"/>
      <c r="EK39" s="84"/>
      <c r="EL39" s="84"/>
      <c r="EM39" s="86"/>
      <c r="EN39" s="84"/>
      <c r="EO39" s="84"/>
      <c r="EP39" s="84"/>
      <c r="EQ39" s="84"/>
      <c r="ER39" s="84"/>
      <c r="ES39" s="84"/>
      <c r="ET39" s="84"/>
      <c r="EU39" s="84"/>
      <c r="EV39" s="84"/>
      <c r="EW39" s="84"/>
      <c r="EX39" s="84"/>
      <c r="EY39" s="84"/>
      <c r="EZ39" s="84"/>
      <c r="FA39" s="84"/>
      <c r="FB39" s="84"/>
      <c r="FC39" s="84"/>
      <c r="FD39" s="84"/>
      <c r="FE39" s="84"/>
      <c r="FF39" s="84"/>
      <c r="FG39" s="84"/>
      <c r="FH39" s="135"/>
      <c r="FI39" s="135"/>
      <c r="FJ39" s="135"/>
      <c r="FK39" s="135"/>
      <c r="FL39" s="135"/>
      <c r="FM39" s="141"/>
      <c r="FN39" s="142"/>
      <c r="FO39" s="142"/>
      <c r="FP39" s="142"/>
      <c r="FQ39" s="142"/>
      <c r="FR39" s="142"/>
      <c r="FS39" s="53"/>
      <c r="FT39" s="88"/>
      <c r="FU39" s="88"/>
      <c r="FV39" s="88"/>
      <c r="FW39" s="88"/>
      <c r="FX39" s="457"/>
      <c r="FY39" s="134"/>
      <c r="FZ39" s="134"/>
      <c r="GA39" s="134"/>
      <c r="GB39" s="134"/>
      <c r="GC39" s="134"/>
      <c r="GD39" s="5"/>
      <c r="GE39" s="5"/>
      <c r="GF39" s="5"/>
      <c r="GG39" s="131"/>
      <c r="GH39" s="5"/>
      <c r="GI39" s="131"/>
      <c r="GJ39" s="134"/>
      <c r="GK39" s="134"/>
      <c r="GL39" s="134"/>
      <c r="GM39" s="134"/>
      <c r="GN39" s="134"/>
      <c r="GO39" s="5"/>
      <c r="GP39" s="5"/>
      <c r="GQ39" s="131"/>
      <c r="GR39" s="131"/>
      <c r="GS39" s="131"/>
      <c r="GT39" s="131"/>
      <c r="GU39" s="131"/>
      <c r="GV39" s="131"/>
      <c r="GW39" s="75"/>
      <c r="GX39" s="5"/>
      <c r="GY39" s="5"/>
      <c r="GZ39" s="90"/>
      <c r="HA39" s="5"/>
      <c r="HB39" s="5"/>
      <c r="HC39" s="5"/>
      <c r="HD39" s="143"/>
      <c r="HE39" s="143"/>
      <c r="HF39" s="143"/>
      <c r="HG39" s="143"/>
      <c r="HH39" s="143"/>
      <c r="HI39" s="52"/>
      <c r="HJ39" s="52"/>
      <c r="HK39" s="52"/>
      <c r="HL39" s="144"/>
      <c r="HM39" s="142"/>
      <c r="HN39" s="142"/>
      <c r="HO39" s="142"/>
      <c r="HP39" s="142"/>
      <c r="HQ39" s="142"/>
      <c r="HT39" s="53"/>
      <c r="HU39" s="53"/>
    </row>
    <row r="40" spans="1:229" ht="15.75" x14ac:dyDescent="0.25">
      <c r="A40" s="151" t="s">
        <v>3</v>
      </c>
      <c r="B40" s="176"/>
      <c r="C40" s="176"/>
      <c r="D40" s="176"/>
      <c r="E40" s="176"/>
      <c r="F40" s="176">
        <f>SUM(F5:F39)</f>
        <v>172.54780000000002</v>
      </c>
      <c r="G40" s="176"/>
      <c r="H40" s="176"/>
      <c r="I40" s="176"/>
      <c r="J40" s="176"/>
      <c r="K40" s="176"/>
      <c r="L40" s="176">
        <f t="shared" ref="L40:AQ40" si="0">SUM(L5:L39)</f>
        <v>43.379999999999995</v>
      </c>
      <c r="M40" s="176">
        <f t="shared" si="0"/>
        <v>0</v>
      </c>
      <c r="N40" s="176">
        <f t="shared" si="0"/>
        <v>17.569999999999997</v>
      </c>
      <c r="O40" s="176">
        <f t="shared" si="0"/>
        <v>41.22</v>
      </c>
      <c r="P40" s="176">
        <f t="shared" si="0"/>
        <v>0</v>
      </c>
      <c r="Q40" s="176">
        <f t="shared" si="0"/>
        <v>51.401699999999998</v>
      </c>
      <c r="R40" s="176">
        <f t="shared" si="0"/>
        <v>0</v>
      </c>
      <c r="S40" s="176">
        <f t="shared" si="0"/>
        <v>0</v>
      </c>
      <c r="T40" s="176">
        <f t="shared" si="0"/>
        <v>75.714600000000004</v>
      </c>
      <c r="U40" s="176">
        <f t="shared" si="0"/>
        <v>0</v>
      </c>
      <c r="V40" s="176">
        <f t="shared" si="0"/>
        <v>0</v>
      </c>
      <c r="W40" s="176">
        <f t="shared" si="0"/>
        <v>22.067499999999999</v>
      </c>
      <c r="X40" s="176">
        <f t="shared" si="0"/>
        <v>0</v>
      </c>
      <c r="Y40" s="176">
        <f t="shared" si="0"/>
        <v>0</v>
      </c>
      <c r="Z40" s="176">
        <f t="shared" si="0"/>
        <v>3.69</v>
      </c>
      <c r="AA40" s="176">
        <f t="shared" si="0"/>
        <v>23.37</v>
      </c>
      <c r="AB40" s="176">
        <f t="shared" si="0"/>
        <v>0</v>
      </c>
      <c r="AC40" s="176">
        <f t="shared" si="0"/>
        <v>7.38</v>
      </c>
      <c r="AD40" s="176">
        <f t="shared" si="0"/>
        <v>0</v>
      </c>
      <c r="AE40" s="176">
        <f t="shared" si="0"/>
        <v>0</v>
      </c>
      <c r="AF40" s="176">
        <f t="shared" si="0"/>
        <v>0</v>
      </c>
      <c r="AG40" s="176">
        <f t="shared" si="0"/>
        <v>0</v>
      </c>
      <c r="AH40" s="176">
        <f t="shared" si="0"/>
        <v>0</v>
      </c>
      <c r="AI40" s="176">
        <f t="shared" si="0"/>
        <v>9.2899999999999991</v>
      </c>
      <c r="AJ40" s="176">
        <f t="shared" si="0"/>
        <v>9.36</v>
      </c>
      <c r="AK40" s="176">
        <f t="shared" si="0"/>
        <v>0</v>
      </c>
      <c r="AL40" s="176">
        <f t="shared" si="0"/>
        <v>0</v>
      </c>
      <c r="AM40" s="176">
        <f t="shared" si="0"/>
        <v>18.649999999999999</v>
      </c>
      <c r="AN40" s="152">
        <f t="shared" si="0"/>
        <v>0</v>
      </c>
      <c r="AO40" s="176">
        <f t="shared" si="0"/>
        <v>0</v>
      </c>
      <c r="AP40" s="176">
        <f t="shared" si="0"/>
        <v>0</v>
      </c>
      <c r="AQ40" s="176">
        <f t="shared" si="0"/>
        <v>0</v>
      </c>
      <c r="AR40" s="176">
        <f t="shared" ref="AR40:BN40" si="1">SUM(AR5:AR39)</f>
        <v>22.067499999999999</v>
      </c>
      <c r="AS40" s="176">
        <f t="shared" si="1"/>
        <v>0</v>
      </c>
      <c r="AT40" s="176">
        <f t="shared" si="1"/>
        <v>97.782100000000014</v>
      </c>
      <c r="AU40" s="176">
        <f t="shared" si="1"/>
        <v>75.714600000000004</v>
      </c>
      <c r="AV40" s="176">
        <f t="shared" si="1"/>
        <v>22.067499999999999</v>
      </c>
      <c r="AW40" s="153">
        <f t="shared" si="1"/>
        <v>4</v>
      </c>
      <c r="AX40" s="176">
        <f t="shared" si="1"/>
        <v>0</v>
      </c>
      <c r="AY40" s="176">
        <f t="shared" si="1"/>
        <v>0</v>
      </c>
      <c r="AZ40" s="176">
        <f t="shared" si="1"/>
        <v>0</v>
      </c>
      <c r="BA40" s="176">
        <f t="shared" si="1"/>
        <v>22.067499999999999</v>
      </c>
      <c r="BB40" s="176">
        <f t="shared" si="1"/>
        <v>116.33430000000001</v>
      </c>
      <c r="BC40" s="176">
        <f t="shared" si="1"/>
        <v>0</v>
      </c>
      <c r="BD40" s="176">
        <f t="shared" si="1"/>
        <v>0</v>
      </c>
      <c r="BE40" s="176">
        <f t="shared" si="1"/>
        <v>0</v>
      </c>
      <c r="BF40" s="176">
        <f t="shared" si="1"/>
        <v>0</v>
      </c>
      <c r="BG40" s="176">
        <f t="shared" si="1"/>
        <v>23.110500000000002</v>
      </c>
      <c r="BH40" s="176">
        <f t="shared" si="1"/>
        <v>0</v>
      </c>
      <c r="BI40" s="176">
        <f t="shared" si="1"/>
        <v>0</v>
      </c>
      <c r="BJ40" s="176">
        <f t="shared" si="1"/>
        <v>0</v>
      </c>
      <c r="BK40" s="176">
        <f t="shared" si="1"/>
        <v>0</v>
      </c>
      <c r="BL40" s="176">
        <f t="shared" si="1"/>
        <v>0</v>
      </c>
      <c r="BM40" s="176">
        <f t="shared" si="1"/>
        <v>0</v>
      </c>
      <c r="BN40" s="176">
        <f t="shared" si="1"/>
        <v>0</v>
      </c>
      <c r="BO40" s="176"/>
      <c r="BP40" s="176"/>
      <c r="BQ40" s="176">
        <f t="shared" ref="BQ40:BV40" si="2">SUM(BQ5:BQ39)</f>
        <v>4.96</v>
      </c>
      <c r="BR40" s="153">
        <f t="shared" si="2"/>
        <v>0</v>
      </c>
      <c r="BS40" s="153">
        <f t="shared" si="2"/>
        <v>0</v>
      </c>
      <c r="BT40" s="176">
        <f t="shared" si="2"/>
        <v>0</v>
      </c>
      <c r="BU40" s="154">
        <f t="shared" si="2"/>
        <v>0</v>
      </c>
      <c r="BV40" s="154">
        <f t="shared" si="2"/>
        <v>1</v>
      </c>
      <c r="BW40" s="176"/>
      <c r="BX40" s="176"/>
      <c r="BY40" s="176">
        <f>SUM(BY5:BY39)</f>
        <v>0</v>
      </c>
      <c r="BZ40" s="155">
        <f>SUM(BZ5:BZ39)</f>
        <v>0</v>
      </c>
      <c r="CA40" s="155">
        <f>SUM(CA5:CA39)</f>
        <v>0</v>
      </c>
      <c r="CB40" s="176"/>
      <c r="CC40" s="176"/>
      <c r="CD40" s="176"/>
      <c r="CE40" s="176"/>
      <c r="CF40" s="176"/>
      <c r="CG40" s="176">
        <f t="shared" ref="CG40:CW40" si="3">SUM(CG5:CG39)</f>
        <v>0</v>
      </c>
      <c r="CH40" s="176">
        <f t="shared" si="3"/>
        <v>9.6942000000000004</v>
      </c>
      <c r="CI40" s="176">
        <f t="shared" si="3"/>
        <v>0</v>
      </c>
      <c r="CJ40" s="176">
        <f t="shared" si="3"/>
        <v>0</v>
      </c>
      <c r="CK40" s="176">
        <f t="shared" si="3"/>
        <v>28.387999999999995</v>
      </c>
      <c r="CL40" s="176">
        <f t="shared" si="3"/>
        <v>10.232399999999998</v>
      </c>
      <c r="CM40" s="176">
        <f t="shared" si="3"/>
        <v>180.3837</v>
      </c>
      <c r="CN40" s="176">
        <f t="shared" si="3"/>
        <v>0</v>
      </c>
      <c r="CO40" s="176">
        <f t="shared" si="3"/>
        <v>0</v>
      </c>
      <c r="CP40" s="176">
        <f t="shared" si="3"/>
        <v>0</v>
      </c>
      <c r="CQ40" s="176">
        <f t="shared" si="3"/>
        <v>0</v>
      </c>
      <c r="CR40" s="176">
        <f t="shared" si="3"/>
        <v>0</v>
      </c>
      <c r="CS40" s="176">
        <f t="shared" si="3"/>
        <v>0</v>
      </c>
      <c r="CT40" s="176">
        <f t="shared" si="3"/>
        <v>0</v>
      </c>
      <c r="CU40" s="176">
        <f t="shared" si="3"/>
        <v>0</v>
      </c>
      <c r="CV40" s="176">
        <f t="shared" si="3"/>
        <v>50.637699999999995</v>
      </c>
      <c r="CW40" s="176">
        <f t="shared" si="3"/>
        <v>0</v>
      </c>
      <c r="CX40" s="176"/>
      <c r="CY40" s="176"/>
      <c r="CZ40" s="176"/>
      <c r="DA40" s="176"/>
      <c r="DB40" s="156">
        <f>SUM(DB5:DB39)</f>
        <v>0</v>
      </c>
      <c r="DC40" s="156">
        <f>SUM(DC5:DC39)</f>
        <v>0</v>
      </c>
      <c r="DD40" s="156">
        <f>SUM(DD5:DD39)</f>
        <v>0</v>
      </c>
      <c r="DE40" s="156">
        <f>SUM(DE5:DE39)</f>
        <v>0</v>
      </c>
      <c r="DF40" s="156">
        <f>SUM(DF5:DF39)</f>
        <v>0</v>
      </c>
      <c r="DG40" s="156"/>
      <c r="DH40" s="156">
        <f t="shared" ref="DH40:DS40" si="4">SUM(DH5:DH39)</f>
        <v>0</v>
      </c>
      <c r="DI40" s="156">
        <f t="shared" si="4"/>
        <v>0</v>
      </c>
      <c r="DJ40" s="156">
        <f t="shared" si="4"/>
        <v>0</v>
      </c>
      <c r="DK40" s="156">
        <f t="shared" si="4"/>
        <v>0</v>
      </c>
      <c r="DL40" s="156">
        <f t="shared" si="4"/>
        <v>0</v>
      </c>
      <c r="DM40" s="156">
        <f t="shared" si="4"/>
        <v>0</v>
      </c>
      <c r="DN40" s="156">
        <f t="shared" si="4"/>
        <v>2</v>
      </c>
      <c r="DO40" s="156">
        <f t="shared" si="4"/>
        <v>0</v>
      </c>
      <c r="DP40" s="156">
        <f t="shared" si="4"/>
        <v>0</v>
      </c>
      <c r="DQ40" s="156">
        <f t="shared" si="4"/>
        <v>0</v>
      </c>
      <c r="DR40" s="156">
        <f t="shared" si="4"/>
        <v>0</v>
      </c>
      <c r="DS40" s="156">
        <f t="shared" si="4"/>
        <v>0</v>
      </c>
      <c r="DT40" s="156"/>
      <c r="DU40" s="156"/>
      <c r="DV40" s="157">
        <f t="shared" ref="DV40:EH40" si="5">SUM(DV5:DV39)</f>
        <v>0</v>
      </c>
      <c r="DW40" s="157">
        <f t="shared" si="5"/>
        <v>0</v>
      </c>
      <c r="DX40" s="156">
        <f t="shared" si="5"/>
        <v>0</v>
      </c>
      <c r="DY40" s="156">
        <f t="shared" si="5"/>
        <v>0</v>
      </c>
      <c r="DZ40" s="156">
        <f t="shared" si="5"/>
        <v>0</v>
      </c>
      <c r="EA40" s="156">
        <f t="shared" si="5"/>
        <v>0</v>
      </c>
      <c r="EB40" s="153">
        <f t="shared" si="5"/>
        <v>2</v>
      </c>
      <c r="EC40" s="153">
        <f t="shared" si="5"/>
        <v>1</v>
      </c>
      <c r="ED40" s="153">
        <f t="shared" si="5"/>
        <v>0</v>
      </c>
      <c r="EE40" s="153">
        <f t="shared" si="5"/>
        <v>0</v>
      </c>
      <c r="EF40" s="153">
        <f t="shared" si="5"/>
        <v>0</v>
      </c>
      <c r="EG40" s="153">
        <f t="shared" si="5"/>
        <v>0</v>
      </c>
      <c r="EH40" s="153">
        <f t="shared" si="5"/>
        <v>0</v>
      </c>
      <c r="EI40" s="158"/>
      <c r="EJ40" s="153">
        <f>SUM(EJ5:EJ39)</f>
        <v>0</v>
      </c>
      <c r="EK40" s="153">
        <f>SUM(EK5:EK39)</f>
        <v>0</v>
      </c>
      <c r="EL40" s="153">
        <f>SUM(EL5:EL39)</f>
        <v>0</v>
      </c>
      <c r="EM40" s="158"/>
      <c r="EN40" s="153">
        <f t="shared" ref="EN40:FG40" si="6">SUM(EN5:EN39)</f>
        <v>0</v>
      </c>
      <c r="EO40" s="153">
        <f t="shared" si="6"/>
        <v>0</v>
      </c>
      <c r="EP40" s="153">
        <f t="shared" si="6"/>
        <v>0</v>
      </c>
      <c r="EQ40" s="153">
        <f t="shared" si="6"/>
        <v>0</v>
      </c>
      <c r="ER40" s="153">
        <f t="shared" si="6"/>
        <v>0</v>
      </c>
      <c r="ES40" s="176">
        <f t="shared" si="6"/>
        <v>0</v>
      </c>
      <c r="ET40" s="176">
        <f t="shared" si="6"/>
        <v>0.87</v>
      </c>
      <c r="EU40" s="176">
        <f t="shared" si="6"/>
        <v>0</v>
      </c>
      <c r="EV40" s="176">
        <f t="shared" si="6"/>
        <v>4.45</v>
      </c>
      <c r="EW40" s="176">
        <f t="shared" si="6"/>
        <v>0</v>
      </c>
      <c r="EX40" s="176">
        <f t="shared" si="6"/>
        <v>0</v>
      </c>
      <c r="EY40" s="176">
        <f t="shared" si="6"/>
        <v>0</v>
      </c>
      <c r="EZ40" s="176">
        <f t="shared" si="6"/>
        <v>0</v>
      </c>
      <c r="FA40" s="176">
        <f t="shared" si="6"/>
        <v>0</v>
      </c>
      <c r="FB40" s="176">
        <f t="shared" si="6"/>
        <v>0</v>
      </c>
      <c r="FC40" s="176">
        <f t="shared" si="6"/>
        <v>0</v>
      </c>
      <c r="FD40" s="176">
        <f t="shared" si="6"/>
        <v>0</v>
      </c>
      <c r="FE40" s="176">
        <f t="shared" si="6"/>
        <v>0</v>
      </c>
      <c r="FF40" s="176">
        <f t="shared" si="6"/>
        <v>0</v>
      </c>
      <c r="FG40" s="176">
        <f t="shared" si="6"/>
        <v>0</v>
      </c>
      <c r="FH40" s="176"/>
      <c r="FI40" s="176"/>
      <c r="FJ40" s="176"/>
      <c r="FK40" s="176"/>
      <c r="FL40" s="176"/>
      <c r="FM40" s="176">
        <f>SUM(FM5:FM39)</f>
        <v>0</v>
      </c>
      <c r="FN40" s="176"/>
      <c r="FO40" s="176"/>
      <c r="FP40" s="176"/>
      <c r="FQ40" s="176"/>
      <c r="FR40" s="176"/>
      <c r="FS40" s="176">
        <f t="shared" ref="FS40:FX40" si="7">SUM(FS5:FS39)</f>
        <v>0</v>
      </c>
      <c r="FT40" s="176">
        <f t="shared" si="7"/>
        <v>0</v>
      </c>
      <c r="FU40" s="176">
        <f t="shared" si="7"/>
        <v>0</v>
      </c>
      <c r="FV40" s="176">
        <f t="shared" si="7"/>
        <v>50.385999999999996</v>
      </c>
      <c r="FW40" s="176">
        <f t="shared" si="7"/>
        <v>0</v>
      </c>
      <c r="FX40" s="176">
        <f t="shared" si="7"/>
        <v>0</v>
      </c>
      <c r="FY40" s="176"/>
      <c r="FZ40" s="176"/>
      <c r="GA40" s="176"/>
      <c r="GB40" s="176"/>
      <c r="GC40" s="176"/>
      <c r="GD40" s="176"/>
      <c r="GE40" s="176"/>
      <c r="GF40" s="176"/>
      <c r="GG40" s="176">
        <f>SUM(GG5:GG39)</f>
        <v>41.833499999999987</v>
      </c>
      <c r="GH40" s="176">
        <f>SUM(GH5:GH39)</f>
        <v>0</v>
      </c>
      <c r="GI40" s="176">
        <f>SUM(GI5:GI39)</f>
        <v>0</v>
      </c>
      <c r="GJ40" s="176"/>
      <c r="GK40" s="176"/>
      <c r="GL40" s="176"/>
      <c r="GM40" s="176"/>
      <c r="GN40" s="176"/>
      <c r="GO40" s="176"/>
      <c r="GP40" s="176"/>
      <c r="GQ40" s="176"/>
      <c r="GR40" s="176">
        <f t="shared" ref="GR40:HC40" si="8">SUM(GR5:GR39)</f>
        <v>275.74620000000004</v>
      </c>
      <c r="GS40" s="176">
        <f t="shared" si="8"/>
        <v>0</v>
      </c>
      <c r="GT40" s="176">
        <f t="shared" si="8"/>
        <v>0</v>
      </c>
      <c r="GU40" s="176">
        <f t="shared" si="8"/>
        <v>23.110500000000002</v>
      </c>
      <c r="GV40" s="176">
        <f t="shared" si="8"/>
        <v>0</v>
      </c>
      <c r="GW40" s="176">
        <f t="shared" si="8"/>
        <v>0</v>
      </c>
      <c r="GX40" s="176">
        <f t="shared" si="8"/>
        <v>4.96</v>
      </c>
      <c r="GY40" s="176">
        <f t="shared" si="8"/>
        <v>0</v>
      </c>
      <c r="GZ40" s="159">
        <f t="shared" si="8"/>
        <v>0</v>
      </c>
      <c r="HA40" s="153">
        <f t="shared" si="8"/>
        <v>0</v>
      </c>
      <c r="HB40" s="153">
        <f t="shared" si="8"/>
        <v>0</v>
      </c>
      <c r="HC40" s="153">
        <f t="shared" si="8"/>
        <v>0</v>
      </c>
      <c r="HD40" s="176"/>
      <c r="HE40" s="176"/>
      <c r="HF40" s="176"/>
      <c r="HG40" s="176"/>
      <c r="HH40" s="176"/>
      <c r="HI40" s="176"/>
      <c r="HJ40" s="176"/>
      <c r="HK40" s="176"/>
      <c r="HL40" s="176">
        <f>SUM(HL5:HL39)</f>
        <v>0</v>
      </c>
      <c r="HM40" s="176"/>
      <c r="HN40" s="176"/>
      <c r="HO40" s="176"/>
      <c r="HP40" s="176"/>
      <c r="HQ40" s="176"/>
      <c r="HR40" s="176"/>
      <c r="HS40" s="176"/>
      <c r="HT40" s="176"/>
      <c r="HU40" s="176">
        <f>SUM(HU5:HU39)</f>
        <v>0</v>
      </c>
    </row>
    <row r="41" spans="1:229" x14ac:dyDescent="0.25">
      <c r="DC41" s="59">
        <f>SUM(DC40:DR40)</f>
        <v>2</v>
      </c>
      <c r="EI41" s="67" t="s">
        <v>611</v>
      </c>
      <c r="EJ41" s="2">
        <f>2.5*EJ40*EJ4</f>
        <v>0</v>
      </c>
      <c r="EK41" s="2">
        <f>2.5*EK40*EK4</f>
        <v>0</v>
      </c>
      <c r="EL41" s="2">
        <f>2.5*EL40*EL4</f>
        <v>0</v>
      </c>
      <c r="EN41" s="2">
        <f>2.5*EN40*EN4</f>
        <v>0</v>
      </c>
      <c r="EO41" s="2">
        <f>2.5*EO40*EO4</f>
        <v>0</v>
      </c>
      <c r="EP41" s="2">
        <f>2.5*EP40*EP4</f>
        <v>0</v>
      </c>
      <c r="EQ41" s="2">
        <f>2.5*EQ40*EQ4</f>
        <v>0</v>
      </c>
      <c r="ER41" s="2">
        <f>2.5*ER40*ER4</f>
        <v>0</v>
      </c>
    </row>
    <row r="42" spans="1:229" x14ac:dyDescent="0.25">
      <c r="Q42" s="2" t="s">
        <v>733</v>
      </c>
      <c r="EI42" s="67" t="s">
        <v>159</v>
      </c>
      <c r="EJ42" s="2">
        <f>SUM(EJ41:EL41)</f>
        <v>0</v>
      </c>
      <c r="EN42" s="2">
        <f>SUM(EN41:ER41)</f>
        <v>0</v>
      </c>
    </row>
    <row r="43" spans="1:229" x14ac:dyDescent="0.25">
      <c r="Q43" s="150" t="e">
        <f>SUM(#REF!)</f>
        <v>#REF!</v>
      </c>
    </row>
    <row r="44" spans="1:229" x14ac:dyDescent="0.25">
      <c r="Q44" s="2" t="s">
        <v>734</v>
      </c>
    </row>
    <row r="45" spans="1:229" x14ac:dyDescent="0.25">
      <c r="Q45" s="150" t="e">
        <f>Q40-Q43</f>
        <v>#REF!</v>
      </c>
    </row>
    <row r="206" spans="1:229" ht="15.75" x14ac:dyDescent="0.25">
      <c r="A206" s="151" t="s">
        <v>3</v>
      </c>
      <c r="B206" s="176"/>
      <c r="C206" s="176"/>
      <c r="D206" s="176"/>
      <c r="E206" s="176"/>
      <c r="F206" s="176">
        <f>SUM(F85:F129)</f>
        <v>0</v>
      </c>
      <c r="G206" s="176"/>
      <c r="H206" s="176"/>
      <c r="I206" s="176"/>
      <c r="J206" s="176"/>
      <c r="K206" s="176"/>
      <c r="L206" s="176">
        <f t="shared" ref="L206:BN206" si="9">SUM(L85:L129)</f>
        <v>0</v>
      </c>
      <c r="M206" s="176">
        <f t="shared" si="9"/>
        <v>0</v>
      </c>
      <c r="N206" s="176">
        <f t="shared" si="9"/>
        <v>0</v>
      </c>
      <c r="O206" s="176">
        <f t="shared" si="9"/>
        <v>0</v>
      </c>
      <c r="P206" s="176">
        <f t="shared" si="9"/>
        <v>0</v>
      </c>
      <c r="Q206" s="176">
        <f t="shared" si="9"/>
        <v>0</v>
      </c>
      <c r="R206" s="176">
        <f t="shared" si="9"/>
        <v>0</v>
      </c>
      <c r="S206" s="176">
        <f t="shared" si="9"/>
        <v>0</v>
      </c>
      <c r="T206" s="176">
        <f t="shared" si="9"/>
        <v>0</v>
      </c>
      <c r="U206" s="176">
        <f t="shared" si="9"/>
        <v>0</v>
      </c>
      <c r="V206" s="176">
        <f t="shared" si="9"/>
        <v>0</v>
      </c>
      <c r="W206" s="176">
        <f t="shared" si="9"/>
        <v>0</v>
      </c>
      <c r="X206" s="176"/>
      <c r="Y206" s="176">
        <f t="shared" si="9"/>
        <v>0</v>
      </c>
      <c r="Z206" s="176">
        <f t="shared" si="9"/>
        <v>0</v>
      </c>
      <c r="AA206" s="176">
        <f t="shared" si="9"/>
        <v>0</v>
      </c>
      <c r="AB206" s="176"/>
      <c r="AC206" s="176">
        <f t="shared" si="9"/>
        <v>0</v>
      </c>
      <c r="AD206" s="176">
        <f t="shared" si="9"/>
        <v>0</v>
      </c>
      <c r="AE206" s="176">
        <f t="shared" si="9"/>
        <v>0</v>
      </c>
      <c r="AF206" s="176">
        <f t="shared" si="9"/>
        <v>0</v>
      </c>
      <c r="AG206" s="176">
        <f t="shared" si="9"/>
        <v>0</v>
      </c>
      <c r="AH206" s="176">
        <f t="shared" si="9"/>
        <v>0</v>
      </c>
      <c r="AI206" s="176">
        <f t="shared" si="9"/>
        <v>0</v>
      </c>
      <c r="AJ206" s="176">
        <f t="shared" si="9"/>
        <v>0</v>
      </c>
      <c r="AK206" s="176">
        <f t="shared" si="9"/>
        <v>0</v>
      </c>
      <c r="AL206" s="176">
        <f t="shared" ref="AL206" si="10">SUM(AL85:AL129)</f>
        <v>0</v>
      </c>
      <c r="AM206" s="176"/>
      <c r="AN206" s="152">
        <f t="shared" si="9"/>
        <v>0</v>
      </c>
      <c r="AO206" s="176">
        <f t="shared" si="9"/>
        <v>0</v>
      </c>
      <c r="AP206" s="176">
        <f t="shared" si="9"/>
        <v>0</v>
      </c>
      <c r="AQ206" s="176">
        <f t="shared" si="9"/>
        <v>0</v>
      </c>
      <c r="AR206" s="176">
        <f t="shared" si="9"/>
        <v>0</v>
      </c>
      <c r="AS206" s="176">
        <f t="shared" si="9"/>
        <v>0</v>
      </c>
      <c r="AT206" s="176">
        <f t="shared" si="9"/>
        <v>0</v>
      </c>
      <c r="AU206" s="176">
        <f t="shared" si="9"/>
        <v>0</v>
      </c>
      <c r="AV206" s="176">
        <f t="shared" si="9"/>
        <v>0</v>
      </c>
      <c r="AW206" s="153">
        <f t="shared" si="9"/>
        <v>0</v>
      </c>
      <c r="AX206" s="176">
        <f t="shared" ref="AX206" si="11">SUM(AX85:AX129)</f>
        <v>0</v>
      </c>
      <c r="AY206" s="176">
        <f t="shared" si="9"/>
        <v>0</v>
      </c>
      <c r="AZ206" s="176">
        <f t="shared" si="9"/>
        <v>0</v>
      </c>
      <c r="BA206" s="176">
        <f t="shared" si="9"/>
        <v>0</v>
      </c>
      <c r="BB206" s="176">
        <f t="shared" si="9"/>
        <v>0</v>
      </c>
      <c r="BC206" s="176"/>
      <c r="BD206" s="176">
        <f t="shared" si="9"/>
        <v>0</v>
      </c>
      <c r="BE206" s="176">
        <f t="shared" si="9"/>
        <v>0</v>
      </c>
      <c r="BF206" s="176">
        <f t="shared" si="9"/>
        <v>0</v>
      </c>
      <c r="BG206" s="176">
        <f t="shared" si="9"/>
        <v>0</v>
      </c>
      <c r="BH206" s="176">
        <f t="shared" si="9"/>
        <v>0</v>
      </c>
      <c r="BI206" s="176">
        <f t="shared" si="9"/>
        <v>0</v>
      </c>
      <c r="BJ206" s="176">
        <f t="shared" si="9"/>
        <v>0</v>
      </c>
      <c r="BK206" s="176">
        <f t="shared" si="9"/>
        <v>0</v>
      </c>
      <c r="BL206" s="176">
        <f t="shared" si="9"/>
        <v>0</v>
      </c>
      <c r="BM206" s="176">
        <f t="shared" si="9"/>
        <v>0</v>
      </c>
      <c r="BN206" s="176">
        <f t="shared" si="9"/>
        <v>0</v>
      </c>
      <c r="BO206" s="176"/>
      <c r="BP206" s="176"/>
      <c r="BQ206" s="176">
        <f t="shared" ref="BQ206:BV206" si="12">SUM(BQ85:BQ129)</f>
        <v>0</v>
      </c>
      <c r="BR206" s="153">
        <f t="shared" si="12"/>
        <v>0</v>
      </c>
      <c r="BS206" s="153">
        <f t="shared" si="12"/>
        <v>0</v>
      </c>
      <c r="BT206" s="176">
        <f t="shared" si="12"/>
        <v>0</v>
      </c>
      <c r="BU206" s="154">
        <f t="shared" si="12"/>
        <v>0</v>
      </c>
      <c r="BV206" s="154">
        <f t="shared" si="12"/>
        <v>0</v>
      </c>
      <c r="BW206" s="176"/>
      <c r="BX206" s="176"/>
      <c r="BY206" s="176">
        <f>SUM(BY85:BY129)</f>
        <v>0</v>
      </c>
      <c r="BZ206" s="155">
        <f>SUM(BZ85:BZ129)</f>
        <v>0</v>
      </c>
      <c r="CA206" s="155">
        <f>SUM(CA85:CA129)</f>
        <v>0</v>
      </c>
      <c r="CB206" s="176"/>
      <c r="CC206" s="176"/>
      <c r="CD206" s="176"/>
      <c r="CE206" s="176"/>
      <c r="CF206" s="176"/>
      <c r="CG206" s="176">
        <f t="shared" ref="CG206:CW206" si="13">SUM(CG85:CG129)</f>
        <v>0</v>
      </c>
      <c r="CH206" s="176">
        <f t="shared" si="13"/>
        <v>0</v>
      </c>
      <c r="CI206" s="176">
        <f t="shared" ref="CI206" si="14">SUM(CI85:CI129)</f>
        <v>0</v>
      </c>
      <c r="CJ206" s="176">
        <f>SUM(CJ85:CJ129)</f>
        <v>0</v>
      </c>
      <c r="CK206" s="176">
        <f t="shared" si="13"/>
        <v>0</v>
      </c>
      <c r="CL206" s="176">
        <f t="shared" si="13"/>
        <v>0</v>
      </c>
      <c r="CM206" s="176">
        <f t="shared" si="13"/>
        <v>0</v>
      </c>
      <c r="CN206" s="176">
        <f t="shared" si="13"/>
        <v>0</v>
      </c>
      <c r="CO206" s="176">
        <f t="shared" si="13"/>
        <v>0</v>
      </c>
      <c r="CP206" s="176">
        <f t="shared" si="13"/>
        <v>0</v>
      </c>
      <c r="CQ206" s="176">
        <f t="shared" si="13"/>
        <v>0</v>
      </c>
      <c r="CR206" s="176">
        <f t="shared" si="13"/>
        <v>0</v>
      </c>
      <c r="CS206" s="176">
        <f t="shared" si="13"/>
        <v>0</v>
      </c>
      <c r="CT206" s="176">
        <f t="shared" si="13"/>
        <v>0</v>
      </c>
      <c r="CU206" s="176">
        <f t="shared" si="13"/>
        <v>0</v>
      </c>
      <c r="CV206" s="176">
        <f t="shared" si="13"/>
        <v>0</v>
      </c>
      <c r="CW206" s="176">
        <f t="shared" si="13"/>
        <v>0</v>
      </c>
      <c r="CX206" s="176"/>
      <c r="CY206" s="176"/>
      <c r="CZ206" s="176"/>
      <c r="DA206" s="176"/>
      <c r="DB206" s="156">
        <f>SUM(DB85:DB129)</f>
        <v>0</v>
      </c>
      <c r="DC206" s="156">
        <f>SUM(DC85:DC129)</f>
        <v>0</v>
      </c>
      <c r="DD206" s="156">
        <f>SUM(DD85:DD129)</f>
        <v>0</v>
      </c>
      <c r="DE206" s="156">
        <f>SUM(DE85:DE129)</f>
        <v>0</v>
      </c>
      <c r="DF206" s="156">
        <f>SUM(DF85:DF129)</f>
        <v>0</v>
      </c>
      <c r="DG206" s="156"/>
      <c r="DH206" s="156">
        <f t="shared" ref="DH206:DS206" si="15">SUM(DH85:DH129)</f>
        <v>0</v>
      </c>
      <c r="DI206" s="156">
        <f t="shared" si="15"/>
        <v>0</v>
      </c>
      <c r="DJ206" s="156">
        <f t="shared" si="15"/>
        <v>0</v>
      </c>
      <c r="DK206" s="156">
        <f t="shared" si="15"/>
        <v>0</v>
      </c>
      <c r="DL206" s="156">
        <f t="shared" si="15"/>
        <v>0</v>
      </c>
      <c r="DM206" s="156">
        <f t="shared" si="15"/>
        <v>0</v>
      </c>
      <c r="DN206" s="156"/>
      <c r="DO206" s="156"/>
      <c r="DP206" s="156">
        <f t="shared" si="15"/>
        <v>0</v>
      </c>
      <c r="DQ206" s="156">
        <f t="shared" si="15"/>
        <v>0</v>
      </c>
      <c r="DR206" s="156">
        <f t="shared" si="15"/>
        <v>0</v>
      </c>
      <c r="DS206" s="156">
        <f t="shared" si="15"/>
        <v>0</v>
      </c>
      <c r="DT206" s="156"/>
      <c r="DU206" s="156"/>
      <c r="DV206" s="157">
        <f t="shared" ref="DV206:EH206" si="16">SUM(DV85:DV129)</f>
        <v>0</v>
      </c>
      <c r="DW206" s="157">
        <f t="shared" si="16"/>
        <v>0</v>
      </c>
      <c r="DX206" s="156">
        <f t="shared" si="16"/>
        <v>0</v>
      </c>
      <c r="DY206" s="156"/>
      <c r="DZ206" s="156">
        <f t="shared" si="16"/>
        <v>0</v>
      </c>
      <c r="EA206" s="156">
        <f t="shared" si="16"/>
        <v>0</v>
      </c>
      <c r="EB206" s="153">
        <f t="shared" si="16"/>
        <v>0</v>
      </c>
      <c r="EC206" s="153">
        <f t="shared" si="16"/>
        <v>0</v>
      </c>
      <c r="ED206" s="153">
        <f t="shared" si="16"/>
        <v>0</v>
      </c>
      <c r="EE206" s="153">
        <f t="shared" si="16"/>
        <v>0</v>
      </c>
      <c r="EF206" s="153">
        <f t="shared" si="16"/>
        <v>0</v>
      </c>
      <c r="EG206" s="153">
        <f t="shared" si="16"/>
        <v>0</v>
      </c>
      <c r="EH206" s="153">
        <f t="shared" si="16"/>
        <v>0</v>
      </c>
      <c r="EI206" s="158"/>
      <c r="EJ206" s="153">
        <f>SUM(EJ85:EJ129)</f>
        <v>0</v>
      </c>
      <c r="EK206" s="153">
        <f>SUM(EK85:EK129)</f>
        <v>0</v>
      </c>
      <c r="EL206" s="153">
        <f>SUM(EL85:EL129)</f>
        <v>0</v>
      </c>
      <c r="EM206" s="158"/>
      <c r="EN206" s="153">
        <f t="shared" ref="EN206:FG206" si="17">SUM(EN85:EN129)</f>
        <v>0</v>
      </c>
      <c r="EO206" s="153">
        <f t="shared" si="17"/>
        <v>0</v>
      </c>
      <c r="EP206" s="153">
        <f t="shared" si="17"/>
        <v>0</v>
      </c>
      <c r="EQ206" s="153">
        <f t="shared" si="17"/>
        <v>0</v>
      </c>
      <c r="ER206" s="153">
        <f t="shared" si="17"/>
        <v>0</v>
      </c>
      <c r="ES206" s="176">
        <f t="shared" si="17"/>
        <v>0</v>
      </c>
      <c r="ET206" s="176">
        <f t="shared" si="17"/>
        <v>0</v>
      </c>
      <c r="EU206" s="176">
        <f t="shared" si="17"/>
        <v>0</v>
      </c>
      <c r="EV206" s="176"/>
      <c r="EW206" s="176">
        <f t="shared" si="17"/>
        <v>0</v>
      </c>
      <c r="EX206" s="176">
        <f t="shared" si="17"/>
        <v>0</v>
      </c>
      <c r="EY206" s="176">
        <f t="shared" si="17"/>
        <v>0</v>
      </c>
      <c r="EZ206" s="176">
        <f t="shared" si="17"/>
        <v>0</v>
      </c>
      <c r="FA206" s="176">
        <f t="shared" si="17"/>
        <v>0</v>
      </c>
      <c r="FB206" s="176">
        <f t="shared" si="17"/>
        <v>0</v>
      </c>
      <c r="FC206" s="176">
        <f t="shared" si="17"/>
        <v>0</v>
      </c>
      <c r="FD206" s="176">
        <f t="shared" si="17"/>
        <v>0</v>
      </c>
      <c r="FE206" s="176">
        <f t="shared" si="17"/>
        <v>0</v>
      </c>
      <c r="FF206" s="176">
        <f t="shared" si="17"/>
        <v>0</v>
      </c>
      <c r="FG206" s="176">
        <f t="shared" si="17"/>
        <v>0</v>
      </c>
      <c r="FH206" s="176"/>
      <c r="FI206" s="176"/>
      <c r="FJ206" s="176"/>
      <c r="FK206" s="176"/>
      <c r="FL206" s="176"/>
      <c r="FM206" s="176">
        <f>SUM(FM85:FM129)</f>
        <v>0</v>
      </c>
      <c r="FN206" s="176"/>
      <c r="FO206" s="176"/>
      <c r="FP206" s="176"/>
      <c r="FQ206" s="176"/>
      <c r="FR206" s="176"/>
      <c r="FS206" s="176">
        <f>SUM(FS85:FS129)</f>
        <v>0</v>
      </c>
      <c r="FT206" s="176">
        <f>SUM(FT85:FT129)</f>
        <v>0</v>
      </c>
      <c r="FU206" s="176">
        <f>SUM(FU85:FU129)</f>
        <v>0</v>
      </c>
      <c r="FV206" s="176"/>
      <c r="FW206" s="176"/>
      <c r="FX206" s="176"/>
      <c r="FY206" s="176"/>
      <c r="FZ206" s="176"/>
      <c r="GA206" s="176"/>
      <c r="GB206" s="176"/>
      <c r="GC206" s="176"/>
      <c r="GD206" s="176"/>
      <c r="GE206" s="176"/>
      <c r="GF206" s="176"/>
      <c r="GG206" s="176">
        <f>SUM(GG85:GG129)</f>
        <v>0</v>
      </c>
      <c r="GH206" s="176">
        <f>SUM(GH85:GH129)</f>
        <v>0</v>
      </c>
      <c r="GI206" s="176">
        <f>SUM(GI85:GI129)</f>
        <v>0</v>
      </c>
      <c r="GJ206" s="176"/>
      <c r="GK206" s="176"/>
      <c r="GL206" s="176"/>
      <c r="GM206" s="176"/>
      <c r="GN206" s="176"/>
      <c r="GO206" s="176"/>
      <c r="GP206" s="176"/>
      <c r="GQ206" s="176"/>
      <c r="GR206" s="176">
        <f t="shared" ref="GR206:HC206" si="18">SUM(GR85:GR129)</f>
        <v>0</v>
      </c>
      <c r="GS206" s="176">
        <f t="shared" si="18"/>
        <v>0</v>
      </c>
      <c r="GT206" s="176">
        <f t="shared" si="18"/>
        <v>0</v>
      </c>
      <c r="GU206" s="176">
        <f t="shared" si="18"/>
        <v>0</v>
      </c>
      <c r="GV206" s="176">
        <f t="shared" si="18"/>
        <v>0</v>
      </c>
      <c r="GW206" s="176">
        <f t="shared" si="18"/>
        <v>0</v>
      </c>
      <c r="GX206" s="176">
        <f t="shared" si="18"/>
        <v>0</v>
      </c>
      <c r="GY206" s="176">
        <f t="shared" si="18"/>
        <v>0</v>
      </c>
      <c r="GZ206" s="159">
        <f t="shared" si="18"/>
        <v>0</v>
      </c>
      <c r="HA206" s="153">
        <f t="shared" si="18"/>
        <v>0</v>
      </c>
      <c r="HB206" s="153">
        <f t="shared" si="18"/>
        <v>0</v>
      </c>
      <c r="HC206" s="153">
        <f t="shared" si="18"/>
        <v>0</v>
      </c>
      <c r="HD206" s="176"/>
      <c r="HE206" s="176"/>
      <c r="HF206" s="176"/>
      <c r="HG206" s="176"/>
      <c r="HH206" s="176"/>
      <c r="HI206" s="176"/>
      <c r="HJ206" s="176"/>
      <c r="HK206" s="176"/>
      <c r="HL206" s="176">
        <f>SUM(HL85:HL129)</f>
        <v>0</v>
      </c>
      <c r="HM206" s="176"/>
      <c r="HN206" s="176"/>
      <c r="HO206" s="176"/>
      <c r="HP206" s="176"/>
      <c r="HQ206" s="176"/>
      <c r="HR206" s="176"/>
      <c r="HS206" s="176"/>
      <c r="HT206" s="176"/>
      <c r="HU206" s="176">
        <f>SUM(HU85:HU129)</f>
        <v>0</v>
      </c>
    </row>
  </sheetData>
  <mergeCells count="14">
    <mergeCell ref="A1:G1"/>
    <mergeCell ref="HM3:HQ3"/>
    <mergeCell ref="HD3:HH3"/>
    <mergeCell ref="BO3:BQ3"/>
    <mergeCell ref="FH3:FL3"/>
    <mergeCell ref="GJ3:GN3"/>
    <mergeCell ref="FY3:GC3"/>
    <mergeCell ref="CB3:CF3"/>
    <mergeCell ref="BW3:BY3"/>
    <mergeCell ref="EM3:ER3"/>
    <mergeCell ref="EI3:EL3"/>
    <mergeCell ref="FN3:FR3"/>
    <mergeCell ref="DT3:DW3"/>
    <mergeCell ref="H2:Y2"/>
  </mergeCells>
  <phoneticPr fontId="5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1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pageSetUpPr fitToPage="1"/>
  </sheetPr>
  <dimension ref="A1:Q681"/>
  <sheetViews>
    <sheetView topLeftCell="A335" zoomScale="115" zoomScaleNormal="115" workbookViewId="0">
      <selection activeCell="D378" sqref="D378"/>
    </sheetView>
  </sheetViews>
  <sheetFormatPr baseColWidth="10" defaultColWidth="11.42578125" defaultRowHeight="15" x14ac:dyDescent="0.25"/>
  <cols>
    <col min="1" max="1" width="11.42578125" style="9"/>
    <col min="2" max="2" width="5.28515625" style="8" customWidth="1"/>
    <col min="3" max="3" width="44.85546875" style="9" customWidth="1"/>
    <col min="4" max="4" width="11.5703125" style="21" customWidth="1"/>
    <col min="5" max="5" width="5.140625" style="21" customWidth="1"/>
    <col min="6" max="6" width="11.42578125" style="21"/>
    <col min="7" max="7" width="13.42578125" style="14" customWidth="1"/>
    <col min="8" max="8" width="18.7109375" style="16" customWidth="1"/>
    <col min="9" max="9" width="13.42578125" style="14" customWidth="1"/>
    <col min="10" max="10" width="33.140625" style="9" customWidth="1"/>
    <col min="11" max="11" width="13.85546875" style="9" customWidth="1"/>
    <col min="12" max="12" width="11.7109375" style="9" bestFit="1" customWidth="1"/>
    <col min="13" max="13" width="15.42578125" style="9" bestFit="1" customWidth="1"/>
    <col min="14" max="257" width="11.42578125" style="9"/>
    <col min="258" max="258" width="5.28515625" style="9" customWidth="1"/>
    <col min="259" max="259" width="32.5703125" style="9" customWidth="1"/>
    <col min="260" max="260" width="8.85546875" style="9" customWidth="1"/>
    <col min="261" max="261" width="3.85546875" style="9" customWidth="1"/>
    <col min="262" max="262" width="11.42578125" style="9"/>
    <col min="263" max="263" width="13.42578125" style="9" customWidth="1"/>
    <col min="264" max="264" width="15.140625" style="9" customWidth="1"/>
    <col min="265" max="265" width="13.42578125" style="9" customWidth="1"/>
    <col min="266" max="266" width="11.7109375" style="9" bestFit="1" customWidth="1"/>
    <col min="267" max="513" width="11.42578125" style="9"/>
    <col min="514" max="514" width="5.28515625" style="9" customWidth="1"/>
    <col min="515" max="515" width="32.5703125" style="9" customWidth="1"/>
    <col min="516" max="516" width="8.85546875" style="9" customWidth="1"/>
    <col min="517" max="517" width="3.85546875" style="9" customWidth="1"/>
    <col min="518" max="518" width="11.42578125" style="9"/>
    <col min="519" max="519" width="13.42578125" style="9" customWidth="1"/>
    <col min="520" max="520" width="15.140625" style="9" customWidth="1"/>
    <col min="521" max="521" width="13.42578125" style="9" customWidth="1"/>
    <col min="522" max="522" width="11.7109375" style="9" bestFit="1" customWidth="1"/>
    <col min="523" max="769" width="11.42578125" style="9"/>
    <col min="770" max="770" width="5.28515625" style="9" customWidth="1"/>
    <col min="771" max="771" width="32.5703125" style="9" customWidth="1"/>
    <col min="772" max="772" width="8.85546875" style="9" customWidth="1"/>
    <col min="773" max="773" width="3.85546875" style="9" customWidth="1"/>
    <col min="774" max="774" width="11.42578125" style="9"/>
    <col min="775" max="775" width="13.42578125" style="9" customWidth="1"/>
    <col min="776" max="776" width="15.140625" style="9" customWidth="1"/>
    <col min="777" max="777" width="13.42578125" style="9" customWidth="1"/>
    <col min="778" max="778" width="11.7109375" style="9" bestFit="1" customWidth="1"/>
    <col min="779" max="1025" width="11.42578125" style="9"/>
    <col min="1026" max="1026" width="5.28515625" style="9" customWidth="1"/>
    <col min="1027" max="1027" width="32.5703125" style="9" customWidth="1"/>
    <col min="1028" max="1028" width="8.85546875" style="9" customWidth="1"/>
    <col min="1029" max="1029" width="3.85546875" style="9" customWidth="1"/>
    <col min="1030" max="1030" width="11.42578125" style="9"/>
    <col min="1031" max="1031" width="13.42578125" style="9" customWidth="1"/>
    <col min="1032" max="1032" width="15.140625" style="9" customWidth="1"/>
    <col min="1033" max="1033" width="13.42578125" style="9" customWidth="1"/>
    <col min="1034" max="1034" width="11.7109375" style="9" bestFit="1" customWidth="1"/>
    <col min="1035" max="1281" width="11.42578125" style="9"/>
    <col min="1282" max="1282" width="5.28515625" style="9" customWidth="1"/>
    <col min="1283" max="1283" width="32.5703125" style="9" customWidth="1"/>
    <col min="1284" max="1284" width="8.85546875" style="9" customWidth="1"/>
    <col min="1285" max="1285" width="3.85546875" style="9" customWidth="1"/>
    <col min="1286" max="1286" width="11.42578125" style="9"/>
    <col min="1287" max="1287" width="13.42578125" style="9" customWidth="1"/>
    <col min="1288" max="1288" width="15.140625" style="9" customWidth="1"/>
    <col min="1289" max="1289" width="13.42578125" style="9" customWidth="1"/>
    <col min="1290" max="1290" width="11.7109375" style="9" bestFit="1" customWidth="1"/>
    <col min="1291" max="1537" width="11.42578125" style="9"/>
    <col min="1538" max="1538" width="5.28515625" style="9" customWidth="1"/>
    <col min="1539" max="1539" width="32.5703125" style="9" customWidth="1"/>
    <col min="1540" max="1540" width="8.85546875" style="9" customWidth="1"/>
    <col min="1541" max="1541" width="3.85546875" style="9" customWidth="1"/>
    <col min="1542" max="1542" width="11.42578125" style="9"/>
    <col min="1543" max="1543" width="13.42578125" style="9" customWidth="1"/>
    <col min="1544" max="1544" width="15.140625" style="9" customWidth="1"/>
    <col min="1545" max="1545" width="13.42578125" style="9" customWidth="1"/>
    <col min="1546" max="1546" width="11.7109375" style="9" bestFit="1" customWidth="1"/>
    <col min="1547" max="1793" width="11.42578125" style="9"/>
    <col min="1794" max="1794" width="5.28515625" style="9" customWidth="1"/>
    <col min="1795" max="1795" width="32.5703125" style="9" customWidth="1"/>
    <col min="1796" max="1796" width="8.85546875" style="9" customWidth="1"/>
    <col min="1797" max="1797" width="3.85546875" style="9" customWidth="1"/>
    <col min="1798" max="1798" width="11.42578125" style="9"/>
    <col min="1799" max="1799" width="13.42578125" style="9" customWidth="1"/>
    <col min="1800" max="1800" width="15.140625" style="9" customWidth="1"/>
    <col min="1801" max="1801" width="13.42578125" style="9" customWidth="1"/>
    <col min="1802" max="1802" width="11.7109375" style="9" bestFit="1" customWidth="1"/>
    <col min="1803" max="2049" width="11.42578125" style="9"/>
    <col min="2050" max="2050" width="5.28515625" style="9" customWidth="1"/>
    <col min="2051" max="2051" width="32.5703125" style="9" customWidth="1"/>
    <col min="2052" max="2052" width="8.85546875" style="9" customWidth="1"/>
    <col min="2053" max="2053" width="3.85546875" style="9" customWidth="1"/>
    <col min="2054" max="2054" width="11.42578125" style="9"/>
    <col min="2055" max="2055" width="13.42578125" style="9" customWidth="1"/>
    <col min="2056" max="2056" width="15.140625" style="9" customWidth="1"/>
    <col min="2057" max="2057" width="13.42578125" style="9" customWidth="1"/>
    <col min="2058" max="2058" width="11.7109375" style="9" bestFit="1" customWidth="1"/>
    <col min="2059" max="2305" width="11.42578125" style="9"/>
    <col min="2306" max="2306" width="5.28515625" style="9" customWidth="1"/>
    <col min="2307" max="2307" width="32.5703125" style="9" customWidth="1"/>
    <col min="2308" max="2308" width="8.85546875" style="9" customWidth="1"/>
    <col min="2309" max="2309" width="3.85546875" style="9" customWidth="1"/>
    <col min="2310" max="2310" width="11.42578125" style="9"/>
    <col min="2311" max="2311" width="13.42578125" style="9" customWidth="1"/>
    <col min="2312" max="2312" width="15.140625" style="9" customWidth="1"/>
    <col min="2313" max="2313" width="13.42578125" style="9" customWidth="1"/>
    <col min="2314" max="2314" width="11.7109375" style="9" bestFit="1" customWidth="1"/>
    <col min="2315" max="2561" width="11.42578125" style="9"/>
    <col min="2562" max="2562" width="5.28515625" style="9" customWidth="1"/>
    <col min="2563" max="2563" width="32.5703125" style="9" customWidth="1"/>
    <col min="2564" max="2564" width="8.85546875" style="9" customWidth="1"/>
    <col min="2565" max="2565" width="3.85546875" style="9" customWidth="1"/>
    <col min="2566" max="2566" width="11.42578125" style="9"/>
    <col min="2567" max="2567" width="13.42578125" style="9" customWidth="1"/>
    <col min="2568" max="2568" width="15.140625" style="9" customWidth="1"/>
    <col min="2569" max="2569" width="13.42578125" style="9" customWidth="1"/>
    <col min="2570" max="2570" width="11.7109375" style="9" bestFit="1" customWidth="1"/>
    <col min="2571" max="2817" width="11.42578125" style="9"/>
    <col min="2818" max="2818" width="5.28515625" style="9" customWidth="1"/>
    <col min="2819" max="2819" width="32.5703125" style="9" customWidth="1"/>
    <col min="2820" max="2820" width="8.85546875" style="9" customWidth="1"/>
    <col min="2821" max="2821" width="3.85546875" style="9" customWidth="1"/>
    <col min="2822" max="2822" width="11.42578125" style="9"/>
    <col min="2823" max="2823" width="13.42578125" style="9" customWidth="1"/>
    <col min="2824" max="2824" width="15.140625" style="9" customWidth="1"/>
    <col min="2825" max="2825" width="13.42578125" style="9" customWidth="1"/>
    <col min="2826" max="2826" width="11.7109375" style="9" bestFit="1" customWidth="1"/>
    <col min="2827" max="3073" width="11.42578125" style="9"/>
    <col min="3074" max="3074" width="5.28515625" style="9" customWidth="1"/>
    <col min="3075" max="3075" width="32.5703125" style="9" customWidth="1"/>
    <col min="3076" max="3076" width="8.85546875" style="9" customWidth="1"/>
    <col min="3077" max="3077" width="3.85546875" style="9" customWidth="1"/>
    <col min="3078" max="3078" width="11.42578125" style="9"/>
    <col min="3079" max="3079" width="13.42578125" style="9" customWidth="1"/>
    <col min="3080" max="3080" width="15.140625" style="9" customWidth="1"/>
    <col min="3081" max="3081" width="13.42578125" style="9" customWidth="1"/>
    <col min="3082" max="3082" width="11.7109375" style="9" bestFit="1" customWidth="1"/>
    <col min="3083" max="3329" width="11.42578125" style="9"/>
    <col min="3330" max="3330" width="5.28515625" style="9" customWidth="1"/>
    <col min="3331" max="3331" width="32.5703125" style="9" customWidth="1"/>
    <col min="3332" max="3332" width="8.85546875" style="9" customWidth="1"/>
    <col min="3333" max="3333" width="3.85546875" style="9" customWidth="1"/>
    <col min="3334" max="3334" width="11.42578125" style="9"/>
    <col min="3335" max="3335" width="13.42578125" style="9" customWidth="1"/>
    <col min="3336" max="3336" width="15.140625" style="9" customWidth="1"/>
    <col min="3337" max="3337" width="13.42578125" style="9" customWidth="1"/>
    <col min="3338" max="3338" width="11.7109375" style="9" bestFit="1" customWidth="1"/>
    <col min="3339" max="3585" width="11.42578125" style="9"/>
    <col min="3586" max="3586" width="5.28515625" style="9" customWidth="1"/>
    <col min="3587" max="3587" width="32.5703125" style="9" customWidth="1"/>
    <col min="3588" max="3588" width="8.85546875" style="9" customWidth="1"/>
    <col min="3589" max="3589" width="3.85546875" style="9" customWidth="1"/>
    <col min="3590" max="3590" width="11.42578125" style="9"/>
    <col min="3591" max="3591" width="13.42578125" style="9" customWidth="1"/>
    <col min="3592" max="3592" width="15.140625" style="9" customWidth="1"/>
    <col min="3593" max="3593" width="13.42578125" style="9" customWidth="1"/>
    <col min="3594" max="3594" width="11.7109375" style="9" bestFit="1" customWidth="1"/>
    <col min="3595" max="3841" width="11.42578125" style="9"/>
    <col min="3842" max="3842" width="5.28515625" style="9" customWidth="1"/>
    <col min="3843" max="3843" width="32.5703125" style="9" customWidth="1"/>
    <col min="3844" max="3844" width="8.85546875" style="9" customWidth="1"/>
    <col min="3845" max="3845" width="3.85546875" style="9" customWidth="1"/>
    <col min="3846" max="3846" width="11.42578125" style="9"/>
    <col min="3847" max="3847" width="13.42578125" style="9" customWidth="1"/>
    <col min="3848" max="3848" width="15.140625" style="9" customWidth="1"/>
    <col min="3849" max="3849" width="13.42578125" style="9" customWidth="1"/>
    <col min="3850" max="3850" width="11.7109375" style="9" bestFit="1" customWidth="1"/>
    <col min="3851" max="4097" width="11.42578125" style="9"/>
    <col min="4098" max="4098" width="5.28515625" style="9" customWidth="1"/>
    <col min="4099" max="4099" width="32.5703125" style="9" customWidth="1"/>
    <col min="4100" max="4100" width="8.85546875" style="9" customWidth="1"/>
    <col min="4101" max="4101" width="3.85546875" style="9" customWidth="1"/>
    <col min="4102" max="4102" width="11.42578125" style="9"/>
    <col min="4103" max="4103" width="13.42578125" style="9" customWidth="1"/>
    <col min="4104" max="4104" width="15.140625" style="9" customWidth="1"/>
    <col min="4105" max="4105" width="13.42578125" style="9" customWidth="1"/>
    <col min="4106" max="4106" width="11.7109375" style="9" bestFit="1" customWidth="1"/>
    <col min="4107" max="4353" width="11.42578125" style="9"/>
    <col min="4354" max="4354" width="5.28515625" style="9" customWidth="1"/>
    <col min="4355" max="4355" width="32.5703125" style="9" customWidth="1"/>
    <col min="4356" max="4356" width="8.85546875" style="9" customWidth="1"/>
    <col min="4357" max="4357" width="3.85546875" style="9" customWidth="1"/>
    <col min="4358" max="4358" width="11.42578125" style="9"/>
    <col min="4359" max="4359" width="13.42578125" style="9" customWidth="1"/>
    <col min="4360" max="4360" width="15.140625" style="9" customWidth="1"/>
    <col min="4361" max="4361" width="13.42578125" style="9" customWidth="1"/>
    <col min="4362" max="4362" width="11.7109375" style="9" bestFit="1" customWidth="1"/>
    <col min="4363" max="4609" width="11.42578125" style="9"/>
    <col min="4610" max="4610" width="5.28515625" style="9" customWidth="1"/>
    <col min="4611" max="4611" width="32.5703125" style="9" customWidth="1"/>
    <col min="4612" max="4612" width="8.85546875" style="9" customWidth="1"/>
    <col min="4613" max="4613" width="3.85546875" style="9" customWidth="1"/>
    <col min="4614" max="4614" width="11.42578125" style="9"/>
    <col min="4615" max="4615" width="13.42578125" style="9" customWidth="1"/>
    <col min="4616" max="4616" width="15.140625" style="9" customWidth="1"/>
    <col min="4617" max="4617" width="13.42578125" style="9" customWidth="1"/>
    <col min="4618" max="4618" width="11.7109375" style="9" bestFit="1" customWidth="1"/>
    <col min="4619" max="4865" width="11.42578125" style="9"/>
    <col min="4866" max="4866" width="5.28515625" style="9" customWidth="1"/>
    <col min="4867" max="4867" width="32.5703125" style="9" customWidth="1"/>
    <col min="4868" max="4868" width="8.85546875" style="9" customWidth="1"/>
    <col min="4869" max="4869" width="3.85546875" style="9" customWidth="1"/>
    <col min="4870" max="4870" width="11.42578125" style="9"/>
    <col min="4871" max="4871" width="13.42578125" style="9" customWidth="1"/>
    <col min="4872" max="4872" width="15.140625" style="9" customWidth="1"/>
    <col min="4873" max="4873" width="13.42578125" style="9" customWidth="1"/>
    <col min="4874" max="4874" width="11.7109375" style="9" bestFit="1" customWidth="1"/>
    <col min="4875" max="5121" width="11.42578125" style="9"/>
    <col min="5122" max="5122" width="5.28515625" style="9" customWidth="1"/>
    <col min="5123" max="5123" width="32.5703125" style="9" customWidth="1"/>
    <col min="5124" max="5124" width="8.85546875" style="9" customWidth="1"/>
    <col min="5125" max="5125" width="3.85546875" style="9" customWidth="1"/>
    <col min="5126" max="5126" width="11.42578125" style="9"/>
    <col min="5127" max="5127" width="13.42578125" style="9" customWidth="1"/>
    <col min="5128" max="5128" width="15.140625" style="9" customWidth="1"/>
    <col min="5129" max="5129" width="13.42578125" style="9" customWidth="1"/>
    <col min="5130" max="5130" width="11.7109375" style="9" bestFit="1" customWidth="1"/>
    <col min="5131" max="5377" width="11.42578125" style="9"/>
    <col min="5378" max="5378" width="5.28515625" style="9" customWidth="1"/>
    <col min="5379" max="5379" width="32.5703125" style="9" customWidth="1"/>
    <col min="5380" max="5380" width="8.85546875" style="9" customWidth="1"/>
    <col min="5381" max="5381" width="3.85546875" style="9" customWidth="1"/>
    <col min="5382" max="5382" width="11.42578125" style="9"/>
    <col min="5383" max="5383" width="13.42578125" style="9" customWidth="1"/>
    <col min="5384" max="5384" width="15.140625" style="9" customWidth="1"/>
    <col min="5385" max="5385" width="13.42578125" style="9" customWidth="1"/>
    <col min="5386" max="5386" width="11.7109375" style="9" bestFit="1" customWidth="1"/>
    <col min="5387" max="5633" width="11.42578125" style="9"/>
    <col min="5634" max="5634" width="5.28515625" style="9" customWidth="1"/>
    <col min="5635" max="5635" width="32.5703125" style="9" customWidth="1"/>
    <col min="5636" max="5636" width="8.85546875" style="9" customWidth="1"/>
    <col min="5637" max="5637" width="3.85546875" style="9" customWidth="1"/>
    <col min="5638" max="5638" width="11.42578125" style="9"/>
    <col min="5639" max="5639" width="13.42578125" style="9" customWidth="1"/>
    <col min="5640" max="5640" width="15.140625" style="9" customWidth="1"/>
    <col min="5641" max="5641" width="13.42578125" style="9" customWidth="1"/>
    <col min="5642" max="5642" width="11.7109375" style="9" bestFit="1" customWidth="1"/>
    <col min="5643" max="5889" width="11.42578125" style="9"/>
    <col min="5890" max="5890" width="5.28515625" style="9" customWidth="1"/>
    <col min="5891" max="5891" width="32.5703125" style="9" customWidth="1"/>
    <col min="5892" max="5892" width="8.85546875" style="9" customWidth="1"/>
    <col min="5893" max="5893" width="3.85546875" style="9" customWidth="1"/>
    <col min="5894" max="5894" width="11.42578125" style="9"/>
    <col min="5895" max="5895" width="13.42578125" style="9" customWidth="1"/>
    <col min="5896" max="5896" width="15.140625" style="9" customWidth="1"/>
    <col min="5897" max="5897" width="13.42578125" style="9" customWidth="1"/>
    <col min="5898" max="5898" width="11.7109375" style="9" bestFit="1" customWidth="1"/>
    <col min="5899" max="6145" width="11.42578125" style="9"/>
    <col min="6146" max="6146" width="5.28515625" style="9" customWidth="1"/>
    <col min="6147" max="6147" width="32.5703125" style="9" customWidth="1"/>
    <col min="6148" max="6148" width="8.85546875" style="9" customWidth="1"/>
    <col min="6149" max="6149" width="3.85546875" style="9" customWidth="1"/>
    <col min="6150" max="6150" width="11.42578125" style="9"/>
    <col min="6151" max="6151" width="13.42578125" style="9" customWidth="1"/>
    <col min="6152" max="6152" width="15.140625" style="9" customWidth="1"/>
    <col min="6153" max="6153" width="13.42578125" style="9" customWidth="1"/>
    <col min="6154" max="6154" width="11.7109375" style="9" bestFit="1" customWidth="1"/>
    <col min="6155" max="6401" width="11.42578125" style="9"/>
    <col min="6402" max="6402" width="5.28515625" style="9" customWidth="1"/>
    <col min="6403" max="6403" width="32.5703125" style="9" customWidth="1"/>
    <col min="6404" max="6404" width="8.85546875" style="9" customWidth="1"/>
    <col min="6405" max="6405" width="3.85546875" style="9" customWidth="1"/>
    <col min="6406" max="6406" width="11.42578125" style="9"/>
    <col min="6407" max="6407" width="13.42578125" style="9" customWidth="1"/>
    <col min="6408" max="6408" width="15.140625" style="9" customWidth="1"/>
    <col min="6409" max="6409" width="13.42578125" style="9" customWidth="1"/>
    <col min="6410" max="6410" width="11.7109375" style="9" bestFit="1" customWidth="1"/>
    <col min="6411" max="6657" width="11.42578125" style="9"/>
    <col min="6658" max="6658" width="5.28515625" style="9" customWidth="1"/>
    <col min="6659" max="6659" width="32.5703125" style="9" customWidth="1"/>
    <col min="6660" max="6660" width="8.85546875" style="9" customWidth="1"/>
    <col min="6661" max="6661" width="3.85546875" style="9" customWidth="1"/>
    <col min="6662" max="6662" width="11.42578125" style="9"/>
    <col min="6663" max="6663" width="13.42578125" style="9" customWidth="1"/>
    <col min="6664" max="6664" width="15.140625" style="9" customWidth="1"/>
    <col min="6665" max="6665" width="13.42578125" style="9" customWidth="1"/>
    <col min="6666" max="6666" width="11.7109375" style="9" bestFit="1" customWidth="1"/>
    <col min="6667" max="6913" width="11.42578125" style="9"/>
    <col min="6914" max="6914" width="5.28515625" style="9" customWidth="1"/>
    <col min="6915" max="6915" width="32.5703125" style="9" customWidth="1"/>
    <col min="6916" max="6916" width="8.85546875" style="9" customWidth="1"/>
    <col min="6917" max="6917" width="3.85546875" style="9" customWidth="1"/>
    <col min="6918" max="6918" width="11.42578125" style="9"/>
    <col min="6919" max="6919" width="13.42578125" style="9" customWidth="1"/>
    <col min="6920" max="6920" width="15.140625" style="9" customWidth="1"/>
    <col min="6921" max="6921" width="13.42578125" style="9" customWidth="1"/>
    <col min="6922" max="6922" width="11.7109375" style="9" bestFit="1" customWidth="1"/>
    <col min="6923" max="7169" width="11.42578125" style="9"/>
    <col min="7170" max="7170" width="5.28515625" style="9" customWidth="1"/>
    <col min="7171" max="7171" width="32.5703125" style="9" customWidth="1"/>
    <col min="7172" max="7172" width="8.85546875" style="9" customWidth="1"/>
    <col min="7173" max="7173" width="3.85546875" style="9" customWidth="1"/>
    <col min="7174" max="7174" width="11.42578125" style="9"/>
    <col min="7175" max="7175" width="13.42578125" style="9" customWidth="1"/>
    <col min="7176" max="7176" width="15.140625" style="9" customWidth="1"/>
    <col min="7177" max="7177" width="13.42578125" style="9" customWidth="1"/>
    <col min="7178" max="7178" width="11.7109375" style="9" bestFit="1" customWidth="1"/>
    <col min="7179" max="7425" width="11.42578125" style="9"/>
    <col min="7426" max="7426" width="5.28515625" style="9" customWidth="1"/>
    <col min="7427" max="7427" width="32.5703125" style="9" customWidth="1"/>
    <col min="7428" max="7428" width="8.85546875" style="9" customWidth="1"/>
    <col min="7429" max="7429" width="3.85546875" style="9" customWidth="1"/>
    <col min="7430" max="7430" width="11.42578125" style="9"/>
    <col min="7431" max="7431" width="13.42578125" style="9" customWidth="1"/>
    <col min="7432" max="7432" width="15.140625" style="9" customWidth="1"/>
    <col min="7433" max="7433" width="13.42578125" style="9" customWidth="1"/>
    <col min="7434" max="7434" width="11.7109375" style="9" bestFit="1" customWidth="1"/>
    <col min="7435" max="7681" width="11.42578125" style="9"/>
    <col min="7682" max="7682" width="5.28515625" style="9" customWidth="1"/>
    <col min="7683" max="7683" width="32.5703125" style="9" customWidth="1"/>
    <col min="7684" max="7684" width="8.85546875" style="9" customWidth="1"/>
    <col min="7685" max="7685" width="3.85546875" style="9" customWidth="1"/>
    <col min="7686" max="7686" width="11.42578125" style="9"/>
    <col min="7687" max="7687" width="13.42578125" style="9" customWidth="1"/>
    <col min="7688" max="7688" width="15.140625" style="9" customWidth="1"/>
    <col min="7689" max="7689" width="13.42578125" style="9" customWidth="1"/>
    <col min="7690" max="7690" width="11.7109375" style="9" bestFit="1" customWidth="1"/>
    <col min="7691" max="7937" width="11.42578125" style="9"/>
    <col min="7938" max="7938" width="5.28515625" style="9" customWidth="1"/>
    <col min="7939" max="7939" width="32.5703125" style="9" customWidth="1"/>
    <col min="7940" max="7940" width="8.85546875" style="9" customWidth="1"/>
    <col min="7941" max="7941" width="3.85546875" style="9" customWidth="1"/>
    <col min="7942" max="7942" width="11.42578125" style="9"/>
    <col min="7943" max="7943" width="13.42578125" style="9" customWidth="1"/>
    <col min="7944" max="7944" width="15.140625" style="9" customWidth="1"/>
    <col min="7945" max="7945" width="13.42578125" style="9" customWidth="1"/>
    <col min="7946" max="7946" width="11.7109375" style="9" bestFit="1" customWidth="1"/>
    <col min="7947" max="8193" width="11.42578125" style="9"/>
    <col min="8194" max="8194" width="5.28515625" style="9" customWidth="1"/>
    <col min="8195" max="8195" width="32.5703125" style="9" customWidth="1"/>
    <col min="8196" max="8196" width="8.85546875" style="9" customWidth="1"/>
    <col min="8197" max="8197" width="3.85546875" style="9" customWidth="1"/>
    <col min="8198" max="8198" width="11.42578125" style="9"/>
    <col min="8199" max="8199" width="13.42578125" style="9" customWidth="1"/>
    <col min="8200" max="8200" width="15.140625" style="9" customWidth="1"/>
    <col min="8201" max="8201" width="13.42578125" style="9" customWidth="1"/>
    <col min="8202" max="8202" width="11.7109375" style="9" bestFit="1" customWidth="1"/>
    <col min="8203" max="8449" width="11.42578125" style="9"/>
    <col min="8450" max="8450" width="5.28515625" style="9" customWidth="1"/>
    <col min="8451" max="8451" width="32.5703125" style="9" customWidth="1"/>
    <col min="8452" max="8452" width="8.85546875" style="9" customWidth="1"/>
    <col min="8453" max="8453" width="3.85546875" style="9" customWidth="1"/>
    <col min="8454" max="8454" width="11.42578125" style="9"/>
    <col min="8455" max="8455" width="13.42578125" style="9" customWidth="1"/>
    <col min="8456" max="8456" width="15.140625" style="9" customWidth="1"/>
    <col min="8457" max="8457" width="13.42578125" style="9" customWidth="1"/>
    <col min="8458" max="8458" width="11.7109375" style="9" bestFit="1" customWidth="1"/>
    <col min="8459" max="8705" width="11.42578125" style="9"/>
    <col min="8706" max="8706" width="5.28515625" style="9" customWidth="1"/>
    <col min="8707" max="8707" width="32.5703125" style="9" customWidth="1"/>
    <col min="8708" max="8708" width="8.85546875" style="9" customWidth="1"/>
    <col min="8709" max="8709" width="3.85546875" style="9" customWidth="1"/>
    <col min="8710" max="8710" width="11.42578125" style="9"/>
    <col min="8711" max="8711" width="13.42578125" style="9" customWidth="1"/>
    <col min="8712" max="8712" width="15.140625" style="9" customWidth="1"/>
    <col min="8713" max="8713" width="13.42578125" style="9" customWidth="1"/>
    <col min="8714" max="8714" width="11.7109375" style="9" bestFit="1" customWidth="1"/>
    <col min="8715" max="8961" width="11.42578125" style="9"/>
    <col min="8962" max="8962" width="5.28515625" style="9" customWidth="1"/>
    <col min="8963" max="8963" width="32.5703125" style="9" customWidth="1"/>
    <col min="8964" max="8964" width="8.85546875" style="9" customWidth="1"/>
    <col min="8965" max="8965" width="3.85546875" style="9" customWidth="1"/>
    <col min="8966" max="8966" width="11.42578125" style="9"/>
    <col min="8967" max="8967" width="13.42578125" style="9" customWidth="1"/>
    <col min="8968" max="8968" width="15.140625" style="9" customWidth="1"/>
    <col min="8969" max="8969" width="13.42578125" style="9" customWidth="1"/>
    <col min="8970" max="8970" width="11.7109375" style="9" bestFit="1" customWidth="1"/>
    <col min="8971" max="9217" width="11.42578125" style="9"/>
    <col min="9218" max="9218" width="5.28515625" style="9" customWidth="1"/>
    <col min="9219" max="9219" width="32.5703125" style="9" customWidth="1"/>
    <col min="9220" max="9220" width="8.85546875" style="9" customWidth="1"/>
    <col min="9221" max="9221" width="3.85546875" style="9" customWidth="1"/>
    <col min="9222" max="9222" width="11.42578125" style="9"/>
    <col min="9223" max="9223" width="13.42578125" style="9" customWidth="1"/>
    <col min="9224" max="9224" width="15.140625" style="9" customWidth="1"/>
    <col min="9225" max="9225" width="13.42578125" style="9" customWidth="1"/>
    <col min="9226" max="9226" width="11.7109375" style="9" bestFit="1" customWidth="1"/>
    <col min="9227" max="9473" width="11.42578125" style="9"/>
    <col min="9474" max="9474" width="5.28515625" style="9" customWidth="1"/>
    <col min="9475" max="9475" width="32.5703125" style="9" customWidth="1"/>
    <col min="9476" max="9476" width="8.85546875" style="9" customWidth="1"/>
    <col min="9477" max="9477" width="3.85546875" style="9" customWidth="1"/>
    <col min="9478" max="9478" width="11.42578125" style="9"/>
    <col min="9479" max="9479" width="13.42578125" style="9" customWidth="1"/>
    <col min="9480" max="9480" width="15.140625" style="9" customWidth="1"/>
    <col min="9481" max="9481" width="13.42578125" style="9" customWidth="1"/>
    <col min="9482" max="9482" width="11.7109375" style="9" bestFit="1" customWidth="1"/>
    <col min="9483" max="9729" width="11.42578125" style="9"/>
    <col min="9730" max="9730" width="5.28515625" style="9" customWidth="1"/>
    <col min="9731" max="9731" width="32.5703125" style="9" customWidth="1"/>
    <col min="9732" max="9732" width="8.85546875" style="9" customWidth="1"/>
    <col min="9733" max="9733" width="3.85546875" style="9" customWidth="1"/>
    <col min="9734" max="9734" width="11.42578125" style="9"/>
    <col min="9735" max="9735" width="13.42578125" style="9" customWidth="1"/>
    <col min="9736" max="9736" width="15.140625" style="9" customWidth="1"/>
    <col min="9737" max="9737" width="13.42578125" style="9" customWidth="1"/>
    <col min="9738" max="9738" width="11.7109375" style="9" bestFit="1" customWidth="1"/>
    <col min="9739" max="9985" width="11.42578125" style="9"/>
    <col min="9986" max="9986" width="5.28515625" style="9" customWidth="1"/>
    <col min="9987" max="9987" width="32.5703125" style="9" customWidth="1"/>
    <col min="9988" max="9988" width="8.85546875" style="9" customWidth="1"/>
    <col min="9989" max="9989" width="3.85546875" style="9" customWidth="1"/>
    <col min="9990" max="9990" width="11.42578125" style="9"/>
    <col min="9991" max="9991" width="13.42578125" style="9" customWidth="1"/>
    <col min="9992" max="9992" width="15.140625" style="9" customWidth="1"/>
    <col min="9993" max="9993" width="13.42578125" style="9" customWidth="1"/>
    <col min="9994" max="9994" width="11.7109375" style="9" bestFit="1" customWidth="1"/>
    <col min="9995" max="10241" width="11.42578125" style="9"/>
    <col min="10242" max="10242" width="5.28515625" style="9" customWidth="1"/>
    <col min="10243" max="10243" width="32.5703125" style="9" customWidth="1"/>
    <col min="10244" max="10244" width="8.85546875" style="9" customWidth="1"/>
    <col min="10245" max="10245" width="3.85546875" style="9" customWidth="1"/>
    <col min="10246" max="10246" width="11.42578125" style="9"/>
    <col min="10247" max="10247" width="13.42578125" style="9" customWidth="1"/>
    <col min="10248" max="10248" width="15.140625" style="9" customWidth="1"/>
    <col min="10249" max="10249" width="13.42578125" style="9" customWidth="1"/>
    <col min="10250" max="10250" width="11.7109375" style="9" bestFit="1" customWidth="1"/>
    <col min="10251" max="10497" width="11.42578125" style="9"/>
    <col min="10498" max="10498" width="5.28515625" style="9" customWidth="1"/>
    <col min="10499" max="10499" width="32.5703125" style="9" customWidth="1"/>
    <col min="10500" max="10500" width="8.85546875" style="9" customWidth="1"/>
    <col min="10501" max="10501" width="3.85546875" style="9" customWidth="1"/>
    <col min="10502" max="10502" width="11.42578125" style="9"/>
    <col min="10503" max="10503" width="13.42578125" style="9" customWidth="1"/>
    <col min="10504" max="10504" width="15.140625" style="9" customWidth="1"/>
    <col min="10505" max="10505" width="13.42578125" style="9" customWidth="1"/>
    <col min="10506" max="10506" width="11.7109375" style="9" bestFit="1" customWidth="1"/>
    <col min="10507" max="10753" width="11.42578125" style="9"/>
    <col min="10754" max="10754" width="5.28515625" style="9" customWidth="1"/>
    <col min="10755" max="10755" width="32.5703125" style="9" customWidth="1"/>
    <col min="10756" max="10756" width="8.85546875" style="9" customWidth="1"/>
    <col min="10757" max="10757" width="3.85546875" style="9" customWidth="1"/>
    <col min="10758" max="10758" width="11.42578125" style="9"/>
    <col min="10759" max="10759" width="13.42578125" style="9" customWidth="1"/>
    <col min="10760" max="10760" width="15.140625" style="9" customWidth="1"/>
    <col min="10761" max="10761" width="13.42578125" style="9" customWidth="1"/>
    <col min="10762" max="10762" width="11.7109375" style="9" bestFit="1" customWidth="1"/>
    <col min="10763" max="11009" width="11.42578125" style="9"/>
    <col min="11010" max="11010" width="5.28515625" style="9" customWidth="1"/>
    <col min="11011" max="11011" width="32.5703125" style="9" customWidth="1"/>
    <col min="11012" max="11012" width="8.85546875" style="9" customWidth="1"/>
    <col min="11013" max="11013" width="3.85546875" style="9" customWidth="1"/>
    <col min="11014" max="11014" width="11.42578125" style="9"/>
    <col min="11015" max="11015" width="13.42578125" style="9" customWidth="1"/>
    <col min="11016" max="11016" width="15.140625" style="9" customWidth="1"/>
    <col min="11017" max="11017" width="13.42578125" style="9" customWidth="1"/>
    <col min="11018" max="11018" width="11.7109375" style="9" bestFit="1" customWidth="1"/>
    <col min="11019" max="11265" width="11.42578125" style="9"/>
    <col min="11266" max="11266" width="5.28515625" style="9" customWidth="1"/>
    <col min="11267" max="11267" width="32.5703125" style="9" customWidth="1"/>
    <col min="11268" max="11268" width="8.85546875" style="9" customWidth="1"/>
    <col min="11269" max="11269" width="3.85546875" style="9" customWidth="1"/>
    <col min="11270" max="11270" width="11.42578125" style="9"/>
    <col min="11271" max="11271" width="13.42578125" style="9" customWidth="1"/>
    <col min="11272" max="11272" width="15.140625" style="9" customWidth="1"/>
    <col min="11273" max="11273" width="13.42578125" style="9" customWidth="1"/>
    <col min="11274" max="11274" width="11.7109375" style="9" bestFit="1" customWidth="1"/>
    <col min="11275" max="11521" width="11.42578125" style="9"/>
    <col min="11522" max="11522" width="5.28515625" style="9" customWidth="1"/>
    <col min="11523" max="11523" width="32.5703125" style="9" customWidth="1"/>
    <col min="11524" max="11524" width="8.85546875" style="9" customWidth="1"/>
    <col min="11525" max="11525" width="3.85546875" style="9" customWidth="1"/>
    <col min="11526" max="11526" width="11.42578125" style="9"/>
    <col min="11527" max="11527" width="13.42578125" style="9" customWidth="1"/>
    <col min="11528" max="11528" width="15.140625" style="9" customWidth="1"/>
    <col min="11529" max="11529" width="13.42578125" style="9" customWidth="1"/>
    <col min="11530" max="11530" width="11.7109375" style="9" bestFit="1" customWidth="1"/>
    <col min="11531" max="11777" width="11.42578125" style="9"/>
    <col min="11778" max="11778" width="5.28515625" style="9" customWidth="1"/>
    <col min="11779" max="11779" width="32.5703125" style="9" customWidth="1"/>
    <col min="11780" max="11780" width="8.85546875" style="9" customWidth="1"/>
    <col min="11781" max="11781" width="3.85546875" style="9" customWidth="1"/>
    <col min="11782" max="11782" width="11.42578125" style="9"/>
    <col min="11783" max="11783" width="13.42578125" style="9" customWidth="1"/>
    <col min="11784" max="11784" width="15.140625" style="9" customWidth="1"/>
    <col min="11785" max="11785" width="13.42578125" style="9" customWidth="1"/>
    <col min="11786" max="11786" width="11.7109375" style="9" bestFit="1" customWidth="1"/>
    <col min="11787" max="12033" width="11.42578125" style="9"/>
    <col min="12034" max="12034" width="5.28515625" style="9" customWidth="1"/>
    <col min="12035" max="12035" width="32.5703125" style="9" customWidth="1"/>
    <col min="12036" max="12036" width="8.85546875" style="9" customWidth="1"/>
    <col min="12037" max="12037" width="3.85546875" style="9" customWidth="1"/>
    <col min="12038" max="12038" width="11.42578125" style="9"/>
    <col min="12039" max="12039" width="13.42578125" style="9" customWidth="1"/>
    <col min="12040" max="12040" width="15.140625" style="9" customWidth="1"/>
    <col min="12041" max="12041" width="13.42578125" style="9" customWidth="1"/>
    <col min="12042" max="12042" width="11.7109375" style="9" bestFit="1" customWidth="1"/>
    <col min="12043" max="12289" width="11.42578125" style="9"/>
    <col min="12290" max="12290" width="5.28515625" style="9" customWidth="1"/>
    <col min="12291" max="12291" width="32.5703125" style="9" customWidth="1"/>
    <col min="12292" max="12292" width="8.85546875" style="9" customWidth="1"/>
    <col min="12293" max="12293" width="3.85546875" style="9" customWidth="1"/>
    <col min="12294" max="12294" width="11.42578125" style="9"/>
    <col min="12295" max="12295" width="13.42578125" style="9" customWidth="1"/>
    <col min="12296" max="12296" width="15.140625" style="9" customWidth="1"/>
    <col min="12297" max="12297" width="13.42578125" style="9" customWidth="1"/>
    <col min="12298" max="12298" width="11.7109375" style="9" bestFit="1" customWidth="1"/>
    <col min="12299" max="12545" width="11.42578125" style="9"/>
    <col min="12546" max="12546" width="5.28515625" style="9" customWidth="1"/>
    <col min="12547" max="12547" width="32.5703125" style="9" customWidth="1"/>
    <col min="12548" max="12548" width="8.85546875" style="9" customWidth="1"/>
    <col min="12549" max="12549" width="3.85546875" style="9" customWidth="1"/>
    <col min="12550" max="12550" width="11.42578125" style="9"/>
    <col min="12551" max="12551" width="13.42578125" style="9" customWidth="1"/>
    <col min="12552" max="12552" width="15.140625" style="9" customWidth="1"/>
    <col min="12553" max="12553" width="13.42578125" style="9" customWidth="1"/>
    <col min="12554" max="12554" width="11.7109375" style="9" bestFit="1" customWidth="1"/>
    <col min="12555" max="12801" width="11.42578125" style="9"/>
    <col min="12802" max="12802" width="5.28515625" style="9" customWidth="1"/>
    <col min="12803" max="12803" width="32.5703125" style="9" customWidth="1"/>
    <col min="12804" max="12804" width="8.85546875" style="9" customWidth="1"/>
    <col min="12805" max="12805" width="3.85546875" style="9" customWidth="1"/>
    <col min="12806" max="12806" width="11.42578125" style="9"/>
    <col min="12807" max="12807" width="13.42578125" style="9" customWidth="1"/>
    <col min="12808" max="12808" width="15.140625" style="9" customWidth="1"/>
    <col min="12809" max="12809" width="13.42578125" style="9" customWidth="1"/>
    <col min="12810" max="12810" width="11.7109375" style="9" bestFit="1" customWidth="1"/>
    <col min="12811" max="13057" width="11.42578125" style="9"/>
    <col min="13058" max="13058" width="5.28515625" style="9" customWidth="1"/>
    <col min="13059" max="13059" width="32.5703125" style="9" customWidth="1"/>
    <col min="13060" max="13060" width="8.85546875" style="9" customWidth="1"/>
    <col min="13061" max="13061" width="3.85546875" style="9" customWidth="1"/>
    <col min="13062" max="13062" width="11.42578125" style="9"/>
    <col min="13063" max="13063" width="13.42578125" style="9" customWidth="1"/>
    <col min="13064" max="13064" width="15.140625" style="9" customWidth="1"/>
    <col min="13065" max="13065" width="13.42578125" style="9" customWidth="1"/>
    <col min="13066" max="13066" width="11.7109375" style="9" bestFit="1" customWidth="1"/>
    <col min="13067" max="13313" width="11.42578125" style="9"/>
    <col min="13314" max="13314" width="5.28515625" style="9" customWidth="1"/>
    <col min="13315" max="13315" width="32.5703125" style="9" customWidth="1"/>
    <col min="13316" max="13316" width="8.85546875" style="9" customWidth="1"/>
    <col min="13317" max="13317" width="3.85546875" style="9" customWidth="1"/>
    <col min="13318" max="13318" width="11.42578125" style="9"/>
    <col min="13319" max="13319" width="13.42578125" style="9" customWidth="1"/>
    <col min="13320" max="13320" width="15.140625" style="9" customWidth="1"/>
    <col min="13321" max="13321" width="13.42578125" style="9" customWidth="1"/>
    <col min="13322" max="13322" width="11.7109375" style="9" bestFit="1" customWidth="1"/>
    <col min="13323" max="13569" width="11.42578125" style="9"/>
    <col min="13570" max="13570" width="5.28515625" style="9" customWidth="1"/>
    <col min="13571" max="13571" width="32.5703125" style="9" customWidth="1"/>
    <col min="13572" max="13572" width="8.85546875" style="9" customWidth="1"/>
    <col min="13573" max="13573" width="3.85546875" style="9" customWidth="1"/>
    <col min="13574" max="13574" width="11.42578125" style="9"/>
    <col min="13575" max="13575" width="13.42578125" style="9" customWidth="1"/>
    <col min="13576" max="13576" width="15.140625" style="9" customWidth="1"/>
    <col min="13577" max="13577" width="13.42578125" style="9" customWidth="1"/>
    <col min="13578" max="13578" width="11.7109375" style="9" bestFit="1" customWidth="1"/>
    <col min="13579" max="13825" width="11.42578125" style="9"/>
    <col min="13826" max="13826" width="5.28515625" style="9" customWidth="1"/>
    <col min="13827" max="13827" width="32.5703125" style="9" customWidth="1"/>
    <col min="13828" max="13828" width="8.85546875" style="9" customWidth="1"/>
    <col min="13829" max="13829" width="3.85546875" style="9" customWidth="1"/>
    <col min="13830" max="13830" width="11.42578125" style="9"/>
    <col min="13831" max="13831" width="13.42578125" style="9" customWidth="1"/>
    <col min="13832" max="13832" width="15.140625" style="9" customWidth="1"/>
    <col min="13833" max="13833" width="13.42578125" style="9" customWidth="1"/>
    <col min="13834" max="13834" width="11.7109375" style="9" bestFit="1" customWidth="1"/>
    <col min="13835" max="14081" width="11.42578125" style="9"/>
    <col min="14082" max="14082" width="5.28515625" style="9" customWidth="1"/>
    <col min="14083" max="14083" width="32.5703125" style="9" customWidth="1"/>
    <col min="14084" max="14084" width="8.85546875" style="9" customWidth="1"/>
    <col min="14085" max="14085" width="3.85546875" style="9" customWidth="1"/>
    <col min="14086" max="14086" width="11.42578125" style="9"/>
    <col min="14087" max="14087" width="13.42578125" style="9" customWidth="1"/>
    <col min="14088" max="14088" width="15.140625" style="9" customWidth="1"/>
    <col min="14089" max="14089" width="13.42578125" style="9" customWidth="1"/>
    <col min="14090" max="14090" width="11.7109375" style="9" bestFit="1" customWidth="1"/>
    <col min="14091" max="14337" width="11.42578125" style="9"/>
    <col min="14338" max="14338" width="5.28515625" style="9" customWidth="1"/>
    <col min="14339" max="14339" width="32.5703125" style="9" customWidth="1"/>
    <col min="14340" max="14340" width="8.85546875" style="9" customWidth="1"/>
    <col min="14341" max="14341" width="3.85546875" style="9" customWidth="1"/>
    <col min="14342" max="14342" width="11.42578125" style="9"/>
    <col min="14343" max="14343" width="13.42578125" style="9" customWidth="1"/>
    <col min="14344" max="14344" width="15.140625" style="9" customWidth="1"/>
    <col min="14345" max="14345" width="13.42578125" style="9" customWidth="1"/>
    <col min="14346" max="14346" width="11.7109375" style="9" bestFit="1" customWidth="1"/>
    <col min="14347" max="14593" width="11.42578125" style="9"/>
    <col min="14594" max="14594" width="5.28515625" style="9" customWidth="1"/>
    <col min="14595" max="14595" width="32.5703125" style="9" customWidth="1"/>
    <col min="14596" max="14596" width="8.85546875" style="9" customWidth="1"/>
    <col min="14597" max="14597" width="3.85546875" style="9" customWidth="1"/>
    <col min="14598" max="14598" width="11.42578125" style="9"/>
    <col min="14599" max="14599" width="13.42578125" style="9" customWidth="1"/>
    <col min="14600" max="14600" width="15.140625" style="9" customWidth="1"/>
    <col min="14601" max="14601" width="13.42578125" style="9" customWidth="1"/>
    <col min="14602" max="14602" width="11.7109375" style="9" bestFit="1" customWidth="1"/>
    <col min="14603" max="14849" width="11.42578125" style="9"/>
    <col min="14850" max="14850" width="5.28515625" style="9" customWidth="1"/>
    <col min="14851" max="14851" width="32.5703125" style="9" customWidth="1"/>
    <col min="14852" max="14852" width="8.85546875" style="9" customWidth="1"/>
    <col min="14853" max="14853" width="3.85546875" style="9" customWidth="1"/>
    <col min="14854" max="14854" width="11.42578125" style="9"/>
    <col min="14855" max="14855" width="13.42578125" style="9" customWidth="1"/>
    <col min="14856" max="14856" width="15.140625" style="9" customWidth="1"/>
    <col min="14857" max="14857" width="13.42578125" style="9" customWidth="1"/>
    <col min="14858" max="14858" width="11.7109375" style="9" bestFit="1" customWidth="1"/>
    <col min="14859" max="15105" width="11.42578125" style="9"/>
    <col min="15106" max="15106" width="5.28515625" style="9" customWidth="1"/>
    <col min="15107" max="15107" width="32.5703125" style="9" customWidth="1"/>
    <col min="15108" max="15108" width="8.85546875" style="9" customWidth="1"/>
    <col min="15109" max="15109" width="3.85546875" style="9" customWidth="1"/>
    <col min="15110" max="15110" width="11.42578125" style="9"/>
    <col min="15111" max="15111" width="13.42578125" style="9" customWidth="1"/>
    <col min="15112" max="15112" width="15.140625" style="9" customWidth="1"/>
    <col min="15113" max="15113" width="13.42578125" style="9" customWidth="1"/>
    <col min="15114" max="15114" width="11.7109375" style="9" bestFit="1" customWidth="1"/>
    <col min="15115" max="15361" width="11.42578125" style="9"/>
    <col min="15362" max="15362" width="5.28515625" style="9" customWidth="1"/>
    <col min="15363" max="15363" width="32.5703125" style="9" customWidth="1"/>
    <col min="15364" max="15364" width="8.85546875" style="9" customWidth="1"/>
    <col min="15365" max="15365" width="3.85546875" style="9" customWidth="1"/>
    <col min="15366" max="15366" width="11.42578125" style="9"/>
    <col min="15367" max="15367" width="13.42578125" style="9" customWidth="1"/>
    <col min="15368" max="15368" width="15.140625" style="9" customWidth="1"/>
    <col min="15369" max="15369" width="13.42578125" style="9" customWidth="1"/>
    <col min="15370" max="15370" width="11.7109375" style="9" bestFit="1" customWidth="1"/>
    <col min="15371" max="15617" width="11.42578125" style="9"/>
    <col min="15618" max="15618" width="5.28515625" style="9" customWidth="1"/>
    <col min="15619" max="15619" width="32.5703125" style="9" customWidth="1"/>
    <col min="15620" max="15620" width="8.85546875" style="9" customWidth="1"/>
    <col min="15621" max="15621" width="3.85546875" style="9" customWidth="1"/>
    <col min="15622" max="15622" width="11.42578125" style="9"/>
    <col min="15623" max="15623" width="13.42578125" style="9" customWidth="1"/>
    <col min="15624" max="15624" width="15.140625" style="9" customWidth="1"/>
    <col min="15625" max="15625" width="13.42578125" style="9" customWidth="1"/>
    <col min="15626" max="15626" width="11.7109375" style="9" bestFit="1" customWidth="1"/>
    <col min="15627" max="15873" width="11.42578125" style="9"/>
    <col min="15874" max="15874" width="5.28515625" style="9" customWidth="1"/>
    <col min="15875" max="15875" width="32.5703125" style="9" customWidth="1"/>
    <col min="15876" max="15876" width="8.85546875" style="9" customWidth="1"/>
    <col min="15877" max="15877" width="3.85546875" style="9" customWidth="1"/>
    <col min="15878" max="15878" width="11.42578125" style="9"/>
    <col min="15879" max="15879" width="13.42578125" style="9" customWidth="1"/>
    <col min="15880" max="15880" width="15.140625" style="9" customWidth="1"/>
    <col min="15881" max="15881" width="13.42578125" style="9" customWidth="1"/>
    <col min="15882" max="15882" width="11.7109375" style="9" bestFit="1" customWidth="1"/>
    <col min="15883" max="16129" width="11.42578125" style="9"/>
    <col min="16130" max="16130" width="5.28515625" style="9" customWidth="1"/>
    <col min="16131" max="16131" width="32.5703125" style="9" customWidth="1"/>
    <col min="16132" max="16132" width="8.85546875" style="9" customWidth="1"/>
    <col min="16133" max="16133" width="3.85546875" style="9" customWidth="1"/>
    <col min="16134" max="16134" width="11.42578125" style="9"/>
    <col min="16135" max="16135" width="13.42578125" style="9" customWidth="1"/>
    <col min="16136" max="16136" width="15.140625" style="9" customWidth="1"/>
    <col min="16137" max="16137" width="13.42578125" style="9" customWidth="1"/>
    <col min="16138" max="16138" width="11.7109375" style="9" bestFit="1" customWidth="1"/>
    <col min="16139" max="16384" width="11.42578125" style="9"/>
  </cols>
  <sheetData>
    <row r="1" spans="1:17" s="27" customFormat="1" x14ac:dyDescent="0.25">
      <c r="B1" s="524" t="s">
        <v>88</v>
      </c>
      <c r="C1" s="524"/>
      <c r="D1" s="524"/>
      <c r="E1" s="524"/>
      <c r="F1" s="524"/>
      <c r="G1" s="524"/>
      <c r="H1" s="1"/>
      <c r="I1" s="1"/>
      <c r="J1" s="1"/>
      <c r="K1" s="1"/>
      <c r="L1" s="1"/>
      <c r="M1" s="1"/>
      <c r="N1" s="1"/>
      <c r="O1" s="1"/>
    </row>
    <row r="2" spans="1:17" s="308" customFormat="1" x14ac:dyDescent="0.25">
      <c r="B2" s="309"/>
      <c r="D2" s="525"/>
      <c r="E2" s="525"/>
      <c r="F2" s="525"/>
      <c r="G2" s="525"/>
      <c r="H2" s="1"/>
      <c r="I2" s="1"/>
      <c r="J2" s="1"/>
      <c r="K2" s="1"/>
      <c r="L2" s="1"/>
      <c r="M2" s="1"/>
      <c r="N2" s="1"/>
      <c r="O2" s="1"/>
    </row>
    <row r="3" spans="1:17" s="27" customFormat="1" x14ac:dyDescent="0.25">
      <c r="B3" s="28"/>
      <c r="D3" s="30" t="s">
        <v>52</v>
      </c>
      <c r="E3" s="30" t="s">
        <v>53</v>
      </c>
      <c r="F3" s="30" t="s">
        <v>54</v>
      </c>
      <c r="G3" s="31" t="s">
        <v>55</v>
      </c>
      <c r="H3" s="1"/>
      <c r="I3" s="1"/>
      <c r="J3" s="1"/>
      <c r="K3" s="1"/>
      <c r="L3" s="1"/>
      <c r="M3" s="1"/>
      <c r="N3" s="1"/>
      <c r="O3" s="1"/>
    </row>
    <row r="4" spans="1:17" s="27" customFormat="1" x14ac:dyDescent="0.25">
      <c r="B4" s="28"/>
      <c r="D4" s="30"/>
      <c r="E4" s="30"/>
      <c r="F4" s="30"/>
      <c r="G4" s="31"/>
      <c r="H4" s="1"/>
      <c r="I4" s="1"/>
      <c r="J4" s="1"/>
      <c r="K4" s="1"/>
      <c r="L4" s="1"/>
      <c r="M4" s="1"/>
      <c r="N4" s="1"/>
      <c r="O4" s="1"/>
    </row>
    <row r="5" spans="1:17" s="315" customFormat="1" x14ac:dyDescent="0.25">
      <c r="A5" s="310"/>
      <c r="B5" s="310"/>
      <c r="C5" s="311"/>
      <c r="D5" s="312"/>
      <c r="E5" s="313"/>
      <c r="F5" s="313"/>
      <c r="G5" s="314"/>
      <c r="H5" s="1"/>
      <c r="I5" s="1"/>
      <c r="J5" s="1"/>
      <c r="K5" s="1"/>
      <c r="L5" s="1"/>
      <c r="M5" s="1"/>
      <c r="N5" s="1"/>
      <c r="O5" s="1"/>
    </row>
    <row r="6" spans="1:17" x14ac:dyDescent="0.25">
      <c r="A6" s="8"/>
      <c r="C6" s="182"/>
      <c r="D6" s="183"/>
      <c r="E6" s="17"/>
      <c r="F6" s="17"/>
      <c r="G6" s="22"/>
      <c r="I6" s="16"/>
      <c r="J6" s="16"/>
      <c r="K6" s="16"/>
      <c r="L6" s="16"/>
      <c r="M6" s="16"/>
      <c r="N6" s="16"/>
      <c r="O6" s="16"/>
      <c r="P6" s="21"/>
      <c r="Q6" s="21"/>
    </row>
    <row r="7" spans="1:17" x14ac:dyDescent="0.25">
      <c r="B7" s="23" t="s">
        <v>355</v>
      </c>
      <c r="D7" s="17"/>
      <c r="E7" s="17"/>
      <c r="F7" s="17"/>
      <c r="G7" s="22"/>
      <c r="I7" s="16"/>
      <c r="J7" s="16"/>
      <c r="K7" s="16"/>
      <c r="L7" s="16"/>
      <c r="M7" s="16"/>
      <c r="N7" s="16"/>
      <c r="O7" s="16"/>
    </row>
    <row r="8" spans="1:17" x14ac:dyDescent="0.25">
      <c r="C8" s="9" t="s">
        <v>353</v>
      </c>
      <c r="D8" s="178"/>
      <c r="E8" s="17" t="s">
        <v>56</v>
      </c>
      <c r="F8" s="17">
        <v>115</v>
      </c>
      <c r="G8" s="22">
        <f t="shared" ref="G8:G16" si="0">D8*F8</f>
        <v>0</v>
      </c>
      <c r="I8" s="16"/>
      <c r="J8" s="16"/>
      <c r="K8" s="16"/>
      <c r="L8" s="16"/>
      <c r="M8" s="16"/>
      <c r="N8" s="16"/>
      <c r="O8" s="16"/>
    </row>
    <row r="9" spans="1:17" x14ac:dyDescent="0.25">
      <c r="C9" s="9" t="s">
        <v>349</v>
      </c>
      <c r="D9" s="178"/>
      <c r="E9" s="17" t="s">
        <v>56</v>
      </c>
      <c r="F9" s="17">
        <v>180</v>
      </c>
      <c r="G9" s="22">
        <f t="shared" si="0"/>
        <v>0</v>
      </c>
      <c r="I9" s="16"/>
      <c r="J9" s="16"/>
      <c r="K9" s="16"/>
      <c r="L9" s="16"/>
      <c r="M9" s="16"/>
      <c r="N9" s="16"/>
      <c r="O9" s="16"/>
    </row>
    <row r="10" spans="1:17" x14ac:dyDescent="0.25">
      <c r="C10" s="9" t="s">
        <v>354</v>
      </c>
      <c r="D10" s="178"/>
      <c r="E10" s="17" t="s">
        <v>56</v>
      </c>
      <c r="F10" s="17">
        <v>80</v>
      </c>
      <c r="G10" s="22">
        <f t="shared" si="0"/>
        <v>0</v>
      </c>
      <c r="I10" s="16"/>
      <c r="J10" s="16"/>
      <c r="K10" s="16"/>
      <c r="L10" s="16"/>
      <c r="M10" s="16"/>
      <c r="N10" s="16"/>
      <c r="O10" s="16"/>
    </row>
    <row r="11" spans="1:17" x14ac:dyDescent="0.25">
      <c r="C11" s="9" t="s">
        <v>356</v>
      </c>
      <c r="D11" s="178"/>
      <c r="E11" s="17" t="s">
        <v>56</v>
      </c>
      <c r="F11" s="17">
        <v>160</v>
      </c>
      <c r="G11" s="22">
        <f t="shared" ref="G11" si="1">D11*F11</f>
        <v>0</v>
      </c>
      <c r="I11" s="16"/>
      <c r="J11" s="16"/>
      <c r="K11" s="16"/>
      <c r="L11" s="16"/>
      <c r="M11" s="16"/>
      <c r="N11" s="16"/>
      <c r="O11" s="16"/>
    </row>
    <row r="12" spans="1:17" x14ac:dyDescent="0.25">
      <c r="C12" s="9" t="s">
        <v>357</v>
      </c>
      <c r="D12" s="178"/>
      <c r="E12" s="17" t="s">
        <v>56</v>
      </c>
      <c r="F12" s="17">
        <v>180</v>
      </c>
      <c r="G12" s="22">
        <f t="shared" ref="G12" si="2">D12*F12</f>
        <v>0</v>
      </c>
      <c r="I12" s="16"/>
      <c r="J12" s="16"/>
      <c r="K12" s="16"/>
      <c r="L12" s="16"/>
      <c r="M12" s="16"/>
      <c r="N12" s="16"/>
      <c r="O12" s="16"/>
    </row>
    <row r="13" spans="1:17" x14ac:dyDescent="0.25">
      <c r="C13" s="9" t="s">
        <v>358</v>
      </c>
      <c r="D13" s="178"/>
      <c r="E13" s="17" t="s">
        <v>56</v>
      </c>
      <c r="F13" s="17">
        <v>80</v>
      </c>
      <c r="G13" s="22">
        <f t="shared" ref="G13" si="3">D13*F13</f>
        <v>0</v>
      </c>
      <c r="I13" s="16"/>
      <c r="J13" s="16"/>
      <c r="K13" s="16"/>
      <c r="L13" s="16"/>
      <c r="M13" s="16"/>
      <c r="N13" s="16"/>
      <c r="O13" s="16"/>
    </row>
    <row r="14" spans="1:17" x14ac:dyDescent="0.25">
      <c r="C14" s="9" t="s">
        <v>350</v>
      </c>
      <c r="D14" s="178"/>
      <c r="E14" s="17" t="s">
        <v>56</v>
      </c>
      <c r="F14" s="17">
        <v>15</v>
      </c>
      <c r="G14" s="22">
        <f t="shared" si="0"/>
        <v>0</v>
      </c>
      <c r="I14" s="16"/>
      <c r="J14" s="16"/>
      <c r="K14" s="16"/>
      <c r="L14" s="16"/>
      <c r="M14" s="16"/>
      <c r="N14" s="16"/>
      <c r="O14" s="16"/>
    </row>
    <row r="15" spans="1:17" x14ac:dyDescent="0.25">
      <c r="C15" s="9" t="s">
        <v>351</v>
      </c>
      <c r="D15" s="17"/>
      <c r="E15" s="17" t="s">
        <v>2</v>
      </c>
      <c r="F15" s="17">
        <v>300</v>
      </c>
      <c r="G15" s="22">
        <f t="shared" si="0"/>
        <v>0</v>
      </c>
      <c r="I15" s="16"/>
      <c r="J15" s="16"/>
      <c r="K15" s="16"/>
      <c r="L15" s="16"/>
      <c r="M15" s="16"/>
      <c r="N15" s="16"/>
      <c r="O15" s="16"/>
    </row>
    <row r="16" spans="1:17" x14ac:dyDescent="0.25">
      <c r="C16" s="9" t="s">
        <v>352</v>
      </c>
      <c r="D16" s="178">
        <v>1</v>
      </c>
      <c r="E16" s="17" t="s">
        <v>68</v>
      </c>
      <c r="F16" s="17">
        <f>ROUND(SUM(G8:G15)*5%,-1)</f>
        <v>0</v>
      </c>
      <c r="G16" s="22">
        <f t="shared" si="0"/>
        <v>0</v>
      </c>
      <c r="I16" s="16"/>
      <c r="J16" s="16"/>
      <c r="K16" s="16"/>
      <c r="L16" s="16"/>
      <c r="M16" s="16"/>
      <c r="N16" s="16"/>
      <c r="O16" s="16"/>
    </row>
    <row r="17" spans="1:17" x14ac:dyDescent="0.25">
      <c r="D17" s="17"/>
      <c r="E17" s="17"/>
      <c r="F17" s="18" t="s">
        <v>3</v>
      </c>
      <c r="G17" s="24">
        <f>SUM(G8:G16)</f>
        <v>0</v>
      </c>
      <c r="I17" s="16"/>
      <c r="J17" s="16"/>
      <c r="K17" s="16"/>
      <c r="L17" s="16"/>
      <c r="M17" s="16"/>
      <c r="N17" s="16"/>
      <c r="O17" s="16"/>
    </row>
    <row r="18" spans="1:17" x14ac:dyDescent="0.25">
      <c r="A18" s="8"/>
      <c r="C18" s="182"/>
      <c r="D18" s="183"/>
      <c r="E18" s="17"/>
      <c r="F18" s="17"/>
      <c r="G18" s="22"/>
      <c r="I18" s="16"/>
      <c r="J18" s="16"/>
      <c r="K18" s="16"/>
      <c r="L18" s="16"/>
      <c r="M18" s="16"/>
      <c r="N18" s="16"/>
      <c r="O18" s="16"/>
    </row>
    <row r="19" spans="1:17" x14ac:dyDescent="0.25">
      <c r="B19" s="23" t="s">
        <v>339</v>
      </c>
      <c r="D19" s="17"/>
      <c r="E19" s="17"/>
      <c r="F19" s="17"/>
      <c r="G19" s="22"/>
      <c r="I19" s="16"/>
      <c r="J19" s="16"/>
      <c r="K19" s="16"/>
      <c r="L19" s="16"/>
      <c r="M19" s="16"/>
      <c r="N19" s="16"/>
      <c r="O19" s="16"/>
      <c r="P19" s="21"/>
      <c r="Q19" s="21"/>
    </row>
    <row r="20" spans="1:17" ht="12.75" customHeight="1" x14ac:dyDescent="0.25">
      <c r="C20" s="9" t="s">
        <v>165</v>
      </c>
      <c r="D20" s="178"/>
      <c r="E20" s="17" t="s">
        <v>68</v>
      </c>
      <c r="F20" s="17">
        <v>85000</v>
      </c>
      <c r="G20" s="22">
        <f t="shared" ref="G20" si="4">D20*F20</f>
        <v>0</v>
      </c>
      <c r="I20" s="16"/>
      <c r="J20" s="16"/>
      <c r="K20" s="16"/>
      <c r="L20" s="16"/>
      <c r="M20" s="16"/>
      <c r="N20" s="16"/>
      <c r="O20" s="16"/>
      <c r="P20" s="21"/>
      <c r="Q20" s="21"/>
    </row>
    <row r="21" spans="1:17" x14ac:dyDescent="0.25">
      <c r="D21" s="178"/>
      <c r="E21" s="17"/>
      <c r="F21" s="17"/>
      <c r="G21" s="22"/>
      <c r="I21" s="16"/>
      <c r="J21" s="16"/>
      <c r="K21" s="16"/>
      <c r="L21" s="16"/>
      <c r="M21" s="16"/>
      <c r="N21" s="16"/>
      <c r="O21" s="16"/>
      <c r="P21" s="21"/>
      <c r="Q21" s="21"/>
    </row>
    <row r="22" spans="1:17" x14ac:dyDescent="0.25">
      <c r="C22" s="9" t="s">
        <v>347</v>
      </c>
      <c r="D22" s="22"/>
      <c r="E22" s="17" t="s">
        <v>273</v>
      </c>
      <c r="F22" s="17">
        <v>8</v>
      </c>
      <c r="G22" s="22">
        <f t="shared" ref="G22:G23" si="5">D22*F22</f>
        <v>0</v>
      </c>
      <c r="I22" s="16"/>
      <c r="J22" s="16"/>
      <c r="K22" s="16"/>
      <c r="L22" s="16"/>
      <c r="M22" s="16"/>
      <c r="N22" s="16"/>
      <c r="O22" s="16"/>
      <c r="P22" s="21"/>
      <c r="Q22" s="21"/>
    </row>
    <row r="23" spans="1:17" ht="12.75" x14ac:dyDescent="0.2">
      <c r="C23" s="9" t="s">
        <v>348</v>
      </c>
      <c r="D23" s="22"/>
      <c r="E23" s="17" t="s">
        <v>273</v>
      </c>
      <c r="F23" s="17">
        <v>15</v>
      </c>
      <c r="G23" s="22">
        <f t="shared" si="5"/>
        <v>0</v>
      </c>
      <c r="H23" s="184"/>
      <c r="L23" s="21"/>
      <c r="M23" s="21"/>
      <c r="N23" s="21"/>
      <c r="O23" s="21"/>
      <c r="P23" s="21"/>
      <c r="Q23" s="21"/>
    </row>
    <row r="24" spans="1:17" ht="12.75" x14ac:dyDescent="0.2">
      <c r="C24" s="9" t="s">
        <v>340</v>
      </c>
      <c r="D24" s="22"/>
      <c r="E24" s="17" t="s">
        <v>1</v>
      </c>
      <c r="F24" s="17">
        <v>450</v>
      </c>
      <c r="G24" s="22">
        <f t="shared" ref="G24:G28" si="6">D24*F24</f>
        <v>0</v>
      </c>
      <c r="H24" s="184"/>
      <c r="L24" s="21"/>
      <c r="M24" s="21"/>
      <c r="N24" s="21"/>
      <c r="O24" s="21"/>
      <c r="P24" s="21"/>
      <c r="Q24" s="21"/>
    </row>
    <row r="25" spans="1:17" ht="12.75" x14ac:dyDescent="0.2">
      <c r="C25" s="9" t="s">
        <v>345</v>
      </c>
      <c r="D25" s="22"/>
      <c r="E25" s="17" t="s">
        <v>1</v>
      </c>
      <c r="F25" s="17">
        <v>35</v>
      </c>
      <c r="G25" s="22">
        <f t="shared" si="6"/>
        <v>0</v>
      </c>
      <c r="H25" s="184"/>
      <c r="L25" s="21"/>
      <c r="M25" s="21"/>
      <c r="N25" s="21"/>
      <c r="O25" s="21"/>
      <c r="P25" s="21"/>
      <c r="Q25" s="21"/>
    </row>
    <row r="26" spans="1:17" ht="12.75" x14ac:dyDescent="0.2">
      <c r="C26" s="9" t="s">
        <v>344</v>
      </c>
      <c r="D26" s="22"/>
      <c r="E26" s="17" t="s">
        <v>1</v>
      </c>
      <c r="F26" s="17">
        <v>60</v>
      </c>
      <c r="G26" s="22">
        <f t="shared" ref="G26" si="7">D26*F26</f>
        <v>0</v>
      </c>
      <c r="H26" s="184"/>
      <c r="L26" s="21"/>
      <c r="M26" s="21"/>
      <c r="N26" s="21"/>
      <c r="O26" s="21"/>
      <c r="P26" s="21"/>
      <c r="Q26" s="21"/>
    </row>
    <row r="27" spans="1:17" ht="12.75" x14ac:dyDescent="0.2">
      <c r="C27" s="9" t="s">
        <v>341</v>
      </c>
      <c r="D27" s="22"/>
      <c r="E27" s="17" t="s">
        <v>1</v>
      </c>
      <c r="F27" s="17">
        <v>150</v>
      </c>
      <c r="G27" s="22">
        <f t="shared" si="6"/>
        <v>0</v>
      </c>
      <c r="H27" s="185"/>
      <c r="L27" s="21"/>
      <c r="M27" s="21"/>
      <c r="N27" s="21"/>
      <c r="O27" s="21"/>
      <c r="P27" s="21"/>
      <c r="Q27" s="21"/>
    </row>
    <row r="28" spans="1:17" ht="12.75" x14ac:dyDescent="0.2">
      <c r="C28" s="9" t="s">
        <v>342</v>
      </c>
      <c r="D28" s="22"/>
      <c r="E28" s="17" t="s">
        <v>1</v>
      </c>
      <c r="F28" s="17">
        <v>145</v>
      </c>
      <c r="G28" s="22">
        <f t="shared" si="6"/>
        <v>0</v>
      </c>
      <c r="H28" s="185"/>
      <c r="L28" s="21"/>
      <c r="M28" s="21"/>
      <c r="N28" s="21"/>
      <c r="O28" s="21"/>
      <c r="P28" s="21"/>
      <c r="Q28" s="21"/>
    </row>
    <row r="29" spans="1:17" ht="12.75" x14ac:dyDescent="0.2">
      <c r="C29" s="9" t="s">
        <v>343</v>
      </c>
      <c r="D29" s="22"/>
      <c r="E29" s="17" t="s">
        <v>1</v>
      </c>
      <c r="F29" s="17">
        <v>140</v>
      </c>
      <c r="G29" s="22">
        <f t="shared" ref="G29" si="8">D29*F29</f>
        <v>0</v>
      </c>
      <c r="H29" s="185"/>
      <c r="L29" s="21"/>
      <c r="M29" s="21"/>
      <c r="N29" s="21"/>
      <c r="O29" s="21"/>
      <c r="P29" s="21"/>
      <c r="Q29" s="21"/>
    </row>
    <row r="30" spans="1:17" ht="12.75" x14ac:dyDescent="0.2">
      <c r="C30" s="9" t="s">
        <v>346</v>
      </c>
      <c r="D30" s="22"/>
      <c r="E30" s="17" t="s">
        <v>1</v>
      </c>
      <c r="F30" s="17">
        <v>20</v>
      </c>
      <c r="G30" s="22">
        <f t="shared" ref="G30" si="9">D30*F30</f>
        <v>0</v>
      </c>
      <c r="H30" s="185"/>
      <c r="L30" s="21"/>
      <c r="M30" s="21"/>
      <c r="N30" s="21"/>
      <c r="O30" s="21"/>
      <c r="P30" s="21"/>
      <c r="Q30" s="21"/>
    </row>
    <row r="31" spans="1:17" ht="12.75" x14ac:dyDescent="0.2">
      <c r="C31" s="186">
        <v>0.02</v>
      </c>
      <c r="D31" s="178">
        <v>1</v>
      </c>
      <c r="E31" s="17" t="s">
        <v>68</v>
      </c>
      <c r="F31" s="22">
        <f>SUM(G22:G30)*C31</f>
        <v>0</v>
      </c>
      <c r="G31" s="22">
        <f t="shared" ref="G31" si="10">D31*F31</f>
        <v>0</v>
      </c>
      <c r="H31" s="187"/>
    </row>
    <row r="32" spans="1:17" s="13" customFormat="1" ht="12.75" x14ac:dyDescent="0.2">
      <c r="A32" s="9"/>
      <c r="B32" s="8"/>
      <c r="C32" s="13" t="s">
        <v>122</v>
      </c>
      <c r="D32" s="18"/>
      <c r="E32" s="18"/>
      <c r="F32" s="18" t="s">
        <v>3</v>
      </c>
      <c r="G32" s="24">
        <f>SUM(G20:G31)</f>
        <v>0</v>
      </c>
      <c r="H32" s="188"/>
      <c r="I32" s="14"/>
      <c r="J32" s="189"/>
      <c r="L32" s="11"/>
      <c r="M32" s="11"/>
      <c r="N32" s="11"/>
      <c r="O32" s="11"/>
      <c r="P32" s="11"/>
      <c r="Q32" s="11"/>
    </row>
    <row r="33" spans="1:17" s="13" customFormat="1" ht="12.75" x14ac:dyDescent="0.2">
      <c r="A33" s="9"/>
      <c r="B33" s="8"/>
      <c r="C33" s="8"/>
      <c r="D33" s="18"/>
      <c r="E33" s="18"/>
      <c r="F33" s="18"/>
      <c r="G33" s="24"/>
      <c r="H33" s="190"/>
      <c r="I33" s="14"/>
      <c r="L33" s="11"/>
      <c r="M33" s="11"/>
      <c r="N33" s="11"/>
      <c r="O33" s="11"/>
      <c r="P33" s="11"/>
      <c r="Q33" s="11"/>
    </row>
    <row r="34" spans="1:17" ht="12.75" x14ac:dyDescent="0.2">
      <c r="B34" s="23"/>
      <c r="D34" s="17"/>
      <c r="E34" s="17"/>
      <c r="F34" s="17"/>
      <c r="G34" s="22"/>
      <c r="H34" s="9"/>
      <c r="I34" s="21"/>
      <c r="J34" s="14"/>
      <c r="L34" s="21"/>
      <c r="M34" s="21"/>
      <c r="N34" s="21"/>
      <c r="O34" s="21"/>
      <c r="P34" s="21"/>
      <c r="Q34" s="21"/>
    </row>
    <row r="35" spans="1:17" ht="12.75" x14ac:dyDescent="0.2">
      <c r="B35" s="23" t="s">
        <v>387</v>
      </c>
      <c r="D35" s="17"/>
      <c r="E35" s="17"/>
      <c r="F35" s="17"/>
      <c r="G35" s="22"/>
      <c r="H35" s="9"/>
      <c r="I35" s="21"/>
      <c r="J35" s="14"/>
      <c r="L35" s="21"/>
      <c r="M35" s="21"/>
      <c r="N35" s="21"/>
      <c r="O35" s="21"/>
      <c r="P35" s="21"/>
      <c r="Q35" s="21"/>
    </row>
    <row r="36" spans="1:17" ht="12.75" customHeight="1" x14ac:dyDescent="0.25">
      <c r="C36" s="9" t="s">
        <v>165</v>
      </c>
      <c r="D36" s="178"/>
      <c r="E36" s="17" t="s">
        <v>68</v>
      </c>
      <c r="F36" s="17">
        <v>5000</v>
      </c>
      <c r="G36" s="22">
        <f t="shared" ref="G36" si="11">D36*F36</f>
        <v>0</v>
      </c>
      <c r="H36" s="191"/>
      <c r="I36" s="192"/>
      <c r="J36" s="193"/>
      <c r="K36" s="193"/>
      <c r="L36" s="21"/>
      <c r="M36" s="21"/>
      <c r="N36" s="21"/>
      <c r="O36" s="21"/>
      <c r="P36" s="21"/>
      <c r="Q36" s="21"/>
    </row>
    <row r="37" spans="1:17" ht="12.75" x14ac:dyDescent="0.2">
      <c r="D37" s="178"/>
      <c r="E37" s="17"/>
      <c r="F37" s="17"/>
      <c r="G37" s="22"/>
      <c r="H37" s="9"/>
      <c r="L37" s="21"/>
      <c r="M37" s="21"/>
      <c r="N37" s="21"/>
      <c r="O37" s="21"/>
      <c r="P37" s="21"/>
      <c r="Q37" s="21"/>
    </row>
    <row r="38" spans="1:17" ht="12.75" x14ac:dyDescent="0.2">
      <c r="C38" s="194" t="s">
        <v>312</v>
      </c>
      <c r="D38" s="178"/>
      <c r="E38" s="17"/>
      <c r="F38" s="17"/>
      <c r="G38" s="22"/>
      <c r="H38" s="9"/>
      <c r="L38" s="21"/>
      <c r="M38" s="21"/>
      <c r="N38" s="21"/>
      <c r="O38" s="21"/>
      <c r="P38" s="21"/>
      <c r="Q38" s="21"/>
    </row>
    <row r="39" spans="1:17" ht="12.75" x14ac:dyDescent="0.2">
      <c r="C39" s="9" t="s">
        <v>313</v>
      </c>
      <c r="D39" s="22"/>
      <c r="E39" s="17" t="s">
        <v>273</v>
      </c>
      <c r="F39" s="17">
        <v>1800</v>
      </c>
      <c r="G39" s="22">
        <f t="shared" ref="G39:G44" si="12">D39*F39</f>
        <v>0</v>
      </c>
      <c r="H39" s="185"/>
      <c r="L39" s="21"/>
      <c r="M39" s="21"/>
      <c r="N39" s="21"/>
      <c r="O39" s="21"/>
      <c r="P39" s="21"/>
      <c r="Q39" s="21"/>
    </row>
    <row r="40" spans="1:17" ht="12.75" x14ac:dyDescent="0.2">
      <c r="C40" s="9" t="s">
        <v>314</v>
      </c>
      <c r="D40" s="22"/>
      <c r="E40" s="17" t="s">
        <v>273</v>
      </c>
      <c r="F40" s="17">
        <v>1500</v>
      </c>
      <c r="G40" s="22">
        <f t="shared" ref="G40" si="13">D40*F40</f>
        <v>0</v>
      </c>
      <c r="H40" s="185"/>
      <c r="L40" s="21"/>
      <c r="M40" s="21"/>
      <c r="N40" s="21"/>
      <c r="O40" s="21"/>
      <c r="P40" s="21"/>
      <c r="Q40" s="21"/>
    </row>
    <row r="41" spans="1:17" ht="12.75" x14ac:dyDescent="0.2">
      <c r="C41" s="9" t="s">
        <v>318</v>
      </c>
      <c r="D41" s="22"/>
      <c r="E41" s="17" t="s">
        <v>1</v>
      </c>
      <c r="F41" s="17">
        <v>375</v>
      </c>
      <c r="G41" s="22">
        <f t="shared" ref="G41" si="14">D41*F41</f>
        <v>0</v>
      </c>
      <c r="H41" s="185"/>
      <c r="L41" s="21"/>
      <c r="M41" s="21"/>
      <c r="N41" s="21"/>
      <c r="O41" s="21"/>
      <c r="P41" s="21"/>
      <c r="Q41" s="21"/>
    </row>
    <row r="42" spans="1:17" ht="12.75" x14ac:dyDescent="0.2">
      <c r="D42" s="22"/>
      <c r="E42" s="17"/>
      <c r="F42" s="17"/>
      <c r="G42" s="22"/>
      <c r="H42" s="195"/>
      <c r="I42" s="195"/>
      <c r="L42" s="21"/>
      <c r="M42" s="21"/>
      <c r="N42" s="21"/>
      <c r="O42" s="21"/>
      <c r="P42" s="21"/>
      <c r="Q42" s="21"/>
    </row>
    <row r="43" spans="1:17" ht="12.75" x14ac:dyDescent="0.2">
      <c r="C43" s="9" t="s">
        <v>309</v>
      </c>
      <c r="D43" s="22"/>
      <c r="E43" s="17" t="s">
        <v>1</v>
      </c>
      <c r="F43" s="17">
        <v>200</v>
      </c>
      <c r="G43" s="22">
        <f t="shared" si="12"/>
        <v>0</v>
      </c>
      <c r="H43" s="9"/>
      <c r="L43" s="21"/>
      <c r="M43" s="21"/>
      <c r="N43" s="21"/>
      <c r="O43" s="21"/>
      <c r="P43" s="21"/>
      <c r="Q43" s="21"/>
    </row>
    <row r="44" spans="1:17" ht="12.75" x14ac:dyDescent="0.2">
      <c r="C44" s="9" t="s">
        <v>331</v>
      </c>
      <c r="D44" s="22"/>
      <c r="E44" s="17" t="s">
        <v>1</v>
      </c>
      <c r="F44" s="17">
        <v>120</v>
      </c>
      <c r="G44" s="22">
        <f t="shared" si="12"/>
        <v>0</v>
      </c>
      <c r="H44" s="9"/>
      <c r="L44" s="21"/>
      <c r="M44" s="21"/>
      <c r="N44" s="21"/>
      <c r="O44" s="21"/>
      <c r="P44" s="21"/>
      <c r="Q44" s="21"/>
    </row>
    <row r="45" spans="1:17" ht="12.75" x14ac:dyDescent="0.2">
      <c r="C45" s="186">
        <v>0.02</v>
      </c>
      <c r="D45" s="178">
        <v>1</v>
      </c>
      <c r="E45" s="17" t="s">
        <v>68</v>
      </c>
      <c r="F45" s="22">
        <f>SUM(G36:G44)*C45</f>
        <v>0</v>
      </c>
      <c r="G45" s="22">
        <f t="shared" ref="G45" si="15">D45*F45</f>
        <v>0</v>
      </c>
      <c r="H45" s="187"/>
    </row>
    <row r="46" spans="1:17" s="13" customFormat="1" ht="12.75" x14ac:dyDescent="0.2">
      <c r="A46" s="9"/>
      <c r="B46" s="8"/>
      <c r="C46" s="13" t="s">
        <v>122</v>
      </c>
      <c r="D46" s="18"/>
      <c r="E46" s="18"/>
      <c r="F46" s="18" t="s">
        <v>3</v>
      </c>
      <c r="G46" s="24">
        <f>SUM(G36:G45)</f>
        <v>0</v>
      </c>
      <c r="H46" s="188"/>
      <c r="I46" s="14"/>
      <c r="J46" s="189"/>
      <c r="L46" s="11"/>
      <c r="M46" s="11"/>
      <c r="N46" s="11"/>
      <c r="O46" s="11"/>
      <c r="P46" s="11"/>
      <c r="Q46" s="11"/>
    </row>
    <row r="47" spans="1:17" s="13" customFormat="1" ht="12.75" x14ac:dyDescent="0.2">
      <c r="A47" s="9"/>
      <c r="B47" s="8"/>
      <c r="C47" s="8"/>
      <c r="D47" s="18"/>
      <c r="E47" s="18"/>
      <c r="F47" s="18"/>
      <c r="G47" s="24"/>
      <c r="H47" s="190"/>
      <c r="I47" s="14"/>
      <c r="L47" s="11"/>
      <c r="M47" s="11"/>
      <c r="N47" s="11"/>
      <c r="O47" s="11"/>
      <c r="P47" s="11"/>
      <c r="Q47" s="11"/>
    </row>
    <row r="48" spans="1:17" s="27" customFormat="1" ht="12.75" x14ac:dyDescent="0.2">
      <c r="B48" s="34" t="s">
        <v>164</v>
      </c>
      <c r="D48" s="30"/>
      <c r="E48" s="30"/>
      <c r="F48" s="30"/>
      <c r="G48" s="31"/>
      <c r="I48" s="38"/>
      <c r="J48" s="32"/>
      <c r="L48" s="38"/>
      <c r="M48" s="38"/>
      <c r="N48" s="38"/>
      <c r="O48" s="38"/>
      <c r="P48" s="38"/>
      <c r="Q48" s="38"/>
    </row>
    <row r="49" spans="2:17" s="27" customFormat="1" ht="12.75" customHeight="1" x14ac:dyDescent="0.25">
      <c r="B49" s="28"/>
      <c r="C49" s="27" t="s">
        <v>165</v>
      </c>
      <c r="D49" s="29">
        <v>1</v>
      </c>
      <c r="E49" s="30" t="s">
        <v>68</v>
      </c>
      <c r="F49" s="30">
        <v>5000</v>
      </c>
      <c r="G49" s="31">
        <f t="shared" ref="G49:G65" si="16">D49*F49</f>
        <v>5000</v>
      </c>
      <c r="H49" s="469"/>
      <c r="I49" s="44"/>
      <c r="J49" s="242"/>
      <c r="K49" s="242"/>
      <c r="L49" s="38"/>
      <c r="M49" s="38"/>
      <c r="N49" s="38"/>
      <c r="O49" s="38"/>
      <c r="P49" s="38"/>
      <c r="Q49" s="38"/>
    </row>
    <row r="50" spans="2:17" s="27" customFormat="1" ht="12.75" x14ac:dyDescent="0.2">
      <c r="B50" s="28"/>
      <c r="D50" s="29"/>
      <c r="E50" s="30"/>
      <c r="F50" s="30"/>
      <c r="G50" s="31"/>
      <c r="I50" s="32"/>
      <c r="L50" s="38"/>
      <c r="M50" s="38"/>
      <c r="N50" s="38"/>
      <c r="O50" s="38"/>
      <c r="P50" s="38"/>
      <c r="Q50" s="38"/>
    </row>
    <row r="51" spans="2:17" s="27" customFormat="1" ht="12.75" x14ac:dyDescent="0.2">
      <c r="B51" s="28"/>
      <c r="C51" s="470" t="s">
        <v>239</v>
      </c>
      <c r="D51" s="29"/>
      <c r="E51" s="30"/>
      <c r="F51" s="30"/>
      <c r="G51" s="31"/>
      <c r="I51" s="32"/>
      <c r="L51" s="38"/>
      <c r="M51" s="38"/>
      <c r="N51" s="38"/>
      <c r="O51" s="38"/>
      <c r="P51" s="38"/>
      <c r="Q51" s="38"/>
    </row>
    <row r="52" spans="2:17" s="27" customFormat="1" ht="12.75" x14ac:dyDescent="0.2">
      <c r="B52" s="28"/>
      <c r="C52" s="27" t="s">
        <v>243</v>
      </c>
      <c r="D52" s="31">
        <f>+Toitures!G5</f>
        <v>0</v>
      </c>
      <c r="E52" s="30" t="s">
        <v>1</v>
      </c>
      <c r="F52" s="30">
        <v>60</v>
      </c>
      <c r="G52" s="31">
        <f t="shared" ref="G52:G58" si="17">D52*F52</f>
        <v>0</v>
      </c>
      <c r="H52" s="471" t="s">
        <v>281</v>
      </c>
      <c r="I52" s="32"/>
      <c r="L52" s="38"/>
      <c r="M52" s="38"/>
      <c r="N52" s="38"/>
      <c r="O52" s="38"/>
      <c r="P52" s="38"/>
      <c r="Q52" s="38"/>
    </row>
    <row r="53" spans="2:17" s="27" customFormat="1" ht="12.75" x14ac:dyDescent="0.2">
      <c r="B53" s="28"/>
      <c r="C53" s="27" t="s">
        <v>240</v>
      </c>
      <c r="D53" s="31">
        <f>Toitures!G14</f>
        <v>0</v>
      </c>
      <c r="E53" s="30" t="s">
        <v>0</v>
      </c>
      <c r="F53" s="30">
        <v>45</v>
      </c>
      <c r="G53" s="31">
        <f t="shared" si="17"/>
        <v>0</v>
      </c>
      <c r="H53" s="472"/>
      <c r="I53" s="473"/>
      <c r="L53" s="38"/>
      <c r="M53" s="38"/>
      <c r="N53" s="38"/>
      <c r="O53" s="38"/>
      <c r="P53" s="38"/>
      <c r="Q53" s="38"/>
    </row>
    <row r="54" spans="2:17" s="27" customFormat="1" ht="12.75" x14ac:dyDescent="0.2">
      <c r="B54" s="28"/>
      <c r="C54" s="27" t="s">
        <v>241</v>
      </c>
      <c r="D54" s="31">
        <f>Toitures!G10</f>
        <v>0</v>
      </c>
      <c r="E54" s="30" t="s">
        <v>0</v>
      </c>
      <c r="F54" s="30">
        <v>70</v>
      </c>
      <c r="G54" s="31">
        <f t="shared" si="17"/>
        <v>0</v>
      </c>
      <c r="H54" s="473"/>
      <c r="I54" s="473"/>
      <c r="L54" s="38"/>
      <c r="M54" s="38"/>
      <c r="N54" s="38"/>
      <c r="O54" s="38"/>
      <c r="P54" s="38"/>
      <c r="Q54" s="38"/>
    </row>
    <row r="55" spans="2:17" s="27" customFormat="1" ht="12.75" x14ac:dyDescent="0.2">
      <c r="B55" s="28"/>
      <c r="C55" s="27" t="s">
        <v>244</v>
      </c>
      <c r="D55" s="31">
        <f>Toitures!G28</f>
        <v>0</v>
      </c>
      <c r="E55" s="30" t="s">
        <v>1</v>
      </c>
      <c r="F55" s="30">
        <v>95</v>
      </c>
      <c r="G55" s="31">
        <f t="shared" si="17"/>
        <v>0</v>
      </c>
      <c r="I55" s="32"/>
      <c r="L55" s="38"/>
      <c r="M55" s="38"/>
      <c r="N55" s="38"/>
      <c r="O55" s="38"/>
      <c r="P55" s="38"/>
      <c r="Q55" s="38"/>
    </row>
    <row r="56" spans="2:17" s="27" customFormat="1" ht="12.75" x14ac:dyDescent="0.2">
      <c r="B56" s="28"/>
      <c r="C56" s="27" t="s">
        <v>252</v>
      </c>
      <c r="D56" s="31">
        <f>Toitures!G25</f>
        <v>0</v>
      </c>
      <c r="E56" s="30" t="s">
        <v>0</v>
      </c>
      <c r="F56" s="30">
        <v>60</v>
      </c>
      <c r="G56" s="31">
        <f t="shared" si="17"/>
        <v>0</v>
      </c>
      <c r="I56" s="32"/>
      <c r="L56" s="38"/>
      <c r="M56" s="38"/>
      <c r="N56" s="38"/>
      <c r="O56" s="38"/>
      <c r="P56" s="38"/>
      <c r="Q56" s="38"/>
    </row>
    <row r="57" spans="2:17" s="27" customFormat="1" ht="12.75" x14ac:dyDescent="0.2">
      <c r="B57" s="28"/>
      <c r="C57" s="27" t="s">
        <v>89</v>
      </c>
      <c r="D57" s="31">
        <f>Toitures!G37</f>
        <v>0</v>
      </c>
      <c r="E57" s="30" t="s">
        <v>0</v>
      </c>
      <c r="F57" s="30">
        <v>40</v>
      </c>
      <c r="G57" s="31">
        <f t="shared" si="17"/>
        <v>0</v>
      </c>
      <c r="I57" s="32"/>
      <c r="L57" s="38"/>
      <c r="M57" s="38"/>
      <c r="N57" s="38"/>
      <c r="O57" s="38"/>
      <c r="P57" s="38"/>
      <c r="Q57" s="38"/>
    </row>
    <row r="58" spans="2:17" s="27" customFormat="1" ht="12.75" x14ac:dyDescent="0.2">
      <c r="B58" s="28"/>
      <c r="C58" s="27" t="s">
        <v>245</v>
      </c>
      <c r="D58" s="31">
        <f>Toitures!G39</f>
        <v>0</v>
      </c>
      <c r="E58" s="30" t="s">
        <v>2</v>
      </c>
      <c r="F58" s="30">
        <v>150</v>
      </c>
      <c r="G58" s="31">
        <f t="shared" si="17"/>
        <v>0</v>
      </c>
      <c r="I58" s="32"/>
      <c r="L58" s="38"/>
      <c r="M58" s="38"/>
      <c r="N58" s="38"/>
      <c r="O58" s="38"/>
      <c r="P58" s="38"/>
      <c r="Q58" s="38"/>
    </row>
    <row r="59" spans="2:17" s="27" customFormat="1" ht="12.75" x14ac:dyDescent="0.2">
      <c r="B59" s="28"/>
      <c r="C59" s="27" t="s">
        <v>250</v>
      </c>
      <c r="D59" s="31">
        <f>Toitures!G41</f>
        <v>0</v>
      </c>
      <c r="E59" s="30" t="s">
        <v>2</v>
      </c>
      <c r="F59" s="30">
        <v>100</v>
      </c>
      <c r="G59" s="31">
        <f t="shared" ref="G59:G60" si="18">D59*F59</f>
        <v>0</v>
      </c>
      <c r="I59" s="32"/>
      <c r="L59" s="38"/>
      <c r="M59" s="38"/>
      <c r="N59" s="38"/>
      <c r="O59" s="38"/>
      <c r="P59" s="38"/>
      <c r="Q59" s="38"/>
    </row>
    <row r="60" spans="2:17" s="27" customFormat="1" ht="12.75" x14ac:dyDescent="0.2">
      <c r="B60" s="28"/>
      <c r="C60" s="27" t="s">
        <v>172</v>
      </c>
      <c r="D60" s="35">
        <f>Toitures!G42</f>
        <v>0</v>
      </c>
      <c r="E60" s="30" t="s">
        <v>2</v>
      </c>
      <c r="F60" s="30">
        <v>80</v>
      </c>
      <c r="G60" s="31">
        <f t="shared" si="18"/>
        <v>0</v>
      </c>
      <c r="I60" s="32"/>
      <c r="L60" s="38"/>
      <c r="M60" s="38"/>
      <c r="N60" s="38"/>
      <c r="O60" s="38"/>
      <c r="P60" s="38"/>
      <c r="Q60" s="38"/>
    </row>
    <row r="61" spans="2:17" s="27" customFormat="1" ht="12.75" x14ac:dyDescent="0.2">
      <c r="B61" s="28"/>
      <c r="D61" s="35"/>
      <c r="E61" s="30"/>
      <c r="F61" s="30"/>
      <c r="G61" s="31"/>
      <c r="I61" s="32"/>
      <c r="L61" s="38"/>
      <c r="M61" s="38"/>
      <c r="N61" s="38"/>
      <c r="O61" s="38"/>
      <c r="P61" s="38"/>
      <c r="Q61" s="38"/>
    </row>
    <row r="62" spans="2:17" s="27" customFormat="1" ht="12.75" x14ac:dyDescent="0.2">
      <c r="B62" s="28"/>
      <c r="C62" s="470" t="s">
        <v>248</v>
      </c>
      <c r="D62" s="29" t="s">
        <v>567</v>
      </c>
      <c r="E62" s="30"/>
      <c r="F62" s="30"/>
      <c r="G62" s="31"/>
      <c r="I62" s="32"/>
      <c r="L62" s="38"/>
      <c r="M62" s="38"/>
      <c r="N62" s="38"/>
      <c r="O62" s="38"/>
      <c r="P62" s="38"/>
      <c r="Q62" s="38"/>
    </row>
    <row r="63" spans="2:17" s="27" customFormat="1" ht="12.75" x14ac:dyDescent="0.2">
      <c r="B63" s="28"/>
      <c r="C63" s="27" t="s">
        <v>166</v>
      </c>
      <c r="D63" s="29">
        <f>+Toitures!E49</f>
        <v>0</v>
      </c>
      <c r="E63" s="30" t="s">
        <v>1</v>
      </c>
      <c r="F63" s="30">
        <v>25</v>
      </c>
      <c r="G63" s="31">
        <f t="shared" si="16"/>
        <v>0</v>
      </c>
      <c r="I63" s="32"/>
      <c r="L63" s="38"/>
      <c r="M63" s="38"/>
      <c r="N63" s="38"/>
      <c r="O63" s="38"/>
      <c r="P63" s="38"/>
      <c r="Q63" s="38"/>
    </row>
    <row r="64" spans="2:17" s="27" customFormat="1" ht="12.75" x14ac:dyDescent="0.2">
      <c r="B64" s="28"/>
      <c r="C64" s="27" t="s">
        <v>167</v>
      </c>
      <c r="D64" s="29">
        <f>D63</f>
        <v>0</v>
      </c>
      <c r="E64" s="30" t="s">
        <v>1</v>
      </c>
      <c r="F64" s="30">
        <v>90</v>
      </c>
      <c r="G64" s="31">
        <f t="shared" si="16"/>
        <v>0</v>
      </c>
      <c r="H64" s="27">
        <f>SUM(F63:F65)</f>
        <v>145</v>
      </c>
      <c r="I64" s="32" t="s">
        <v>130</v>
      </c>
      <c r="L64" s="38"/>
      <c r="M64" s="38"/>
      <c r="N64" s="38"/>
      <c r="O64" s="38"/>
      <c r="P64" s="38"/>
      <c r="Q64" s="38"/>
    </row>
    <row r="65" spans="2:17" s="27" customFormat="1" ht="12.75" x14ac:dyDescent="0.2">
      <c r="B65" s="28"/>
      <c r="C65" s="27" t="s">
        <v>81</v>
      </c>
      <c r="D65" s="29">
        <f>D64</f>
        <v>0</v>
      </c>
      <c r="E65" s="30" t="s">
        <v>1</v>
      </c>
      <c r="F65" s="30">
        <v>30</v>
      </c>
      <c r="G65" s="31">
        <f t="shared" si="16"/>
        <v>0</v>
      </c>
      <c r="I65" s="32"/>
      <c r="L65" s="38"/>
      <c r="M65" s="38"/>
      <c r="N65" s="38"/>
      <c r="O65" s="38"/>
      <c r="P65" s="38"/>
      <c r="Q65" s="38"/>
    </row>
    <row r="66" spans="2:17" s="27" customFormat="1" ht="12.75" x14ac:dyDescent="0.2">
      <c r="B66" s="28"/>
      <c r="C66" s="27" t="s">
        <v>168</v>
      </c>
      <c r="D66" s="29">
        <v>0</v>
      </c>
      <c r="E66" s="30" t="s">
        <v>1</v>
      </c>
      <c r="F66" s="30">
        <v>10</v>
      </c>
      <c r="G66" s="31">
        <f>D66*F66</f>
        <v>0</v>
      </c>
      <c r="I66" s="32"/>
      <c r="L66" s="38"/>
      <c r="M66" s="38"/>
      <c r="N66" s="38"/>
      <c r="O66" s="38"/>
      <c r="P66" s="38"/>
      <c r="Q66" s="38"/>
    </row>
    <row r="67" spans="2:17" s="27" customFormat="1" ht="12.75" x14ac:dyDescent="0.2">
      <c r="B67" s="28"/>
      <c r="C67" s="27" t="s">
        <v>174</v>
      </c>
      <c r="D67" s="35"/>
      <c r="E67" s="30" t="s">
        <v>1</v>
      </c>
      <c r="F67" s="30">
        <v>80</v>
      </c>
      <c r="G67" s="31">
        <f t="shared" ref="G67:G79" si="19">D67*F67</f>
        <v>0</v>
      </c>
      <c r="I67" s="32"/>
      <c r="L67" s="38"/>
      <c r="M67" s="38"/>
      <c r="N67" s="38"/>
      <c r="O67" s="38"/>
      <c r="P67" s="38"/>
      <c r="Q67" s="38"/>
    </row>
    <row r="68" spans="2:17" s="27" customFormat="1" ht="12.75" x14ac:dyDescent="0.2">
      <c r="B68" s="28"/>
      <c r="C68" s="27" t="s">
        <v>169</v>
      </c>
      <c r="D68" s="35">
        <f>+Toitures!F49</f>
        <v>0</v>
      </c>
      <c r="E68" s="30" t="s">
        <v>0</v>
      </c>
      <c r="F68" s="30">
        <v>25</v>
      </c>
      <c r="G68" s="31">
        <f t="shared" si="19"/>
        <v>0</v>
      </c>
      <c r="I68" s="32"/>
      <c r="L68" s="38"/>
      <c r="M68" s="38"/>
      <c r="N68" s="38"/>
      <c r="O68" s="38"/>
      <c r="P68" s="38"/>
      <c r="Q68" s="38"/>
    </row>
    <row r="69" spans="2:17" s="27" customFormat="1" ht="12.75" x14ac:dyDescent="0.2">
      <c r="B69" s="28"/>
      <c r="C69" s="27" t="s">
        <v>170</v>
      </c>
      <c r="D69" s="35">
        <f>+Toitures!H49</f>
        <v>0</v>
      </c>
      <c r="E69" s="30" t="s">
        <v>0</v>
      </c>
      <c r="F69" s="30">
        <v>25</v>
      </c>
      <c r="G69" s="31">
        <f t="shared" si="19"/>
        <v>0</v>
      </c>
      <c r="I69" s="32"/>
      <c r="L69" s="38"/>
      <c r="M69" s="38"/>
      <c r="N69" s="38"/>
      <c r="O69" s="38"/>
      <c r="P69" s="38"/>
      <c r="Q69" s="38"/>
    </row>
    <row r="70" spans="2:17" s="27" customFormat="1" ht="12.75" x14ac:dyDescent="0.2">
      <c r="B70" s="28"/>
      <c r="C70" s="27" t="s">
        <v>92</v>
      </c>
      <c r="D70" s="35">
        <f>+Toitures!I49</f>
        <v>0</v>
      </c>
      <c r="E70" s="30" t="s">
        <v>0</v>
      </c>
      <c r="F70" s="30">
        <v>90</v>
      </c>
      <c r="G70" s="31">
        <f t="shared" si="19"/>
        <v>0</v>
      </c>
      <c r="I70" s="32"/>
      <c r="L70" s="38"/>
      <c r="M70" s="38"/>
      <c r="N70" s="38"/>
      <c r="O70" s="38"/>
      <c r="P70" s="38"/>
      <c r="Q70" s="38"/>
    </row>
    <row r="71" spans="2:17" s="27" customFormat="1" ht="12.75" x14ac:dyDescent="0.2">
      <c r="B71" s="28"/>
      <c r="C71" s="27" t="s">
        <v>173</v>
      </c>
      <c r="D71" s="35"/>
      <c r="E71" s="30" t="s">
        <v>0</v>
      </c>
      <c r="F71" s="30">
        <v>65</v>
      </c>
      <c r="G71" s="31">
        <f t="shared" si="19"/>
        <v>0</v>
      </c>
      <c r="I71" s="32"/>
      <c r="L71" s="38"/>
      <c r="M71" s="38"/>
      <c r="N71" s="38"/>
      <c r="O71" s="38"/>
      <c r="P71" s="38"/>
      <c r="Q71" s="38"/>
    </row>
    <row r="72" spans="2:17" s="27" customFormat="1" ht="12.75" x14ac:dyDescent="0.2">
      <c r="B72" s="28"/>
      <c r="C72" s="27" t="s">
        <v>161</v>
      </c>
      <c r="D72" s="35">
        <f>+Toitures!J49</f>
        <v>0</v>
      </c>
      <c r="E72" s="30" t="s">
        <v>2</v>
      </c>
      <c r="F72" s="30">
        <v>150</v>
      </c>
      <c r="G72" s="31">
        <f t="shared" si="19"/>
        <v>0</v>
      </c>
      <c r="I72" s="32"/>
      <c r="L72" s="38"/>
      <c r="M72" s="38"/>
      <c r="N72" s="38"/>
      <c r="O72" s="38"/>
      <c r="P72" s="38"/>
      <c r="Q72" s="38"/>
    </row>
    <row r="73" spans="2:17" s="27" customFormat="1" ht="12.75" x14ac:dyDescent="0.2">
      <c r="B73" s="28"/>
      <c r="C73" s="27" t="s">
        <v>162</v>
      </c>
      <c r="D73" s="35">
        <f>+Toitures!K49</f>
        <v>0</v>
      </c>
      <c r="E73" s="30" t="s">
        <v>2</v>
      </c>
      <c r="F73" s="30">
        <v>200</v>
      </c>
      <c r="G73" s="31">
        <f t="shared" si="19"/>
        <v>0</v>
      </c>
      <c r="I73" s="32"/>
      <c r="L73" s="38"/>
      <c r="M73" s="38"/>
      <c r="N73" s="38"/>
      <c r="O73" s="38"/>
      <c r="P73" s="38"/>
      <c r="Q73" s="38"/>
    </row>
    <row r="74" spans="2:17" s="27" customFormat="1" ht="12.75" x14ac:dyDescent="0.2">
      <c r="B74" s="28"/>
      <c r="C74" s="27" t="s">
        <v>91</v>
      </c>
      <c r="D74" s="35">
        <f>+Toitures!L49</f>
        <v>0</v>
      </c>
      <c r="E74" s="30" t="s">
        <v>2</v>
      </c>
      <c r="F74" s="30">
        <v>200</v>
      </c>
      <c r="G74" s="31">
        <f>D74*F74</f>
        <v>0</v>
      </c>
      <c r="I74" s="32"/>
      <c r="L74" s="38"/>
      <c r="M74" s="38"/>
      <c r="N74" s="38"/>
      <c r="O74" s="38"/>
      <c r="P74" s="38"/>
      <c r="Q74" s="38"/>
    </row>
    <row r="75" spans="2:17" s="27" customFormat="1" ht="12.75" x14ac:dyDescent="0.2">
      <c r="B75" s="28"/>
      <c r="C75" s="27" t="s">
        <v>619</v>
      </c>
      <c r="D75" s="35"/>
      <c r="E75" s="30" t="s">
        <v>2</v>
      </c>
      <c r="F75" s="30">
        <v>150</v>
      </c>
      <c r="G75" s="31">
        <f>D75*F75</f>
        <v>0</v>
      </c>
      <c r="I75" s="32"/>
      <c r="L75" s="38"/>
      <c r="M75" s="38"/>
      <c r="N75" s="38"/>
      <c r="O75" s="38"/>
      <c r="P75" s="38"/>
      <c r="Q75" s="38"/>
    </row>
    <row r="76" spans="2:17" s="27" customFormat="1" ht="12.75" x14ac:dyDescent="0.2">
      <c r="B76" s="28"/>
      <c r="C76" s="27" t="s">
        <v>89</v>
      </c>
      <c r="D76" s="35">
        <f>+Toitures!M49</f>
        <v>0</v>
      </c>
      <c r="E76" s="30" t="s">
        <v>0</v>
      </c>
      <c r="F76" s="30">
        <v>40</v>
      </c>
      <c r="G76" s="31">
        <f t="shared" si="19"/>
        <v>0</v>
      </c>
      <c r="I76" s="32"/>
      <c r="L76" s="38"/>
      <c r="M76" s="38"/>
      <c r="N76" s="38"/>
      <c r="O76" s="38"/>
      <c r="P76" s="38"/>
      <c r="Q76" s="38"/>
    </row>
    <row r="77" spans="2:17" s="27" customFormat="1" ht="12.75" x14ac:dyDescent="0.2">
      <c r="B77" s="28"/>
      <c r="C77" s="27" t="s">
        <v>245</v>
      </c>
      <c r="D77" s="29">
        <f>+Toitures!N49</f>
        <v>0</v>
      </c>
      <c r="E77" s="30" t="s">
        <v>2</v>
      </c>
      <c r="F77" s="30">
        <v>150</v>
      </c>
      <c r="G77" s="31">
        <f t="shared" si="19"/>
        <v>0</v>
      </c>
      <c r="I77" s="32"/>
      <c r="L77" s="38"/>
      <c r="M77" s="38"/>
      <c r="N77" s="38"/>
      <c r="O77" s="38"/>
      <c r="P77" s="38"/>
      <c r="Q77" s="38"/>
    </row>
    <row r="78" spans="2:17" s="27" customFormat="1" ht="12.75" x14ac:dyDescent="0.2">
      <c r="B78" s="28"/>
      <c r="C78" s="27" t="s">
        <v>163</v>
      </c>
      <c r="D78" s="35">
        <f>Toitures!E50</f>
        <v>0</v>
      </c>
      <c r="E78" s="30" t="s">
        <v>2</v>
      </c>
      <c r="F78" s="30">
        <v>160</v>
      </c>
      <c r="G78" s="31">
        <f t="shared" si="19"/>
        <v>0</v>
      </c>
      <c r="I78" s="32"/>
      <c r="L78" s="38"/>
      <c r="M78" s="38"/>
      <c r="N78" s="38"/>
      <c r="O78" s="38"/>
      <c r="P78" s="38"/>
      <c r="Q78" s="38"/>
    </row>
    <row r="79" spans="2:17" s="27" customFormat="1" ht="12.75" x14ac:dyDescent="0.2">
      <c r="B79" s="28"/>
      <c r="C79" s="27" t="s">
        <v>434</v>
      </c>
      <c r="D79" s="35">
        <f>Toitures!E51</f>
        <v>0</v>
      </c>
      <c r="E79" s="30" t="s">
        <v>2</v>
      </c>
      <c r="F79" s="30">
        <v>2500</v>
      </c>
      <c r="G79" s="31">
        <f t="shared" si="19"/>
        <v>0</v>
      </c>
      <c r="I79" s="32"/>
      <c r="L79" s="38"/>
      <c r="M79" s="38"/>
      <c r="N79" s="38"/>
      <c r="O79" s="38"/>
      <c r="P79" s="38"/>
      <c r="Q79" s="38"/>
    </row>
    <row r="80" spans="2:17" s="27" customFormat="1" ht="12.75" x14ac:dyDescent="0.2">
      <c r="B80" s="28"/>
      <c r="C80" s="27" t="s">
        <v>172</v>
      </c>
      <c r="D80" s="35">
        <f>Toitures!O49</f>
        <v>0</v>
      </c>
      <c r="E80" s="30" t="s">
        <v>2</v>
      </c>
      <c r="F80" s="30">
        <v>150</v>
      </c>
      <c r="G80" s="31">
        <f t="shared" ref="G80:G248" si="20">D80*F80</f>
        <v>0</v>
      </c>
      <c r="I80" s="32"/>
      <c r="L80" s="38"/>
      <c r="M80" s="38"/>
      <c r="N80" s="38"/>
      <c r="O80" s="38"/>
      <c r="P80" s="38"/>
      <c r="Q80" s="38"/>
    </row>
    <row r="81" spans="2:17" s="27" customFormat="1" ht="12.75" x14ac:dyDescent="0.2">
      <c r="B81" s="28"/>
      <c r="D81" s="35"/>
      <c r="E81" s="30"/>
      <c r="F81" s="30"/>
      <c r="G81" s="31"/>
      <c r="I81" s="32"/>
      <c r="L81" s="38"/>
      <c r="M81" s="38"/>
      <c r="N81" s="38"/>
      <c r="O81" s="38"/>
      <c r="P81" s="38"/>
      <c r="Q81" s="38"/>
    </row>
    <row r="82" spans="2:17" s="27" customFormat="1" ht="12.75" x14ac:dyDescent="0.2">
      <c r="B82" s="28"/>
      <c r="C82" s="470" t="s">
        <v>542</v>
      </c>
      <c r="D82" s="474" t="s">
        <v>568</v>
      </c>
      <c r="E82" s="30"/>
      <c r="F82" s="30"/>
      <c r="G82" s="31"/>
      <c r="I82" s="32"/>
      <c r="L82" s="38"/>
      <c r="M82" s="38"/>
      <c r="N82" s="38"/>
      <c r="O82" s="38"/>
      <c r="P82" s="38"/>
      <c r="Q82" s="38"/>
    </row>
    <row r="83" spans="2:17" s="27" customFormat="1" ht="12.75" x14ac:dyDescent="0.2">
      <c r="B83" s="28"/>
      <c r="C83" s="27" t="s">
        <v>166</v>
      </c>
      <c r="D83" s="29">
        <f>+Toitures!E58</f>
        <v>0</v>
      </c>
      <c r="E83" s="30" t="s">
        <v>1</v>
      </c>
      <c r="F83" s="30">
        <v>25</v>
      </c>
      <c r="G83" s="31">
        <f t="shared" ref="G83:G85" si="21">D83*F83</f>
        <v>0</v>
      </c>
      <c r="I83" s="32"/>
      <c r="L83" s="38"/>
      <c r="M83" s="38"/>
      <c r="N83" s="38"/>
      <c r="O83" s="38"/>
      <c r="P83" s="38"/>
      <c r="Q83" s="38"/>
    </row>
    <row r="84" spans="2:17" s="27" customFormat="1" ht="12.75" x14ac:dyDescent="0.2">
      <c r="B84" s="28"/>
      <c r="C84" s="27" t="s">
        <v>167</v>
      </c>
      <c r="D84" s="29">
        <f>D83</f>
        <v>0</v>
      </c>
      <c r="E84" s="30" t="s">
        <v>1</v>
      </c>
      <c r="F84" s="30">
        <v>90</v>
      </c>
      <c r="G84" s="31">
        <f t="shared" si="21"/>
        <v>0</v>
      </c>
      <c r="H84" s="27">
        <f>SUM(F83:F86)</f>
        <v>185</v>
      </c>
      <c r="I84" s="32" t="s">
        <v>130</v>
      </c>
      <c r="J84" s="27">
        <f>F83+F84+F85</f>
        <v>145</v>
      </c>
      <c r="L84" s="38"/>
      <c r="M84" s="38"/>
      <c r="N84" s="38"/>
      <c r="O84" s="38"/>
      <c r="P84" s="38"/>
      <c r="Q84" s="38"/>
    </row>
    <row r="85" spans="2:17" s="27" customFormat="1" ht="12.75" x14ac:dyDescent="0.2">
      <c r="B85" s="28"/>
      <c r="C85" s="27" t="s">
        <v>81</v>
      </c>
      <c r="D85" s="29">
        <f>D84</f>
        <v>0</v>
      </c>
      <c r="E85" s="30" t="s">
        <v>1</v>
      </c>
      <c r="F85" s="30">
        <v>30</v>
      </c>
      <c r="G85" s="31">
        <f t="shared" si="21"/>
        <v>0</v>
      </c>
      <c r="I85" s="32"/>
      <c r="L85" s="38"/>
      <c r="M85" s="38"/>
      <c r="N85" s="38"/>
      <c r="O85" s="38"/>
      <c r="P85" s="38"/>
      <c r="Q85" s="38"/>
    </row>
    <row r="86" spans="2:17" s="27" customFormat="1" ht="12.75" x14ac:dyDescent="0.2">
      <c r="B86" s="28"/>
      <c r="C86" s="27" t="s">
        <v>538</v>
      </c>
      <c r="D86" s="29">
        <f>Toitures!F58</f>
        <v>0</v>
      </c>
      <c r="E86" s="30" t="s">
        <v>1</v>
      </c>
      <c r="F86" s="30">
        <v>40</v>
      </c>
      <c r="G86" s="31">
        <f>D86*F86</f>
        <v>0</v>
      </c>
      <c r="I86" s="32"/>
      <c r="L86" s="38"/>
      <c r="M86" s="38"/>
      <c r="N86" s="38"/>
      <c r="O86" s="38"/>
      <c r="P86" s="38"/>
      <c r="Q86" s="38"/>
    </row>
    <row r="87" spans="2:17" s="27" customFormat="1" ht="12.75" x14ac:dyDescent="0.2">
      <c r="B87" s="28"/>
      <c r="C87" s="27" t="s">
        <v>539</v>
      </c>
      <c r="D87" s="35">
        <f>Toitures!G58</f>
        <v>0</v>
      </c>
      <c r="E87" s="30" t="s">
        <v>1</v>
      </c>
      <c r="F87" s="30">
        <v>40</v>
      </c>
      <c r="G87" s="31">
        <f t="shared" ref="G87:G94" si="22">D87*F87</f>
        <v>0</v>
      </c>
      <c r="I87" s="32"/>
      <c r="L87" s="38"/>
      <c r="M87" s="38"/>
      <c r="N87" s="38"/>
      <c r="O87" s="38"/>
      <c r="P87" s="38"/>
      <c r="Q87" s="38"/>
    </row>
    <row r="88" spans="2:17" s="27" customFormat="1" ht="12.75" x14ac:dyDescent="0.2">
      <c r="B88" s="28"/>
      <c r="C88" s="27" t="s">
        <v>169</v>
      </c>
      <c r="D88" s="35">
        <f>Toitures!H58</f>
        <v>0</v>
      </c>
      <c r="E88" s="30" t="s">
        <v>0</v>
      </c>
      <c r="F88" s="30">
        <v>25</v>
      </c>
      <c r="G88" s="31">
        <f t="shared" si="22"/>
        <v>0</v>
      </c>
      <c r="I88" s="32"/>
      <c r="L88" s="38"/>
      <c r="M88" s="38"/>
      <c r="N88" s="38"/>
      <c r="O88" s="38"/>
      <c r="P88" s="38"/>
      <c r="Q88" s="38"/>
    </row>
    <row r="89" spans="2:17" s="27" customFormat="1" ht="12.75" x14ac:dyDescent="0.2">
      <c r="B89" s="28"/>
      <c r="C89" s="27" t="s">
        <v>620</v>
      </c>
      <c r="D89" s="35">
        <f>D88*0.55</f>
        <v>0</v>
      </c>
      <c r="E89" s="30" t="s">
        <v>1</v>
      </c>
      <c r="F89" s="30">
        <v>60</v>
      </c>
      <c r="G89" s="31">
        <f t="shared" si="22"/>
        <v>0</v>
      </c>
      <c r="H89" s="27" t="s">
        <v>122</v>
      </c>
      <c r="L89" s="38"/>
      <c r="M89" s="38"/>
      <c r="N89" s="38"/>
      <c r="O89" s="38"/>
      <c r="P89" s="38"/>
      <c r="Q89" s="38"/>
    </row>
    <row r="90" spans="2:17" s="27" customFormat="1" ht="12.75" x14ac:dyDescent="0.2">
      <c r="B90" s="28"/>
      <c r="C90" s="27" t="s">
        <v>170</v>
      </c>
      <c r="D90" s="35">
        <f>Toitures!I58</f>
        <v>0</v>
      </c>
      <c r="E90" s="30" t="s">
        <v>0</v>
      </c>
      <c r="F90" s="30">
        <v>35</v>
      </c>
      <c r="G90" s="31">
        <f t="shared" si="22"/>
        <v>0</v>
      </c>
      <c r="I90" s="32"/>
      <c r="L90" s="38"/>
      <c r="M90" s="38"/>
      <c r="N90" s="38"/>
      <c r="O90" s="38"/>
      <c r="P90" s="38"/>
      <c r="Q90" s="38"/>
    </row>
    <row r="91" spans="2:17" s="27" customFormat="1" ht="12.75" x14ac:dyDescent="0.2">
      <c r="B91" s="28"/>
      <c r="C91" s="27" t="s">
        <v>92</v>
      </c>
      <c r="D91" s="35">
        <f>Toitures!J58</f>
        <v>0</v>
      </c>
      <c r="E91" s="30" t="s">
        <v>0</v>
      </c>
      <c r="F91" s="30">
        <v>90</v>
      </c>
      <c r="G91" s="31">
        <f t="shared" si="22"/>
        <v>0</v>
      </c>
      <c r="I91" s="32"/>
      <c r="L91" s="38"/>
      <c r="M91" s="38"/>
      <c r="N91" s="38"/>
      <c r="O91" s="38"/>
      <c r="P91" s="38"/>
      <c r="Q91" s="38"/>
    </row>
    <row r="92" spans="2:17" s="27" customFormat="1" ht="12.75" x14ac:dyDescent="0.2">
      <c r="B92" s="28"/>
      <c r="C92" s="27" t="s">
        <v>173</v>
      </c>
      <c r="D92" s="35">
        <f>Toitures!T58</f>
        <v>0</v>
      </c>
      <c r="E92" s="30" t="s">
        <v>0</v>
      </c>
      <c r="F92" s="30">
        <v>65</v>
      </c>
      <c r="G92" s="31">
        <f t="shared" si="22"/>
        <v>0</v>
      </c>
      <c r="I92" s="32"/>
      <c r="L92" s="38"/>
      <c r="M92" s="38"/>
      <c r="N92" s="38"/>
      <c r="O92" s="38"/>
      <c r="P92" s="38"/>
      <c r="Q92" s="38"/>
    </row>
    <row r="93" spans="2:17" s="27" customFormat="1" ht="12.75" x14ac:dyDescent="0.2">
      <c r="B93" s="28"/>
      <c r="C93" s="27" t="s">
        <v>161</v>
      </c>
      <c r="D93" s="35">
        <f>Toitures!K58</f>
        <v>0</v>
      </c>
      <c r="E93" s="30" t="s">
        <v>2</v>
      </c>
      <c r="F93" s="30">
        <v>150</v>
      </c>
      <c r="G93" s="31">
        <f t="shared" si="22"/>
        <v>0</v>
      </c>
      <c r="I93" s="32"/>
      <c r="L93" s="38"/>
      <c r="M93" s="38"/>
      <c r="N93" s="38"/>
      <c r="O93" s="38"/>
      <c r="P93" s="38"/>
      <c r="Q93" s="38"/>
    </row>
    <row r="94" spans="2:17" s="27" customFormat="1" ht="12.75" x14ac:dyDescent="0.2">
      <c r="B94" s="28"/>
      <c r="C94" s="27" t="s">
        <v>162</v>
      </c>
      <c r="D94" s="35">
        <f>Toitures!L58</f>
        <v>0</v>
      </c>
      <c r="E94" s="30" t="s">
        <v>2</v>
      </c>
      <c r="F94" s="30">
        <v>200</v>
      </c>
      <c r="G94" s="31">
        <f t="shared" si="22"/>
        <v>0</v>
      </c>
      <c r="I94" s="32"/>
      <c r="L94" s="38"/>
      <c r="M94" s="38"/>
      <c r="N94" s="38"/>
      <c r="O94" s="38"/>
      <c r="P94" s="38"/>
      <c r="Q94" s="38"/>
    </row>
    <row r="95" spans="2:17" s="27" customFormat="1" ht="12.75" x14ac:dyDescent="0.2">
      <c r="B95" s="28"/>
      <c r="C95" s="27" t="s">
        <v>91</v>
      </c>
      <c r="D95" s="35">
        <f>Toitures!M58</f>
        <v>0</v>
      </c>
      <c r="E95" s="30" t="s">
        <v>2</v>
      </c>
      <c r="F95" s="30">
        <v>200</v>
      </c>
      <c r="G95" s="31">
        <f>D95*F95</f>
        <v>0</v>
      </c>
      <c r="I95" s="32"/>
      <c r="L95" s="38"/>
      <c r="M95" s="38"/>
      <c r="N95" s="38"/>
      <c r="O95" s="38"/>
      <c r="P95" s="38"/>
      <c r="Q95" s="38"/>
    </row>
    <row r="96" spans="2:17" s="27" customFormat="1" ht="12.75" x14ac:dyDescent="0.2">
      <c r="B96" s="28"/>
      <c r="C96" s="27" t="s">
        <v>89</v>
      </c>
      <c r="D96" s="35">
        <f>Toitures!N58-D97</f>
        <v>0</v>
      </c>
      <c r="E96" s="30" t="s">
        <v>0</v>
      </c>
      <c r="F96" s="30">
        <v>40</v>
      </c>
      <c r="G96" s="31">
        <f t="shared" ref="G96:G103" si="23">D96*F96</f>
        <v>0</v>
      </c>
      <c r="I96" s="32"/>
      <c r="L96" s="38"/>
      <c r="M96" s="38"/>
      <c r="N96" s="38"/>
      <c r="O96" s="38"/>
      <c r="P96" s="38"/>
      <c r="Q96" s="38"/>
    </row>
    <row r="97" spans="2:17" s="27" customFormat="1" ht="12.75" x14ac:dyDescent="0.2">
      <c r="B97" s="28"/>
      <c r="C97" s="27" t="s">
        <v>245</v>
      </c>
      <c r="D97" s="29">
        <f>Toitures!O58</f>
        <v>0</v>
      </c>
      <c r="E97" s="30" t="s">
        <v>2</v>
      </c>
      <c r="F97" s="30">
        <v>150</v>
      </c>
      <c r="G97" s="31">
        <f t="shared" si="23"/>
        <v>0</v>
      </c>
      <c r="I97" s="32"/>
      <c r="L97" s="38"/>
      <c r="M97" s="38"/>
      <c r="N97" s="38"/>
      <c r="O97" s="38"/>
      <c r="P97" s="38"/>
      <c r="Q97" s="38"/>
    </row>
    <row r="98" spans="2:17" s="27" customFormat="1" ht="12.75" x14ac:dyDescent="0.2">
      <c r="B98" s="28"/>
      <c r="C98" s="27" t="s">
        <v>163</v>
      </c>
      <c r="D98" s="35">
        <f>Toitures!P58</f>
        <v>0</v>
      </c>
      <c r="E98" s="30" t="s">
        <v>2</v>
      </c>
      <c r="F98" s="30"/>
      <c r="G98" s="31"/>
      <c r="I98" s="32"/>
      <c r="L98" s="38"/>
      <c r="M98" s="38"/>
      <c r="N98" s="38"/>
      <c r="O98" s="38"/>
      <c r="P98" s="38"/>
      <c r="Q98" s="38"/>
    </row>
    <row r="99" spans="2:17" s="27" customFormat="1" ht="12.75" x14ac:dyDescent="0.2">
      <c r="B99" s="28"/>
      <c r="C99" s="27" t="s">
        <v>582</v>
      </c>
      <c r="D99" s="35"/>
      <c r="E99" s="30" t="s">
        <v>2</v>
      </c>
      <c r="F99" s="30">
        <v>160</v>
      </c>
      <c r="G99" s="31">
        <f>D99*F99</f>
        <v>0</v>
      </c>
      <c r="I99" s="32"/>
      <c r="L99" s="38"/>
      <c r="M99" s="38"/>
      <c r="N99" s="38"/>
      <c r="O99" s="38"/>
      <c r="P99" s="38"/>
      <c r="Q99" s="38"/>
    </row>
    <row r="100" spans="2:17" s="27" customFormat="1" ht="12.75" x14ac:dyDescent="0.2">
      <c r="B100" s="28"/>
      <c r="C100" s="27" t="s">
        <v>583</v>
      </c>
      <c r="D100" s="35"/>
      <c r="E100" s="30" t="s">
        <v>2</v>
      </c>
      <c r="F100" s="30">
        <v>200</v>
      </c>
      <c r="G100" s="31">
        <f>D100*F100</f>
        <v>0</v>
      </c>
      <c r="I100" s="32"/>
      <c r="L100" s="38"/>
      <c r="M100" s="38"/>
      <c r="N100" s="38"/>
      <c r="O100" s="38"/>
      <c r="P100" s="38"/>
      <c r="Q100" s="38"/>
    </row>
    <row r="101" spans="2:17" s="27" customFormat="1" ht="12.75" x14ac:dyDescent="0.2">
      <c r="B101" s="28"/>
      <c r="C101" s="27" t="s">
        <v>584</v>
      </c>
      <c r="D101" s="35"/>
      <c r="E101" s="30" t="s">
        <v>2</v>
      </c>
      <c r="F101" s="30">
        <v>250</v>
      </c>
      <c r="G101" s="31">
        <f>D101*F101</f>
        <v>0</v>
      </c>
      <c r="I101" s="32"/>
      <c r="L101" s="38"/>
      <c r="M101" s="38"/>
      <c r="N101" s="38"/>
      <c r="O101" s="38"/>
      <c r="P101" s="38"/>
      <c r="Q101" s="38"/>
    </row>
    <row r="102" spans="2:17" s="27" customFormat="1" ht="12.75" x14ac:dyDescent="0.2">
      <c r="B102" s="28"/>
      <c r="C102" s="27" t="s">
        <v>434</v>
      </c>
      <c r="D102" s="35">
        <f>Toitures!Q58</f>
        <v>0</v>
      </c>
      <c r="E102" s="30" t="s">
        <v>2</v>
      </c>
      <c r="F102" s="30">
        <v>2500</v>
      </c>
      <c r="G102" s="31">
        <f t="shared" si="23"/>
        <v>0</v>
      </c>
      <c r="I102" s="32"/>
      <c r="L102" s="38"/>
      <c r="M102" s="38"/>
      <c r="N102" s="38"/>
      <c r="O102" s="38"/>
      <c r="P102" s="38"/>
      <c r="Q102" s="38"/>
    </row>
    <row r="103" spans="2:17" s="27" customFormat="1" ht="12.75" x14ac:dyDescent="0.2">
      <c r="B103" s="28"/>
      <c r="C103" s="27" t="s">
        <v>172</v>
      </c>
      <c r="D103" s="35"/>
      <c r="E103" s="30" t="s">
        <v>2</v>
      </c>
      <c r="F103" s="30">
        <v>150</v>
      </c>
      <c r="G103" s="31">
        <f t="shared" si="23"/>
        <v>0</v>
      </c>
      <c r="I103" s="32"/>
      <c r="L103" s="38"/>
      <c r="M103" s="38"/>
      <c r="N103" s="38"/>
      <c r="O103" s="38"/>
      <c r="P103" s="38"/>
      <c r="Q103" s="38"/>
    </row>
    <row r="104" spans="2:17" s="27" customFormat="1" ht="12.75" x14ac:dyDescent="0.2">
      <c r="B104" s="28"/>
      <c r="C104" s="27" t="s">
        <v>613</v>
      </c>
      <c r="D104" s="35"/>
      <c r="E104" s="30" t="s">
        <v>2</v>
      </c>
      <c r="F104" s="30">
        <v>700</v>
      </c>
      <c r="G104" s="31">
        <f t="shared" ref="G104:G105" si="24">D104*F104</f>
        <v>0</v>
      </c>
      <c r="I104" s="32"/>
      <c r="L104" s="38"/>
      <c r="M104" s="38"/>
      <c r="N104" s="38"/>
      <c r="O104" s="38"/>
      <c r="P104" s="38"/>
      <c r="Q104" s="38"/>
    </row>
    <row r="105" spans="2:17" s="27" customFormat="1" ht="12.75" x14ac:dyDescent="0.2">
      <c r="B105" s="28"/>
      <c r="C105" s="27" t="s">
        <v>614</v>
      </c>
      <c r="D105" s="35"/>
      <c r="E105" s="30" t="s">
        <v>0</v>
      </c>
      <c r="F105" s="30">
        <v>70</v>
      </c>
      <c r="G105" s="31">
        <f t="shared" si="24"/>
        <v>0</v>
      </c>
      <c r="I105" s="32"/>
      <c r="L105" s="38"/>
      <c r="M105" s="38"/>
      <c r="N105" s="38"/>
      <c r="O105" s="38"/>
      <c r="P105" s="38"/>
      <c r="Q105" s="38"/>
    </row>
    <row r="106" spans="2:17" s="27" customFormat="1" ht="12.75" x14ac:dyDescent="0.2">
      <c r="B106" s="28"/>
      <c r="C106" s="27" t="s">
        <v>543</v>
      </c>
      <c r="D106" s="35"/>
      <c r="E106" s="30" t="s">
        <v>0</v>
      </c>
      <c r="F106" s="30">
        <v>55</v>
      </c>
      <c r="G106" s="31">
        <f t="shared" ref="G106" si="25">D106*F106</f>
        <v>0</v>
      </c>
      <c r="I106" s="32"/>
      <c r="L106" s="38"/>
      <c r="M106" s="38"/>
      <c r="N106" s="38"/>
      <c r="O106" s="38"/>
      <c r="P106" s="38"/>
      <c r="Q106" s="38"/>
    </row>
    <row r="107" spans="2:17" s="27" customFormat="1" ht="12.75" x14ac:dyDescent="0.2">
      <c r="B107" s="28"/>
      <c r="D107" s="35"/>
      <c r="E107" s="30"/>
      <c r="F107" s="30"/>
      <c r="G107" s="31"/>
      <c r="I107" s="32"/>
      <c r="L107" s="38"/>
      <c r="M107" s="38"/>
      <c r="N107" s="38"/>
      <c r="O107" s="38"/>
      <c r="P107" s="38"/>
      <c r="Q107" s="38"/>
    </row>
    <row r="108" spans="2:17" s="27" customFormat="1" ht="12.75" x14ac:dyDescent="0.2">
      <c r="B108" s="28"/>
      <c r="C108" s="470" t="s">
        <v>549</v>
      </c>
      <c r="D108" s="29"/>
      <c r="E108" s="30"/>
      <c r="F108" s="30"/>
      <c r="G108" s="31"/>
      <c r="I108" s="32"/>
      <c r="L108" s="38"/>
      <c r="M108" s="38"/>
      <c r="N108" s="38"/>
      <c r="O108" s="38"/>
      <c r="P108" s="38"/>
      <c r="Q108" s="38"/>
    </row>
    <row r="109" spans="2:17" s="27" customFormat="1" ht="12.75" x14ac:dyDescent="0.2">
      <c r="B109" s="28"/>
      <c r="C109" s="27" t="s">
        <v>311</v>
      </c>
      <c r="D109" s="29">
        <f>Toitures!E64</f>
        <v>0</v>
      </c>
      <c r="E109" s="30" t="s">
        <v>1</v>
      </c>
      <c r="F109" s="30">
        <v>35</v>
      </c>
      <c r="G109" s="31">
        <f t="shared" ref="G109" si="26">D109*F109</f>
        <v>0</v>
      </c>
      <c r="I109" s="32"/>
      <c r="L109" s="38"/>
      <c r="M109" s="38"/>
      <c r="N109" s="38"/>
      <c r="O109" s="38"/>
      <c r="P109" s="38"/>
      <c r="Q109" s="38"/>
    </row>
    <row r="110" spans="2:17" s="27" customFormat="1" ht="12.75" x14ac:dyDescent="0.2">
      <c r="B110" s="28"/>
      <c r="C110" s="27" t="s">
        <v>240</v>
      </c>
      <c r="D110" s="35">
        <f>Toitures!F64</f>
        <v>0</v>
      </c>
      <c r="E110" s="30" t="s">
        <v>0</v>
      </c>
      <c r="F110" s="30">
        <v>30</v>
      </c>
      <c r="G110" s="31">
        <f t="shared" ref="G110:G111" si="27">D110*F110</f>
        <v>0</v>
      </c>
      <c r="I110" s="32"/>
      <c r="L110" s="38"/>
      <c r="M110" s="38"/>
      <c r="N110" s="38"/>
      <c r="O110" s="38"/>
      <c r="P110" s="38"/>
      <c r="Q110" s="38"/>
    </row>
    <row r="111" spans="2:17" s="27" customFormat="1" ht="12.75" x14ac:dyDescent="0.2">
      <c r="B111" s="28"/>
      <c r="C111" s="27" t="s">
        <v>457</v>
      </c>
      <c r="D111" s="35">
        <f>Toitures!G64</f>
        <v>0</v>
      </c>
      <c r="E111" s="30" t="s">
        <v>0</v>
      </c>
      <c r="F111" s="30">
        <v>30</v>
      </c>
      <c r="G111" s="31">
        <f t="shared" si="27"/>
        <v>0</v>
      </c>
      <c r="I111" s="32"/>
      <c r="L111" s="38"/>
      <c r="M111" s="38"/>
      <c r="N111" s="38"/>
      <c r="O111" s="38"/>
      <c r="P111" s="38"/>
      <c r="Q111" s="38"/>
    </row>
    <row r="112" spans="2:17" s="27" customFormat="1" ht="12.75" x14ac:dyDescent="0.2">
      <c r="B112" s="28"/>
      <c r="C112" s="27" t="s">
        <v>452</v>
      </c>
      <c r="D112" s="35">
        <f>Toitures!H64</f>
        <v>0</v>
      </c>
      <c r="E112" s="30" t="s">
        <v>0</v>
      </c>
      <c r="F112" s="30">
        <v>60</v>
      </c>
      <c r="G112" s="31">
        <f>D112*F112</f>
        <v>0</v>
      </c>
      <c r="I112" s="32"/>
      <c r="L112" s="38"/>
      <c r="M112" s="38"/>
      <c r="N112" s="38"/>
      <c r="O112" s="38"/>
      <c r="P112" s="38"/>
      <c r="Q112" s="38"/>
    </row>
    <row r="113" spans="2:17" s="27" customFormat="1" ht="12.75" x14ac:dyDescent="0.2">
      <c r="B113" s="28"/>
      <c r="C113" s="27" t="s">
        <v>89</v>
      </c>
      <c r="D113" s="35">
        <f>Toitures!I64-D114</f>
        <v>0</v>
      </c>
      <c r="E113" s="30" t="s">
        <v>0</v>
      </c>
      <c r="F113" s="30">
        <v>40</v>
      </c>
      <c r="G113" s="31">
        <f t="shared" ref="G113:G116" si="28">D113*F113</f>
        <v>0</v>
      </c>
      <c r="I113" s="32"/>
      <c r="L113" s="38"/>
      <c r="M113" s="38"/>
      <c r="N113" s="38"/>
      <c r="O113" s="38"/>
      <c r="P113" s="38"/>
      <c r="Q113" s="38"/>
    </row>
    <row r="114" spans="2:17" s="27" customFormat="1" ht="12.75" x14ac:dyDescent="0.2">
      <c r="B114" s="28"/>
      <c r="C114" s="27" t="s">
        <v>245</v>
      </c>
      <c r="D114" s="29">
        <f>Toitures!J64</f>
        <v>0</v>
      </c>
      <c r="E114" s="30" t="s">
        <v>2</v>
      </c>
      <c r="F114" s="30">
        <v>150</v>
      </c>
      <c r="G114" s="31">
        <f t="shared" si="28"/>
        <v>0</v>
      </c>
      <c r="I114" s="32"/>
      <c r="L114" s="38"/>
      <c r="M114" s="38"/>
      <c r="N114" s="38"/>
      <c r="O114" s="38"/>
      <c r="P114" s="38"/>
      <c r="Q114" s="38"/>
    </row>
    <row r="115" spans="2:17" s="27" customFormat="1" ht="12.75" x14ac:dyDescent="0.2">
      <c r="B115" s="28"/>
      <c r="C115" s="27" t="s">
        <v>163</v>
      </c>
      <c r="D115" s="35">
        <f>Toitures!K64</f>
        <v>0</v>
      </c>
      <c r="E115" s="30" t="s">
        <v>2</v>
      </c>
      <c r="F115" s="30">
        <v>160</v>
      </c>
      <c r="G115" s="31">
        <f t="shared" si="28"/>
        <v>0</v>
      </c>
      <c r="I115" s="32"/>
      <c r="L115" s="38"/>
      <c r="M115" s="38"/>
      <c r="N115" s="38"/>
      <c r="O115" s="38"/>
      <c r="P115" s="38"/>
      <c r="Q115" s="38"/>
    </row>
    <row r="116" spans="2:17" s="27" customFormat="1" ht="12.75" x14ac:dyDescent="0.2">
      <c r="B116" s="28"/>
      <c r="C116" s="27" t="s">
        <v>172</v>
      </c>
      <c r="D116" s="35">
        <f>Toitures!L64</f>
        <v>0</v>
      </c>
      <c r="E116" s="30" t="s">
        <v>2</v>
      </c>
      <c r="F116" s="30">
        <v>150</v>
      </c>
      <c r="G116" s="31">
        <f t="shared" si="28"/>
        <v>0</v>
      </c>
      <c r="I116" s="32"/>
      <c r="L116" s="38"/>
      <c r="M116" s="38"/>
      <c r="N116" s="38"/>
      <c r="O116" s="38"/>
      <c r="P116" s="38"/>
      <c r="Q116" s="38"/>
    </row>
    <row r="117" spans="2:17" s="27" customFormat="1" ht="12.75" x14ac:dyDescent="0.2">
      <c r="B117" s="28"/>
      <c r="D117" s="35"/>
      <c r="E117" s="30"/>
      <c r="F117" s="30"/>
      <c r="G117" s="31"/>
      <c r="I117" s="32"/>
      <c r="L117" s="38"/>
      <c r="M117" s="38"/>
      <c r="N117" s="38"/>
      <c r="O117" s="38"/>
      <c r="P117" s="38"/>
      <c r="Q117" s="38"/>
    </row>
    <row r="118" spans="2:17" s="27" customFormat="1" ht="12.75" x14ac:dyDescent="0.2">
      <c r="B118" s="28"/>
      <c r="C118" s="470" t="s">
        <v>310</v>
      </c>
      <c r="D118" s="29"/>
      <c r="E118" s="30"/>
      <c r="F118" s="30"/>
      <c r="G118" s="31"/>
      <c r="I118" s="32"/>
      <c r="L118" s="38"/>
      <c r="M118" s="38"/>
      <c r="N118" s="38"/>
      <c r="O118" s="38"/>
      <c r="P118" s="38"/>
      <c r="Q118" s="38"/>
    </row>
    <row r="119" spans="2:17" s="27" customFormat="1" ht="12.75" x14ac:dyDescent="0.2">
      <c r="B119" s="28"/>
      <c r="C119" s="27" t="s">
        <v>311</v>
      </c>
      <c r="D119" s="29">
        <f>Toitures!E83</f>
        <v>230.42000000000002</v>
      </c>
      <c r="E119" s="30" t="s">
        <v>1</v>
      </c>
      <c r="F119" s="30">
        <v>20</v>
      </c>
      <c r="G119" s="31">
        <f t="shared" ref="G119:G121" si="29">D119*F119</f>
        <v>4608.4000000000005</v>
      </c>
      <c r="I119" s="32"/>
      <c r="L119" s="38"/>
      <c r="M119" s="38"/>
      <c r="N119" s="38"/>
      <c r="O119" s="38"/>
      <c r="P119" s="38"/>
      <c r="Q119" s="38"/>
    </row>
    <row r="120" spans="2:17" s="27" customFormat="1" ht="12.75" x14ac:dyDescent="0.2">
      <c r="B120" s="28"/>
      <c r="C120" s="27" t="s">
        <v>167</v>
      </c>
      <c r="D120" s="29">
        <f>D119</f>
        <v>230.42000000000002</v>
      </c>
      <c r="E120" s="30" t="s">
        <v>1</v>
      </c>
      <c r="F120" s="30">
        <v>80</v>
      </c>
      <c r="G120" s="31">
        <f t="shared" si="29"/>
        <v>18433.600000000002</v>
      </c>
      <c r="I120" s="32"/>
      <c r="L120" s="38"/>
      <c r="M120" s="38"/>
      <c r="N120" s="38"/>
      <c r="O120" s="38"/>
      <c r="P120" s="38"/>
      <c r="Q120" s="38"/>
    </row>
    <row r="121" spans="2:17" s="27" customFormat="1" ht="12.75" x14ac:dyDescent="0.2">
      <c r="B121" s="28"/>
      <c r="C121" s="27" t="s">
        <v>81</v>
      </c>
      <c r="D121" s="29">
        <f>D120</f>
        <v>230.42000000000002</v>
      </c>
      <c r="E121" s="30" t="s">
        <v>1</v>
      </c>
      <c r="F121" s="30">
        <v>20</v>
      </c>
      <c r="G121" s="31">
        <f t="shared" si="29"/>
        <v>4608.4000000000005</v>
      </c>
      <c r="I121" s="32"/>
      <c r="L121" s="38"/>
      <c r="M121" s="38"/>
      <c r="N121" s="38"/>
      <c r="O121" s="38"/>
      <c r="P121" s="38"/>
      <c r="Q121" s="38"/>
    </row>
    <row r="122" spans="2:17" s="27" customFormat="1" ht="12.75" x14ac:dyDescent="0.2">
      <c r="B122" s="28"/>
      <c r="C122" s="27" t="s">
        <v>168</v>
      </c>
      <c r="D122" s="29"/>
      <c r="E122" s="30" t="s">
        <v>1</v>
      </c>
      <c r="F122" s="30">
        <v>10</v>
      </c>
      <c r="G122" s="31">
        <f>D122*F122</f>
        <v>0</v>
      </c>
      <c r="I122" s="32"/>
      <c r="L122" s="38"/>
      <c r="M122" s="38"/>
      <c r="N122" s="38"/>
      <c r="O122" s="38"/>
      <c r="P122" s="38"/>
      <c r="Q122" s="38"/>
    </row>
    <row r="123" spans="2:17" s="27" customFormat="1" ht="12.75" x14ac:dyDescent="0.2">
      <c r="B123" s="28"/>
      <c r="C123" s="27" t="s">
        <v>174</v>
      </c>
      <c r="D123" s="35"/>
      <c r="E123" s="30" t="s">
        <v>1</v>
      </c>
      <c r="F123" s="30">
        <v>80</v>
      </c>
      <c r="G123" s="31">
        <f t="shared" ref="G123:G129" si="30">D123*F123</f>
        <v>0</v>
      </c>
      <c r="I123" s="32"/>
      <c r="L123" s="38"/>
      <c r="M123" s="38"/>
      <c r="N123" s="38"/>
      <c r="O123" s="38"/>
      <c r="P123" s="38"/>
      <c r="Q123" s="38"/>
    </row>
    <row r="124" spans="2:17" s="27" customFormat="1" ht="12.75" x14ac:dyDescent="0.2">
      <c r="B124" s="28"/>
      <c r="C124" s="27" t="s">
        <v>169</v>
      </c>
      <c r="D124" s="35">
        <f>Toitures!F83</f>
        <v>93.24</v>
      </c>
      <c r="E124" s="30" t="s">
        <v>0</v>
      </c>
      <c r="F124" s="30">
        <v>35</v>
      </c>
      <c r="G124" s="31">
        <f t="shared" si="30"/>
        <v>3263.3999999999996</v>
      </c>
      <c r="I124" s="32"/>
      <c r="L124" s="38"/>
      <c r="M124" s="38"/>
      <c r="N124" s="38"/>
      <c r="O124" s="38"/>
      <c r="P124" s="38"/>
      <c r="Q124" s="38"/>
    </row>
    <row r="125" spans="2:17" s="27" customFormat="1" ht="12.75" x14ac:dyDescent="0.2">
      <c r="B125" s="28"/>
      <c r="C125" s="27" t="s">
        <v>170</v>
      </c>
      <c r="D125" s="35">
        <f>Toitures!H83</f>
        <v>41</v>
      </c>
      <c r="E125" s="30" t="s">
        <v>0</v>
      </c>
      <c r="F125" s="30">
        <v>20</v>
      </c>
      <c r="G125" s="31">
        <f t="shared" si="30"/>
        <v>820</v>
      </c>
      <c r="I125" s="32"/>
      <c r="L125" s="38"/>
      <c r="M125" s="38"/>
      <c r="N125" s="38"/>
      <c r="O125" s="38"/>
      <c r="P125" s="38"/>
      <c r="Q125" s="38"/>
    </row>
    <row r="126" spans="2:17" s="27" customFormat="1" ht="12.75" x14ac:dyDescent="0.2">
      <c r="B126" s="28"/>
      <c r="C126" s="27" t="s">
        <v>92</v>
      </c>
      <c r="D126" s="35">
        <f>Toitures!I83</f>
        <v>52.239999999999995</v>
      </c>
      <c r="E126" s="30" t="s">
        <v>0</v>
      </c>
      <c r="F126" s="30">
        <v>60</v>
      </c>
      <c r="G126" s="31">
        <f t="shared" si="30"/>
        <v>3134.3999999999996</v>
      </c>
      <c r="I126" s="32"/>
      <c r="L126" s="38"/>
      <c r="M126" s="38"/>
      <c r="N126" s="38"/>
      <c r="O126" s="38"/>
      <c r="P126" s="38"/>
      <c r="Q126" s="38"/>
    </row>
    <row r="127" spans="2:17" s="27" customFormat="1" ht="12.75" x14ac:dyDescent="0.2">
      <c r="B127" s="28"/>
      <c r="C127" s="27" t="s">
        <v>173</v>
      </c>
      <c r="D127" s="35"/>
      <c r="E127" s="30" t="s">
        <v>0</v>
      </c>
      <c r="F127" s="30">
        <v>65</v>
      </c>
      <c r="G127" s="31">
        <f t="shared" si="30"/>
        <v>0</v>
      </c>
      <c r="I127" s="32"/>
      <c r="L127" s="38"/>
      <c r="M127" s="38"/>
      <c r="N127" s="38"/>
      <c r="O127" s="38"/>
      <c r="P127" s="38"/>
      <c r="Q127" s="38"/>
    </row>
    <row r="128" spans="2:17" s="27" customFormat="1" ht="12.75" x14ac:dyDescent="0.2">
      <c r="B128" s="28"/>
      <c r="C128" s="27" t="s">
        <v>161</v>
      </c>
      <c r="D128" s="35">
        <f>Toitures!J83</f>
        <v>4</v>
      </c>
      <c r="E128" s="30" t="s">
        <v>2</v>
      </c>
      <c r="F128" s="30">
        <v>150</v>
      </c>
      <c r="G128" s="31">
        <f t="shared" si="30"/>
        <v>600</v>
      </c>
      <c r="I128" s="32"/>
      <c r="L128" s="38"/>
      <c r="M128" s="38"/>
      <c r="N128" s="38"/>
      <c r="O128" s="38"/>
      <c r="P128" s="38"/>
      <c r="Q128" s="38"/>
    </row>
    <row r="129" spans="1:17" s="27" customFormat="1" ht="12.75" x14ac:dyDescent="0.2">
      <c r="B129" s="28"/>
      <c r="C129" s="27" t="s">
        <v>162</v>
      </c>
      <c r="D129" s="35">
        <f>Toitures!K83</f>
        <v>0</v>
      </c>
      <c r="E129" s="30" t="s">
        <v>2</v>
      </c>
      <c r="F129" s="30">
        <v>120</v>
      </c>
      <c r="G129" s="31">
        <f t="shared" si="30"/>
        <v>0</v>
      </c>
      <c r="I129" s="32"/>
      <c r="L129" s="38"/>
      <c r="M129" s="38"/>
      <c r="N129" s="38"/>
      <c r="O129" s="38"/>
      <c r="P129" s="38"/>
      <c r="Q129" s="38"/>
    </row>
    <row r="130" spans="1:17" s="27" customFormat="1" ht="12.75" x14ac:dyDescent="0.2">
      <c r="B130" s="28"/>
      <c r="C130" s="27" t="s">
        <v>91</v>
      </c>
      <c r="D130" s="35">
        <f>Toitures!L83</f>
        <v>0</v>
      </c>
      <c r="E130" s="30" t="s">
        <v>2</v>
      </c>
      <c r="F130" s="30">
        <v>200</v>
      </c>
      <c r="G130" s="31">
        <f>D130*F130</f>
        <v>0</v>
      </c>
      <c r="I130" s="32"/>
      <c r="L130" s="38"/>
      <c r="M130" s="38"/>
      <c r="N130" s="38"/>
      <c r="O130" s="38"/>
      <c r="P130" s="38"/>
      <c r="Q130" s="38"/>
    </row>
    <row r="131" spans="1:17" s="27" customFormat="1" ht="12.75" x14ac:dyDescent="0.2">
      <c r="B131" s="28"/>
      <c r="C131" s="27" t="s">
        <v>89</v>
      </c>
      <c r="D131" s="35">
        <f>Toitures!M83</f>
        <v>0</v>
      </c>
      <c r="E131" s="30" t="s">
        <v>0</v>
      </c>
      <c r="F131" s="30">
        <v>40</v>
      </c>
      <c r="G131" s="31">
        <f t="shared" ref="G131:G135" si="31">D131*F131</f>
        <v>0</v>
      </c>
      <c r="I131" s="32"/>
      <c r="L131" s="38"/>
      <c r="M131" s="38"/>
      <c r="N131" s="38"/>
      <c r="O131" s="38"/>
      <c r="P131" s="38"/>
      <c r="Q131" s="38"/>
    </row>
    <row r="132" spans="1:17" s="27" customFormat="1" ht="12.75" x14ac:dyDescent="0.2">
      <c r="B132" s="28"/>
      <c r="C132" s="27" t="s">
        <v>245</v>
      </c>
      <c r="D132" s="29">
        <f>Toitures!N83</f>
        <v>0</v>
      </c>
      <c r="E132" s="30" t="s">
        <v>2</v>
      </c>
      <c r="F132" s="30">
        <v>150</v>
      </c>
      <c r="G132" s="31">
        <f t="shared" si="31"/>
        <v>0</v>
      </c>
      <c r="I132" s="32"/>
      <c r="L132" s="38"/>
      <c r="M132" s="38"/>
      <c r="N132" s="38"/>
      <c r="O132" s="38"/>
      <c r="P132" s="38"/>
      <c r="Q132" s="38"/>
    </row>
    <row r="133" spans="1:17" s="27" customFormat="1" ht="12.75" x14ac:dyDescent="0.2">
      <c r="B133" s="28"/>
      <c r="C133" s="27" t="s">
        <v>163</v>
      </c>
      <c r="D133" s="35">
        <f>Toitures!E84</f>
        <v>2</v>
      </c>
      <c r="E133" s="30" t="s">
        <v>2</v>
      </c>
      <c r="F133" s="30">
        <v>160</v>
      </c>
      <c r="G133" s="31">
        <f t="shared" si="31"/>
        <v>320</v>
      </c>
      <c r="I133" s="32"/>
      <c r="L133" s="38"/>
      <c r="M133" s="38"/>
      <c r="N133" s="38"/>
      <c r="O133" s="38"/>
      <c r="P133" s="38"/>
      <c r="Q133" s="38"/>
    </row>
    <row r="134" spans="1:17" s="27" customFormat="1" ht="12.75" x14ac:dyDescent="0.2">
      <c r="B134" s="28"/>
      <c r="C134" s="27" t="s">
        <v>171</v>
      </c>
      <c r="D134" s="35">
        <f>Toitures!E85</f>
        <v>0</v>
      </c>
      <c r="E134" s="30" t="s">
        <v>2</v>
      </c>
      <c r="F134" s="30">
        <v>1500</v>
      </c>
      <c r="G134" s="31">
        <f t="shared" si="31"/>
        <v>0</v>
      </c>
      <c r="I134" s="32"/>
      <c r="L134" s="38"/>
      <c r="M134" s="38"/>
      <c r="N134" s="38"/>
      <c r="O134" s="38"/>
      <c r="P134" s="38"/>
      <c r="Q134" s="38"/>
    </row>
    <row r="135" spans="1:17" s="27" customFormat="1" ht="12.75" x14ac:dyDescent="0.2">
      <c r="B135" s="28"/>
      <c r="C135" s="27" t="s">
        <v>172</v>
      </c>
      <c r="D135" s="35">
        <f>Toitures!O83</f>
        <v>7</v>
      </c>
      <c r="E135" s="30" t="s">
        <v>2</v>
      </c>
      <c r="F135" s="30">
        <v>150</v>
      </c>
      <c r="G135" s="31">
        <f t="shared" si="31"/>
        <v>1050</v>
      </c>
      <c r="I135" s="32"/>
      <c r="L135" s="38"/>
      <c r="M135" s="38"/>
      <c r="N135" s="38"/>
      <c r="O135" s="38"/>
      <c r="P135" s="38"/>
      <c r="Q135" s="38"/>
    </row>
    <row r="136" spans="1:17" s="27" customFormat="1" ht="12.75" x14ac:dyDescent="0.2">
      <c r="B136" s="28"/>
      <c r="D136" s="35"/>
      <c r="E136" s="30"/>
      <c r="F136" s="30"/>
      <c r="G136" s="31"/>
      <c r="I136" s="32"/>
      <c r="L136" s="38"/>
      <c r="M136" s="38"/>
      <c r="N136" s="38"/>
      <c r="O136" s="38"/>
      <c r="P136" s="38"/>
      <c r="Q136" s="38"/>
    </row>
    <row r="137" spans="1:17" s="325" customFormat="1" ht="15" customHeight="1" x14ac:dyDescent="0.2">
      <c r="A137" s="27"/>
      <c r="B137" s="27"/>
      <c r="C137" s="475" t="s">
        <v>502</v>
      </c>
      <c r="D137" s="323"/>
      <c r="E137" s="324"/>
      <c r="F137" s="324"/>
      <c r="G137" s="324"/>
    </row>
    <row r="138" spans="1:17" s="325" customFormat="1" ht="12.75" customHeight="1" x14ac:dyDescent="0.2">
      <c r="A138" s="27"/>
      <c r="B138" s="27"/>
      <c r="C138" s="476" t="s">
        <v>471</v>
      </c>
      <c r="D138" s="477"/>
      <c r="E138" s="478"/>
      <c r="F138" s="478"/>
      <c r="G138" s="478"/>
    </row>
    <row r="139" spans="1:17" s="325" customFormat="1" ht="12.75" x14ac:dyDescent="0.2">
      <c r="A139" s="27"/>
      <c r="B139" s="27"/>
      <c r="C139" s="326" t="s">
        <v>311</v>
      </c>
      <c r="D139" s="327">
        <f>+Toitures!E92</f>
        <v>0</v>
      </c>
      <c r="E139" s="324" t="s">
        <v>1</v>
      </c>
      <c r="F139" s="327">
        <v>35</v>
      </c>
      <c r="G139" s="327">
        <f t="shared" ref="G139:G143" si="32">D139*F139</f>
        <v>0</v>
      </c>
    </row>
    <row r="140" spans="1:17" s="325" customFormat="1" ht="12.75" x14ac:dyDescent="0.2">
      <c r="A140" s="27"/>
      <c r="B140" s="27"/>
      <c r="C140" s="326" t="s">
        <v>472</v>
      </c>
      <c r="D140" s="327">
        <f>+D139</f>
        <v>0</v>
      </c>
      <c r="E140" s="324" t="s">
        <v>1</v>
      </c>
      <c r="F140" s="327">
        <v>90</v>
      </c>
      <c r="G140" s="327">
        <f t="shared" si="32"/>
        <v>0</v>
      </c>
    </row>
    <row r="141" spans="1:17" s="325" customFormat="1" ht="12.75" x14ac:dyDescent="0.2">
      <c r="A141" s="27"/>
      <c r="B141" s="27"/>
      <c r="C141" s="326" t="s">
        <v>473</v>
      </c>
      <c r="D141" s="327">
        <f>+Toitures!F92</f>
        <v>0</v>
      </c>
      <c r="E141" s="324" t="s">
        <v>1</v>
      </c>
      <c r="F141" s="327">
        <v>45</v>
      </c>
      <c r="G141" s="327">
        <f t="shared" si="32"/>
        <v>0</v>
      </c>
    </row>
    <row r="142" spans="1:17" s="325" customFormat="1" ht="12.75" x14ac:dyDescent="0.2">
      <c r="A142" s="27"/>
      <c r="B142" s="27"/>
      <c r="C142" s="326" t="s">
        <v>474</v>
      </c>
      <c r="D142" s="327">
        <f>+D140-D141</f>
        <v>0</v>
      </c>
      <c r="E142" s="324" t="s">
        <v>1</v>
      </c>
      <c r="F142" s="327">
        <v>50</v>
      </c>
      <c r="G142" s="327">
        <f t="shared" si="32"/>
        <v>0</v>
      </c>
    </row>
    <row r="143" spans="1:17" s="325" customFormat="1" ht="12.75" x14ac:dyDescent="0.2">
      <c r="A143" s="27"/>
      <c r="B143" s="27"/>
      <c r="C143" s="326" t="s">
        <v>475</v>
      </c>
      <c r="D143" s="327">
        <f>+Toitures!H92</f>
        <v>0</v>
      </c>
      <c r="E143" s="324" t="s">
        <v>0</v>
      </c>
      <c r="F143" s="327">
        <v>30</v>
      </c>
      <c r="G143" s="327">
        <f t="shared" si="32"/>
        <v>0</v>
      </c>
    </row>
    <row r="144" spans="1:17" s="325" customFormat="1" ht="12.75" x14ac:dyDescent="0.2">
      <c r="A144" s="27"/>
      <c r="B144" s="27"/>
      <c r="C144" s="322" t="s">
        <v>462</v>
      </c>
      <c r="D144" s="478"/>
      <c r="E144" s="478"/>
      <c r="F144" s="479"/>
      <c r="G144" s="478"/>
    </row>
    <row r="145" spans="1:17" s="325" customFormat="1" ht="12" customHeight="1" x14ac:dyDescent="0.2">
      <c r="A145" s="27"/>
      <c r="B145" s="27"/>
      <c r="C145" s="326" t="s">
        <v>476</v>
      </c>
      <c r="D145" s="324"/>
      <c r="E145" s="324"/>
      <c r="F145" s="327"/>
      <c r="G145" s="324"/>
    </row>
    <row r="146" spans="1:17" s="325" customFormat="1" ht="12.75" x14ac:dyDescent="0.2">
      <c r="A146" s="27"/>
      <c r="B146" s="27"/>
      <c r="C146" s="326" t="s">
        <v>548</v>
      </c>
      <c r="D146" s="327">
        <f>+Toitures!J92</f>
        <v>0</v>
      </c>
      <c r="E146" s="324" t="s">
        <v>0</v>
      </c>
      <c r="F146" s="327">
        <v>45</v>
      </c>
      <c r="G146" s="327">
        <f t="shared" ref="G146:G150" si="33">D146*F146</f>
        <v>0</v>
      </c>
    </row>
    <row r="147" spans="1:17" s="325" customFormat="1" ht="12.75" x14ac:dyDescent="0.2">
      <c r="A147" s="27"/>
      <c r="B147" s="27"/>
      <c r="C147" s="326" t="s">
        <v>477</v>
      </c>
      <c r="D147" s="327">
        <f>+Toitures!I92</f>
        <v>0</v>
      </c>
      <c r="E147" s="324" t="s">
        <v>0</v>
      </c>
      <c r="F147" s="327">
        <v>13</v>
      </c>
      <c r="G147" s="327">
        <f>D147*F147</f>
        <v>0</v>
      </c>
    </row>
    <row r="148" spans="1:17" s="325" customFormat="1" ht="12.75" x14ac:dyDescent="0.2">
      <c r="A148" s="27"/>
      <c r="B148" s="27"/>
      <c r="C148" s="326" t="s">
        <v>478</v>
      </c>
      <c r="D148" s="480">
        <f>+Toitures!K92</f>
        <v>0</v>
      </c>
      <c r="E148" s="324" t="s">
        <v>53</v>
      </c>
      <c r="F148" s="327">
        <v>100</v>
      </c>
      <c r="G148" s="327">
        <f t="shared" si="33"/>
        <v>0</v>
      </c>
    </row>
    <row r="149" spans="1:17" s="325" customFormat="1" ht="12.75" x14ac:dyDescent="0.2">
      <c r="A149" s="27"/>
      <c r="B149" s="27"/>
      <c r="C149" s="326" t="s">
        <v>162</v>
      </c>
      <c r="D149" s="480">
        <f>+Toitures!L92</f>
        <v>0</v>
      </c>
      <c r="E149" s="324" t="s">
        <v>53</v>
      </c>
      <c r="F149" s="327">
        <v>50</v>
      </c>
      <c r="G149" s="327">
        <f t="shared" si="33"/>
        <v>0</v>
      </c>
    </row>
    <row r="150" spans="1:17" s="325" customFormat="1" ht="12.75" x14ac:dyDescent="0.2">
      <c r="A150" s="27"/>
      <c r="B150" s="27"/>
      <c r="C150" s="326" t="s">
        <v>479</v>
      </c>
      <c r="D150" s="327">
        <f>+Toitures!S92</f>
        <v>0</v>
      </c>
      <c r="E150" s="324" t="s">
        <v>0</v>
      </c>
      <c r="F150" s="327">
        <v>52.42</v>
      </c>
      <c r="G150" s="327">
        <f t="shared" si="33"/>
        <v>0</v>
      </c>
    </row>
    <row r="151" spans="1:17" s="325" customFormat="1" ht="12.75" x14ac:dyDescent="0.2">
      <c r="A151" s="27"/>
      <c r="B151" s="27"/>
      <c r="C151" s="326" t="s">
        <v>480</v>
      </c>
      <c r="D151" s="480">
        <f>+Toitures!R92</f>
        <v>0</v>
      </c>
      <c r="E151" s="324" t="s">
        <v>53</v>
      </c>
      <c r="F151" s="327">
        <v>150</v>
      </c>
      <c r="G151" s="327">
        <f>D151*F151</f>
        <v>0</v>
      </c>
    </row>
    <row r="152" spans="1:17" s="325" customFormat="1" ht="12.75" x14ac:dyDescent="0.2">
      <c r="A152" s="27"/>
      <c r="B152" s="27"/>
      <c r="C152" s="326" t="s">
        <v>468</v>
      </c>
      <c r="D152" s="480">
        <f>+Toitures!P92</f>
        <v>0</v>
      </c>
      <c r="E152" s="324" t="s">
        <v>53</v>
      </c>
      <c r="F152" s="327">
        <v>150</v>
      </c>
      <c r="G152" s="327">
        <f t="shared" ref="G152" si="34">D152*F152</f>
        <v>0</v>
      </c>
    </row>
    <row r="153" spans="1:17" s="325" customFormat="1" ht="12.75" x14ac:dyDescent="0.2">
      <c r="A153" s="27"/>
      <c r="B153" s="27"/>
      <c r="C153" s="326" t="s">
        <v>481</v>
      </c>
      <c r="D153" s="480">
        <f>+Toitures!Q92</f>
        <v>0</v>
      </c>
      <c r="E153" s="324" t="s">
        <v>53</v>
      </c>
      <c r="F153" s="327">
        <v>1500</v>
      </c>
      <c r="G153" s="327">
        <f>D153*F153</f>
        <v>0</v>
      </c>
    </row>
    <row r="154" spans="1:17" s="325" customFormat="1" ht="12.75" x14ac:dyDescent="0.2">
      <c r="A154" s="27"/>
      <c r="B154" s="27"/>
      <c r="C154" s="326"/>
      <c r="D154" s="481"/>
      <c r="E154" s="324"/>
      <c r="F154" s="327"/>
      <c r="G154" s="327"/>
    </row>
    <row r="155" spans="1:17" s="27" customFormat="1" ht="12.75" x14ac:dyDescent="0.2">
      <c r="B155" s="28"/>
      <c r="C155" s="470" t="s">
        <v>317</v>
      </c>
      <c r="D155" s="29"/>
      <c r="E155" s="30"/>
      <c r="F155" s="30"/>
      <c r="G155" s="31"/>
      <c r="I155" s="32"/>
      <c r="L155" s="38"/>
      <c r="M155" s="38"/>
      <c r="N155" s="38"/>
      <c r="O155" s="38"/>
      <c r="P155" s="38"/>
      <c r="Q155" s="38"/>
    </row>
    <row r="156" spans="1:17" s="27" customFormat="1" ht="12.75" x14ac:dyDescent="0.2">
      <c r="B156" s="28"/>
      <c r="C156" s="27" t="s">
        <v>167</v>
      </c>
      <c r="D156" s="29">
        <f>Toitures!E98</f>
        <v>0</v>
      </c>
      <c r="E156" s="30" t="s">
        <v>1</v>
      </c>
      <c r="F156" s="30">
        <v>80</v>
      </c>
      <c r="G156" s="31">
        <f t="shared" ref="G156:G157" si="35">D156*F156</f>
        <v>0</v>
      </c>
      <c r="I156" s="32"/>
      <c r="L156" s="38"/>
      <c r="M156" s="38"/>
      <c r="N156" s="38"/>
      <c r="O156" s="38"/>
      <c r="P156" s="38"/>
      <c r="Q156" s="38"/>
    </row>
    <row r="157" spans="1:17" s="27" customFormat="1" ht="12.75" x14ac:dyDescent="0.2">
      <c r="B157" s="28"/>
      <c r="C157" s="27" t="s">
        <v>81</v>
      </c>
      <c r="D157" s="29">
        <f>D156</f>
        <v>0</v>
      </c>
      <c r="E157" s="30" t="s">
        <v>1</v>
      </c>
      <c r="F157" s="30">
        <v>20</v>
      </c>
      <c r="G157" s="31">
        <f t="shared" si="35"/>
        <v>0</v>
      </c>
      <c r="I157" s="32"/>
      <c r="L157" s="38"/>
      <c r="M157" s="38"/>
      <c r="N157" s="38"/>
      <c r="O157" s="38"/>
      <c r="P157" s="38"/>
      <c r="Q157" s="38"/>
    </row>
    <row r="158" spans="1:17" s="27" customFormat="1" ht="12.75" x14ac:dyDescent="0.2">
      <c r="B158" s="28"/>
      <c r="C158" s="27" t="s">
        <v>168</v>
      </c>
      <c r="D158" s="29">
        <f>D157</f>
        <v>0</v>
      </c>
      <c r="E158" s="30" t="s">
        <v>1</v>
      </c>
      <c r="F158" s="30">
        <v>10</v>
      </c>
      <c r="G158" s="31">
        <f>D158*F158</f>
        <v>0</v>
      </c>
      <c r="I158" s="32"/>
      <c r="L158" s="38"/>
      <c r="M158" s="38"/>
      <c r="N158" s="38"/>
      <c r="O158" s="38"/>
      <c r="P158" s="38"/>
      <c r="Q158" s="38"/>
    </row>
    <row r="159" spans="1:17" s="27" customFormat="1" ht="12.75" x14ac:dyDescent="0.2">
      <c r="B159" s="28"/>
      <c r="C159" s="27" t="s">
        <v>174</v>
      </c>
      <c r="D159" s="35"/>
      <c r="E159" s="30" t="s">
        <v>1</v>
      </c>
      <c r="F159" s="30">
        <v>80</v>
      </c>
      <c r="G159" s="31">
        <f t="shared" ref="G159:G165" si="36">D159*F159</f>
        <v>0</v>
      </c>
      <c r="I159" s="32"/>
      <c r="L159" s="38"/>
      <c r="M159" s="38"/>
      <c r="N159" s="38"/>
      <c r="O159" s="38"/>
      <c r="P159" s="38"/>
      <c r="Q159" s="38"/>
    </row>
    <row r="160" spans="1:17" s="27" customFormat="1" ht="12.75" x14ac:dyDescent="0.2">
      <c r="B160" s="28"/>
      <c r="C160" s="27" t="s">
        <v>169</v>
      </c>
      <c r="D160" s="35">
        <f>Toitures!F98</f>
        <v>0</v>
      </c>
      <c r="E160" s="30" t="s">
        <v>0</v>
      </c>
      <c r="F160" s="30">
        <v>25</v>
      </c>
      <c r="G160" s="31">
        <f t="shared" si="36"/>
        <v>0</v>
      </c>
      <c r="I160" s="32"/>
      <c r="L160" s="38"/>
      <c r="M160" s="38"/>
      <c r="N160" s="38"/>
      <c r="O160" s="38"/>
      <c r="P160" s="38"/>
      <c r="Q160" s="38"/>
    </row>
    <row r="161" spans="2:17" s="27" customFormat="1" ht="12.75" x14ac:dyDescent="0.2">
      <c r="B161" s="28"/>
      <c r="C161" s="27" t="s">
        <v>170</v>
      </c>
      <c r="D161" s="35">
        <f>Toitures!H98</f>
        <v>0</v>
      </c>
      <c r="E161" s="30" t="s">
        <v>0</v>
      </c>
      <c r="F161" s="30">
        <v>20</v>
      </c>
      <c r="G161" s="31">
        <f t="shared" si="36"/>
        <v>0</v>
      </c>
      <c r="I161" s="32"/>
      <c r="L161" s="38"/>
      <c r="M161" s="38"/>
      <c r="N161" s="38"/>
      <c r="O161" s="38"/>
      <c r="P161" s="38"/>
      <c r="Q161" s="38"/>
    </row>
    <row r="162" spans="2:17" s="27" customFormat="1" ht="12.75" x14ac:dyDescent="0.2">
      <c r="B162" s="28"/>
      <c r="C162" s="27" t="s">
        <v>92</v>
      </c>
      <c r="D162" s="35">
        <f>Toitures!I98</f>
        <v>0</v>
      </c>
      <c r="E162" s="30" t="s">
        <v>0</v>
      </c>
      <c r="F162" s="30">
        <v>60</v>
      </c>
      <c r="G162" s="31">
        <f t="shared" si="36"/>
        <v>0</v>
      </c>
      <c r="I162" s="32"/>
      <c r="L162" s="38"/>
      <c r="M162" s="38"/>
      <c r="N162" s="38"/>
      <c r="O162" s="38"/>
      <c r="P162" s="38"/>
      <c r="Q162" s="38"/>
    </row>
    <row r="163" spans="2:17" s="27" customFormat="1" ht="12.75" x14ac:dyDescent="0.2">
      <c r="B163" s="28"/>
      <c r="C163" s="27" t="s">
        <v>173</v>
      </c>
      <c r="D163" s="35"/>
      <c r="E163" s="30" t="s">
        <v>0</v>
      </c>
      <c r="F163" s="30">
        <v>65</v>
      </c>
      <c r="G163" s="31">
        <f t="shared" si="36"/>
        <v>0</v>
      </c>
      <c r="I163" s="32"/>
      <c r="L163" s="38"/>
      <c r="M163" s="38"/>
      <c r="N163" s="38"/>
      <c r="O163" s="38"/>
      <c r="P163" s="38"/>
      <c r="Q163" s="38"/>
    </row>
    <row r="164" spans="2:17" s="27" customFormat="1" ht="12.75" x14ac:dyDescent="0.2">
      <c r="B164" s="28"/>
      <c r="C164" s="27" t="s">
        <v>161</v>
      </c>
      <c r="D164" s="35">
        <f>Toitures!J98</f>
        <v>0</v>
      </c>
      <c r="E164" s="30" t="s">
        <v>2</v>
      </c>
      <c r="F164" s="30">
        <v>150</v>
      </c>
      <c r="G164" s="31">
        <f t="shared" si="36"/>
        <v>0</v>
      </c>
      <c r="I164" s="32"/>
      <c r="L164" s="38"/>
      <c r="M164" s="38"/>
      <c r="N164" s="38"/>
      <c r="O164" s="38"/>
      <c r="P164" s="38"/>
      <c r="Q164" s="38"/>
    </row>
    <row r="165" spans="2:17" s="27" customFormat="1" ht="12.75" x14ac:dyDescent="0.2">
      <c r="B165" s="28"/>
      <c r="C165" s="27" t="s">
        <v>162</v>
      </c>
      <c r="D165" s="35">
        <f>Toitures!K98</f>
        <v>0</v>
      </c>
      <c r="E165" s="30" t="s">
        <v>2</v>
      </c>
      <c r="F165" s="30">
        <v>120</v>
      </c>
      <c r="G165" s="31">
        <f t="shared" si="36"/>
        <v>0</v>
      </c>
      <c r="I165" s="32"/>
      <c r="L165" s="38"/>
      <c r="M165" s="38"/>
      <c r="N165" s="38"/>
      <c r="O165" s="38"/>
      <c r="P165" s="38"/>
      <c r="Q165" s="38"/>
    </row>
    <row r="166" spans="2:17" s="27" customFormat="1" ht="12.75" x14ac:dyDescent="0.2">
      <c r="B166" s="28"/>
      <c r="C166" s="27" t="s">
        <v>91</v>
      </c>
      <c r="D166" s="35">
        <f>Toitures!L98</f>
        <v>0</v>
      </c>
      <c r="E166" s="30" t="s">
        <v>2</v>
      </c>
      <c r="F166" s="30">
        <v>200</v>
      </c>
      <c r="G166" s="31">
        <f>D166*F166</f>
        <v>0</v>
      </c>
      <c r="I166" s="32"/>
      <c r="L166" s="38"/>
      <c r="M166" s="38"/>
      <c r="N166" s="38"/>
      <c r="O166" s="38"/>
      <c r="P166" s="38"/>
      <c r="Q166" s="38"/>
    </row>
    <row r="167" spans="2:17" s="27" customFormat="1" ht="12.75" x14ac:dyDescent="0.2">
      <c r="B167" s="28"/>
      <c r="C167" s="27" t="s">
        <v>89</v>
      </c>
      <c r="D167" s="35">
        <f>Toitures!M98</f>
        <v>0</v>
      </c>
      <c r="E167" s="30" t="s">
        <v>0</v>
      </c>
      <c r="F167" s="30">
        <v>40</v>
      </c>
      <c r="G167" s="31">
        <f t="shared" ref="G167:G171" si="37">D167*F167</f>
        <v>0</v>
      </c>
      <c r="I167" s="32"/>
      <c r="L167" s="38"/>
      <c r="M167" s="38"/>
      <c r="N167" s="38"/>
      <c r="O167" s="38"/>
      <c r="P167" s="38"/>
      <c r="Q167" s="38"/>
    </row>
    <row r="168" spans="2:17" s="27" customFormat="1" ht="12.75" x14ac:dyDescent="0.2">
      <c r="B168" s="28"/>
      <c r="C168" s="27" t="s">
        <v>245</v>
      </c>
      <c r="D168" s="29">
        <f>Toitures!N98</f>
        <v>0</v>
      </c>
      <c r="E168" s="30" t="s">
        <v>2</v>
      </c>
      <c r="F168" s="30">
        <v>150</v>
      </c>
      <c r="G168" s="31">
        <f t="shared" si="37"/>
        <v>0</v>
      </c>
      <c r="I168" s="32"/>
      <c r="L168" s="38"/>
      <c r="M168" s="38"/>
      <c r="N168" s="38"/>
      <c r="O168" s="38"/>
      <c r="P168" s="38"/>
      <c r="Q168" s="38"/>
    </row>
    <row r="169" spans="2:17" s="27" customFormat="1" ht="12.75" x14ac:dyDescent="0.2">
      <c r="B169" s="28"/>
      <c r="C169" s="27" t="s">
        <v>163</v>
      </c>
      <c r="D169" s="35">
        <f>Toitures!E99</f>
        <v>0</v>
      </c>
      <c r="E169" s="30" t="s">
        <v>2</v>
      </c>
      <c r="F169" s="30">
        <v>160</v>
      </c>
      <c r="G169" s="31">
        <f t="shared" si="37"/>
        <v>0</v>
      </c>
      <c r="I169" s="32"/>
      <c r="L169" s="38"/>
      <c r="M169" s="38"/>
      <c r="N169" s="38"/>
      <c r="O169" s="38"/>
      <c r="P169" s="38"/>
      <c r="Q169" s="38"/>
    </row>
    <row r="170" spans="2:17" s="27" customFormat="1" ht="12.75" x14ac:dyDescent="0.2">
      <c r="B170" s="28"/>
      <c r="C170" s="27" t="s">
        <v>171</v>
      </c>
      <c r="D170" s="35">
        <f>Toitures!E100</f>
        <v>0</v>
      </c>
      <c r="E170" s="30" t="s">
        <v>2</v>
      </c>
      <c r="F170" s="30">
        <v>1500</v>
      </c>
      <c r="G170" s="31">
        <f t="shared" si="37"/>
        <v>0</v>
      </c>
      <c r="I170" s="32"/>
      <c r="L170" s="38"/>
      <c r="M170" s="38"/>
      <c r="N170" s="38"/>
      <c r="O170" s="38"/>
      <c r="P170" s="38"/>
      <c r="Q170" s="38"/>
    </row>
    <row r="171" spans="2:17" s="27" customFormat="1" ht="12.75" x14ac:dyDescent="0.2">
      <c r="B171" s="28"/>
      <c r="C171" s="27" t="s">
        <v>172</v>
      </c>
      <c r="D171" s="35">
        <f>Toitures!O98</f>
        <v>0</v>
      </c>
      <c r="E171" s="30" t="s">
        <v>2</v>
      </c>
      <c r="F171" s="30">
        <v>150</v>
      </c>
      <c r="G171" s="31">
        <f t="shared" si="37"/>
        <v>0</v>
      </c>
      <c r="I171" s="32"/>
      <c r="L171" s="38"/>
      <c r="M171" s="38"/>
      <c r="N171" s="38"/>
      <c r="O171" s="38"/>
      <c r="P171" s="38"/>
      <c r="Q171" s="38"/>
    </row>
    <row r="172" spans="2:17" s="27" customFormat="1" ht="12.75" x14ac:dyDescent="0.2">
      <c r="B172" s="28"/>
      <c r="D172" s="35"/>
      <c r="E172" s="30"/>
      <c r="F172" s="30"/>
      <c r="G172" s="31"/>
      <c r="I172" s="32"/>
      <c r="L172" s="38"/>
      <c r="M172" s="38"/>
      <c r="N172" s="38"/>
      <c r="O172" s="38"/>
      <c r="P172" s="38"/>
      <c r="Q172" s="38"/>
    </row>
    <row r="173" spans="2:17" s="27" customFormat="1" ht="12.75" x14ac:dyDescent="0.2">
      <c r="B173" s="28"/>
      <c r="C173" s="470" t="s">
        <v>337</v>
      </c>
      <c r="D173" s="29"/>
      <c r="E173" s="30"/>
      <c r="F173" s="30"/>
      <c r="G173" s="31"/>
      <c r="I173" s="32"/>
      <c r="L173" s="38"/>
      <c r="M173" s="38"/>
      <c r="N173" s="38"/>
      <c r="O173" s="38"/>
      <c r="P173" s="38"/>
      <c r="Q173" s="38"/>
    </row>
    <row r="174" spans="2:17" s="27" customFormat="1" ht="12.75" x14ac:dyDescent="0.2">
      <c r="B174" s="28"/>
      <c r="C174" s="27" t="s">
        <v>338</v>
      </c>
      <c r="D174" s="29"/>
      <c r="E174" s="30" t="s">
        <v>1</v>
      </c>
      <c r="F174" s="30">
        <v>150</v>
      </c>
      <c r="G174" s="31">
        <f t="shared" ref="G174" si="38">D174*F174</f>
        <v>0</v>
      </c>
      <c r="I174" s="32"/>
      <c r="L174" s="38"/>
      <c r="M174" s="38"/>
      <c r="N174" s="38"/>
      <c r="O174" s="38"/>
      <c r="P174" s="38"/>
      <c r="Q174" s="38"/>
    </row>
    <row r="175" spans="2:17" s="27" customFormat="1" ht="12.75" x14ac:dyDescent="0.2">
      <c r="B175" s="28"/>
      <c r="C175" s="27" t="s">
        <v>59</v>
      </c>
      <c r="D175" s="35"/>
      <c r="E175" s="30" t="s">
        <v>0</v>
      </c>
      <c r="F175" s="30">
        <v>100</v>
      </c>
      <c r="G175" s="31">
        <f t="shared" si="20"/>
        <v>0</v>
      </c>
      <c r="I175" s="32"/>
      <c r="L175" s="38"/>
      <c r="M175" s="38"/>
      <c r="N175" s="38"/>
      <c r="O175" s="38"/>
      <c r="P175" s="38"/>
      <c r="Q175" s="38"/>
    </row>
    <row r="176" spans="2:17" s="27" customFormat="1" ht="12.75" x14ac:dyDescent="0.2">
      <c r="D176" s="35"/>
      <c r="E176" s="30"/>
      <c r="F176" s="30"/>
      <c r="G176" s="31"/>
      <c r="I176" s="32"/>
      <c r="L176" s="38"/>
      <c r="M176" s="38"/>
      <c r="N176" s="38"/>
      <c r="O176" s="38"/>
      <c r="P176" s="38"/>
      <c r="Q176" s="38"/>
    </row>
    <row r="177" spans="1:8" s="325" customFormat="1" ht="15" customHeight="1" x14ac:dyDescent="0.2">
      <c r="A177" s="27"/>
      <c r="B177" s="27"/>
      <c r="C177" s="482" t="s">
        <v>470</v>
      </c>
      <c r="D177" s="323"/>
      <c r="E177" s="324"/>
      <c r="F177" s="324"/>
      <c r="G177" s="324"/>
    </row>
    <row r="178" spans="1:8" s="325" customFormat="1" ht="12.75" x14ac:dyDescent="0.2">
      <c r="A178" s="27"/>
      <c r="B178" s="27"/>
      <c r="C178" s="326" t="s">
        <v>557</v>
      </c>
      <c r="D178" s="327">
        <f>Toitures!S77</f>
        <v>1298.3528879313931</v>
      </c>
      <c r="E178" s="324" t="s">
        <v>1</v>
      </c>
      <c r="F178" s="327">
        <v>40</v>
      </c>
      <c r="G178" s="327">
        <f>D178*F178</f>
        <v>51934.115517255719</v>
      </c>
    </row>
    <row r="179" spans="1:8" s="325" customFormat="1" ht="12.75" x14ac:dyDescent="0.2">
      <c r="A179" s="27"/>
      <c r="B179" s="27"/>
      <c r="C179" s="322" t="s">
        <v>458</v>
      </c>
      <c r="D179" s="483"/>
      <c r="E179" s="478"/>
      <c r="F179" s="478"/>
      <c r="G179" s="478"/>
    </row>
    <row r="180" spans="1:8" s="325" customFormat="1" ht="12.75" x14ac:dyDescent="0.2">
      <c r="A180" s="27"/>
      <c r="B180" s="27"/>
      <c r="C180" s="326" t="s">
        <v>459</v>
      </c>
      <c r="D180" s="327">
        <f>Toitures!G77</f>
        <v>1491.057887931393</v>
      </c>
      <c r="E180" s="324" t="s">
        <v>1</v>
      </c>
      <c r="F180" s="327"/>
      <c r="G180" s="327">
        <f>D180*F180</f>
        <v>0</v>
      </c>
    </row>
    <row r="181" spans="1:8" s="325" customFormat="1" ht="12.75" x14ac:dyDescent="0.2">
      <c r="A181" s="27"/>
      <c r="B181" s="27"/>
      <c r="C181" s="326" t="s">
        <v>554</v>
      </c>
      <c r="D181" s="327">
        <f>D180</f>
        <v>1491.057887931393</v>
      </c>
      <c r="E181" s="324" t="s">
        <v>1</v>
      </c>
      <c r="F181" s="327">
        <v>140</v>
      </c>
      <c r="G181" s="327">
        <f t="shared" ref="G181" si="39">D181*F181</f>
        <v>208748.10431039502</v>
      </c>
      <c r="H181" s="484" t="s">
        <v>684</v>
      </c>
    </row>
    <row r="182" spans="1:8" s="325" customFormat="1" ht="12.75" x14ac:dyDescent="0.2">
      <c r="A182" s="27"/>
      <c r="B182" s="27"/>
      <c r="C182" s="326" t="s">
        <v>460</v>
      </c>
      <c r="D182" s="327"/>
      <c r="E182" s="324" t="s">
        <v>1</v>
      </c>
      <c r="F182" s="327"/>
      <c r="G182" s="327">
        <f t="shared" ref="G182:G183" si="40">D182*F182</f>
        <v>0</v>
      </c>
    </row>
    <row r="183" spans="1:8" s="325" customFormat="1" ht="12.75" x14ac:dyDescent="0.2">
      <c r="A183" s="27"/>
      <c r="B183" s="27"/>
      <c r="C183" s="326" t="s">
        <v>461</v>
      </c>
      <c r="D183" s="327">
        <f>D181</f>
        <v>1491.057887931393</v>
      </c>
      <c r="E183" s="324" t="s">
        <v>1</v>
      </c>
      <c r="F183" s="327"/>
      <c r="G183" s="327">
        <f t="shared" si="40"/>
        <v>0</v>
      </c>
    </row>
    <row r="184" spans="1:8" s="325" customFormat="1" ht="12.75" x14ac:dyDescent="0.2">
      <c r="A184" s="27"/>
      <c r="B184" s="27"/>
      <c r="C184" s="322" t="s">
        <v>462</v>
      </c>
      <c r="D184" s="478"/>
      <c r="E184" s="478"/>
      <c r="F184" s="478"/>
      <c r="G184" s="478"/>
    </row>
    <row r="185" spans="1:8" s="325" customFormat="1" ht="12.75" x14ac:dyDescent="0.2">
      <c r="A185" s="27"/>
      <c r="B185" s="27"/>
      <c r="C185" s="326" t="s">
        <v>463</v>
      </c>
      <c r="D185" s="327">
        <f>Toitures!H77</f>
        <v>38.44</v>
      </c>
      <c r="E185" s="324" t="s">
        <v>0</v>
      </c>
      <c r="F185" s="327">
        <v>35</v>
      </c>
      <c r="G185" s="327">
        <f>D185*F185</f>
        <v>1345.3999999999999</v>
      </c>
    </row>
    <row r="186" spans="1:8" s="325" customFormat="1" ht="12.75" x14ac:dyDescent="0.2">
      <c r="A186" s="27"/>
      <c r="B186" s="27"/>
      <c r="C186" s="326" t="s">
        <v>690</v>
      </c>
      <c r="D186" s="327">
        <f>Toitures!I77</f>
        <v>8.98</v>
      </c>
      <c r="E186" s="324" t="s">
        <v>0</v>
      </c>
      <c r="F186" s="327">
        <v>30</v>
      </c>
      <c r="G186" s="327">
        <f t="shared" ref="G186:G194" si="41">D186*F186</f>
        <v>269.40000000000003</v>
      </c>
    </row>
    <row r="187" spans="1:8" s="325" customFormat="1" ht="12.75" x14ac:dyDescent="0.2">
      <c r="A187" s="27"/>
      <c r="B187" s="27"/>
      <c r="C187" s="326" t="s">
        <v>691</v>
      </c>
      <c r="D187" s="327">
        <f>Toitures!J77</f>
        <v>79.75</v>
      </c>
      <c r="E187" s="324" t="s">
        <v>0</v>
      </c>
      <c r="F187" s="327">
        <v>60</v>
      </c>
      <c r="G187" s="327">
        <f t="shared" ref="G187" si="42">D187*F187</f>
        <v>4785</v>
      </c>
    </row>
    <row r="188" spans="1:8" s="325" customFormat="1" ht="12.75" x14ac:dyDescent="0.2">
      <c r="A188" s="27"/>
      <c r="B188" s="27"/>
      <c r="C188" s="326" t="s">
        <v>679</v>
      </c>
      <c r="D188" s="327">
        <f>Toitures!K77</f>
        <v>111.08</v>
      </c>
      <c r="E188" s="324" t="s">
        <v>0</v>
      </c>
      <c r="F188" s="327">
        <v>30</v>
      </c>
      <c r="G188" s="327">
        <f t="shared" ref="G188" si="43">D188*F188</f>
        <v>3332.4</v>
      </c>
    </row>
    <row r="189" spans="1:8" s="325" customFormat="1" ht="12.75" x14ac:dyDescent="0.2">
      <c r="A189" s="27"/>
      <c r="B189" s="27"/>
      <c r="C189" s="326" t="s">
        <v>680</v>
      </c>
      <c r="D189" s="327">
        <f>Toitures!L77</f>
        <v>58.76</v>
      </c>
      <c r="E189" s="324" t="s">
        <v>0</v>
      </c>
      <c r="F189" s="327">
        <v>30</v>
      </c>
      <c r="G189" s="327">
        <f t="shared" ref="G189" si="44">D189*F189</f>
        <v>1762.8</v>
      </c>
    </row>
    <row r="190" spans="1:8" s="325" customFormat="1" ht="12.75" x14ac:dyDescent="0.2">
      <c r="A190" s="27"/>
      <c r="B190" s="27"/>
      <c r="C190" s="326" t="s">
        <v>464</v>
      </c>
      <c r="D190" s="327">
        <f>Toitures!M77-D191</f>
        <v>210.72000000000003</v>
      </c>
      <c r="E190" s="324" t="s">
        <v>0</v>
      </c>
      <c r="F190" s="327">
        <v>60</v>
      </c>
      <c r="G190" s="327">
        <f t="shared" si="41"/>
        <v>12643.2</v>
      </c>
    </row>
    <row r="191" spans="1:8" s="325" customFormat="1" ht="12.75" x14ac:dyDescent="0.2">
      <c r="A191" s="27"/>
      <c r="B191" s="27"/>
      <c r="C191" s="326" t="s">
        <v>692</v>
      </c>
      <c r="D191" s="327">
        <v>3.6</v>
      </c>
      <c r="E191" s="324" t="s">
        <v>0</v>
      </c>
      <c r="F191" s="327">
        <v>100</v>
      </c>
      <c r="G191" s="327">
        <f t="shared" si="41"/>
        <v>360</v>
      </c>
    </row>
    <row r="192" spans="1:8" s="325" customFormat="1" ht="12.75" x14ac:dyDescent="0.2">
      <c r="A192" s="27"/>
      <c r="B192" s="27"/>
      <c r="C192" s="326" t="s">
        <v>465</v>
      </c>
      <c r="D192" s="480">
        <f>Toitures!O77</f>
        <v>0</v>
      </c>
      <c r="E192" s="324" t="s">
        <v>53</v>
      </c>
      <c r="F192" s="327">
        <v>60</v>
      </c>
      <c r="G192" s="327">
        <f t="shared" si="41"/>
        <v>0</v>
      </c>
    </row>
    <row r="193" spans="1:17" s="325" customFormat="1" ht="12.75" x14ac:dyDescent="0.2">
      <c r="A193" s="27"/>
      <c r="B193" s="27"/>
      <c r="C193" s="326" t="s">
        <v>466</v>
      </c>
      <c r="D193" s="327">
        <f>Toitures!N77-D194</f>
        <v>0</v>
      </c>
      <c r="E193" s="324" t="s">
        <v>467</v>
      </c>
      <c r="F193" s="327">
        <v>50</v>
      </c>
      <c r="G193" s="327">
        <f t="shared" si="41"/>
        <v>0</v>
      </c>
      <c r="H193" s="325" t="s">
        <v>681</v>
      </c>
    </row>
    <row r="194" spans="1:17" s="325" customFormat="1" ht="12.75" x14ac:dyDescent="0.2">
      <c r="A194" s="27"/>
      <c r="B194" s="27"/>
      <c r="C194" s="326" t="s">
        <v>245</v>
      </c>
      <c r="D194" s="480">
        <f>Toitures!O77</f>
        <v>0</v>
      </c>
      <c r="E194" s="324" t="s">
        <v>53</v>
      </c>
      <c r="F194" s="327">
        <v>150</v>
      </c>
      <c r="G194" s="327">
        <f t="shared" si="41"/>
        <v>0</v>
      </c>
    </row>
    <row r="195" spans="1:17" s="325" customFormat="1" ht="12.75" x14ac:dyDescent="0.2">
      <c r="A195" s="27"/>
      <c r="B195" s="27"/>
      <c r="C195" s="326" t="s">
        <v>468</v>
      </c>
      <c r="D195" s="480">
        <f>Toitures!P77</f>
        <v>1</v>
      </c>
      <c r="E195" s="324" t="s">
        <v>53</v>
      </c>
      <c r="F195" s="327">
        <v>150</v>
      </c>
      <c r="G195" s="327">
        <f t="shared" ref="G195:G197" si="45">D195*F195</f>
        <v>150</v>
      </c>
    </row>
    <row r="196" spans="1:17" s="325" customFormat="1" ht="12.75" x14ac:dyDescent="0.2">
      <c r="A196" s="27"/>
      <c r="B196" s="27"/>
      <c r="C196" s="326" t="s">
        <v>469</v>
      </c>
      <c r="D196" s="480">
        <f>Toitures!Q77</f>
        <v>28</v>
      </c>
      <c r="E196" s="324" t="s">
        <v>53</v>
      </c>
      <c r="F196" s="327">
        <v>150</v>
      </c>
      <c r="G196" s="327">
        <f t="shared" si="45"/>
        <v>4200</v>
      </c>
    </row>
    <row r="197" spans="1:17" s="27" customFormat="1" ht="12.75" x14ac:dyDescent="0.2">
      <c r="B197" s="28"/>
      <c r="C197" s="27" t="s">
        <v>171</v>
      </c>
      <c r="D197" s="35">
        <f>Toitures!R77</f>
        <v>2</v>
      </c>
      <c r="E197" s="30" t="s">
        <v>2</v>
      </c>
      <c r="F197" s="30">
        <v>1500</v>
      </c>
      <c r="G197" s="31">
        <f t="shared" si="45"/>
        <v>3000</v>
      </c>
      <c r="H197" s="27" t="s">
        <v>696</v>
      </c>
      <c r="I197" s="32"/>
      <c r="L197" s="38"/>
      <c r="M197" s="38"/>
      <c r="N197" s="38"/>
      <c r="O197" s="38"/>
      <c r="P197" s="38"/>
      <c r="Q197" s="38"/>
    </row>
    <row r="198" spans="1:17" s="325" customFormat="1" ht="12.75" x14ac:dyDescent="0.2">
      <c r="A198" s="27"/>
      <c r="B198" s="27"/>
      <c r="C198" s="326"/>
      <c r="D198" s="481"/>
      <c r="E198" s="324"/>
      <c r="F198" s="327"/>
      <c r="G198" s="327"/>
    </row>
    <row r="199" spans="1:17" s="325" customFormat="1" ht="15" customHeight="1" x14ac:dyDescent="0.2">
      <c r="A199" s="27"/>
      <c r="B199" s="27"/>
      <c r="C199" s="482" t="s">
        <v>482</v>
      </c>
      <c r="D199" s="323"/>
      <c r="E199" s="324"/>
      <c r="F199" s="324"/>
      <c r="G199" s="324"/>
    </row>
    <row r="200" spans="1:17" s="325" customFormat="1" ht="12.75" x14ac:dyDescent="0.2">
      <c r="A200" s="27"/>
      <c r="B200" s="27"/>
      <c r="C200" s="322" t="s">
        <v>483</v>
      </c>
      <c r="D200" s="477"/>
      <c r="E200" s="478"/>
      <c r="F200" s="478"/>
      <c r="G200" s="478"/>
    </row>
    <row r="201" spans="1:17" s="325" customFormat="1" ht="12.75" x14ac:dyDescent="0.2">
      <c r="A201" s="27"/>
      <c r="B201" s="27"/>
      <c r="C201" s="326" t="s">
        <v>484</v>
      </c>
      <c r="D201" s="327">
        <f>Toitures!E106</f>
        <v>0</v>
      </c>
      <c r="E201" s="324" t="s">
        <v>1</v>
      </c>
      <c r="F201" s="327">
        <v>227.39</v>
      </c>
      <c r="G201" s="327">
        <f>D201*F201</f>
        <v>0</v>
      </c>
    </row>
    <row r="202" spans="1:17" s="325" customFormat="1" ht="12.75" x14ac:dyDescent="0.2">
      <c r="A202" s="27"/>
      <c r="B202" s="27"/>
      <c r="C202" s="322" t="s">
        <v>462</v>
      </c>
      <c r="D202" s="478"/>
      <c r="E202" s="478"/>
      <c r="F202" s="478"/>
      <c r="G202" s="478"/>
    </row>
    <row r="203" spans="1:17" s="325" customFormat="1" ht="12.75" x14ac:dyDescent="0.2">
      <c r="A203" s="27"/>
      <c r="B203" s="27"/>
      <c r="C203" s="326" t="s">
        <v>485</v>
      </c>
      <c r="D203" s="327">
        <f>Toitures!F106</f>
        <v>0</v>
      </c>
      <c r="E203" s="324" t="s">
        <v>467</v>
      </c>
      <c r="F203" s="327">
        <v>37.01</v>
      </c>
      <c r="G203" s="327">
        <f t="shared" ref="G203:G205" si="46">D203*F203</f>
        <v>0</v>
      </c>
    </row>
    <row r="204" spans="1:17" s="325" customFormat="1" ht="12.75" x14ac:dyDescent="0.2">
      <c r="A204" s="27"/>
      <c r="B204" s="27"/>
      <c r="C204" s="326" t="s">
        <v>464</v>
      </c>
      <c r="D204" s="327">
        <f>Toitures!G106</f>
        <v>0</v>
      </c>
      <c r="E204" s="324" t="s">
        <v>0</v>
      </c>
      <c r="F204" s="327">
        <v>59.35</v>
      </c>
      <c r="G204" s="327">
        <f t="shared" si="46"/>
        <v>0</v>
      </c>
    </row>
    <row r="205" spans="1:17" s="325" customFormat="1" ht="12.75" x14ac:dyDescent="0.2">
      <c r="A205" s="27"/>
      <c r="B205" s="27"/>
      <c r="C205" s="326" t="s">
        <v>162</v>
      </c>
      <c r="D205" s="480">
        <f>Toitures!H106</f>
        <v>0</v>
      </c>
      <c r="E205" s="324" t="s">
        <v>53</v>
      </c>
      <c r="F205" s="327">
        <v>45.78</v>
      </c>
      <c r="G205" s="327">
        <f t="shared" si="46"/>
        <v>0</v>
      </c>
    </row>
    <row r="206" spans="1:17" s="325" customFormat="1" ht="12.75" x14ac:dyDescent="0.2">
      <c r="A206" s="27"/>
      <c r="B206" s="27"/>
      <c r="C206" s="326"/>
      <c r="D206" s="480"/>
      <c r="E206" s="324"/>
      <c r="F206" s="327"/>
      <c r="G206" s="327"/>
    </row>
    <row r="207" spans="1:17" s="325" customFormat="1" ht="15" customHeight="1" x14ac:dyDescent="0.2">
      <c r="A207" s="27"/>
      <c r="B207" s="27"/>
      <c r="C207" s="482" t="s">
        <v>486</v>
      </c>
      <c r="D207" s="323"/>
      <c r="E207" s="324"/>
      <c r="F207" s="324"/>
      <c r="G207" s="324"/>
    </row>
    <row r="208" spans="1:17" s="325" customFormat="1" ht="12.75" x14ac:dyDescent="0.2">
      <c r="A208" s="27"/>
      <c r="B208" s="27"/>
      <c r="C208" s="326" t="s">
        <v>487</v>
      </c>
      <c r="D208" s="323"/>
      <c r="E208" s="324"/>
      <c r="F208" s="324"/>
      <c r="G208" s="324"/>
    </row>
    <row r="209" spans="1:7" s="325" customFormat="1" ht="12.75" x14ac:dyDescent="0.2">
      <c r="A209" s="27"/>
      <c r="B209" s="27"/>
      <c r="C209" s="326" t="s">
        <v>488</v>
      </c>
      <c r="D209" s="327">
        <f>Toitures!G131</f>
        <v>0</v>
      </c>
      <c r="E209" s="324" t="s">
        <v>1</v>
      </c>
      <c r="F209" s="327">
        <v>32</v>
      </c>
      <c r="G209" s="327">
        <f t="shared" ref="G209:G211" si="47">D209*F209</f>
        <v>0</v>
      </c>
    </row>
    <row r="210" spans="1:7" s="325" customFormat="1" ht="25.5" x14ac:dyDescent="0.2">
      <c r="A210" s="27"/>
      <c r="B210" s="27"/>
      <c r="C210" s="326" t="s">
        <v>489</v>
      </c>
      <c r="D210" s="327">
        <f>D209</f>
        <v>0</v>
      </c>
      <c r="E210" s="324" t="s">
        <v>1</v>
      </c>
      <c r="F210" s="327">
        <v>35</v>
      </c>
      <c r="G210" s="327">
        <f t="shared" si="47"/>
        <v>0</v>
      </c>
    </row>
    <row r="211" spans="1:7" s="325" customFormat="1" ht="12.75" x14ac:dyDescent="0.2">
      <c r="A211" s="27"/>
      <c r="B211" s="27"/>
      <c r="C211" s="326" t="s">
        <v>490</v>
      </c>
      <c r="D211" s="327">
        <f>D210</f>
        <v>0</v>
      </c>
      <c r="E211" s="324" t="s">
        <v>1</v>
      </c>
      <c r="F211" s="327">
        <v>40</v>
      </c>
      <c r="G211" s="327">
        <f t="shared" si="47"/>
        <v>0</v>
      </c>
    </row>
    <row r="212" spans="1:7" s="325" customFormat="1" ht="12.75" x14ac:dyDescent="0.2">
      <c r="A212" s="27"/>
      <c r="B212" s="27"/>
      <c r="C212" s="326" t="s">
        <v>491</v>
      </c>
      <c r="D212" s="324"/>
      <c r="E212" s="324"/>
      <c r="F212" s="324"/>
      <c r="G212" s="324"/>
    </row>
    <row r="213" spans="1:7" s="325" customFormat="1" ht="12.75" x14ac:dyDescent="0.2">
      <c r="A213" s="27"/>
      <c r="B213" s="27"/>
      <c r="C213" s="326" t="s">
        <v>492</v>
      </c>
      <c r="D213" s="327">
        <f>D211</f>
        <v>0</v>
      </c>
      <c r="E213" s="324" t="s">
        <v>1</v>
      </c>
      <c r="F213" s="327">
        <v>17</v>
      </c>
      <c r="G213" s="327">
        <f t="shared" ref="G213:G223" si="48">D213*F213</f>
        <v>0</v>
      </c>
    </row>
    <row r="214" spans="1:7" s="325" customFormat="1" ht="12.75" x14ac:dyDescent="0.2">
      <c r="A214" s="27"/>
      <c r="B214" s="27"/>
      <c r="C214" s="326" t="s">
        <v>493</v>
      </c>
      <c r="D214" s="327">
        <f>D213</f>
        <v>0</v>
      </c>
      <c r="E214" s="324" t="s">
        <v>1</v>
      </c>
      <c r="F214" s="327">
        <v>165</v>
      </c>
      <c r="G214" s="327">
        <f t="shared" si="48"/>
        <v>0</v>
      </c>
    </row>
    <row r="215" spans="1:7" s="325" customFormat="1" ht="25.5" x14ac:dyDescent="0.2">
      <c r="A215" s="27"/>
      <c r="B215" s="27"/>
      <c r="C215" s="326" t="s">
        <v>494</v>
      </c>
      <c r="D215" s="485">
        <v>0.1</v>
      </c>
      <c r="E215" s="324" t="s">
        <v>495</v>
      </c>
      <c r="F215" s="327">
        <f>G214*D215</f>
        <v>0</v>
      </c>
      <c r="G215" s="327">
        <f>F215</f>
        <v>0</v>
      </c>
    </row>
    <row r="216" spans="1:7" s="325" customFormat="1" ht="12.75" x14ac:dyDescent="0.2">
      <c r="A216" s="27"/>
      <c r="B216" s="27"/>
      <c r="C216" s="326" t="s">
        <v>533</v>
      </c>
      <c r="D216" s="327">
        <f>Toitures!G133</f>
        <v>0</v>
      </c>
      <c r="E216" s="324" t="s">
        <v>496</v>
      </c>
      <c r="F216" s="327">
        <v>160</v>
      </c>
      <c r="G216" s="327">
        <f t="shared" si="48"/>
        <v>0</v>
      </c>
    </row>
    <row r="217" spans="1:7" s="325" customFormat="1" ht="12.75" x14ac:dyDescent="0.2">
      <c r="A217" s="27"/>
      <c r="B217" s="27"/>
      <c r="C217" s="326" t="s">
        <v>497</v>
      </c>
      <c r="D217" s="327">
        <f>Toitures!G135</f>
        <v>0</v>
      </c>
      <c r="E217" s="324" t="s">
        <v>0</v>
      </c>
      <c r="F217" s="327">
        <v>80</v>
      </c>
      <c r="G217" s="327">
        <f t="shared" si="48"/>
        <v>0</v>
      </c>
    </row>
    <row r="218" spans="1:7" s="325" customFormat="1" ht="12.75" x14ac:dyDescent="0.2">
      <c r="A218" s="27"/>
      <c r="B218" s="27"/>
      <c r="C218" s="326" t="s">
        <v>498</v>
      </c>
      <c r="D218" s="327">
        <f>Toitures!G136</f>
        <v>0</v>
      </c>
      <c r="E218" s="324" t="s">
        <v>0</v>
      </c>
      <c r="F218" s="327">
        <v>53</v>
      </c>
      <c r="G218" s="327">
        <f t="shared" si="48"/>
        <v>0</v>
      </c>
    </row>
    <row r="219" spans="1:7" s="325" customFormat="1" ht="12.75" x14ac:dyDescent="0.2">
      <c r="A219" s="27"/>
      <c r="B219" s="27"/>
      <c r="C219" s="326" t="s">
        <v>499</v>
      </c>
      <c r="D219" s="327">
        <f>Toitures!G138</f>
        <v>0</v>
      </c>
      <c r="E219" s="324" t="s">
        <v>0</v>
      </c>
      <c r="F219" s="327">
        <v>53</v>
      </c>
      <c r="G219" s="327">
        <f t="shared" si="48"/>
        <v>0</v>
      </c>
    </row>
    <row r="220" spans="1:7" s="325" customFormat="1" ht="12.75" x14ac:dyDescent="0.2">
      <c r="A220" s="27"/>
      <c r="B220" s="27"/>
      <c r="C220" s="326" t="s">
        <v>465</v>
      </c>
      <c r="D220" s="480">
        <f>Toitures!H142</f>
        <v>0</v>
      </c>
      <c r="E220" s="324" t="s">
        <v>53</v>
      </c>
      <c r="F220" s="327">
        <v>48</v>
      </c>
      <c r="G220" s="327">
        <f t="shared" si="48"/>
        <v>0</v>
      </c>
    </row>
    <row r="221" spans="1:7" s="325" customFormat="1" ht="12.75" x14ac:dyDescent="0.2">
      <c r="A221" s="27"/>
      <c r="B221" s="27"/>
      <c r="C221" s="326" t="s">
        <v>466</v>
      </c>
      <c r="D221" s="327">
        <f>Toitures!G144</f>
        <v>0</v>
      </c>
      <c r="E221" s="324" t="s">
        <v>467</v>
      </c>
      <c r="F221" s="327">
        <v>45</v>
      </c>
      <c r="G221" s="327">
        <f t="shared" si="48"/>
        <v>0</v>
      </c>
    </row>
    <row r="222" spans="1:7" s="325" customFormat="1" ht="12.75" x14ac:dyDescent="0.2">
      <c r="A222" s="27"/>
      <c r="B222" s="27"/>
      <c r="C222" s="326" t="s">
        <v>245</v>
      </c>
      <c r="D222" s="480">
        <f>Toitures!G145</f>
        <v>0</v>
      </c>
      <c r="E222" s="324" t="s">
        <v>53</v>
      </c>
      <c r="F222" s="327">
        <v>150</v>
      </c>
      <c r="G222" s="327">
        <f t="shared" si="48"/>
        <v>0</v>
      </c>
    </row>
    <row r="223" spans="1:7" s="325" customFormat="1" ht="12.75" x14ac:dyDescent="0.2">
      <c r="A223" s="27"/>
      <c r="B223" s="27"/>
      <c r="C223" s="326" t="s">
        <v>162</v>
      </c>
      <c r="D223" s="480">
        <f>Toitures!G146</f>
        <v>0</v>
      </c>
      <c r="E223" s="324" t="s">
        <v>53</v>
      </c>
      <c r="F223" s="327">
        <v>160</v>
      </c>
      <c r="G223" s="327">
        <f t="shared" si="48"/>
        <v>0</v>
      </c>
    </row>
    <row r="224" spans="1:7" s="325" customFormat="1" ht="12.75" x14ac:dyDescent="0.2">
      <c r="A224" s="27"/>
      <c r="B224" s="27"/>
      <c r="C224" s="326" t="s">
        <v>480</v>
      </c>
      <c r="D224" s="480">
        <f>Toitures!G149</f>
        <v>0</v>
      </c>
      <c r="E224" s="324" t="s">
        <v>53</v>
      </c>
      <c r="F224" s="327">
        <v>150</v>
      </c>
      <c r="G224" s="327">
        <f>D224*F224</f>
        <v>0</v>
      </c>
    </row>
    <row r="225" spans="1:17" s="325" customFormat="1" ht="12.75" x14ac:dyDescent="0.2">
      <c r="A225" s="27"/>
      <c r="B225" s="27"/>
      <c r="C225" s="326"/>
      <c r="D225" s="480"/>
      <c r="E225" s="324"/>
      <c r="F225" s="327"/>
      <c r="G225" s="327"/>
    </row>
    <row r="226" spans="1:17" s="27" customFormat="1" ht="12.75" x14ac:dyDescent="0.2">
      <c r="B226" s="28"/>
      <c r="C226" s="470" t="s">
        <v>385</v>
      </c>
      <c r="D226" s="29"/>
      <c r="E226" s="30"/>
      <c r="F226" s="30"/>
      <c r="G226" s="31"/>
      <c r="I226" s="32"/>
      <c r="L226" s="38"/>
      <c r="M226" s="38"/>
      <c r="N226" s="38"/>
      <c r="O226" s="38"/>
      <c r="P226" s="38"/>
      <c r="Q226" s="38"/>
    </row>
    <row r="227" spans="1:17" s="27" customFormat="1" ht="12.75" x14ac:dyDescent="0.2">
      <c r="B227" s="28"/>
      <c r="C227" s="27" t="s">
        <v>390</v>
      </c>
      <c r="D227" s="31">
        <f>Toitures!G115</f>
        <v>0</v>
      </c>
      <c r="E227" s="30" t="s">
        <v>1</v>
      </c>
      <c r="F227" s="30">
        <v>250</v>
      </c>
      <c r="G227" s="31">
        <f t="shared" ref="G227:G234" si="49">D227*F227</f>
        <v>0</v>
      </c>
      <c r="H227" s="473"/>
      <c r="I227" s="32"/>
      <c r="L227" s="38"/>
      <c r="M227" s="38"/>
      <c r="N227" s="38"/>
      <c r="O227" s="38"/>
      <c r="P227" s="38"/>
      <c r="Q227" s="38"/>
    </row>
    <row r="228" spans="1:17" s="27" customFormat="1" ht="12.75" x14ac:dyDescent="0.2">
      <c r="B228" s="28"/>
      <c r="C228" s="27" t="s">
        <v>391</v>
      </c>
      <c r="D228" s="31">
        <f>+Toitures!L115</f>
        <v>0</v>
      </c>
      <c r="E228" s="30" t="s">
        <v>1</v>
      </c>
      <c r="F228" s="30">
        <v>25</v>
      </c>
      <c r="G228" s="31">
        <f t="shared" si="49"/>
        <v>0</v>
      </c>
      <c r="H228" s="471"/>
      <c r="I228" s="32"/>
      <c r="L228" s="38"/>
      <c r="M228" s="38"/>
      <c r="N228" s="38"/>
      <c r="O228" s="38"/>
      <c r="P228" s="38"/>
      <c r="Q228" s="38"/>
    </row>
    <row r="229" spans="1:17" s="27" customFormat="1" ht="12.75" x14ac:dyDescent="0.2">
      <c r="B229" s="28"/>
      <c r="C229" s="27" t="s">
        <v>386</v>
      </c>
      <c r="D229" s="35"/>
      <c r="E229" s="30" t="s">
        <v>2</v>
      </c>
      <c r="F229" s="30">
        <v>2500</v>
      </c>
      <c r="G229" s="31">
        <f t="shared" si="49"/>
        <v>0</v>
      </c>
      <c r="I229" s="32"/>
      <c r="L229" s="38"/>
      <c r="M229" s="38"/>
      <c r="N229" s="38"/>
      <c r="O229" s="38"/>
      <c r="P229" s="38"/>
      <c r="Q229" s="38"/>
    </row>
    <row r="230" spans="1:17" s="27" customFormat="1" ht="6" customHeight="1" x14ac:dyDescent="0.2">
      <c r="B230" s="28"/>
      <c r="D230" s="35"/>
      <c r="E230" s="30"/>
      <c r="F230" s="30"/>
      <c r="G230" s="31"/>
      <c r="I230" s="32"/>
      <c r="L230" s="38"/>
      <c r="M230" s="38"/>
      <c r="N230" s="38"/>
      <c r="O230" s="38"/>
      <c r="P230" s="38"/>
      <c r="Q230" s="38"/>
    </row>
    <row r="231" spans="1:17" s="27" customFormat="1" ht="12.75" x14ac:dyDescent="0.2">
      <c r="B231" s="28"/>
      <c r="C231" s="27" t="s">
        <v>397</v>
      </c>
      <c r="D231" s="31"/>
      <c r="E231" s="30"/>
      <c r="F231" s="30"/>
      <c r="G231" s="31"/>
      <c r="H231" s="472"/>
      <c r="I231" s="473"/>
      <c r="L231" s="38"/>
      <c r="M231" s="38"/>
      <c r="N231" s="38"/>
      <c r="O231" s="38"/>
      <c r="P231" s="38"/>
      <c r="Q231" s="38"/>
    </row>
    <row r="232" spans="1:17" s="27" customFormat="1" ht="12.75" x14ac:dyDescent="0.2">
      <c r="B232" s="28"/>
      <c r="C232" s="27" t="s">
        <v>398</v>
      </c>
      <c r="D232" s="31"/>
      <c r="E232" s="30"/>
      <c r="F232" s="30"/>
      <c r="G232" s="31"/>
      <c r="H232" s="472"/>
      <c r="I232" s="473"/>
      <c r="L232" s="38"/>
      <c r="M232" s="38"/>
      <c r="N232" s="38"/>
      <c r="O232" s="38"/>
      <c r="P232" s="38"/>
      <c r="Q232" s="38"/>
    </row>
    <row r="233" spans="1:17" s="27" customFormat="1" ht="12.75" x14ac:dyDescent="0.2">
      <c r="B233" s="28"/>
      <c r="C233" s="27" t="s">
        <v>399</v>
      </c>
      <c r="D233" s="31">
        <f>Toitures!G120</f>
        <v>0</v>
      </c>
      <c r="E233" s="30" t="s">
        <v>1</v>
      </c>
      <c r="F233" s="30">
        <v>350</v>
      </c>
      <c r="G233" s="31">
        <f t="shared" si="49"/>
        <v>0</v>
      </c>
      <c r="H233" s="473"/>
      <c r="I233" s="473"/>
      <c r="L233" s="38"/>
      <c r="M233" s="38"/>
      <c r="N233" s="38"/>
      <c r="O233" s="38"/>
      <c r="P233" s="38"/>
      <c r="Q233" s="38"/>
    </row>
    <row r="234" spans="1:17" s="27" customFormat="1" ht="12.75" x14ac:dyDescent="0.2">
      <c r="B234" s="28"/>
      <c r="C234" s="27" t="s">
        <v>400</v>
      </c>
      <c r="D234" s="31">
        <f>D233</f>
        <v>0</v>
      </c>
      <c r="E234" s="30" t="s">
        <v>1</v>
      </c>
      <c r="F234" s="30">
        <v>500</v>
      </c>
      <c r="G234" s="31">
        <f t="shared" si="49"/>
        <v>0</v>
      </c>
      <c r="I234" s="32"/>
      <c r="L234" s="38"/>
      <c r="M234" s="38"/>
      <c r="N234" s="38"/>
      <c r="O234" s="38"/>
      <c r="P234" s="38"/>
      <c r="Q234" s="38"/>
    </row>
    <row r="235" spans="1:17" s="27" customFormat="1" ht="6" customHeight="1" x14ac:dyDescent="0.2">
      <c r="B235" s="28"/>
      <c r="D235" s="35"/>
      <c r="E235" s="30"/>
      <c r="F235" s="30"/>
      <c r="G235" s="31"/>
      <c r="I235" s="32"/>
      <c r="L235" s="38"/>
      <c r="M235" s="38"/>
      <c r="N235" s="38"/>
      <c r="O235" s="38"/>
      <c r="P235" s="38"/>
      <c r="Q235" s="38"/>
    </row>
    <row r="236" spans="1:17" s="27" customFormat="1" ht="12.75" x14ac:dyDescent="0.2">
      <c r="B236" s="28"/>
      <c r="C236" s="27" t="s">
        <v>389</v>
      </c>
      <c r="D236" s="35"/>
      <c r="E236" s="30" t="s">
        <v>0</v>
      </c>
      <c r="F236" s="30">
        <v>90</v>
      </c>
      <c r="G236" s="31">
        <f t="shared" ref="G236:G238" si="50">D236*F236</f>
        <v>0</v>
      </c>
      <c r="H236" s="333"/>
      <c r="I236" s="32"/>
      <c r="L236" s="38"/>
      <c r="M236" s="38"/>
      <c r="N236" s="38"/>
      <c r="O236" s="38"/>
      <c r="P236" s="38"/>
      <c r="Q236" s="38"/>
    </row>
    <row r="237" spans="1:17" s="27" customFormat="1" ht="12.75" x14ac:dyDescent="0.2">
      <c r="B237" s="28"/>
      <c r="C237" s="27" t="s">
        <v>395</v>
      </c>
      <c r="D237" s="35"/>
      <c r="E237" s="30" t="s">
        <v>0</v>
      </c>
      <c r="F237" s="30">
        <v>45</v>
      </c>
      <c r="G237" s="31">
        <f t="shared" ref="G237" si="51">D237*F237</f>
        <v>0</v>
      </c>
      <c r="H237" s="333"/>
      <c r="I237" s="32"/>
      <c r="L237" s="38"/>
      <c r="M237" s="38"/>
      <c r="N237" s="38"/>
      <c r="O237" s="38"/>
      <c r="P237" s="38"/>
      <c r="Q237" s="38"/>
    </row>
    <row r="238" spans="1:17" s="27" customFormat="1" ht="12.75" x14ac:dyDescent="0.2">
      <c r="B238" s="28"/>
      <c r="C238" s="27" t="s">
        <v>91</v>
      </c>
      <c r="D238" s="35"/>
      <c r="E238" s="30" t="s">
        <v>2</v>
      </c>
      <c r="F238" s="30">
        <v>150</v>
      </c>
      <c r="G238" s="31">
        <f t="shared" si="50"/>
        <v>0</v>
      </c>
      <c r="H238" s="333"/>
      <c r="I238" s="32"/>
      <c r="L238" s="38"/>
      <c r="M238" s="38"/>
      <c r="N238" s="38"/>
      <c r="O238" s="38"/>
      <c r="P238" s="38"/>
      <c r="Q238" s="38"/>
    </row>
    <row r="239" spans="1:17" s="325" customFormat="1" ht="12.75" x14ac:dyDescent="0.2">
      <c r="A239" s="27"/>
      <c r="B239" s="27"/>
      <c r="C239" s="326"/>
      <c r="D239" s="481"/>
      <c r="E239" s="324"/>
      <c r="F239" s="327"/>
      <c r="G239" s="327"/>
    </row>
    <row r="240" spans="1:17" s="27" customFormat="1" ht="12.75" x14ac:dyDescent="0.2">
      <c r="B240" s="28"/>
      <c r="C240" s="27" t="s">
        <v>156</v>
      </c>
      <c r="D240" s="35">
        <f>Facades!AS73</f>
        <v>38.970000000000006</v>
      </c>
      <c r="E240" s="30" t="s">
        <v>0</v>
      </c>
      <c r="F240" s="30">
        <v>60</v>
      </c>
      <c r="G240" s="31">
        <f>D240*F240</f>
        <v>2338.2000000000003</v>
      </c>
      <c r="H240" s="333" t="s">
        <v>672</v>
      </c>
      <c r="I240" s="32"/>
      <c r="L240" s="38"/>
      <c r="M240" s="38"/>
      <c r="N240" s="38"/>
      <c r="O240" s="38"/>
      <c r="P240" s="38"/>
      <c r="Q240" s="38"/>
    </row>
    <row r="241" spans="1:17" s="27" customFormat="1" ht="12.75" x14ac:dyDescent="0.2">
      <c r="B241" s="28"/>
      <c r="C241" s="27" t="s">
        <v>245</v>
      </c>
      <c r="D241" s="35">
        <f>Facades!AU71</f>
        <v>7</v>
      </c>
      <c r="E241" s="30" t="s">
        <v>2</v>
      </c>
      <c r="F241" s="30">
        <v>150</v>
      </c>
      <c r="G241" s="31">
        <f>D241*F241</f>
        <v>1050</v>
      </c>
      <c r="H241" s="333" t="s">
        <v>672</v>
      </c>
      <c r="I241" s="32"/>
      <c r="L241" s="38"/>
      <c r="M241" s="38"/>
      <c r="N241" s="38"/>
      <c r="O241" s="38"/>
      <c r="P241" s="38"/>
      <c r="Q241" s="38"/>
    </row>
    <row r="242" spans="1:17" s="27" customFormat="1" ht="12.75" x14ac:dyDescent="0.2">
      <c r="B242" s="28"/>
      <c r="C242" s="27" t="s">
        <v>91</v>
      </c>
      <c r="D242" s="35">
        <f>Facades!AT71</f>
        <v>13</v>
      </c>
      <c r="E242" s="30" t="s">
        <v>2</v>
      </c>
      <c r="F242" s="30">
        <v>90</v>
      </c>
      <c r="G242" s="31">
        <f>D242*F242</f>
        <v>1170</v>
      </c>
      <c r="H242" s="333" t="s">
        <v>672</v>
      </c>
      <c r="I242" s="32"/>
      <c r="L242" s="38"/>
      <c r="M242" s="38"/>
      <c r="N242" s="38"/>
      <c r="O242" s="38"/>
      <c r="P242" s="38"/>
      <c r="Q242" s="38"/>
    </row>
    <row r="243" spans="1:17" s="27" customFormat="1" ht="12.75" x14ac:dyDescent="0.2">
      <c r="B243" s="28"/>
      <c r="D243" s="35"/>
      <c r="E243" s="30"/>
      <c r="F243" s="30"/>
      <c r="G243" s="31"/>
      <c r="H243" s="333"/>
      <c r="I243" s="32"/>
      <c r="L243" s="38"/>
      <c r="M243" s="38"/>
      <c r="N243" s="38"/>
      <c r="O243" s="38"/>
      <c r="P243" s="38"/>
      <c r="Q243" s="38"/>
    </row>
    <row r="244" spans="1:17" s="27" customFormat="1" ht="12.75" x14ac:dyDescent="0.2">
      <c r="B244" s="28"/>
      <c r="C244" s="27" t="s">
        <v>614</v>
      </c>
      <c r="D244" s="35">
        <f>17+12.1+36.6+31.3</f>
        <v>97</v>
      </c>
      <c r="E244" s="30" t="s">
        <v>0</v>
      </c>
      <c r="F244" s="30">
        <v>70</v>
      </c>
      <c r="G244" s="31">
        <f t="shared" ref="G244:G246" si="52">D244*F244</f>
        <v>6790</v>
      </c>
      <c r="I244" s="32"/>
      <c r="L244" s="38"/>
      <c r="M244" s="38"/>
      <c r="N244" s="38"/>
      <c r="O244" s="38"/>
      <c r="P244" s="38"/>
      <c r="Q244" s="38"/>
    </row>
    <row r="245" spans="1:17" s="27" customFormat="1" ht="12.75" x14ac:dyDescent="0.2">
      <c r="B245" s="28"/>
      <c r="C245" s="27" t="s">
        <v>694</v>
      </c>
      <c r="D245" s="35">
        <v>1</v>
      </c>
      <c r="E245" s="30" t="s">
        <v>2</v>
      </c>
      <c r="F245" s="30">
        <v>150</v>
      </c>
      <c r="G245" s="31">
        <f t="shared" si="52"/>
        <v>150</v>
      </c>
      <c r="I245" s="32"/>
      <c r="L245" s="38"/>
      <c r="M245" s="38"/>
      <c r="N245" s="38"/>
      <c r="O245" s="38"/>
      <c r="P245" s="38"/>
      <c r="Q245" s="38"/>
    </row>
    <row r="246" spans="1:17" s="27" customFormat="1" ht="12.75" x14ac:dyDescent="0.2">
      <c r="B246" s="28"/>
      <c r="C246" s="27" t="s">
        <v>693</v>
      </c>
      <c r="D246" s="35">
        <f>1.17+0.93+1.6</f>
        <v>3.7</v>
      </c>
      <c r="E246" s="30" t="s">
        <v>0</v>
      </c>
      <c r="F246" s="30">
        <v>2100</v>
      </c>
      <c r="G246" s="31">
        <f t="shared" si="52"/>
        <v>7770</v>
      </c>
      <c r="I246" s="32"/>
      <c r="L246" s="38"/>
      <c r="M246" s="38"/>
      <c r="N246" s="38"/>
      <c r="O246" s="38"/>
      <c r="P246" s="38"/>
      <c r="Q246" s="38"/>
    </row>
    <row r="247" spans="1:17" s="325" customFormat="1" ht="12.75" x14ac:dyDescent="0.2">
      <c r="A247" s="27"/>
      <c r="B247" s="27"/>
      <c r="C247" s="326"/>
      <c r="D247" s="481"/>
      <c r="E247" s="324"/>
      <c r="F247" s="327"/>
      <c r="G247" s="327"/>
    </row>
    <row r="248" spans="1:17" s="27" customFormat="1" ht="12.75" x14ac:dyDescent="0.2">
      <c r="C248" s="36">
        <v>0.02</v>
      </c>
      <c r="D248" s="29">
        <v>1</v>
      </c>
      <c r="E248" s="30" t="s">
        <v>68</v>
      </c>
      <c r="F248" s="31">
        <f>SUM(G49:G247)*C248</f>
        <v>7072.7363965530167</v>
      </c>
      <c r="G248" s="31">
        <f t="shared" si="20"/>
        <v>7072.7363965530167</v>
      </c>
      <c r="H248" s="325"/>
      <c r="I248" s="325"/>
    </row>
    <row r="249" spans="1:17" s="316" customFormat="1" ht="12.75" x14ac:dyDescent="0.2">
      <c r="A249" s="27"/>
      <c r="B249" s="28"/>
      <c r="C249" s="316" t="s">
        <v>122</v>
      </c>
      <c r="D249" s="40"/>
      <c r="E249" s="40"/>
      <c r="F249" s="40" t="s">
        <v>3</v>
      </c>
      <c r="G249" s="41">
        <f>SUM(G49:G248)</f>
        <v>360709.55622420384</v>
      </c>
      <c r="H249" s="325"/>
      <c r="I249" s="325"/>
      <c r="J249" s="33"/>
      <c r="L249" s="317"/>
      <c r="M249" s="317"/>
      <c r="N249" s="317"/>
      <c r="O249" s="317"/>
      <c r="P249" s="317"/>
      <c r="Q249" s="317"/>
    </row>
    <row r="250" spans="1:17" s="316" customFormat="1" ht="12.75" x14ac:dyDescent="0.2">
      <c r="A250" s="27"/>
      <c r="B250" s="28"/>
      <c r="D250" s="40"/>
      <c r="E250" s="40"/>
      <c r="F250" s="40"/>
      <c r="G250" s="41"/>
      <c r="H250" s="42"/>
      <c r="I250" s="32"/>
      <c r="J250" s="33"/>
      <c r="L250" s="317"/>
      <c r="M250" s="317"/>
      <c r="N250" s="317"/>
      <c r="O250" s="317"/>
      <c r="P250" s="317"/>
      <c r="Q250" s="317"/>
    </row>
    <row r="251" spans="1:17" s="27" customFormat="1" ht="12.75" x14ac:dyDescent="0.2">
      <c r="B251" s="28"/>
      <c r="D251" s="35"/>
      <c r="E251" s="30"/>
      <c r="F251" s="30"/>
      <c r="G251" s="31"/>
      <c r="I251" s="32"/>
      <c r="L251" s="38"/>
      <c r="M251" s="38"/>
      <c r="N251" s="38"/>
      <c r="O251" s="38"/>
      <c r="P251" s="38"/>
      <c r="Q251" s="38"/>
    </row>
    <row r="252" spans="1:17" s="316" customFormat="1" ht="12.75" x14ac:dyDescent="0.2">
      <c r="A252" s="27"/>
      <c r="B252" s="28"/>
      <c r="C252" s="28"/>
      <c r="D252" s="40"/>
      <c r="E252" s="40"/>
      <c r="F252" s="40"/>
      <c r="G252" s="41"/>
      <c r="H252" s="305"/>
      <c r="I252" s="32"/>
      <c r="J252" s="33"/>
      <c r="L252" s="317"/>
      <c r="M252" s="317"/>
      <c r="N252" s="317"/>
      <c r="O252" s="317"/>
      <c r="P252" s="317"/>
      <c r="Q252" s="317"/>
    </row>
    <row r="253" spans="1:17" s="27" customFormat="1" ht="12.75" x14ac:dyDescent="0.2">
      <c r="B253" s="34" t="s">
        <v>154</v>
      </c>
      <c r="D253" s="30"/>
      <c r="E253" s="30"/>
      <c r="F253" s="30"/>
      <c r="G253" s="31"/>
      <c r="I253" s="38"/>
      <c r="J253" s="33"/>
      <c r="K253" s="316"/>
      <c r="L253" s="317"/>
      <c r="M253" s="317"/>
      <c r="N253" s="317"/>
      <c r="O253" s="38"/>
      <c r="P253" s="38"/>
      <c r="Q253" s="38"/>
    </row>
    <row r="254" spans="1:17" s="316" customFormat="1" ht="12.75" x14ac:dyDescent="0.2">
      <c r="B254" s="318"/>
      <c r="C254" s="316" t="s">
        <v>176</v>
      </c>
      <c r="D254" s="319">
        <f>Facades!B71</f>
        <v>1192.28</v>
      </c>
      <c r="E254" s="320" t="s">
        <v>1</v>
      </c>
      <c r="F254" s="320"/>
      <c r="G254" s="321"/>
      <c r="I254" s="317"/>
      <c r="J254" s="33"/>
      <c r="L254" s="317"/>
      <c r="M254" s="317"/>
      <c r="N254" s="317"/>
      <c r="O254" s="317"/>
      <c r="P254" s="317"/>
      <c r="Q254" s="317"/>
    </row>
    <row r="255" spans="1:17" s="27" customFormat="1" ht="12.75" x14ac:dyDescent="0.2">
      <c r="B255" s="28"/>
      <c r="C255" s="27" t="s">
        <v>113</v>
      </c>
      <c r="D255" s="29">
        <f>+Facades!C71</f>
        <v>1480</v>
      </c>
      <c r="E255" s="30" t="s">
        <v>56</v>
      </c>
      <c r="F255" s="30">
        <v>15</v>
      </c>
      <c r="G255" s="31">
        <f t="shared" ref="G255:G258" si="53">D255*F255</f>
        <v>22200</v>
      </c>
      <c r="H255" s="27" t="s">
        <v>122</v>
      </c>
      <c r="I255" s="32"/>
      <c r="L255" s="38"/>
      <c r="M255" s="38"/>
      <c r="N255" s="38"/>
      <c r="O255" s="38"/>
      <c r="P255" s="38"/>
      <c r="Q255" s="38"/>
    </row>
    <row r="256" spans="1:17" s="27" customFormat="1" ht="6" customHeight="1" x14ac:dyDescent="0.2">
      <c r="B256" s="28"/>
      <c r="D256" s="29"/>
      <c r="E256" s="30"/>
      <c r="F256" s="30"/>
      <c r="G256" s="31"/>
      <c r="I256" s="32"/>
      <c r="L256" s="38"/>
      <c r="M256" s="38"/>
      <c r="N256" s="38"/>
      <c r="O256" s="38"/>
      <c r="P256" s="38"/>
      <c r="Q256" s="38"/>
    </row>
    <row r="257" spans="1:17" s="27" customFormat="1" ht="12.75" x14ac:dyDescent="0.2">
      <c r="B257" s="28"/>
      <c r="C257" s="27" t="s">
        <v>388</v>
      </c>
      <c r="D257" s="29">
        <f>+Facades!X71</f>
        <v>23.6</v>
      </c>
      <c r="E257" s="30" t="s">
        <v>1</v>
      </c>
      <c r="F257" s="30">
        <v>70</v>
      </c>
      <c r="G257" s="31">
        <f t="shared" si="53"/>
        <v>1652</v>
      </c>
      <c r="H257" s="27" t="s">
        <v>666</v>
      </c>
      <c r="I257" s="32"/>
      <c r="L257" s="38"/>
      <c r="M257" s="38"/>
      <c r="N257" s="38"/>
      <c r="O257" s="38"/>
      <c r="P257" s="38"/>
      <c r="Q257" s="38"/>
    </row>
    <row r="258" spans="1:17" s="27" customFormat="1" ht="12.75" x14ac:dyDescent="0.2">
      <c r="B258" s="28"/>
      <c r="C258" s="27" t="s">
        <v>531</v>
      </c>
      <c r="D258" s="29">
        <f>Facades!AH76</f>
        <v>0</v>
      </c>
      <c r="E258" s="30" t="s">
        <v>1</v>
      </c>
      <c r="F258" s="30">
        <f>F257</f>
        <v>70</v>
      </c>
      <c r="G258" s="31">
        <f t="shared" si="53"/>
        <v>0</v>
      </c>
      <c r="I258" s="32"/>
      <c r="L258" s="38"/>
      <c r="M258" s="38"/>
      <c r="N258" s="38"/>
      <c r="O258" s="38"/>
      <c r="P258" s="38"/>
      <c r="Q258" s="38"/>
    </row>
    <row r="259" spans="1:17" s="27" customFormat="1" ht="12.75" x14ac:dyDescent="0.2">
      <c r="B259" s="28"/>
      <c r="C259" s="27" t="str">
        <f>Facades!Y69</f>
        <v>Enduits neufs refaits</v>
      </c>
      <c r="D259" s="35">
        <f>Facades!Y71</f>
        <v>0</v>
      </c>
      <c r="E259" s="30" t="s">
        <v>1</v>
      </c>
      <c r="F259" s="30">
        <v>100</v>
      </c>
      <c r="G259" s="31">
        <f>D259*F259</f>
        <v>0</v>
      </c>
      <c r="I259" s="32"/>
      <c r="L259" s="38"/>
      <c r="M259" s="38"/>
      <c r="N259" s="38"/>
      <c r="O259" s="38"/>
      <c r="P259" s="38"/>
      <c r="Q259" s="38"/>
    </row>
    <row r="260" spans="1:17" s="27" customFormat="1" ht="12.75" x14ac:dyDescent="0.2">
      <c r="B260" s="28"/>
      <c r="C260" s="27" t="s">
        <v>621</v>
      </c>
      <c r="D260" s="35">
        <f>Facades!Z71</f>
        <v>539.29530000000011</v>
      </c>
      <c r="E260" s="30" t="s">
        <v>1</v>
      </c>
      <c r="F260" s="30">
        <v>150</v>
      </c>
      <c r="G260" s="31">
        <f>D260*F260</f>
        <v>80894.295000000013</v>
      </c>
      <c r="I260" s="32"/>
      <c r="L260" s="38"/>
      <c r="M260" s="38"/>
      <c r="N260" s="38"/>
      <c r="O260" s="38"/>
      <c r="P260" s="38"/>
      <c r="Q260" s="38"/>
    </row>
    <row r="261" spans="1:17" s="27" customFormat="1" ht="12.75" x14ac:dyDescent="0.2">
      <c r="B261" s="28"/>
      <c r="C261" s="27" t="s">
        <v>622</v>
      </c>
      <c r="D261" s="29">
        <f>Facades!AI76</f>
        <v>28.462000000000003</v>
      </c>
      <c r="E261" s="30" t="s">
        <v>1</v>
      </c>
      <c r="F261" s="30">
        <v>100</v>
      </c>
      <c r="G261" s="31">
        <f>D261*F261</f>
        <v>2846.2000000000003</v>
      </c>
      <c r="I261" s="32"/>
      <c r="L261" s="38"/>
      <c r="M261" s="38"/>
      <c r="N261" s="38"/>
      <c r="O261" s="38"/>
      <c r="P261" s="38"/>
      <c r="Q261" s="38"/>
    </row>
    <row r="262" spans="1:17" s="27" customFormat="1" ht="12.75" x14ac:dyDescent="0.2">
      <c r="B262" s="28"/>
      <c r="C262" s="27" t="s">
        <v>571</v>
      </c>
      <c r="D262" s="31">
        <f>Facades!AA71</f>
        <v>72.370399999999989</v>
      </c>
      <c r="E262" s="30" t="s">
        <v>1</v>
      </c>
      <c r="F262" s="30">
        <v>150</v>
      </c>
      <c r="G262" s="31">
        <f>D262*F262</f>
        <v>10855.559999999998</v>
      </c>
      <c r="H262" s="33" t="s">
        <v>122</v>
      </c>
      <c r="I262" s="32"/>
      <c r="L262" s="38"/>
      <c r="M262" s="38"/>
      <c r="N262" s="38"/>
      <c r="O262" s="38"/>
      <c r="P262" s="38"/>
      <c r="Q262" s="38"/>
    </row>
    <row r="263" spans="1:17" s="27" customFormat="1" ht="12.75" x14ac:dyDescent="0.2">
      <c r="B263" s="28"/>
      <c r="D263" s="29"/>
      <c r="E263" s="30"/>
      <c r="F263" s="30"/>
      <c r="G263" s="31"/>
      <c r="I263" s="32"/>
      <c r="L263" s="38"/>
      <c r="M263" s="38"/>
      <c r="N263" s="38"/>
      <c r="O263" s="38"/>
      <c r="P263" s="38"/>
      <c r="Q263" s="38"/>
    </row>
    <row r="264" spans="1:17" s="325" customFormat="1" ht="15" customHeight="1" x14ac:dyDescent="0.2">
      <c r="A264" s="27"/>
      <c r="B264" s="27"/>
      <c r="C264" s="322" t="str">
        <f>Facades!AB4</f>
        <v>Bardage briques</v>
      </c>
      <c r="D264" s="323"/>
      <c r="E264" s="324"/>
      <c r="F264" s="324"/>
      <c r="G264" s="324"/>
      <c r="J264" s="27"/>
      <c r="K264" s="27"/>
      <c r="L264" s="38"/>
      <c r="M264" s="38"/>
      <c r="N264" s="38"/>
    </row>
    <row r="265" spans="1:17" s="325" customFormat="1" ht="12.75" x14ac:dyDescent="0.2">
      <c r="A265" s="27"/>
      <c r="B265" s="27"/>
      <c r="C265" s="326" t="s">
        <v>500</v>
      </c>
      <c r="D265" s="327">
        <f>Facades!AB71</f>
        <v>310.36</v>
      </c>
      <c r="E265" s="324" t="s">
        <v>1</v>
      </c>
      <c r="F265" s="327">
        <v>280</v>
      </c>
      <c r="G265" s="327">
        <f t="shared" ref="G265" si="54">D265*F265</f>
        <v>86900.800000000003</v>
      </c>
      <c r="J265" s="27"/>
      <c r="K265" s="27"/>
      <c r="L265" s="38"/>
      <c r="M265" s="38"/>
      <c r="N265" s="38"/>
    </row>
    <row r="266" spans="1:17" s="325" customFormat="1" ht="25.5" x14ac:dyDescent="0.2">
      <c r="A266" s="27"/>
      <c r="B266" s="27"/>
      <c r="C266" s="326" t="s">
        <v>494</v>
      </c>
      <c r="D266" s="328">
        <v>0.05</v>
      </c>
      <c r="E266" s="324" t="s">
        <v>68</v>
      </c>
      <c r="F266" s="327">
        <f>D266*G265</f>
        <v>4345.04</v>
      </c>
      <c r="G266" s="327">
        <f>F266</f>
        <v>4345.04</v>
      </c>
      <c r="J266" s="27"/>
      <c r="K266" s="27"/>
      <c r="L266" s="38"/>
      <c r="M266" s="38"/>
      <c r="N266" s="38"/>
    </row>
    <row r="267" spans="1:17" s="325" customFormat="1" ht="12.75" x14ac:dyDescent="0.2">
      <c r="A267" s="27"/>
      <c r="B267" s="27"/>
      <c r="C267" s="326" t="s">
        <v>501</v>
      </c>
      <c r="D267" s="327">
        <f>Facades!AJ76</f>
        <v>22.655657295850066</v>
      </c>
      <c r="E267" s="324" t="s">
        <v>1</v>
      </c>
      <c r="F267" s="327">
        <f>F265</f>
        <v>280</v>
      </c>
      <c r="G267" s="327">
        <f t="shared" ref="G267" si="55">D267*F267</f>
        <v>6343.5840428380188</v>
      </c>
      <c r="I267" s="329"/>
      <c r="J267" s="27"/>
      <c r="K267" s="27"/>
      <c r="L267" s="38"/>
      <c r="M267" s="38"/>
      <c r="N267" s="38"/>
    </row>
    <row r="268" spans="1:17" s="325" customFormat="1" ht="12.75" x14ac:dyDescent="0.2">
      <c r="A268" s="27"/>
      <c r="B268" s="27"/>
      <c r="C268" s="326"/>
      <c r="D268" s="330"/>
      <c r="E268" s="324"/>
      <c r="F268" s="327"/>
      <c r="G268" s="327"/>
      <c r="I268" s="331"/>
      <c r="J268" s="27"/>
      <c r="K268" s="27"/>
      <c r="L268" s="38"/>
      <c r="M268" s="38"/>
      <c r="N268" s="38"/>
    </row>
    <row r="269" spans="1:17" s="325" customFormat="1" ht="15" customHeight="1" x14ac:dyDescent="0.2">
      <c r="A269" s="27"/>
      <c r="B269" s="27"/>
      <c r="C269" s="322" t="str">
        <f>Facades!AC4</f>
        <v>Bardage type tôle</v>
      </c>
      <c r="D269" s="323"/>
      <c r="E269" s="324"/>
      <c r="F269" s="324"/>
      <c r="G269" s="324"/>
      <c r="J269" s="27"/>
      <c r="K269" s="27"/>
      <c r="L269" s="38"/>
      <c r="M269" s="38"/>
      <c r="N269" s="38"/>
    </row>
    <row r="270" spans="1:17" s="325" customFormat="1" ht="11.25" customHeight="1" x14ac:dyDescent="0.2">
      <c r="A270" s="27"/>
      <c r="B270" s="27"/>
      <c r="C270" s="326" t="s">
        <v>500</v>
      </c>
      <c r="D270" s="327">
        <f>Facades!AC71</f>
        <v>70.573999999999998</v>
      </c>
      <c r="E270" s="324" t="s">
        <v>1</v>
      </c>
      <c r="F270" s="327">
        <v>460</v>
      </c>
      <c r="G270" s="327">
        <f t="shared" ref="G270:G272" si="56">D270*F270</f>
        <v>32464.04</v>
      </c>
      <c r="J270" s="27"/>
      <c r="K270" s="27"/>
      <c r="L270" s="38"/>
      <c r="M270" s="38"/>
      <c r="N270" s="38"/>
    </row>
    <row r="271" spans="1:17" s="325" customFormat="1" ht="11.25" customHeight="1" x14ac:dyDescent="0.2">
      <c r="A271" s="27"/>
      <c r="B271" s="27"/>
      <c r="C271" s="326" t="s">
        <v>494</v>
      </c>
      <c r="D271" s="328">
        <v>0.05</v>
      </c>
      <c r="E271" s="324" t="s">
        <v>68</v>
      </c>
      <c r="F271" s="327">
        <f>D271*G270</f>
        <v>1623.2020000000002</v>
      </c>
      <c r="G271" s="327">
        <f>F271</f>
        <v>1623.2020000000002</v>
      </c>
      <c r="J271" s="27"/>
      <c r="K271" s="27"/>
      <c r="L271" s="38"/>
      <c r="M271" s="38"/>
      <c r="N271" s="38"/>
    </row>
    <row r="272" spans="1:17" s="325" customFormat="1" ht="12.75" x14ac:dyDescent="0.2">
      <c r="A272" s="27"/>
      <c r="B272" s="27"/>
      <c r="C272" s="326" t="s">
        <v>501</v>
      </c>
      <c r="D272" s="327">
        <f>Facades!AK76</f>
        <v>1.052</v>
      </c>
      <c r="E272" s="324" t="s">
        <v>1</v>
      </c>
      <c r="F272" s="327">
        <v>100</v>
      </c>
      <c r="G272" s="327">
        <f t="shared" si="56"/>
        <v>105.2</v>
      </c>
      <c r="H272" s="332" t="s">
        <v>573</v>
      </c>
      <c r="I272" s="329"/>
      <c r="J272" s="27"/>
      <c r="K272" s="27"/>
      <c r="L272" s="38"/>
      <c r="M272" s="38"/>
      <c r="N272" s="38"/>
    </row>
    <row r="273" spans="1:17" s="325" customFormat="1" ht="12.75" x14ac:dyDescent="0.2">
      <c r="A273" s="27"/>
      <c r="B273" s="27"/>
      <c r="C273" s="326"/>
      <c r="D273" s="330"/>
      <c r="E273" s="324"/>
      <c r="F273" s="327"/>
      <c r="G273" s="327"/>
      <c r="I273" s="331"/>
      <c r="J273" s="27"/>
      <c r="K273" s="27"/>
      <c r="L273" s="38"/>
      <c r="M273" s="38"/>
      <c r="N273" s="38"/>
    </row>
    <row r="274" spans="1:17" s="325" customFormat="1" ht="12.75" x14ac:dyDescent="0.2">
      <c r="A274" s="27"/>
      <c r="B274" s="27"/>
      <c r="C274" s="322" t="str">
        <f>Facades!AD4</f>
        <v>Bardage fibro ciment  rainuré de couleur gis béton</v>
      </c>
      <c r="D274" s="330"/>
      <c r="E274" s="324"/>
      <c r="F274" s="327"/>
      <c r="G274" s="327"/>
      <c r="I274" s="329"/>
      <c r="J274" s="27"/>
      <c r="K274" s="27"/>
      <c r="L274" s="38"/>
      <c r="M274" s="38"/>
      <c r="N274" s="38"/>
    </row>
    <row r="275" spans="1:17" s="27" customFormat="1" ht="12.75" x14ac:dyDescent="0.2">
      <c r="B275" s="28"/>
      <c r="C275" s="326" t="s">
        <v>500</v>
      </c>
      <c r="D275" s="35">
        <f>Facades!AD71</f>
        <v>0</v>
      </c>
      <c r="E275" s="30" t="s">
        <v>1</v>
      </c>
      <c r="F275" s="30">
        <v>280</v>
      </c>
      <c r="G275" s="31">
        <f t="shared" ref="G275" si="57">D275*F275</f>
        <v>0</v>
      </c>
      <c r="I275" s="32"/>
      <c r="L275" s="38"/>
      <c r="M275" s="38"/>
      <c r="N275" s="38"/>
      <c r="O275" s="38"/>
      <c r="P275" s="38"/>
      <c r="Q275" s="38"/>
    </row>
    <row r="276" spans="1:17" s="27" customFormat="1" ht="12.75" x14ac:dyDescent="0.2">
      <c r="B276" s="28"/>
      <c r="C276" s="27" t="s">
        <v>511</v>
      </c>
      <c r="D276" s="35"/>
      <c r="E276" s="30" t="s">
        <v>0</v>
      </c>
      <c r="F276" s="30">
        <v>50</v>
      </c>
      <c r="G276" s="31">
        <f t="shared" ref="G276:G277" si="58">D276*F276</f>
        <v>0</v>
      </c>
      <c r="I276" s="32"/>
      <c r="L276" s="38"/>
      <c r="M276" s="38"/>
      <c r="N276" s="38"/>
      <c r="O276" s="38"/>
      <c r="P276" s="38"/>
      <c r="Q276" s="38"/>
    </row>
    <row r="277" spans="1:17" s="27" customFormat="1" ht="12.75" x14ac:dyDescent="0.2">
      <c r="B277" s="28"/>
      <c r="C277" s="27" t="str">
        <f>Facades!AE4</f>
        <v>Tôle habillage BSO</v>
      </c>
      <c r="D277" s="35">
        <f>Facades!AE71</f>
        <v>0</v>
      </c>
      <c r="E277" s="30" t="s">
        <v>1</v>
      </c>
      <c r="F277" s="30">
        <v>180</v>
      </c>
      <c r="G277" s="31">
        <f t="shared" si="58"/>
        <v>0</v>
      </c>
      <c r="I277" s="32"/>
      <c r="L277" s="38"/>
      <c r="M277" s="38"/>
      <c r="N277" s="38"/>
      <c r="O277" s="38"/>
      <c r="P277" s="38"/>
      <c r="Q277" s="38"/>
    </row>
    <row r="278" spans="1:17" s="27" customFormat="1" ht="12.75" x14ac:dyDescent="0.2">
      <c r="B278" s="28"/>
      <c r="D278" s="35"/>
      <c r="E278" s="30"/>
      <c r="F278" s="30"/>
      <c r="G278" s="31"/>
      <c r="I278" s="32"/>
      <c r="L278" s="38"/>
      <c r="M278" s="38"/>
      <c r="N278" s="38"/>
      <c r="O278" s="38"/>
      <c r="P278" s="38"/>
      <c r="Q278" s="38"/>
    </row>
    <row r="279" spans="1:17" s="27" customFormat="1" ht="12.75" x14ac:dyDescent="0.2">
      <c r="B279" s="28"/>
      <c r="C279" s="27" t="str">
        <f>Facades!AF4</f>
        <v>Claustra Bois rapporté devant châssis</v>
      </c>
      <c r="D279" s="35">
        <f>Facades!AF71</f>
        <v>0</v>
      </c>
      <c r="E279" s="30" t="s">
        <v>1</v>
      </c>
      <c r="F279" s="30">
        <v>155</v>
      </c>
      <c r="G279" s="31">
        <f t="shared" ref="G279:G281" si="59">D279*F279</f>
        <v>0</v>
      </c>
      <c r="I279" s="32"/>
      <c r="L279" s="38"/>
      <c r="M279" s="38"/>
      <c r="N279" s="38"/>
      <c r="O279" s="38"/>
      <c r="P279" s="38"/>
      <c r="Q279" s="38"/>
    </row>
    <row r="280" spans="1:17" s="27" customFormat="1" ht="12.75" x14ac:dyDescent="0.2">
      <c r="B280" s="28"/>
      <c r="C280" s="27" t="s">
        <v>513</v>
      </c>
      <c r="D280" s="35">
        <f>Facades!AG71</f>
        <v>0</v>
      </c>
      <c r="E280" s="30" t="s">
        <v>0</v>
      </c>
      <c r="F280" s="30">
        <v>18</v>
      </c>
      <c r="G280" s="31">
        <f>D280*F280</f>
        <v>0</v>
      </c>
      <c r="I280" s="32"/>
      <c r="L280" s="38"/>
      <c r="M280" s="38"/>
      <c r="N280" s="38"/>
      <c r="O280" s="38"/>
      <c r="P280" s="38"/>
      <c r="Q280" s="38"/>
    </row>
    <row r="281" spans="1:17" s="27" customFormat="1" ht="12.75" x14ac:dyDescent="0.2">
      <c r="B281" s="28"/>
      <c r="C281" s="27" t="str">
        <f>Facades!AO69</f>
        <v>Habillage bois / grille bois</v>
      </c>
      <c r="D281" s="35">
        <f>Facades!AO71</f>
        <v>0</v>
      </c>
      <c r="E281" s="30" t="s">
        <v>1</v>
      </c>
      <c r="F281" s="30">
        <v>250</v>
      </c>
      <c r="G281" s="31">
        <f t="shared" si="59"/>
        <v>0</v>
      </c>
      <c r="I281" s="32"/>
      <c r="L281" s="38"/>
      <c r="M281" s="38"/>
      <c r="N281" s="38"/>
      <c r="O281" s="38"/>
      <c r="P281" s="38"/>
      <c r="Q281" s="38"/>
    </row>
    <row r="282" spans="1:17" s="27" customFormat="1" ht="12.75" x14ac:dyDescent="0.2">
      <c r="B282" s="28"/>
      <c r="D282" s="35"/>
      <c r="E282" s="30"/>
      <c r="F282" s="30"/>
      <c r="G282" s="31"/>
      <c r="I282" s="32"/>
      <c r="L282" s="38"/>
      <c r="M282" s="38"/>
      <c r="N282" s="38"/>
      <c r="O282" s="38"/>
      <c r="P282" s="38"/>
      <c r="Q282" s="38"/>
    </row>
    <row r="283" spans="1:17" s="27" customFormat="1" ht="12.75" x14ac:dyDescent="0.2">
      <c r="B283" s="28"/>
      <c r="C283" s="27" t="s">
        <v>336</v>
      </c>
      <c r="D283" s="35"/>
      <c r="E283" s="30" t="s">
        <v>0</v>
      </c>
      <c r="F283" s="30">
        <v>90</v>
      </c>
      <c r="G283" s="31">
        <f t="shared" ref="G283:G289" si="60">D283*F283</f>
        <v>0</v>
      </c>
      <c r="H283" s="333" t="s">
        <v>512</v>
      </c>
      <c r="I283" s="32"/>
      <c r="L283" s="38"/>
      <c r="M283" s="38"/>
      <c r="N283" s="38"/>
      <c r="O283" s="38"/>
      <c r="P283" s="38"/>
      <c r="Q283" s="38"/>
    </row>
    <row r="284" spans="1:17" s="27" customFormat="1" ht="12.75" x14ac:dyDescent="0.2">
      <c r="B284" s="28"/>
      <c r="C284" s="27" t="s">
        <v>114</v>
      </c>
      <c r="D284" s="35"/>
      <c r="E284" s="30" t="s">
        <v>0</v>
      </c>
      <c r="F284" s="30">
        <v>60</v>
      </c>
      <c r="G284" s="31">
        <f t="shared" ref="G284" si="61">D284*F284</f>
        <v>0</v>
      </c>
      <c r="H284" s="333"/>
      <c r="I284" s="32"/>
      <c r="L284" s="38"/>
      <c r="M284" s="38"/>
      <c r="N284" s="38"/>
      <c r="O284" s="38"/>
      <c r="P284" s="38"/>
      <c r="Q284" s="38"/>
    </row>
    <row r="285" spans="1:17" s="27" customFormat="1" ht="12.75" x14ac:dyDescent="0.2">
      <c r="B285" s="28"/>
      <c r="D285" s="35"/>
      <c r="E285" s="30"/>
      <c r="F285" s="30"/>
      <c r="G285" s="31"/>
      <c r="H285" s="333"/>
      <c r="I285" s="32"/>
      <c r="L285" s="38"/>
      <c r="M285" s="38"/>
      <c r="N285" s="38"/>
      <c r="O285" s="38"/>
      <c r="P285" s="38"/>
      <c r="Q285" s="38"/>
    </row>
    <row r="286" spans="1:17" s="27" customFormat="1" ht="12.75" x14ac:dyDescent="0.2">
      <c r="B286" s="28"/>
      <c r="C286" s="27" t="s">
        <v>155</v>
      </c>
      <c r="D286" s="35"/>
      <c r="E286" s="30" t="s">
        <v>68</v>
      </c>
      <c r="F286" s="31">
        <f>SUM(G255:G285)*3%</f>
        <v>7506.897631285141</v>
      </c>
      <c r="G286" s="31">
        <f t="shared" ref="G286:G287" si="62">D286*F286</f>
        <v>0</v>
      </c>
      <c r="I286" s="32"/>
      <c r="J286" s="165"/>
      <c r="L286" s="38"/>
      <c r="M286" s="38"/>
      <c r="N286" s="38"/>
      <c r="O286" s="38"/>
      <c r="P286" s="38"/>
      <c r="Q286" s="38"/>
    </row>
    <row r="287" spans="1:17" s="27" customFormat="1" ht="12.75" x14ac:dyDescent="0.2">
      <c r="B287" s="28"/>
      <c r="C287" s="27" t="s">
        <v>561</v>
      </c>
      <c r="D287" s="35">
        <v>1</v>
      </c>
      <c r="E287" s="30" t="s">
        <v>68</v>
      </c>
      <c r="F287" s="31">
        <v>3000</v>
      </c>
      <c r="G287" s="31">
        <f t="shared" si="62"/>
        <v>3000</v>
      </c>
      <c r="I287" s="32"/>
      <c r="L287" s="38"/>
      <c r="M287" s="38"/>
      <c r="N287" s="38"/>
      <c r="O287" s="38"/>
      <c r="P287" s="38"/>
      <c r="Q287" s="38"/>
    </row>
    <row r="288" spans="1:17" s="27" customFormat="1" ht="12.75" x14ac:dyDescent="0.2">
      <c r="B288" s="28"/>
      <c r="D288" s="35"/>
      <c r="E288" s="30"/>
      <c r="F288" s="31"/>
      <c r="G288" s="31"/>
      <c r="I288" s="32"/>
      <c r="L288" s="38"/>
      <c r="M288" s="38"/>
      <c r="N288" s="38"/>
      <c r="O288" s="38"/>
      <c r="P288" s="38"/>
      <c r="Q288" s="38"/>
    </row>
    <row r="289" spans="1:17" s="27" customFormat="1" ht="12.75" x14ac:dyDescent="0.2">
      <c r="B289" s="28"/>
      <c r="C289" s="36">
        <v>0.03</v>
      </c>
      <c r="D289" s="29">
        <v>1</v>
      </c>
      <c r="E289" s="30" t="s">
        <v>68</v>
      </c>
      <c r="F289" s="31">
        <f>SUM(G255:G288)*C289</f>
        <v>7596.897631285141</v>
      </c>
      <c r="G289" s="31">
        <f t="shared" si="60"/>
        <v>7596.897631285141</v>
      </c>
      <c r="H289" s="39"/>
      <c r="I289" s="32"/>
    </row>
    <row r="290" spans="1:17" s="316" customFormat="1" ht="12.75" x14ac:dyDescent="0.2">
      <c r="A290" s="27"/>
      <c r="B290" s="28"/>
      <c r="C290" s="316" t="s">
        <v>122</v>
      </c>
      <c r="D290" s="40"/>
      <c r="E290" s="40"/>
      <c r="F290" s="40" t="s">
        <v>3</v>
      </c>
      <c r="G290" s="41">
        <f>SUM(G255:G289)</f>
        <v>260826.81867412318</v>
      </c>
      <c r="H290" s="42"/>
      <c r="I290" s="32"/>
      <c r="J290" s="33"/>
      <c r="L290" s="317"/>
      <c r="M290" s="317"/>
      <c r="N290" s="317"/>
      <c r="O290" s="317"/>
      <c r="P290" s="317"/>
      <c r="Q290" s="317"/>
    </row>
    <row r="291" spans="1:17" s="27" customFormat="1" ht="12.75" x14ac:dyDescent="0.2">
      <c r="B291" s="28"/>
      <c r="D291" s="35"/>
      <c r="E291" s="30"/>
      <c r="F291" s="30"/>
      <c r="G291" s="31"/>
      <c r="I291" s="32"/>
      <c r="J291" s="33"/>
      <c r="K291" s="316"/>
      <c r="L291" s="317"/>
      <c r="M291" s="317"/>
      <c r="N291" s="317"/>
      <c r="O291" s="38"/>
      <c r="P291" s="38"/>
      <c r="Q291" s="38"/>
    </row>
    <row r="292" spans="1:17" s="27" customFormat="1" ht="12.75" x14ac:dyDescent="0.2">
      <c r="B292" s="28"/>
      <c r="D292" s="35"/>
      <c r="E292" s="30"/>
      <c r="F292" s="30"/>
      <c r="G292" s="31"/>
      <c r="I292" s="32"/>
      <c r="J292" s="33"/>
      <c r="K292" s="316"/>
      <c r="L292" s="317"/>
      <c r="M292" s="317"/>
      <c r="N292" s="317"/>
      <c r="O292" s="38"/>
      <c r="P292" s="38"/>
      <c r="Q292" s="38"/>
    </row>
    <row r="293" spans="1:17" s="27" customFormat="1" ht="12.75" x14ac:dyDescent="0.2">
      <c r="B293" s="34" t="s">
        <v>372</v>
      </c>
      <c r="D293" s="30"/>
      <c r="E293" s="30"/>
      <c r="F293" s="30"/>
      <c r="G293" s="31"/>
      <c r="I293" s="32"/>
    </row>
    <row r="294" spans="1:17" s="316" customFormat="1" ht="12.75" x14ac:dyDescent="0.2">
      <c r="B294" s="318"/>
      <c r="C294" s="316" t="s">
        <v>176</v>
      </c>
      <c r="D294" s="319">
        <f>D254</f>
        <v>1192.28</v>
      </c>
      <c r="E294" s="320" t="s">
        <v>1</v>
      </c>
      <c r="F294" s="320"/>
      <c r="G294" s="321"/>
      <c r="I294" s="317"/>
      <c r="J294" s="334"/>
      <c r="K294" s="335" t="s">
        <v>518</v>
      </c>
      <c r="L294" s="335"/>
      <c r="M294" s="317"/>
      <c r="N294" s="317"/>
      <c r="O294" s="317"/>
      <c r="P294" s="317"/>
      <c r="Q294" s="317"/>
    </row>
    <row r="295" spans="1:17" s="27" customFormat="1" ht="12.75" x14ac:dyDescent="0.2">
      <c r="B295" s="28"/>
      <c r="C295" s="27" t="s">
        <v>443</v>
      </c>
      <c r="D295" s="35">
        <f>Facades!E71</f>
        <v>46</v>
      </c>
      <c r="E295" s="30" t="s">
        <v>2</v>
      </c>
      <c r="F295" s="30">
        <v>60</v>
      </c>
      <c r="G295" s="31">
        <f>D295*F295</f>
        <v>2760</v>
      </c>
      <c r="I295" s="38"/>
      <c r="J295" s="336" t="s">
        <v>515</v>
      </c>
      <c r="K295" s="336">
        <v>450</v>
      </c>
      <c r="L295" s="336"/>
    </row>
    <row r="296" spans="1:17" s="27" customFormat="1" ht="12.75" x14ac:dyDescent="0.2">
      <c r="B296" s="28"/>
      <c r="C296" s="27" t="s">
        <v>574</v>
      </c>
      <c r="D296" s="35">
        <f>Facades!J71</f>
        <v>106.22399999999999</v>
      </c>
      <c r="E296" s="30" t="s">
        <v>56</v>
      </c>
      <c r="F296" s="30">
        <v>600</v>
      </c>
      <c r="G296" s="31">
        <f>D296*F296</f>
        <v>63734.399999999994</v>
      </c>
      <c r="I296" s="38"/>
      <c r="J296" s="336" t="s">
        <v>517</v>
      </c>
      <c r="K296" s="336"/>
      <c r="L296" s="336"/>
    </row>
    <row r="297" spans="1:17" s="27" customFormat="1" ht="12.75" x14ac:dyDescent="0.2">
      <c r="B297" s="28"/>
      <c r="C297" s="27" t="s">
        <v>303</v>
      </c>
      <c r="D297" s="35">
        <f>Facades!AM71</f>
        <v>0</v>
      </c>
      <c r="E297" s="30" t="s">
        <v>56</v>
      </c>
      <c r="F297" s="30">
        <v>250</v>
      </c>
      <c r="G297" s="31">
        <f t="shared" ref="G297:G302" si="63">D297*F297</f>
        <v>0</v>
      </c>
      <c r="I297" s="38"/>
      <c r="J297" s="336" t="s">
        <v>362</v>
      </c>
      <c r="K297" s="336">
        <v>500</v>
      </c>
      <c r="L297" s="336"/>
    </row>
    <row r="298" spans="1:17" s="27" customFormat="1" ht="12.75" x14ac:dyDescent="0.2">
      <c r="B298" s="28"/>
      <c r="C298" s="27" t="s">
        <v>371</v>
      </c>
      <c r="D298" s="35">
        <f>+Facades!AN71</f>
        <v>0</v>
      </c>
      <c r="E298" s="30" t="s">
        <v>56</v>
      </c>
      <c r="F298" s="30">
        <v>350</v>
      </c>
      <c r="G298" s="31">
        <f t="shared" ref="G298" si="64">D298*F298</f>
        <v>0</v>
      </c>
      <c r="I298" s="38"/>
      <c r="J298" s="336" t="s">
        <v>516</v>
      </c>
      <c r="K298" s="335">
        <f>+K297+200</f>
        <v>700</v>
      </c>
      <c r="L298" s="336"/>
    </row>
    <row r="299" spans="1:17" s="27" customFormat="1" ht="12.75" x14ac:dyDescent="0.2">
      <c r="B299" s="28"/>
      <c r="C299" s="27" t="s">
        <v>575</v>
      </c>
      <c r="D299" s="35">
        <f>Facades!L71</f>
        <v>26.585899999999999</v>
      </c>
      <c r="E299" s="30" t="s">
        <v>1</v>
      </c>
      <c r="F299" s="30">
        <v>1200</v>
      </c>
      <c r="G299" s="31">
        <f t="shared" si="63"/>
        <v>31903.079999999998</v>
      </c>
      <c r="I299" s="38"/>
    </row>
    <row r="300" spans="1:17" s="27" customFormat="1" ht="12.75" x14ac:dyDescent="0.2">
      <c r="B300" s="28"/>
      <c r="C300" s="27" t="s">
        <v>506</v>
      </c>
      <c r="D300" s="35"/>
      <c r="E300" s="30"/>
      <c r="F300" s="30"/>
      <c r="G300" s="31"/>
      <c r="H300" s="333" t="s">
        <v>519</v>
      </c>
      <c r="I300" s="38"/>
    </row>
    <row r="301" spans="1:17" s="27" customFormat="1" ht="12.75" x14ac:dyDescent="0.2">
      <c r="B301" s="28"/>
      <c r="C301" s="27" t="s">
        <v>114</v>
      </c>
      <c r="D301" s="35">
        <f>Facades!T71</f>
        <v>103.57999999999998</v>
      </c>
      <c r="E301" s="30" t="s">
        <v>0</v>
      </c>
      <c r="F301" s="30">
        <v>70</v>
      </c>
      <c r="G301" s="31">
        <f t="shared" si="63"/>
        <v>7250.5999999999985</v>
      </c>
      <c r="H301" s="333"/>
      <c r="I301" s="38"/>
    </row>
    <row r="302" spans="1:17" s="27" customFormat="1" ht="12.75" x14ac:dyDescent="0.2">
      <c r="B302" s="28"/>
      <c r="C302" s="27" t="s">
        <v>336</v>
      </c>
      <c r="D302" s="35">
        <f>Facades!V71</f>
        <v>16.810000000000002</v>
      </c>
      <c r="E302" s="30" t="s">
        <v>0</v>
      </c>
      <c r="F302" s="30">
        <v>80</v>
      </c>
      <c r="G302" s="31">
        <f t="shared" si="63"/>
        <v>1344.8000000000002</v>
      </c>
      <c r="I302" s="38"/>
    </row>
    <row r="303" spans="1:17" s="27" customFormat="1" ht="12.75" x14ac:dyDescent="0.2">
      <c r="B303" s="28"/>
      <c r="C303" s="27" t="s">
        <v>185</v>
      </c>
      <c r="D303" s="29"/>
      <c r="E303" s="30" t="s">
        <v>2</v>
      </c>
      <c r="F303" s="30">
        <v>25</v>
      </c>
      <c r="G303" s="31">
        <f t="shared" ref="G303:G304" si="65">D303*F303</f>
        <v>0</v>
      </c>
      <c r="I303" s="38"/>
    </row>
    <row r="304" spans="1:17" s="27" customFormat="1" ht="12.75" x14ac:dyDescent="0.2">
      <c r="B304" s="28"/>
      <c r="C304" s="27" t="s">
        <v>701</v>
      </c>
      <c r="D304" s="31">
        <v>8</v>
      </c>
      <c r="E304" s="30" t="s">
        <v>2</v>
      </c>
      <c r="F304" s="30">
        <v>150</v>
      </c>
      <c r="G304" s="31">
        <f t="shared" si="65"/>
        <v>1200</v>
      </c>
      <c r="H304" s="27">
        <f>(0.44*0.48)*8</f>
        <v>1.6896</v>
      </c>
      <c r="I304" s="38" t="s">
        <v>1</v>
      </c>
    </row>
    <row r="305" spans="2:11" s="27" customFormat="1" ht="12.75" x14ac:dyDescent="0.2">
      <c r="B305" s="28"/>
      <c r="D305" s="29"/>
      <c r="E305" s="30"/>
      <c r="F305" s="30"/>
      <c r="G305" s="31"/>
      <c r="I305" s="38"/>
      <c r="K305" s="27">
        <v>2410</v>
      </c>
    </row>
    <row r="306" spans="2:11" s="27" customFormat="1" ht="12.75" x14ac:dyDescent="0.2">
      <c r="B306" s="28"/>
      <c r="C306" s="27" t="s">
        <v>602</v>
      </c>
      <c r="D306" s="29"/>
      <c r="E306" s="30"/>
      <c r="F306" s="30"/>
      <c r="G306" s="31"/>
      <c r="I306" s="38"/>
      <c r="K306" s="27">
        <v>2</v>
      </c>
    </row>
    <row r="307" spans="2:11" s="27" customFormat="1" ht="12.75" x14ac:dyDescent="0.2">
      <c r="B307" s="28"/>
      <c r="C307" s="27" t="s">
        <v>604</v>
      </c>
      <c r="D307" s="35"/>
      <c r="E307" s="30" t="s">
        <v>2</v>
      </c>
      <c r="F307" s="30">
        <v>60</v>
      </c>
      <c r="G307" s="31">
        <f t="shared" ref="G307:G310" si="66">D307*F307</f>
        <v>0</v>
      </c>
      <c r="I307" s="32">
        <f>SUM(G307:G310)</f>
        <v>0</v>
      </c>
      <c r="K307" s="27">
        <f>K305/K306</f>
        <v>1205</v>
      </c>
    </row>
    <row r="308" spans="2:11" s="27" customFormat="1" ht="12.75" x14ac:dyDescent="0.2">
      <c r="B308" s="28"/>
      <c r="C308" s="27" t="s">
        <v>605</v>
      </c>
      <c r="D308" s="35"/>
      <c r="E308" s="30" t="s">
        <v>56</v>
      </c>
      <c r="F308" s="30">
        <v>250</v>
      </c>
      <c r="G308" s="31">
        <f t="shared" si="66"/>
        <v>0</v>
      </c>
      <c r="H308" s="27" t="s">
        <v>607</v>
      </c>
      <c r="I308" s="32"/>
    </row>
    <row r="309" spans="2:11" s="27" customFormat="1" ht="12.75" x14ac:dyDescent="0.2">
      <c r="B309" s="28"/>
      <c r="C309" s="27" t="s">
        <v>617</v>
      </c>
      <c r="D309" s="35"/>
      <c r="E309" s="30" t="s">
        <v>56</v>
      </c>
      <c r="F309" s="30">
        <v>350</v>
      </c>
      <c r="G309" s="31">
        <f t="shared" ref="G309" si="67">D309*F309</f>
        <v>0</v>
      </c>
      <c r="I309" s="38"/>
    </row>
    <row r="310" spans="2:11" s="27" customFormat="1" ht="12.75" x14ac:dyDescent="0.2">
      <c r="B310" s="28"/>
      <c r="C310" s="27" t="s">
        <v>603</v>
      </c>
      <c r="D310" s="35"/>
      <c r="E310" s="30" t="s">
        <v>56</v>
      </c>
      <c r="F310" s="30"/>
      <c r="G310" s="31">
        <f t="shared" si="66"/>
        <v>0</v>
      </c>
      <c r="H310" s="27" t="s">
        <v>606</v>
      </c>
      <c r="I310" s="38"/>
    </row>
    <row r="311" spans="2:11" s="27" customFormat="1" ht="12.75" x14ac:dyDescent="0.2">
      <c r="B311" s="28"/>
      <c r="D311" s="35"/>
      <c r="E311" s="30"/>
      <c r="F311" s="30"/>
      <c r="G311" s="31"/>
      <c r="I311" s="38"/>
    </row>
    <row r="312" spans="2:11" s="27" customFormat="1" ht="12.75" x14ac:dyDescent="0.2">
      <c r="B312" s="28"/>
      <c r="C312" s="36">
        <v>0.03</v>
      </c>
      <c r="D312" s="29">
        <v>1</v>
      </c>
      <c r="E312" s="30" t="s">
        <v>68</v>
      </c>
      <c r="F312" s="31">
        <f>SUM(G296:G310)*C312</f>
        <v>3162.9863999999998</v>
      </c>
      <c r="G312" s="31">
        <f t="shared" ref="G312" si="68">D312*F312</f>
        <v>3162.9863999999998</v>
      </c>
      <c r="H312" s="39" t="s">
        <v>175</v>
      </c>
      <c r="I312" s="32"/>
    </row>
    <row r="313" spans="2:11" s="27" customFormat="1" ht="12.75" x14ac:dyDescent="0.2">
      <c r="B313" s="28"/>
      <c r="C313" s="28"/>
      <c r="D313" s="40"/>
      <c r="E313" s="40"/>
      <c r="F313" s="40" t="s">
        <v>3</v>
      </c>
      <c r="G313" s="41">
        <f>SUM(G295:G312)</f>
        <v>111355.86639999998</v>
      </c>
      <c r="H313" s="42">
        <f>G313/D294</f>
        <v>93.397412017311353</v>
      </c>
      <c r="I313" s="38"/>
    </row>
    <row r="314" spans="2:11" s="27" customFormat="1" ht="12.75" x14ac:dyDescent="0.2">
      <c r="B314" s="28"/>
      <c r="C314" s="28"/>
      <c r="D314" s="40"/>
      <c r="E314" s="40"/>
      <c r="F314" s="40"/>
      <c r="G314" s="41"/>
      <c r="I314" s="38"/>
    </row>
    <row r="315" spans="2:11" s="27" customFormat="1" ht="12.75" x14ac:dyDescent="0.2">
      <c r="B315" s="34" t="s">
        <v>57</v>
      </c>
      <c r="D315" s="162"/>
      <c r="E315" s="30"/>
      <c r="F315" s="30"/>
      <c r="G315" s="31"/>
      <c r="I315" s="38"/>
    </row>
    <row r="316" spans="2:11" s="27" customFormat="1" ht="12.75" x14ac:dyDescent="0.2">
      <c r="B316" s="34"/>
      <c r="D316" s="30"/>
      <c r="E316" s="30"/>
      <c r="F316" s="30"/>
      <c r="G316" s="31"/>
      <c r="I316" s="32"/>
    </row>
    <row r="317" spans="2:11" s="27" customFormat="1" ht="12.75" x14ac:dyDescent="0.2">
      <c r="B317" s="28" t="s">
        <v>58</v>
      </c>
      <c r="D317" s="29"/>
      <c r="E317" s="30"/>
      <c r="F317" s="30"/>
      <c r="G317" s="31"/>
      <c r="I317" s="32"/>
    </row>
    <row r="318" spans="2:11" s="27" customFormat="1" ht="12.75" x14ac:dyDescent="0.2">
      <c r="B318" s="28"/>
      <c r="C318" s="27" t="s">
        <v>115</v>
      </c>
      <c r="D318" s="29"/>
      <c r="E318" s="30"/>
      <c r="F318" s="30"/>
      <c r="G318" s="31"/>
      <c r="I318" s="32"/>
      <c r="J318" s="33"/>
    </row>
    <row r="319" spans="2:11" s="27" customFormat="1" ht="12.75" x14ac:dyDescent="0.2">
      <c r="B319" s="28"/>
      <c r="C319" s="27" t="s">
        <v>254</v>
      </c>
      <c r="D319" s="31"/>
      <c r="E319" s="30" t="s">
        <v>0</v>
      </c>
      <c r="F319" s="30">
        <v>35</v>
      </c>
      <c r="G319" s="31">
        <f t="shared" ref="G319:G324" si="69">D319*F319</f>
        <v>0</v>
      </c>
      <c r="I319" s="32"/>
    </row>
    <row r="320" spans="2:11" s="27" customFormat="1" ht="12.75" x14ac:dyDescent="0.2">
      <c r="B320" s="28"/>
      <c r="C320" s="27" t="s">
        <v>255</v>
      </c>
      <c r="D320" s="31"/>
      <c r="E320" s="30" t="s">
        <v>0</v>
      </c>
      <c r="F320" s="30">
        <v>250</v>
      </c>
      <c r="G320" s="31">
        <f t="shared" si="69"/>
        <v>0</v>
      </c>
      <c r="H320" s="39" t="s">
        <v>441</v>
      </c>
      <c r="I320" s="32"/>
    </row>
    <row r="321" spans="2:10" s="27" customFormat="1" ht="12.75" x14ac:dyDescent="0.2">
      <c r="B321" s="28"/>
      <c r="C321" s="27" t="s">
        <v>256</v>
      </c>
      <c r="D321" s="31"/>
      <c r="E321" s="30" t="s">
        <v>0</v>
      </c>
      <c r="F321" s="30">
        <v>50</v>
      </c>
      <c r="G321" s="31">
        <f t="shared" si="69"/>
        <v>0</v>
      </c>
      <c r="I321" s="32"/>
    </row>
    <row r="322" spans="2:10" s="27" customFormat="1" ht="12.75" x14ac:dyDescent="0.2">
      <c r="B322" s="28"/>
      <c r="C322" s="27" t="s">
        <v>332</v>
      </c>
      <c r="D322" s="31">
        <f>'Surf '!AI40</f>
        <v>9.2899999999999991</v>
      </c>
      <c r="E322" s="30" t="s">
        <v>0</v>
      </c>
      <c r="F322" s="30">
        <v>180</v>
      </c>
      <c r="G322" s="31">
        <f t="shared" si="69"/>
        <v>1672.1999999999998</v>
      </c>
      <c r="I322" s="32"/>
    </row>
    <row r="323" spans="2:10" s="27" customFormat="1" ht="12.75" x14ac:dyDescent="0.2">
      <c r="B323" s="28"/>
      <c r="C323" s="27" t="s">
        <v>419</v>
      </c>
      <c r="D323" s="31">
        <f>'Surf '!AJ40</f>
        <v>9.36</v>
      </c>
      <c r="E323" s="30" t="s">
        <v>0</v>
      </c>
      <c r="F323" s="30">
        <v>460</v>
      </c>
      <c r="G323" s="31">
        <f t="shared" si="69"/>
        <v>4305.5999999999995</v>
      </c>
      <c r="I323" s="32"/>
    </row>
    <row r="324" spans="2:10" s="27" customFormat="1" ht="12.75" x14ac:dyDescent="0.2">
      <c r="B324" s="28"/>
      <c r="C324" s="27" t="s">
        <v>420</v>
      </c>
      <c r="D324" s="31">
        <f>'Surf '!AK40</f>
        <v>0</v>
      </c>
      <c r="E324" s="30" t="s">
        <v>0</v>
      </c>
      <c r="F324" s="30">
        <v>250</v>
      </c>
      <c r="G324" s="31">
        <f t="shared" si="69"/>
        <v>0</v>
      </c>
      <c r="I324" s="32"/>
    </row>
    <row r="325" spans="2:10" s="27" customFormat="1" ht="12.75" x14ac:dyDescent="0.2">
      <c r="B325" s="28"/>
      <c r="C325" s="27" t="s">
        <v>709</v>
      </c>
      <c r="D325" s="31">
        <f>'Surf '!AM40</f>
        <v>18.649999999999999</v>
      </c>
      <c r="E325" s="30" t="s">
        <v>0</v>
      </c>
      <c r="F325" s="30">
        <v>15</v>
      </c>
      <c r="G325" s="31">
        <f t="shared" ref="G325" si="70">D325*F325</f>
        <v>279.75</v>
      </c>
      <c r="I325" s="32"/>
    </row>
    <row r="326" spans="2:10" s="27" customFormat="1" ht="12.75" x14ac:dyDescent="0.2">
      <c r="B326" s="28"/>
      <c r="D326" s="31"/>
      <c r="E326" s="30"/>
      <c r="F326" s="30"/>
      <c r="G326" s="31"/>
      <c r="I326" s="32"/>
    </row>
    <row r="327" spans="2:10" s="27" customFormat="1" ht="12.75" x14ac:dyDescent="0.2">
      <c r="B327" s="28"/>
      <c r="C327" s="27" t="s">
        <v>585</v>
      </c>
      <c r="D327" s="31">
        <v>2</v>
      </c>
      <c r="E327" s="30" t="s">
        <v>68</v>
      </c>
      <c r="F327" s="30">
        <v>13500</v>
      </c>
      <c r="G327" s="31">
        <f t="shared" ref="G327" si="71">D327*F327</f>
        <v>27000</v>
      </c>
      <c r="I327" s="32"/>
    </row>
    <row r="328" spans="2:10" s="27" customFormat="1" ht="12.75" x14ac:dyDescent="0.2">
      <c r="B328" s="28"/>
      <c r="C328" s="27" t="s">
        <v>711</v>
      </c>
      <c r="D328" s="31">
        <v>1</v>
      </c>
      <c r="E328" s="30" t="s">
        <v>68</v>
      </c>
      <c r="F328" s="30">
        <v>5000</v>
      </c>
      <c r="G328" s="31">
        <f t="shared" ref="G328" si="72">D328*F328</f>
        <v>5000</v>
      </c>
      <c r="I328" s="32"/>
    </row>
    <row r="329" spans="2:10" s="27" customFormat="1" ht="12.75" x14ac:dyDescent="0.2">
      <c r="B329" s="28"/>
      <c r="D329" s="31"/>
      <c r="E329" s="30"/>
      <c r="F329" s="30"/>
      <c r="G329" s="31"/>
      <c r="I329" s="32"/>
    </row>
    <row r="330" spans="2:10" s="27" customFormat="1" ht="12.75" x14ac:dyDescent="0.2">
      <c r="B330" s="28"/>
      <c r="C330" s="27" t="s">
        <v>506</v>
      </c>
      <c r="D330" s="35">
        <f>Facades!N71</f>
        <v>16.2104</v>
      </c>
      <c r="E330" s="30" t="s">
        <v>1</v>
      </c>
      <c r="F330" s="30">
        <v>1500</v>
      </c>
      <c r="G330" s="31">
        <f>D330*F330</f>
        <v>24315.599999999999</v>
      </c>
      <c r="I330" s="38"/>
    </row>
    <row r="331" spans="2:10" s="27" customFormat="1" ht="12.75" x14ac:dyDescent="0.2">
      <c r="B331" s="28"/>
      <c r="C331" s="27" t="s">
        <v>586</v>
      </c>
      <c r="D331" s="35">
        <f>Facades!P71</f>
        <v>0</v>
      </c>
      <c r="E331" s="30" t="s">
        <v>1</v>
      </c>
      <c r="F331" s="30"/>
      <c r="G331" s="31">
        <f t="shared" ref="G331" si="73">D331*F331</f>
        <v>0</v>
      </c>
      <c r="H331" s="37" t="s">
        <v>587</v>
      </c>
      <c r="I331" s="38"/>
    </row>
    <row r="332" spans="2:10" s="27" customFormat="1" ht="12.75" x14ac:dyDescent="0.2">
      <c r="B332" s="28"/>
      <c r="C332" s="27" t="s">
        <v>520</v>
      </c>
      <c r="D332" s="35"/>
      <c r="E332" s="30" t="s">
        <v>68</v>
      </c>
      <c r="F332" s="30">
        <v>800</v>
      </c>
      <c r="G332" s="31">
        <f t="shared" ref="G332" si="74">D332*F332</f>
        <v>0</v>
      </c>
      <c r="I332" s="38"/>
    </row>
    <row r="333" spans="2:10" s="27" customFormat="1" ht="12.75" x14ac:dyDescent="0.2">
      <c r="B333" s="28"/>
      <c r="D333" s="35"/>
      <c r="E333" s="30"/>
      <c r="F333" s="30"/>
      <c r="G333" s="31"/>
      <c r="I333" s="38"/>
    </row>
    <row r="334" spans="2:10" s="27" customFormat="1" ht="12.75" x14ac:dyDescent="0.2">
      <c r="B334" s="28"/>
      <c r="C334" s="27" t="s">
        <v>366</v>
      </c>
      <c r="D334" s="29"/>
      <c r="E334" s="30"/>
      <c r="F334" s="30"/>
      <c r="G334" s="31"/>
      <c r="I334" s="32"/>
      <c r="J334" s="33"/>
    </row>
    <row r="335" spans="2:10" s="27" customFormat="1" ht="12.75" x14ac:dyDescent="0.2">
      <c r="B335" s="28"/>
      <c r="C335" s="27" t="s">
        <v>367</v>
      </c>
      <c r="D335" s="31"/>
      <c r="E335" s="30" t="s">
        <v>0</v>
      </c>
      <c r="F335" s="30">
        <v>150</v>
      </c>
      <c r="G335" s="31">
        <f t="shared" ref="G335:G338" si="75">D335*F335</f>
        <v>0</v>
      </c>
      <c r="I335" s="32"/>
    </row>
    <row r="336" spans="2:10" s="27" customFormat="1" ht="12.75" x14ac:dyDescent="0.2">
      <c r="B336" s="28"/>
      <c r="C336" s="27" t="s">
        <v>369</v>
      </c>
      <c r="D336" s="31"/>
      <c r="E336" s="30" t="s">
        <v>0</v>
      </c>
      <c r="F336" s="30"/>
      <c r="G336" s="31">
        <f t="shared" ref="G336:G337" si="76">D336*F336</f>
        <v>0</v>
      </c>
      <c r="I336" s="32"/>
    </row>
    <row r="337" spans="2:10" s="27" customFormat="1" ht="12.75" x14ac:dyDescent="0.2">
      <c r="B337" s="28"/>
      <c r="C337" s="27" t="s">
        <v>370</v>
      </c>
      <c r="D337" s="31"/>
      <c r="E337" s="30" t="s">
        <v>0</v>
      </c>
      <c r="F337" s="30">
        <v>350</v>
      </c>
      <c r="G337" s="31">
        <f t="shared" si="76"/>
        <v>0</v>
      </c>
      <c r="I337" s="32"/>
    </row>
    <row r="338" spans="2:10" s="27" customFormat="1" ht="12.75" x14ac:dyDescent="0.2">
      <c r="B338" s="28"/>
      <c r="C338" s="27" t="s">
        <v>368</v>
      </c>
      <c r="D338" s="31">
        <f>'Surf '!FT40</f>
        <v>0</v>
      </c>
      <c r="E338" s="30" t="s">
        <v>0</v>
      </c>
      <c r="F338" s="30">
        <v>600</v>
      </c>
      <c r="G338" s="31">
        <f t="shared" si="75"/>
        <v>0</v>
      </c>
      <c r="I338" s="32"/>
      <c r="J338" s="27">
        <f>290/19</f>
        <v>15.263157894736842</v>
      </c>
    </row>
    <row r="339" spans="2:10" s="27" customFormat="1" ht="12.75" x14ac:dyDescent="0.2">
      <c r="B339" s="28"/>
      <c r="D339" s="31"/>
      <c r="E339" s="30"/>
      <c r="F339" s="30"/>
      <c r="G339" s="31"/>
      <c r="I339" s="32"/>
    </row>
    <row r="340" spans="2:10" s="27" customFormat="1" ht="12.75" x14ac:dyDescent="0.2">
      <c r="B340" s="28"/>
      <c r="C340" s="27" t="s">
        <v>588</v>
      </c>
      <c r="D340" s="31"/>
      <c r="E340" s="30" t="s">
        <v>0</v>
      </c>
      <c r="F340" s="30">
        <v>80</v>
      </c>
      <c r="G340" s="31">
        <f t="shared" ref="G340:G344" si="77">D340*F340</f>
        <v>0</v>
      </c>
      <c r="I340" s="32"/>
    </row>
    <row r="341" spans="2:10" s="27" customFormat="1" ht="12.75" x14ac:dyDescent="0.2">
      <c r="B341" s="28"/>
      <c r="C341" s="27" t="s">
        <v>589</v>
      </c>
      <c r="D341" s="31"/>
      <c r="E341" s="30" t="s">
        <v>0</v>
      </c>
      <c r="F341" s="30">
        <v>80</v>
      </c>
      <c r="G341" s="31">
        <f t="shared" ref="G341" si="78">D341*F341</f>
        <v>0</v>
      </c>
      <c r="I341" s="32">
        <v>122</v>
      </c>
    </row>
    <row r="342" spans="2:10" s="27" customFormat="1" ht="12.75" x14ac:dyDescent="0.2">
      <c r="B342" s="28"/>
      <c r="C342" s="27" t="s">
        <v>557</v>
      </c>
      <c r="D342" s="31"/>
      <c r="E342" s="30" t="s">
        <v>0</v>
      </c>
      <c r="F342" s="30">
        <v>20</v>
      </c>
      <c r="G342" s="31">
        <f t="shared" ref="G342" si="79">D342*F342</f>
        <v>0</v>
      </c>
      <c r="I342" s="32">
        <f>I341/100*0.48*250</f>
        <v>146.4</v>
      </c>
    </row>
    <row r="343" spans="2:10" s="27" customFormat="1" ht="12.75" x14ac:dyDescent="0.2">
      <c r="B343" s="28"/>
      <c r="C343" s="27" t="s">
        <v>591</v>
      </c>
      <c r="D343" s="31"/>
      <c r="E343" s="30" t="s">
        <v>68</v>
      </c>
      <c r="F343" s="30">
        <v>4500</v>
      </c>
      <c r="G343" s="31">
        <f t="shared" ref="G343" si="80">D343*F343</f>
        <v>0</v>
      </c>
      <c r="I343" s="32"/>
    </row>
    <row r="344" spans="2:10" s="27" customFormat="1" ht="12.75" x14ac:dyDescent="0.2">
      <c r="B344" s="28"/>
      <c r="C344" s="27" t="s">
        <v>590</v>
      </c>
      <c r="D344" s="31"/>
      <c r="E344" s="30" t="s">
        <v>68</v>
      </c>
      <c r="F344" s="30">
        <v>18000</v>
      </c>
      <c r="G344" s="31">
        <f t="shared" si="77"/>
        <v>0</v>
      </c>
      <c r="I344" s="32"/>
    </row>
    <row r="345" spans="2:10" s="27" customFormat="1" ht="12.75" x14ac:dyDescent="0.2">
      <c r="B345" s="28"/>
      <c r="C345" s="27" t="s">
        <v>618</v>
      </c>
      <c r="D345" s="31"/>
      <c r="E345" s="30" t="s">
        <v>68</v>
      </c>
      <c r="F345" s="30">
        <v>2000</v>
      </c>
      <c r="G345" s="31">
        <f t="shared" ref="G345" si="81">D345*F345</f>
        <v>0</v>
      </c>
      <c r="I345" s="32"/>
    </row>
    <row r="346" spans="2:10" s="27" customFormat="1" ht="12.75" x14ac:dyDescent="0.2">
      <c r="B346" s="28"/>
      <c r="D346" s="31"/>
      <c r="E346" s="30"/>
      <c r="F346" s="30"/>
      <c r="G346" s="31"/>
      <c r="I346" s="32"/>
    </row>
    <row r="347" spans="2:10" s="27" customFormat="1" ht="12.75" x14ac:dyDescent="0.2">
      <c r="B347" s="28"/>
      <c r="C347" s="27" t="s">
        <v>592</v>
      </c>
      <c r="D347" s="31"/>
      <c r="E347" s="30"/>
      <c r="F347" s="30"/>
      <c r="G347" s="31"/>
      <c r="I347" s="32"/>
    </row>
    <row r="348" spans="2:10" s="27" customFormat="1" ht="12.75" x14ac:dyDescent="0.2">
      <c r="B348" s="28"/>
      <c r="C348" s="27" t="s">
        <v>593</v>
      </c>
      <c r="D348" s="31"/>
      <c r="E348" s="30"/>
      <c r="F348" s="30"/>
      <c r="G348" s="31"/>
      <c r="I348" s="32"/>
    </row>
    <row r="349" spans="2:10" s="27" customFormat="1" ht="12.75" x14ac:dyDescent="0.2">
      <c r="B349" s="28"/>
      <c r="C349" s="27" t="s">
        <v>595</v>
      </c>
      <c r="D349" s="31"/>
      <c r="E349" s="30" t="s">
        <v>598</v>
      </c>
      <c r="F349" s="30">
        <v>6</v>
      </c>
      <c r="G349" s="31">
        <f t="shared" ref="G349:G351" si="82">D349*F349</f>
        <v>0</v>
      </c>
      <c r="I349" s="32"/>
    </row>
    <row r="350" spans="2:10" s="27" customFormat="1" ht="12.75" x14ac:dyDescent="0.2">
      <c r="B350" s="28"/>
      <c r="C350" s="27" t="s">
        <v>596</v>
      </c>
      <c r="D350" s="31"/>
      <c r="E350" s="30" t="s">
        <v>598</v>
      </c>
      <c r="F350" s="30">
        <f>F349</f>
        <v>6</v>
      </c>
      <c r="G350" s="31">
        <f t="shared" si="82"/>
        <v>0</v>
      </c>
      <c r="I350" s="32"/>
    </row>
    <row r="351" spans="2:10" s="27" customFormat="1" ht="12.75" x14ac:dyDescent="0.2">
      <c r="B351" s="28"/>
      <c r="C351" s="27" t="s">
        <v>597</v>
      </c>
      <c r="D351" s="31"/>
      <c r="E351" s="30" t="s">
        <v>598</v>
      </c>
      <c r="F351" s="30">
        <f>F350</f>
        <v>6</v>
      </c>
      <c r="G351" s="31">
        <f t="shared" si="82"/>
        <v>0</v>
      </c>
      <c r="I351" s="32"/>
    </row>
    <row r="352" spans="2:10" s="27" customFormat="1" ht="12.75" x14ac:dyDescent="0.2">
      <c r="B352" s="28"/>
      <c r="C352" s="27" t="s">
        <v>600</v>
      </c>
      <c r="D352" s="31"/>
      <c r="E352" s="30" t="s">
        <v>1</v>
      </c>
      <c r="F352" s="30">
        <v>300</v>
      </c>
      <c r="G352" s="31">
        <f t="shared" ref="G352" si="83">D352*F352</f>
        <v>0</v>
      </c>
      <c r="I352" s="32"/>
    </row>
    <row r="353" spans="2:10" s="27" customFormat="1" ht="12.75" x14ac:dyDescent="0.2">
      <c r="B353" s="28"/>
      <c r="C353" s="27" t="s">
        <v>601</v>
      </c>
      <c r="D353" s="31"/>
      <c r="E353" s="30" t="s">
        <v>1</v>
      </c>
      <c r="F353" s="30">
        <v>220</v>
      </c>
      <c r="G353" s="31">
        <f t="shared" ref="G353" si="84">D353*F353</f>
        <v>0</v>
      </c>
      <c r="I353" s="32"/>
    </row>
    <row r="354" spans="2:10" s="27" customFormat="1" ht="12.75" x14ac:dyDescent="0.2">
      <c r="B354" s="28"/>
      <c r="C354" s="27" t="s">
        <v>594</v>
      </c>
      <c r="D354" s="31"/>
      <c r="E354" s="30"/>
      <c r="F354" s="30"/>
      <c r="G354" s="31"/>
      <c r="I354" s="32"/>
    </row>
    <row r="355" spans="2:10" s="27" customFormat="1" ht="12.75" x14ac:dyDescent="0.2">
      <c r="B355" s="28"/>
      <c r="C355" s="27" t="s">
        <v>599</v>
      </c>
      <c r="D355" s="31"/>
      <c r="E355" s="30" t="s">
        <v>598</v>
      </c>
      <c r="F355" s="30">
        <f>F351</f>
        <v>6</v>
      </c>
      <c r="G355" s="31">
        <f t="shared" ref="G355:G360" si="85">D355*F355</f>
        <v>0</v>
      </c>
      <c r="I355" s="32"/>
    </row>
    <row r="356" spans="2:10" s="27" customFormat="1" ht="12.75" x14ac:dyDescent="0.2">
      <c r="B356" s="28"/>
      <c r="D356" s="31"/>
      <c r="E356" s="30"/>
      <c r="F356" s="30"/>
      <c r="G356" s="31"/>
      <c r="I356" s="32"/>
    </row>
    <row r="357" spans="2:10" s="27" customFormat="1" ht="12.75" x14ac:dyDescent="0.2">
      <c r="B357" s="28"/>
      <c r="C357" s="27" t="s">
        <v>653</v>
      </c>
      <c r="D357" s="31">
        <f>'Surf '!FV40</f>
        <v>50.385999999999996</v>
      </c>
      <c r="E357" s="30" t="s">
        <v>1</v>
      </c>
      <c r="F357" s="30"/>
      <c r="G357" s="31"/>
      <c r="I357" s="32"/>
    </row>
    <row r="358" spans="2:10" s="27" customFormat="1" ht="12.75" x14ac:dyDescent="0.2">
      <c r="B358" s="28"/>
      <c r="C358" s="27" t="s">
        <v>713</v>
      </c>
      <c r="D358" s="31">
        <f>2.22*2.44</f>
        <v>5.4168000000000003</v>
      </c>
      <c r="E358" s="30" t="s">
        <v>1</v>
      </c>
      <c r="F358" s="30">
        <v>1200</v>
      </c>
      <c r="G358" s="31">
        <f t="shared" si="85"/>
        <v>6500.1600000000008</v>
      </c>
      <c r="I358" s="32"/>
    </row>
    <row r="359" spans="2:10" s="27" customFormat="1" ht="12.75" x14ac:dyDescent="0.2">
      <c r="B359" s="28"/>
      <c r="C359" s="27" t="s">
        <v>714</v>
      </c>
      <c r="D359" s="31">
        <v>2</v>
      </c>
      <c r="E359" s="30" t="s">
        <v>2</v>
      </c>
      <c r="F359" s="30">
        <v>900</v>
      </c>
      <c r="G359" s="31">
        <f t="shared" si="85"/>
        <v>1800</v>
      </c>
      <c r="I359" s="32"/>
    </row>
    <row r="360" spans="2:10" s="27" customFormat="1" ht="12.75" x14ac:dyDescent="0.2">
      <c r="B360" s="28"/>
      <c r="C360" s="27" t="s">
        <v>715</v>
      </c>
      <c r="D360" s="31">
        <f>D357-D358-D359*0.93*2.04</f>
        <v>41.174799999999991</v>
      </c>
      <c r="E360" s="30" t="s">
        <v>1</v>
      </c>
      <c r="F360" s="30">
        <v>250</v>
      </c>
      <c r="G360" s="31">
        <f t="shared" si="85"/>
        <v>10293.699999999997</v>
      </c>
      <c r="I360" s="32"/>
    </row>
    <row r="361" spans="2:10" s="27" customFormat="1" ht="12.75" x14ac:dyDescent="0.2">
      <c r="B361" s="28"/>
      <c r="C361" s="27" t="s">
        <v>667</v>
      </c>
      <c r="D361" s="31"/>
      <c r="E361" s="30"/>
      <c r="F361" s="30"/>
      <c r="G361" s="31"/>
      <c r="I361" s="32"/>
    </row>
    <row r="362" spans="2:10" s="27" customFormat="1" ht="12.75" x14ac:dyDescent="0.2">
      <c r="B362" s="28"/>
      <c r="C362" s="27" t="s">
        <v>707</v>
      </c>
      <c r="D362" s="31">
        <f>'Surf '!FW40</f>
        <v>0</v>
      </c>
      <c r="E362" s="30" t="s">
        <v>1</v>
      </c>
      <c r="F362" s="30">
        <v>360</v>
      </c>
      <c r="G362" s="31">
        <f t="shared" ref="G362" si="86">D362*F362</f>
        <v>0</v>
      </c>
      <c r="H362" s="27" t="s">
        <v>712</v>
      </c>
      <c r="I362" s="32"/>
    </row>
    <row r="363" spans="2:10" s="27" customFormat="1" ht="12.75" x14ac:dyDescent="0.2">
      <c r="B363" s="28"/>
      <c r="C363" s="27" t="s">
        <v>708</v>
      </c>
      <c r="D363" s="31">
        <f>'Surf '!FX40</f>
        <v>0</v>
      </c>
      <c r="E363" s="30" t="s">
        <v>1</v>
      </c>
      <c r="F363" s="30">
        <v>200</v>
      </c>
      <c r="G363" s="31">
        <f t="shared" ref="G363" si="87">D363*F363</f>
        <v>0</v>
      </c>
      <c r="I363" s="32"/>
    </row>
    <row r="364" spans="2:10" s="27" customFormat="1" ht="12.75" x14ac:dyDescent="0.2">
      <c r="B364" s="28"/>
      <c r="D364" s="31"/>
      <c r="E364" s="30"/>
      <c r="F364" s="30"/>
      <c r="G364" s="31"/>
      <c r="I364" s="32"/>
    </row>
    <row r="365" spans="2:10" s="27" customFormat="1" ht="12.75" x14ac:dyDescent="0.2">
      <c r="B365" s="28"/>
      <c r="C365" s="36">
        <v>0.03</v>
      </c>
      <c r="D365" s="29">
        <v>1</v>
      </c>
      <c r="E365" s="30" t="s">
        <v>68</v>
      </c>
      <c r="F365" s="31">
        <f>SUM(G319:G364)*C365</f>
        <v>2435.0102999999999</v>
      </c>
      <c r="G365" s="31">
        <f t="shared" ref="G365" si="88">D365*F365</f>
        <v>2435.0102999999999</v>
      </c>
      <c r="H365" s="39"/>
      <c r="I365" s="32"/>
    </row>
    <row r="366" spans="2:10" s="27" customFormat="1" ht="12.75" x14ac:dyDescent="0.2">
      <c r="B366" s="28"/>
      <c r="C366" s="28"/>
      <c r="D366" s="40"/>
      <c r="E366" s="40"/>
      <c r="F366" s="40" t="s">
        <v>3</v>
      </c>
      <c r="G366" s="41">
        <f>SUM(G318:G365)</f>
        <v>83602.020299999989</v>
      </c>
      <c r="H366" s="305"/>
      <c r="I366" s="32"/>
      <c r="J366" s="33"/>
    </row>
    <row r="367" spans="2:10" s="27" customFormat="1" ht="12.75" x14ac:dyDescent="0.2">
      <c r="B367" s="28"/>
      <c r="D367" s="29"/>
      <c r="E367" s="30"/>
      <c r="F367" s="30"/>
      <c r="G367" s="31"/>
      <c r="I367" s="32"/>
      <c r="J367" s="33"/>
    </row>
    <row r="368" spans="2:10" s="27" customFormat="1" ht="12.75" x14ac:dyDescent="0.2">
      <c r="B368" s="28"/>
      <c r="C368" s="27" t="s">
        <v>735</v>
      </c>
      <c r="D368" s="29">
        <f>(20.4*7)*2</f>
        <v>285.59999999999997</v>
      </c>
      <c r="E368" s="30" t="s">
        <v>1</v>
      </c>
      <c r="F368" s="31">
        <v>100</v>
      </c>
      <c r="G368" s="31">
        <f t="shared" ref="G368" si="89">D368*F368</f>
        <v>28559.999999999996</v>
      </c>
      <c r="H368" s="27" t="s">
        <v>736</v>
      </c>
      <c r="I368" s="32"/>
      <c r="J368" s="33"/>
    </row>
    <row r="369" spans="2:10" s="27" customFormat="1" ht="12.75" x14ac:dyDescent="0.2">
      <c r="B369" s="28"/>
      <c r="D369" s="29"/>
      <c r="E369" s="30"/>
      <c r="F369" s="30"/>
      <c r="G369" s="31"/>
      <c r="I369" s="32"/>
      <c r="J369" s="33"/>
    </row>
    <row r="370" spans="2:10" s="27" customFormat="1" ht="12.75" x14ac:dyDescent="0.2">
      <c r="B370" s="28"/>
      <c r="D370" s="29"/>
      <c r="E370" s="30"/>
      <c r="F370" s="30"/>
      <c r="G370" s="31"/>
      <c r="I370" s="32"/>
      <c r="J370" s="33"/>
    </row>
    <row r="371" spans="2:10" s="27" customFormat="1" ht="12.75" x14ac:dyDescent="0.2">
      <c r="B371" s="28" t="s">
        <v>60</v>
      </c>
      <c r="D371" s="29"/>
      <c r="E371" s="30"/>
      <c r="F371" s="30"/>
      <c r="G371" s="31"/>
      <c r="I371" s="33"/>
    </row>
    <row r="372" spans="2:10" s="27" customFormat="1" ht="12.75" x14ac:dyDescent="0.2">
      <c r="B372" s="28"/>
      <c r="C372" s="27" t="s">
        <v>610</v>
      </c>
      <c r="D372" s="35">
        <f>+'Surf '!CN40</f>
        <v>0</v>
      </c>
      <c r="E372" s="30" t="s">
        <v>56</v>
      </c>
      <c r="F372" s="30">
        <v>15</v>
      </c>
      <c r="G372" s="31">
        <f t="shared" ref="G372:G417" si="90">D372*F372</f>
        <v>0</v>
      </c>
    </row>
    <row r="373" spans="2:10" s="27" customFormat="1" ht="12.75" x14ac:dyDescent="0.2">
      <c r="B373" s="28"/>
      <c r="C373" s="27" t="s">
        <v>631</v>
      </c>
      <c r="D373" s="29"/>
      <c r="E373" s="30" t="s">
        <v>56</v>
      </c>
      <c r="F373" s="30">
        <v>6</v>
      </c>
      <c r="G373" s="31">
        <f t="shared" ref="G373" si="91">D373*F373</f>
        <v>0</v>
      </c>
    </row>
    <row r="374" spans="2:10" s="27" customFormat="1" ht="12.75" x14ac:dyDescent="0.2">
      <c r="B374" s="28"/>
      <c r="C374" s="27" t="s">
        <v>448</v>
      </c>
      <c r="D374" s="29">
        <f>'Surf '!CW40</f>
        <v>0</v>
      </c>
      <c r="E374" s="30" t="s">
        <v>56</v>
      </c>
      <c r="F374" s="30">
        <v>12</v>
      </c>
      <c r="G374" s="31">
        <f t="shared" ref="G374:G375" si="92">D374*F374</f>
        <v>0</v>
      </c>
    </row>
    <row r="375" spans="2:10" s="27" customFormat="1" ht="12.75" x14ac:dyDescent="0.2">
      <c r="B375" s="28"/>
      <c r="C375" s="27" t="s">
        <v>449</v>
      </c>
      <c r="D375" s="29">
        <f>'Surf '!BK40</f>
        <v>0</v>
      </c>
      <c r="E375" s="30" t="s">
        <v>56</v>
      </c>
      <c r="F375" s="30">
        <v>12</v>
      </c>
      <c r="G375" s="31">
        <f t="shared" si="92"/>
        <v>0</v>
      </c>
    </row>
    <row r="376" spans="2:10" s="27" customFormat="1" ht="12.75" x14ac:dyDescent="0.2">
      <c r="B376" s="28"/>
      <c r="C376" s="27" t="s">
        <v>14</v>
      </c>
      <c r="D376" s="29">
        <f>+'Surf '!CM40</f>
        <v>180.3837</v>
      </c>
      <c r="E376" s="30" t="s">
        <v>56</v>
      </c>
      <c r="F376" s="30">
        <v>30</v>
      </c>
      <c r="G376" s="31">
        <f t="shared" si="90"/>
        <v>5411.5110000000004</v>
      </c>
    </row>
    <row r="377" spans="2:10" s="27" customFormat="1" ht="12.75" x14ac:dyDescent="0.2">
      <c r="B377" s="28"/>
      <c r="C377" s="27" t="s">
        <v>182</v>
      </c>
      <c r="D377" s="29"/>
      <c r="E377" s="30" t="s">
        <v>0</v>
      </c>
      <c r="F377" s="30">
        <v>12</v>
      </c>
      <c r="G377" s="31">
        <f t="shared" ref="G377" si="93">D377*F377</f>
        <v>0</v>
      </c>
    </row>
    <row r="378" spans="2:10" s="27" customFormat="1" ht="12.75" x14ac:dyDescent="0.2">
      <c r="B378" s="28"/>
      <c r="C378" s="27" t="s">
        <v>198</v>
      </c>
      <c r="D378" s="29">
        <f>+'Surf '!CK40</f>
        <v>28.387999999999995</v>
      </c>
      <c r="E378" s="30" t="s">
        <v>1</v>
      </c>
      <c r="F378" s="30">
        <v>40</v>
      </c>
      <c r="G378" s="31">
        <f t="shared" si="90"/>
        <v>1135.5199999999998</v>
      </c>
      <c r="H378" s="164"/>
    </row>
    <row r="379" spans="2:10" s="27" customFormat="1" ht="12.75" x14ac:dyDescent="0.2">
      <c r="B379" s="28"/>
      <c r="C379" s="27" t="s">
        <v>447</v>
      </c>
      <c r="D379" s="29">
        <f>+'Surf '!CJ40</f>
        <v>0</v>
      </c>
      <c r="E379" s="30" t="s">
        <v>56</v>
      </c>
      <c r="F379" s="30">
        <v>27</v>
      </c>
      <c r="G379" s="31">
        <f t="shared" ref="G379" si="94">D379*F379</f>
        <v>0</v>
      </c>
    </row>
    <row r="380" spans="2:10" s="27" customFormat="1" ht="12.75" x14ac:dyDescent="0.2">
      <c r="B380" s="28"/>
      <c r="C380" s="27" t="s">
        <v>719</v>
      </c>
      <c r="D380" s="29">
        <f>+'Surf '!CL40</f>
        <v>10.232399999999998</v>
      </c>
      <c r="E380" s="30" t="s">
        <v>56</v>
      </c>
      <c r="F380" s="30">
        <v>55</v>
      </c>
      <c r="G380" s="31">
        <f t="shared" si="90"/>
        <v>562.78199999999993</v>
      </c>
    </row>
    <row r="381" spans="2:10" s="27" customFormat="1" ht="12.75" x14ac:dyDescent="0.2">
      <c r="B381" s="28"/>
      <c r="C381" s="27" t="s">
        <v>440</v>
      </c>
      <c r="D381" s="29"/>
      <c r="E381" s="30" t="s">
        <v>56</v>
      </c>
      <c r="F381" s="30">
        <v>50</v>
      </c>
      <c r="G381" s="31">
        <f t="shared" ref="G381" si="95">D381*F381</f>
        <v>0</v>
      </c>
    </row>
    <row r="382" spans="2:10" s="27" customFormat="1" ht="12.75" x14ac:dyDescent="0.2">
      <c r="B382" s="28"/>
      <c r="C382" s="27" t="s">
        <v>152</v>
      </c>
      <c r="D382" s="29">
        <f>'Surf '!BU40</f>
        <v>0</v>
      </c>
      <c r="E382" s="30" t="s">
        <v>0</v>
      </c>
      <c r="F382" s="30">
        <v>43</v>
      </c>
      <c r="G382" s="31">
        <f t="shared" ref="G382" si="96">D382*F382</f>
        <v>0</v>
      </c>
    </row>
    <row r="383" spans="2:10" s="27" customFormat="1" ht="12.75" x14ac:dyDescent="0.2">
      <c r="B383" s="28"/>
      <c r="C383" s="27" t="s">
        <v>29</v>
      </c>
      <c r="D383" s="29">
        <f>+'Surf '!CG40</f>
        <v>0</v>
      </c>
      <c r="E383" s="30" t="s">
        <v>56</v>
      </c>
      <c r="F383" s="30">
        <v>63</v>
      </c>
      <c r="G383" s="31">
        <f t="shared" si="90"/>
        <v>0</v>
      </c>
    </row>
    <row r="384" spans="2:10" s="27" customFormat="1" ht="12.75" x14ac:dyDescent="0.2">
      <c r="B384" s="28"/>
      <c r="C384" s="27" t="s">
        <v>233</v>
      </c>
      <c r="D384" s="35">
        <f>+'Surf '!CH40</f>
        <v>9.6942000000000004</v>
      </c>
      <c r="E384" s="30" t="s">
        <v>56</v>
      </c>
      <c r="F384" s="30">
        <v>52</v>
      </c>
      <c r="G384" s="31">
        <f t="shared" si="90"/>
        <v>504.09840000000003</v>
      </c>
      <c r="I384" s="32"/>
    </row>
    <row r="385" spans="2:9" s="27" customFormat="1" ht="12.75" x14ac:dyDescent="0.2">
      <c r="B385" s="28"/>
      <c r="C385" s="27" t="s">
        <v>624</v>
      </c>
      <c r="D385" s="35">
        <f>'Surf '!CI40</f>
        <v>0</v>
      </c>
      <c r="E385" s="30" t="s">
        <v>56</v>
      </c>
      <c r="F385" s="30">
        <v>60</v>
      </c>
      <c r="G385" s="31">
        <f t="shared" ref="G385" si="97">D385*F385</f>
        <v>0</v>
      </c>
      <c r="I385" s="32"/>
    </row>
    <row r="386" spans="2:9" s="27" customFormat="1" ht="12.75" x14ac:dyDescent="0.2">
      <c r="B386" s="28"/>
      <c r="C386" s="27" t="s">
        <v>192</v>
      </c>
      <c r="D386" s="35">
        <f>+'Surf '!BY40</f>
        <v>0</v>
      </c>
      <c r="E386" s="30" t="s">
        <v>56</v>
      </c>
      <c r="F386" s="30">
        <v>55</v>
      </c>
      <c r="G386" s="31">
        <f t="shared" ref="G386" si="98">D386*F386</f>
        <v>0</v>
      </c>
      <c r="I386" s="32"/>
    </row>
    <row r="387" spans="2:9" s="27" customFormat="1" ht="12.75" x14ac:dyDescent="0.2">
      <c r="B387" s="28"/>
      <c r="C387" s="27" t="s">
        <v>61</v>
      </c>
      <c r="D387" s="29">
        <f>+'Surf '!CU40</f>
        <v>0</v>
      </c>
      <c r="E387" s="30" t="s">
        <v>56</v>
      </c>
      <c r="F387" s="30">
        <v>5</v>
      </c>
      <c r="G387" s="31">
        <f t="shared" si="90"/>
        <v>0</v>
      </c>
      <c r="I387" s="165"/>
    </row>
    <row r="388" spans="2:9" s="27" customFormat="1" ht="12.75" x14ac:dyDescent="0.2">
      <c r="B388" s="28"/>
      <c r="C388" s="27" t="s">
        <v>406</v>
      </c>
      <c r="D388" s="29">
        <f>'Surf '!CV40</f>
        <v>50.637699999999995</v>
      </c>
      <c r="E388" s="30" t="s">
        <v>56</v>
      </c>
      <c r="F388" s="30">
        <v>15</v>
      </c>
      <c r="G388" s="31">
        <f t="shared" ref="G388" si="99">D388*F388</f>
        <v>759.56549999999993</v>
      </c>
      <c r="I388" s="165"/>
    </row>
    <row r="389" spans="2:9" s="27" customFormat="1" ht="12.75" x14ac:dyDescent="0.2">
      <c r="B389" s="28"/>
      <c r="C389" s="27" t="s">
        <v>139</v>
      </c>
      <c r="D389" s="29">
        <f>+'Surf '!CS40</f>
        <v>0</v>
      </c>
      <c r="E389" s="30" t="s">
        <v>56</v>
      </c>
      <c r="F389" s="30">
        <v>6</v>
      </c>
      <c r="G389" s="31">
        <f t="shared" si="90"/>
        <v>0</v>
      </c>
      <c r="I389" s="165"/>
    </row>
    <row r="390" spans="2:9" s="27" customFormat="1" ht="12.75" x14ac:dyDescent="0.2">
      <c r="B390" s="28"/>
      <c r="C390" s="27" t="s">
        <v>140</v>
      </c>
      <c r="D390" s="29">
        <f>+'Surf '!CT40</f>
        <v>0</v>
      </c>
      <c r="E390" s="30" t="s">
        <v>56</v>
      </c>
      <c r="F390" s="30">
        <v>10</v>
      </c>
      <c r="G390" s="31">
        <f t="shared" ref="G390" si="100">D390*F390</f>
        <v>0</v>
      </c>
      <c r="I390" s="165"/>
    </row>
    <row r="391" spans="2:9" s="27" customFormat="1" ht="12.75" x14ac:dyDescent="0.2">
      <c r="B391" s="28"/>
      <c r="C391" s="27" t="s">
        <v>199</v>
      </c>
      <c r="D391" s="29">
        <f>+'Surf '!CO40</f>
        <v>0</v>
      </c>
      <c r="E391" s="30" t="s">
        <v>56</v>
      </c>
      <c r="F391" s="30">
        <v>200</v>
      </c>
      <c r="G391" s="31">
        <f t="shared" si="90"/>
        <v>0</v>
      </c>
      <c r="I391" s="165"/>
    </row>
    <row r="392" spans="2:9" s="27" customFormat="1" ht="12.75" x14ac:dyDescent="0.2">
      <c r="B392" s="28"/>
      <c r="C392" s="27" t="s">
        <v>275</v>
      </c>
      <c r="D392" s="29">
        <f>'Surf '!CP40</f>
        <v>0</v>
      </c>
      <c r="E392" s="30" t="s">
        <v>273</v>
      </c>
      <c r="F392" s="30">
        <v>66</v>
      </c>
      <c r="G392" s="31">
        <f t="shared" ref="G392" si="101">D392*F392</f>
        <v>0</v>
      </c>
      <c r="I392" s="165"/>
    </row>
    <row r="393" spans="2:9" s="27" customFormat="1" ht="12.75" x14ac:dyDescent="0.2">
      <c r="B393" s="28"/>
      <c r="C393" s="27" t="s">
        <v>118</v>
      </c>
      <c r="D393" s="29">
        <f>+'Surf '!CQ40</f>
        <v>0</v>
      </c>
      <c r="E393" s="30" t="s">
        <v>56</v>
      </c>
      <c r="F393" s="30">
        <v>80</v>
      </c>
      <c r="G393" s="31">
        <f t="shared" ref="G393:G394" si="102">D393*F393</f>
        <v>0</v>
      </c>
      <c r="I393" s="165"/>
    </row>
    <row r="394" spans="2:9" s="27" customFormat="1" ht="12.75" x14ac:dyDescent="0.2">
      <c r="B394" s="28"/>
      <c r="C394" s="27" t="s">
        <v>706</v>
      </c>
      <c r="D394" s="29">
        <f>'Surf '!AX40</f>
        <v>0</v>
      </c>
      <c r="E394" s="30" t="s">
        <v>1</v>
      </c>
      <c r="F394" s="30">
        <v>180</v>
      </c>
      <c r="G394" s="31">
        <f t="shared" si="102"/>
        <v>0</v>
      </c>
      <c r="I394" s="165"/>
    </row>
    <row r="395" spans="2:9" s="27" customFormat="1" ht="12.75" x14ac:dyDescent="0.2">
      <c r="B395" s="28"/>
      <c r="C395" s="27" t="s">
        <v>116</v>
      </c>
      <c r="D395" s="35">
        <f>+'Surf '!BL40</f>
        <v>0</v>
      </c>
      <c r="E395" s="30" t="s">
        <v>56</v>
      </c>
      <c r="F395" s="30">
        <v>80</v>
      </c>
      <c r="G395" s="31">
        <f t="shared" ref="G395" si="103">D395*F395</f>
        <v>0</v>
      </c>
      <c r="I395" s="32"/>
    </row>
    <row r="396" spans="2:9" s="27" customFormat="1" ht="12.75" x14ac:dyDescent="0.2">
      <c r="B396" s="28"/>
      <c r="C396" s="27" t="s">
        <v>220</v>
      </c>
      <c r="D396" s="35">
        <f>+'Surf '!BI40</f>
        <v>0</v>
      </c>
      <c r="E396" s="30" t="s">
        <v>56</v>
      </c>
      <c r="F396" s="30">
        <v>30</v>
      </c>
      <c r="G396" s="31">
        <f t="shared" ref="G396" si="104">D396*F396</f>
        <v>0</v>
      </c>
      <c r="I396" s="32"/>
    </row>
    <row r="397" spans="2:9" s="27" customFormat="1" ht="12.75" x14ac:dyDescent="0.2">
      <c r="B397" s="28"/>
      <c r="C397" s="27" t="s">
        <v>219</v>
      </c>
      <c r="D397" s="35">
        <f>'Surf '!BJ40</f>
        <v>0</v>
      </c>
      <c r="E397" s="30" t="s">
        <v>56</v>
      </c>
      <c r="F397" s="30">
        <v>35</v>
      </c>
      <c r="G397" s="31">
        <f t="shared" ref="G397" si="105">D397*F397</f>
        <v>0</v>
      </c>
      <c r="I397" s="32"/>
    </row>
    <row r="398" spans="2:9" s="27" customFormat="1" ht="12.75" x14ac:dyDescent="0.2">
      <c r="B398" s="28"/>
      <c r="C398" s="27" t="s">
        <v>141</v>
      </c>
      <c r="D398" s="35">
        <f>+'Surf '!AY40</f>
        <v>0</v>
      </c>
      <c r="E398" s="30" t="s">
        <v>56</v>
      </c>
      <c r="F398" s="30">
        <v>70</v>
      </c>
      <c r="G398" s="31">
        <f t="shared" ref="G398" si="106">D398*F398</f>
        <v>0</v>
      </c>
      <c r="I398" s="32"/>
    </row>
    <row r="399" spans="2:9" s="27" customFormat="1" ht="12.75" x14ac:dyDescent="0.2">
      <c r="B399" s="28"/>
      <c r="C399" s="27" t="s">
        <v>95</v>
      </c>
      <c r="D399" s="29">
        <f>'Surf '!BD40</f>
        <v>0</v>
      </c>
      <c r="E399" s="30" t="s">
        <v>56</v>
      </c>
      <c r="F399" s="30">
        <v>45</v>
      </c>
      <c r="G399" s="31">
        <f t="shared" si="90"/>
        <v>0</v>
      </c>
      <c r="I399" s="32"/>
    </row>
    <row r="400" spans="2:9" s="27" customFormat="1" ht="12.75" x14ac:dyDescent="0.2">
      <c r="B400" s="28"/>
      <c r="C400" s="27" t="s">
        <v>117</v>
      </c>
      <c r="D400" s="29">
        <f>'Surf '!BH40</f>
        <v>0</v>
      </c>
      <c r="E400" s="30" t="s">
        <v>56</v>
      </c>
      <c r="F400" s="30">
        <v>65</v>
      </c>
      <c r="G400" s="31">
        <f>D400*F400</f>
        <v>0</v>
      </c>
      <c r="I400" s="32"/>
    </row>
    <row r="401" spans="2:9" s="27" customFormat="1" ht="12.75" x14ac:dyDescent="0.2">
      <c r="B401" s="28"/>
      <c r="C401" s="27" t="s">
        <v>404</v>
      </c>
      <c r="D401" s="29">
        <f>'Surf '!BM40</f>
        <v>0</v>
      </c>
      <c r="E401" s="30" t="s">
        <v>56</v>
      </c>
      <c r="F401" s="30">
        <v>5</v>
      </c>
      <c r="G401" s="31">
        <f>D401*F401</f>
        <v>0</v>
      </c>
      <c r="I401" s="32"/>
    </row>
    <row r="402" spans="2:9" s="27" customFormat="1" ht="12.75" x14ac:dyDescent="0.2">
      <c r="B402" s="28"/>
      <c r="C402" s="27" t="s">
        <v>94</v>
      </c>
      <c r="D402" s="29">
        <f>'Surf '!BE40</f>
        <v>0</v>
      </c>
      <c r="E402" s="30" t="s">
        <v>56</v>
      </c>
      <c r="F402" s="30">
        <v>55</v>
      </c>
      <c r="G402" s="31">
        <f t="shared" si="90"/>
        <v>0</v>
      </c>
      <c r="I402" s="32"/>
    </row>
    <row r="403" spans="2:9" s="27" customFormat="1" ht="12.75" x14ac:dyDescent="0.2">
      <c r="B403" s="28"/>
      <c r="C403" s="27" t="s">
        <v>427</v>
      </c>
      <c r="D403" s="29">
        <f>'Surf '!BF40</f>
        <v>0</v>
      </c>
      <c r="E403" s="30" t="s">
        <v>56</v>
      </c>
      <c r="F403" s="30">
        <v>70</v>
      </c>
      <c r="G403" s="31">
        <f t="shared" si="90"/>
        <v>0</v>
      </c>
      <c r="I403" s="32"/>
    </row>
    <row r="404" spans="2:9" s="27" customFormat="1" ht="12.75" x14ac:dyDescent="0.2">
      <c r="B404" s="28"/>
      <c r="C404" s="27" t="s">
        <v>65</v>
      </c>
      <c r="D404" s="35">
        <f>'Surf '!BQ40</f>
        <v>4.96</v>
      </c>
      <c r="E404" s="30" t="s">
        <v>56</v>
      </c>
      <c r="F404" s="30">
        <v>65</v>
      </c>
      <c r="G404" s="31">
        <f>D404*F404</f>
        <v>322.39999999999998</v>
      </c>
      <c r="I404" s="32"/>
    </row>
    <row r="405" spans="2:9" s="27" customFormat="1" ht="12.75" x14ac:dyDescent="0.2">
      <c r="B405" s="28"/>
      <c r="C405" s="27" t="s">
        <v>183</v>
      </c>
      <c r="D405" s="29">
        <f>'Surf '!AZ40</f>
        <v>0</v>
      </c>
      <c r="E405" s="30" t="s">
        <v>56</v>
      </c>
      <c r="F405" s="30">
        <v>110</v>
      </c>
      <c r="G405" s="31">
        <f>D405*F405</f>
        <v>0</v>
      </c>
      <c r="I405" s="32"/>
    </row>
    <row r="406" spans="2:9" s="27" customFormat="1" ht="12.75" x14ac:dyDescent="0.2">
      <c r="B406" s="28"/>
      <c r="C406" s="27" t="s">
        <v>63</v>
      </c>
      <c r="D406" s="29">
        <f>'Surf '!BB40</f>
        <v>116.33430000000001</v>
      </c>
      <c r="E406" s="30" t="s">
        <v>56</v>
      </c>
      <c r="F406" s="30">
        <v>55</v>
      </c>
      <c r="G406" s="31">
        <f t="shared" si="90"/>
        <v>6398.3865000000005</v>
      </c>
    </row>
    <row r="407" spans="2:9" s="27" customFormat="1" ht="12.75" x14ac:dyDescent="0.2">
      <c r="B407" s="28"/>
      <c r="C407" s="27" t="s">
        <v>718</v>
      </c>
      <c r="D407" s="29">
        <f>'Surf '!BC40</f>
        <v>0</v>
      </c>
      <c r="E407" s="30" t="s">
        <v>56</v>
      </c>
      <c r="F407" s="30">
        <v>35</v>
      </c>
      <c r="G407" s="31">
        <f t="shared" ref="G407" si="107">D407*F407</f>
        <v>0</v>
      </c>
    </row>
    <row r="408" spans="2:9" s="27" customFormat="1" ht="12.75" x14ac:dyDescent="0.2">
      <c r="B408" s="28"/>
      <c r="C408" s="27" t="s">
        <v>64</v>
      </c>
      <c r="D408" s="29">
        <f>'Surf '!BA40</f>
        <v>22.067499999999999</v>
      </c>
      <c r="E408" s="30" t="s">
        <v>56</v>
      </c>
      <c r="F408" s="30">
        <v>40</v>
      </c>
      <c r="G408" s="31">
        <f t="shared" si="90"/>
        <v>882.69999999999993</v>
      </c>
      <c r="I408" s="32"/>
    </row>
    <row r="409" spans="2:9" s="27" customFormat="1" ht="12.75" x14ac:dyDescent="0.2">
      <c r="B409" s="28"/>
      <c r="C409" s="27" t="s">
        <v>193</v>
      </c>
      <c r="D409" s="29">
        <f>'Surf '!BG40</f>
        <v>23.110500000000002</v>
      </c>
      <c r="E409" s="30" t="s">
        <v>56</v>
      </c>
      <c r="F409" s="30">
        <v>13</v>
      </c>
      <c r="G409" s="31">
        <f t="shared" ref="G409" si="108">D409*F409</f>
        <v>300.43650000000002</v>
      </c>
      <c r="I409" s="32"/>
    </row>
    <row r="410" spans="2:9" s="27" customFormat="1" ht="12.75" x14ac:dyDescent="0.2">
      <c r="B410" s="28"/>
      <c r="C410" s="27" t="s">
        <v>271</v>
      </c>
      <c r="D410" s="29">
        <f>'Surf '!BS40</f>
        <v>0</v>
      </c>
      <c r="E410" s="30" t="s">
        <v>2</v>
      </c>
      <c r="F410" s="30">
        <v>250</v>
      </c>
      <c r="G410" s="31">
        <f t="shared" si="90"/>
        <v>0</v>
      </c>
      <c r="I410" s="32"/>
    </row>
    <row r="411" spans="2:9" s="27" customFormat="1" ht="12.75" x14ac:dyDescent="0.2">
      <c r="B411" s="28"/>
      <c r="C411" s="27" t="s">
        <v>272</v>
      </c>
      <c r="D411" s="29">
        <f>'Surf '!BR40</f>
        <v>0</v>
      </c>
      <c r="E411" s="30" t="s">
        <v>2</v>
      </c>
      <c r="F411" s="30">
        <v>200</v>
      </c>
      <c r="G411" s="31">
        <f t="shared" si="90"/>
        <v>0</v>
      </c>
      <c r="I411" s="32"/>
    </row>
    <row r="412" spans="2:9" s="27" customFormat="1" ht="12.75" x14ac:dyDescent="0.2">
      <c r="B412" s="28"/>
      <c r="C412" s="27" t="s">
        <v>62</v>
      </c>
      <c r="D412" s="29">
        <f>'Surf '!BZ40</f>
        <v>0</v>
      </c>
      <c r="E412" s="30" t="s">
        <v>2</v>
      </c>
      <c r="F412" s="30">
        <v>25</v>
      </c>
      <c r="G412" s="31">
        <f>D412*F412</f>
        <v>0</v>
      </c>
      <c r="I412" s="32"/>
    </row>
    <row r="413" spans="2:9" s="27" customFormat="1" ht="12.75" x14ac:dyDescent="0.2">
      <c r="B413" s="28"/>
      <c r="C413" s="27" t="s">
        <v>144</v>
      </c>
      <c r="D413" s="29">
        <f>'Surf '!CA40</f>
        <v>0</v>
      </c>
      <c r="E413" s="30" t="s">
        <v>2</v>
      </c>
      <c r="F413" s="30">
        <v>25</v>
      </c>
      <c r="G413" s="31">
        <f t="shared" ref="G413" si="109">D413*F413</f>
        <v>0</v>
      </c>
      <c r="I413" s="32"/>
    </row>
    <row r="414" spans="2:9" s="27" customFormat="1" ht="12.75" x14ac:dyDescent="0.2">
      <c r="B414" s="28"/>
      <c r="C414" s="27" t="s">
        <v>184</v>
      </c>
      <c r="D414" s="29">
        <f>'Surf '!FG40</f>
        <v>0</v>
      </c>
      <c r="E414" s="30" t="s">
        <v>2</v>
      </c>
      <c r="F414" s="30">
        <v>60</v>
      </c>
      <c r="G414" s="31">
        <f t="shared" si="90"/>
        <v>0</v>
      </c>
      <c r="I414" s="32"/>
    </row>
    <row r="415" spans="2:9" s="27" customFormat="1" ht="12.75" x14ac:dyDescent="0.2">
      <c r="B415" s="28"/>
      <c r="C415" s="27" t="s">
        <v>66</v>
      </c>
      <c r="D415" s="29"/>
      <c r="E415" s="30" t="s">
        <v>56</v>
      </c>
      <c r="F415" s="30">
        <v>45</v>
      </c>
      <c r="G415" s="31">
        <f t="shared" si="90"/>
        <v>0</v>
      </c>
      <c r="H415" s="166">
        <f>+'Surf '!F$40</f>
        <v>172.54780000000002</v>
      </c>
      <c r="I415" s="32"/>
    </row>
    <row r="416" spans="2:9" s="27" customFormat="1" ht="12.75" x14ac:dyDescent="0.2">
      <c r="B416" s="28"/>
      <c r="C416" s="27" t="s">
        <v>615</v>
      </c>
      <c r="D416" s="29"/>
      <c r="E416" s="30" t="s">
        <v>56</v>
      </c>
      <c r="F416" s="30">
        <v>100</v>
      </c>
      <c r="G416" s="31">
        <f t="shared" si="90"/>
        <v>0</v>
      </c>
      <c r="H416" s="166"/>
      <c r="I416" s="32"/>
    </row>
    <row r="417" spans="1:12" s="27" customFormat="1" ht="12.75" x14ac:dyDescent="0.2">
      <c r="B417" s="28"/>
      <c r="C417" s="36">
        <v>0.03</v>
      </c>
      <c r="D417" s="29">
        <v>1</v>
      </c>
      <c r="E417" s="30" t="s">
        <v>68</v>
      </c>
      <c r="F417" s="31">
        <f>SUM(G372:G415)*C417</f>
        <v>488.32199700000001</v>
      </c>
      <c r="G417" s="31">
        <f t="shared" si="90"/>
        <v>488.32199700000001</v>
      </c>
      <c r="H417" s="163" t="s">
        <v>335</v>
      </c>
      <c r="I417" s="32"/>
    </row>
    <row r="418" spans="1:12" s="27" customFormat="1" ht="12.75" x14ac:dyDescent="0.2">
      <c r="B418" s="28"/>
      <c r="C418" s="28"/>
      <c r="D418" s="40"/>
      <c r="E418" s="40"/>
      <c r="F418" s="40" t="s">
        <v>3</v>
      </c>
      <c r="G418" s="41">
        <f>SUM(G372:G417)</f>
        <v>16765.721896999999</v>
      </c>
      <c r="H418" s="42">
        <f>G418/H415</f>
        <v>97.165665960388935</v>
      </c>
      <c r="I418" s="32"/>
    </row>
    <row r="419" spans="1:12" s="27" customFormat="1" ht="12.75" x14ac:dyDescent="0.2">
      <c r="B419" s="28"/>
      <c r="D419" s="29"/>
      <c r="E419" s="30"/>
      <c r="F419" s="30"/>
      <c r="G419" s="31"/>
      <c r="I419" s="32"/>
    </row>
    <row r="420" spans="1:12" s="27" customFormat="1" ht="12.75" x14ac:dyDescent="0.2">
      <c r="B420" s="28" t="s">
        <v>157</v>
      </c>
      <c r="D420" s="29"/>
      <c r="E420" s="30"/>
      <c r="F420" s="30"/>
      <c r="G420" s="31"/>
      <c r="I420" s="32"/>
    </row>
    <row r="421" spans="1:12" s="32" customFormat="1" ht="12.75" x14ac:dyDescent="0.2">
      <c r="A421" s="27"/>
      <c r="B421" s="28"/>
      <c r="C421" s="27" t="s">
        <v>213</v>
      </c>
      <c r="D421" s="29">
        <f>'Surf '!DD40</f>
        <v>0</v>
      </c>
      <c r="E421" s="30" t="s">
        <v>2</v>
      </c>
      <c r="F421" s="30">
        <v>460</v>
      </c>
      <c r="G421" s="31">
        <f t="shared" ref="G421:G472" si="110">D421*F421</f>
        <v>0</v>
      </c>
      <c r="H421" s="27"/>
      <c r="J421" s="27"/>
      <c r="K421" s="27"/>
      <c r="L421" s="27"/>
    </row>
    <row r="422" spans="1:12" s="32" customFormat="1" ht="12.75" x14ac:dyDescent="0.2">
      <c r="A422" s="27"/>
      <c r="B422" s="28"/>
      <c r="C422" s="27" t="s">
        <v>628</v>
      </c>
      <c r="D422" s="29">
        <f>'Surf '!DE40</f>
        <v>0</v>
      </c>
      <c r="E422" s="30" t="s">
        <v>2</v>
      </c>
      <c r="F422" s="30">
        <v>800</v>
      </c>
      <c r="G422" s="31">
        <f t="shared" si="110"/>
        <v>0</v>
      </c>
      <c r="H422" s="27"/>
      <c r="J422" s="27"/>
      <c r="K422" s="27"/>
      <c r="L422" s="27"/>
    </row>
    <row r="423" spans="1:12" s="32" customFormat="1" ht="12.75" x14ac:dyDescent="0.2">
      <c r="A423" s="27"/>
      <c r="B423" s="28"/>
      <c r="C423" s="27" t="s">
        <v>264</v>
      </c>
      <c r="D423" s="29">
        <f>'Surf '!DF40</f>
        <v>0</v>
      </c>
      <c r="E423" s="30" t="s">
        <v>2</v>
      </c>
      <c r="F423" s="30">
        <v>1000</v>
      </c>
      <c r="G423" s="31">
        <f t="shared" ref="G423" si="111">D423*F423</f>
        <v>0</v>
      </c>
      <c r="H423" s="27"/>
      <c r="J423" s="27"/>
      <c r="K423" s="27"/>
      <c r="L423" s="27"/>
    </row>
    <row r="424" spans="1:12" s="32" customFormat="1" ht="12.75" x14ac:dyDescent="0.2">
      <c r="A424" s="27"/>
      <c r="B424" s="28"/>
      <c r="C424" s="27" t="s">
        <v>425</v>
      </c>
      <c r="D424" s="29">
        <f>'Surf '!DH40</f>
        <v>0</v>
      </c>
      <c r="E424" s="30" t="s">
        <v>2</v>
      </c>
      <c r="F424" s="30">
        <v>1100</v>
      </c>
      <c r="G424" s="31">
        <f t="shared" ref="G424:G426" si="112">D424*F424</f>
        <v>0</v>
      </c>
      <c r="H424" s="27"/>
      <c r="J424" s="27"/>
      <c r="K424" s="27"/>
      <c r="L424" s="27"/>
    </row>
    <row r="425" spans="1:12" s="32" customFormat="1" ht="12.75" x14ac:dyDescent="0.2">
      <c r="A425" s="27"/>
      <c r="B425" s="28"/>
      <c r="C425" s="27" t="s">
        <v>225</v>
      </c>
      <c r="D425" s="29">
        <f>'Surf '!DJ40</f>
        <v>0</v>
      </c>
      <c r="E425" s="30" t="s">
        <v>2</v>
      </c>
      <c r="F425" s="30">
        <v>300</v>
      </c>
      <c r="G425" s="31">
        <f t="shared" si="112"/>
        <v>0</v>
      </c>
      <c r="H425" s="27"/>
      <c r="J425" s="27"/>
      <c r="K425" s="27"/>
      <c r="L425" s="27"/>
    </row>
    <row r="426" spans="1:12" s="32" customFormat="1" ht="12.75" x14ac:dyDescent="0.2">
      <c r="A426" s="27"/>
      <c r="B426" s="28"/>
      <c r="C426" s="27" t="s">
        <v>557</v>
      </c>
      <c r="D426" s="29"/>
      <c r="E426" s="30" t="s">
        <v>2</v>
      </c>
      <c r="F426" s="30">
        <v>60</v>
      </c>
      <c r="G426" s="31">
        <f t="shared" si="112"/>
        <v>0</v>
      </c>
      <c r="H426" s="27"/>
      <c r="J426" s="27"/>
      <c r="K426" s="27"/>
      <c r="L426" s="27"/>
    </row>
    <row r="427" spans="1:12" s="32" customFormat="1" ht="12.75" x14ac:dyDescent="0.2">
      <c r="A427" s="27"/>
      <c r="B427" s="28"/>
      <c r="C427" s="27" t="s">
        <v>223</v>
      </c>
      <c r="D427" s="29">
        <f>'Surf '!DI40</f>
        <v>0</v>
      </c>
      <c r="E427" s="30" t="s">
        <v>2</v>
      </c>
      <c r="F427" s="30">
        <v>460</v>
      </c>
      <c r="G427" s="31">
        <f t="shared" si="110"/>
        <v>0</v>
      </c>
      <c r="H427" s="27"/>
      <c r="J427" s="27"/>
      <c r="K427" s="27"/>
      <c r="L427" s="27"/>
    </row>
    <row r="428" spans="1:12" s="32" customFormat="1" ht="12.75" x14ac:dyDescent="0.2">
      <c r="A428" s="27"/>
      <c r="B428" s="28"/>
      <c r="C428" s="27" t="s">
        <v>119</v>
      </c>
      <c r="D428" s="29">
        <f>'Surf '!DK40</f>
        <v>0</v>
      </c>
      <c r="E428" s="30" t="s">
        <v>2</v>
      </c>
      <c r="F428" s="30">
        <v>520</v>
      </c>
      <c r="G428" s="31">
        <f t="shared" ref="G428" si="113">D428*F428</f>
        <v>0</v>
      </c>
      <c r="H428" s="27"/>
      <c r="J428" s="27"/>
      <c r="K428" s="27"/>
      <c r="L428" s="27"/>
    </row>
    <row r="429" spans="1:12" s="32" customFormat="1" ht="12.75" x14ac:dyDescent="0.2">
      <c r="A429" s="27"/>
      <c r="B429" s="28"/>
      <c r="C429" s="27" t="s">
        <v>267</v>
      </c>
      <c r="D429" s="29">
        <f>'Surf '!DM40</f>
        <v>0</v>
      </c>
      <c r="E429" s="30" t="s">
        <v>2</v>
      </c>
      <c r="F429" s="30">
        <v>580</v>
      </c>
      <c r="G429" s="31">
        <f t="shared" si="110"/>
        <v>0</v>
      </c>
      <c r="H429" s="27"/>
      <c r="J429" s="27"/>
      <c r="K429" s="27"/>
      <c r="L429" s="27"/>
    </row>
    <row r="430" spans="1:12" s="32" customFormat="1" ht="12.75" x14ac:dyDescent="0.2">
      <c r="A430" s="27"/>
      <c r="B430" s="28"/>
      <c r="C430" s="27" t="s">
        <v>581</v>
      </c>
      <c r="D430" s="29">
        <f>'Surf '!DO40</f>
        <v>0</v>
      </c>
      <c r="E430" s="30" t="s">
        <v>2</v>
      </c>
      <c r="F430" s="30">
        <v>850</v>
      </c>
      <c r="G430" s="31">
        <f t="shared" si="110"/>
        <v>0</v>
      </c>
      <c r="H430" s="27"/>
      <c r="J430" s="27"/>
      <c r="K430" s="27"/>
      <c r="L430" s="27"/>
    </row>
    <row r="431" spans="1:12" s="32" customFormat="1" ht="12.75" x14ac:dyDescent="0.2">
      <c r="A431" s="27"/>
      <c r="B431" s="28"/>
      <c r="C431" s="27" t="s">
        <v>578</v>
      </c>
      <c r="D431" s="29">
        <f>'Surf '!DN40</f>
        <v>2</v>
      </c>
      <c r="E431" s="30" t="s">
        <v>2</v>
      </c>
      <c r="F431" s="30">
        <v>1300</v>
      </c>
      <c r="G431" s="31">
        <f t="shared" ref="G431" si="114">D431*F431</f>
        <v>2600</v>
      </c>
      <c r="H431" s="27"/>
      <c r="J431" s="27"/>
      <c r="K431" s="27"/>
      <c r="L431" s="27"/>
    </row>
    <row r="432" spans="1:12" s="32" customFormat="1" ht="12.75" x14ac:dyDescent="0.2">
      <c r="A432" s="27"/>
      <c r="B432" s="28"/>
      <c r="C432" s="27" t="s">
        <v>525</v>
      </c>
      <c r="D432" s="29">
        <f>'Surf '!DL40</f>
        <v>0</v>
      </c>
      <c r="E432" s="30" t="s">
        <v>2</v>
      </c>
      <c r="F432" s="30">
        <v>950</v>
      </c>
      <c r="G432" s="31">
        <f t="shared" ref="G432" si="115">D432*F432</f>
        <v>0</v>
      </c>
      <c r="H432" s="27"/>
      <c r="J432" s="27"/>
      <c r="K432" s="27"/>
      <c r="L432" s="27"/>
    </row>
    <row r="433" spans="1:14" s="32" customFormat="1" ht="12.75" x14ac:dyDescent="0.2">
      <c r="A433" s="27"/>
      <c r="B433" s="28"/>
      <c r="C433" s="27" t="s">
        <v>432</v>
      </c>
      <c r="D433" s="29">
        <f>'Surf '!DC40</f>
        <v>0</v>
      </c>
      <c r="E433" s="30" t="s">
        <v>2</v>
      </c>
      <c r="F433" s="30">
        <v>750</v>
      </c>
      <c r="G433" s="31">
        <f t="shared" ref="G433" si="116">D433*F433</f>
        <v>0</v>
      </c>
      <c r="H433" s="27"/>
      <c r="J433" s="27"/>
      <c r="K433" s="27"/>
      <c r="L433" s="27"/>
    </row>
    <row r="434" spans="1:14" s="32" customFormat="1" x14ac:dyDescent="0.25">
      <c r="A434" s="27"/>
      <c r="B434" s="28"/>
      <c r="C434" s="27" t="s">
        <v>69</v>
      </c>
      <c r="D434" s="29">
        <f>'Surf '!DX40</f>
        <v>0</v>
      </c>
      <c r="E434" s="30" t="s">
        <v>2</v>
      </c>
      <c r="F434" s="30">
        <v>1000</v>
      </c>
      <c r="G434" s="31">
        <f>D434*F434</f>
        <v>0</v>
      </c>
      <c r="H434" s="27"/>
      <c r="I434" s="2"/>
      <c r="J434" s="3"/>
      <c r="K434" s="3"/>
      <c r="L434" s="3"/>
      <c r="M434" s="57"/>
      <c r="N434" s="57"/>
    </row>
    <row r="435" spans="1:14" s="32" customFormat="1" x14ac:dyDescent="0.25">
      <c r="A435" s="27"/>
      <c r="B435" s="28"/>
      <c r="C435" s="27" t="s">
        <v>629</v>
      </c>
      <c r="D435" s="29">
        <f>'Surf '!DY40</f>
        <v>0</v>
      </c>
      <c r="E435" s="30" t="s">
        <v>2</v>
      </c>
      <c r="F435" s="30">
        <v>1300</v>
      </c>
      <c r="G435" s="31">
        <f>D435*F435</f>
        <v>0</v>
      </c>
      <c r="H435" s="27"/>
      <c r="I435" s="2"/>
      <c r="J435" s="3"/>
      <c r="K435" s="3"/>
      <c r="L435" s="3"/>
      <c r="M435" s="57"/>
      <c r="N435" s="57"/>
    </row>
    <row r="436" spans="1:14" s="32" customFormat="1" ht="12.75" x14ac:dyDescent="0.2">
      <c r="A436" s="27"/>
      <c r="B436" s="28"/>
      <c r="C436" s="27" t="s">
        <v>524</v>
      </c>
      <c r="D436" s="29">
        <f>'Surf '!DQ40</f>
        <v>0</v>
      </c>
      <c r="E436" s="30" t="s">
        <v>2</v>
      </c>
      <c r="F436" s="30">
        <v>2500</v>
      </c>
      <c r="G436" s="31">
        <f t="shared" si="110"/>
        <v>0</v>
      </c>
      <c r="H436" s="27"/>
      <c r="J436" s="27"/>
      <c r="K436" s="27"/>
      <c r="L436" s="27"/>
    </row>
    <row r="437" spans="1:14" s="32" customFormat="1" ht="12.75" x14ac:dyDescent="0.2">
      <c r="A437" s="27"/>
      <c r="B437" s="28"/>
      <c r="C437" s="27" t="s">
        <v>430</v>
      </c>
      <c r="D437" s="29">
        <f>'Surf '!DP40</f>
        <v>0</v>
      </c>
      <c r="E437" s="30" t="s">
        <v>2</v>
      </c>
      <c r="F437" s="30">
        <v>3000</v>
      </c>
      <c r="G437" s="31">
        <f t="shared" si="110"/>
        <v>0</v>
      </c>
      <c r="H437" s="27"/>
      <c r="J437" s="27"/>
      <c r="K437" s="27"/>
      <c r="L437" s="27"/>
    </row>
    <row r="438" spans="1:14" s="32" customFormat="1" ht="12.75" x14ac:dyDescent="0.2">
      <c r="A438" s="27"/>
      <c r="B438" s="28"/>
      <c r="C438" s="27" t="s">
        <v>227</v>
      </c>
      <c r="D438" s="29">
        <f>'Surf '!DR40</f>
        <v>0</v>
      </c>
      <c r="E438" s="30" t="s">
        <v>2</v>
      </c>
      <c r="F438" s="30">
        <v>2500</v>
      </c>
      <c r="G438" s="31">
        <f t="shared" ref="G438" si="117">D438*F438</f>
        <v>0</v>
      </c>
      <c r="H438" s="27"/>
      <c r="J438" s="27"/>
      <c r="K438" s="27"/>
      <c r="L438" s="27"/>
    </row>
    <row r="439" spans="1:14" s="32" customFormat="1" ht="12.75" x14ac:dyDescent="0.2">
      <c r="A439" s="27"/>
      <c r="B439" s="28"/>
      <c r="C439" s="27" t="s">
        <v>208</v>
      </c>
      <c r="D439" s="35">
        <f>'Surf '!DS40</f>
        <v>0</v>
      </c>
      <c r="E439" s="30" t="s">
        <v>2</v>
      </c>
      <c r="F439" s="30">
        <v>125</v>
      </c>
      <c r="G439" s="31">
        <f t="shared" si="110"/>
        <v>0</v>
      </c>
      <c r="H439" s="27"/>
      <c r="J439" s="27"/>
      <c r="K439" s="27"/>
      <c r="L439" s="27"/>
    </row>
    <row r="440" spans="1:14" s="32" customFormat="1" ht="12.75" x14ac:dyDescent="0.2">
      <c r="A440" s="27"/>
      <c r="B440" s="28"/>
      <c r="C440" s="27" t="s">
        <v>560</v>
      </c>
      <c r="D440" s="35"/>
      <c r="E440" s="30"/>
      <c r="F440" s="30"/>
      <c r="G440" s="31"/>
      <c r="H440" s="27"/>
      <c r="J440" s="27"/>
      <c r="K440" s="27"/>
      <c r="L440" s="27"/>
    </row>
    <row r="441" spans="1:14" s="32" customFormat="1" ht="12.75" x14ac:dyDescent="0.2">
      <c r="A441" s="27"/>
      <c r="B441" s="28"/>
      <c r="C441" s="27" t="s">
        <v>557</v>
      </c>
      <c r="D441" s="29">
        <f>'Surf '!DV40</f>
        <v>0</v>
      </c>
      <c r="E441" s="30" t="s">
        <v>2</v>
      </c>
      <c r="F441" s="30">
        <v>60</v>
      </c>
      <c r="G441" s="31">
        <f t="shared" ref="G441" si="118">D441*F441</f>
        <v>0</v>
      </c>
      <c r="H441" s="27"/>
      <c r="J441" s="27"/>
      <c r="K441" s="27"/>
      <c r="L441" s="27"/>
    </row>
    <row r="442" spans="1:14" s="32" customFormat="1" ht="12.75" x14ac:dyDescent="0.2">
      <c r="A442" s="27"/>
      <c r="B442" s="28"/>
      <c r="C442" s="27" t="s">
        <v>145</v>
      </c>
      <c r="D442" s="35">
        <f>'Surf '!DW40</f>
        <v>0</v>
      </c>
      <c r="E442" s="30" t="s">
        <v>56</v>
      </c>
      <c r="F442" s="30">
        <v>500</v>
      </c>
      <c r="G442" s="31">
        <f t="shared" ref="G442" si="119">D442*F442</f>
        <v>0</v>
      </c>
      <c r="H442" s="27">
        <f>3.25*2.1*F442</f>
        <v>3412.5</v>
      </c>
      <c r="J442" s="27"/>
      <c r="K442" s="27"/>
      <c r="L442" s="27"/>
    </row>
    <row r="443" spans="1:14" s="32" customFormat="1" ht="12.75" x14ac:dyDescent="0.2">
      <c r="A443" s="27"/>
      <c r="B443" s="28"/>
      <c r="C443" s="27" t="s">
        <v>280</v>
      </c>
      <c r="D443" s="29">
        <f>'Surf '!DZ40</f>
        <v>0</v>
      </c>
      <c r="E443" s="30" t="s">
        <v>2</v>
      </c>
      <c r="F443" s="30">
        <v>50</v>
      </c>
      <c r="G443" s="31">
        <f t="shared" si="110"/>
        <v>0</v>
      </c>
      <c r="H443" s="27"/>
      <c r="J443" s="27"/>
      <c r="K443" s="27"/>
      <c r="L443" s="27"/>
    </row>
    <row r="444" spans="1:14" s="32" customFormat="1" ht="12.75" x14ac:dyDescent="0.2">
      <c r="A444" s="27"/>
      <c r="B444" s="28"/>
      <c r="C444" s="27" t="s">
        <v>279</v>
      </c>
      <c r="D444" s="29">
        <f>'Surf '!EA40</f>
        <v>0</v>
      </c>
      <c r="E444" s="30" t="s">
        <v>2</v>
      </c>
      <c r="F444" s="30">
        <v>55</v>
      </c>
      <c r="G444" s="31">
        <f t="shared" ref="G444" si="120">D444*F444</f>
        <v>0</v>
      </c>
      <c r="H444" s="27"/>
      <c r="J444" s="27"/>
      <c r="K444" s="27"/>
      <c r="L444" s="27"/>
    </row>
    <row r="445" spans="1:14" s="32" customFormat="1" ht="12.75" x14ac:dyDescent="0.2">
      <c r="A445" s="27"/>
      <c r="B445" s="28"/>
      <c r="C445" s="27" t="s">
        <v>96</v>
      </c>
      <c r="D445" s="29">
        <f>SUM(D446:D452)</f>
        <v>3</v>
      </c>
      <c r="E445" s="30" t="s">
        <v>2</v>
      </c>
      <c r="F445" s="30">
        <v>10</v>
      </c>
      <c r="G445" s="31">
        <f t="shared" si="110"/>
        <v>30</v>
      </c>
      <c r="H445" s="27"/>
      <c r="I445" s="165"/>
      <c r="J445" s="27"/>
      <c r="K445" s="27"/>
      <c r="L445" s="27"/>
    </row>
    <row r="446" spans="1:14" s="32" customFormat="1" ht="12.75" x14ac:dyDescent="0.2">
      <c r="A446" s="27"/>
      <c r="B446" s="28"/>
      <c r="C446" s="27" t="s">
        <v>146</v>
      </c>
      <c r="D446" s="29">
        <f>'Surf '!EB40</f>
        <v>2</v>
      </c>
      <c r="E446" s="30" t="s">
        <v>2</v>
      </c>
      <c r="F446" s="30">
        <v>55</v>
      </c>
      <c r="G446" s="31">
        <f t="shared" ref="G446:G454" si="121">D446*F446</f>
        <v>110</v>
      </c>
      <c r="H446" s="27"/>
      <c r="I446" s="165"/>
      <c r="J446" s="27"/>
      <c r="K446" s="27"/>
      <c r="L446" s="27"/>
    </row>
    <row r="447" spans="1:14" s="32" customFormat="1" ht="12.75" x14ac:dyDescent="0.2">
      <c r="A447" s="27"/>
      <c r="B447" s="28"/>
      <c r="C447" s="27" t="s">
        <v>232</v>
      </c>
      <c r="D447" s="29">
        <f>'Surf '!EC40</f>
        <v>1</v>
      </c>
      <c r="E447" s="30" t="s">
        <v>2</v>
      </c>
      <c r="F447" s="30">
        <v>50</v>
      </c>
      <c r="G447" s="31">
        <f t="shared" si="121"/>
        <v>50</v>
      </c>
      <c r="H447" s="27"/>
      <c r="I447" s="165"/>
      <c r="J447" s="27"/>
      <c r="K447" s="27"/>
      <c r="L447" s="27"/>
    </row>
    <row r="448" spans="1:14" s="32" customFormat="1" ht="12.75" x14ac:dyDescent="0.2">
      <c r="A448" s="27"/>
      <c r="B448" s="28"/>
      <c r="C448" s="27" t="s">
        <v>230</v>
      </c>
      <c r="D448" s="29">
        <f>'Surf '!ED40</f>
        <v>0</v>
      </c>
      <c r="E448" s="30" t="s">
        <v>2</v>
      </c>
      <c r="F448" s="30">
        <v>150</v>
      </c>
      <c r="G448" s="31">
        <f t="shared" si="121"/>
        <v>0</v>
      </c>
      <c r="H448" s="37"/>
      <c r="I448" s="165"/>
      <c r="J448" s="27"/>
      <c r="K448" s="27"/>
      <c r="L448" s="27"/>
    </row>
    <row r="449" spans="1:12" s="32" customFormat="1" ht="12.75" x14ac:dyDescent="0.2">
      <c r="A449" s="27"/>
      <c r="B449" s="28"/>
      <c r="C449" s="27" t="s">
        <v>290</v>
      </c>
      <c r="D449" s="29">
        <f>'Surf '!EE40</f>
        <v>0</v>
      </c>
      <c r="E449" s="30" t="s">
        <v>2</v>
      </c>
      <c r="F449" s="30">
        <v>150</v>
      </c>
      <c r="G449" s="31">
        <f t="shared" ref="G449:G450" si="122">D449*F449</f>
        <v>0</v>
      </c>
      <c r="H449" s="37"/>
      <c r="I449" s="165"/>
      <c r="J449" s="27"/>
      <c r="K449" s="27"/>
      <c r="L449" s="27"/>
    </row>
    <row r="450" spans="1:12" s="32" customFormat="1" ht="12.75" x14ac:dyDescent="0.2">
      <c r="A450" s="27"/>
      <c r="B450" s="28"/>
      <c r="C450" s="27" t="s">
        <v>291</v>
      </c>
      <c r="D450" s="29">
        <f>'Surf '!EF40</f>
        <v>0</v>
      </c>
      <c r="E450" s="30" t="s">
        <v>2</v>
      </c>
      <c r="F450" s="30">
        <v>150</v>
      </c>
      <c r="G450" s="31">
        <f t="shared" si="122"/>
        <v>0</v>
      </c>
      <c r="H450" s="37"/>
      <c r="I450" s="165"/>
      <c r="J450" s="27"/>
      <c r="K450" s="27"/>
      <c r="L450" s="27"/>
    </row>
    <row r="451" spans="1:12" s="32" customFormat="1" ht="12.75" x14ac:dyDescent="0.2">
      <c r="A451" s="27"/>
      <c r="B451" s="28"/>
      <c r="C451" s="27" t="s">
        <v>231</v>
      </c>
      <c r="D451" s="29">
        <f>'Surf '!EG40</f>
        <v>0</v>
      </c>
      <c r="E451" s="30" t="s">
        <v>2</v>
      </c>
      <c r="F451" s="30">
        <v>1800</v>
      </c>
      <c r="G451" s="31">
        <f t="shared" ref="G451" si="123">D451*F451</f>
        <v>0</v>
      </c>
      <c r="H451" s="37"/>
      <c r="I451" s="165"/>
      <c r="J451" s="27"/>
      <c r="K451" s="27"/>
      <c r="L451" s="27"/>
    </row>
    <row r="452" spans="1:12" s="32" customFormat="1" ht="12.75" x14ac:dyDescent="0.2">
      <c r="A452" s="27"/>
      <c r="B452" s="28"/>
      <c r="C452" s="27" t="s">
        <v>215</v>
      </c>
      <c r="D452" s="29">
        <f>'Surf '!EH40</f>
        <v>0</v>
      </c>
      <c r="E452" s="30" t="s">
        <v>2</v>
      </c>
      <c r="F452" s="30">
        <v>60</v>
      </c>
      <c r="G452" s="31">
        <f t="shared" si="121"/>
        <v>0</v>
      </c>
      <c r="H452" s="37"/>
      <c r="I452" s="165"/>
      <c r="J452" s="27"/>
      <c r="K452" s="27"/>
      <c r="L452" s="27"/>
    </row>
    <row r="453" spans="1:12" s="32" customFormat="1" ht="12.75" x14ac:dyDescent="0.2">
      <c r="A453" s="27"/>
      <c r="B453" s="28"/>
      <c r="C453" s="27" t="s">
        <v>436</v>
      </c>
      <c r="D453" s="29">
        <f>'Surf '!AG40</f>
        <v>0</v>
      </c>
      <c r="E453" s="30" t="s">
        <v>0</v>
      </c>
      <c r="F453" s="30">
        <v>750</v>
      </c>
      <c r="G453" s="31">
        <f t="shared" si="121"/>
        <v>0</v>
      </c>
      <c r="H453" s="27"/>
      <c r="K453" s="27"/>
      <c r="L453" s="27"/>
    </row>
    <row r="454" spans="1:12" s="32" customFormat="1" ht="12.75" x14ac:dyDescent="0.2">
      <c r="A454" s="27"/>
      <c r="B454" s="28"/>
      <c r="C454" s="27" t="s">
        <v>437</v>
      </c>
      <c r="D454" s="29">
        <f>'Surf '!AH40</f>
        <v>0</v>
      </c>
      <c r="E454" s="30" t="s">
        <v>0</v>
      </c>
      <c r="F454" s="30">
        <v>500</v>
      </c>
      <c r="G454" s="31">
        <f t="shared" si="121"/>
        <v>0</v>
      </c>
      <c r="H454" s="27"/>
      <c r="K454" s="27"/>
      <c r="L454" s="27"/>
    </row>
    <row r="455" spans="1:12" s="32" customFormat="1" ht="12.75" x14ac:dyDescent="0.2">
      <c r="A455" s="27"/>
      <c r="B455" s="28"/>
      <c r="C455" s="27" t="s">
        <v>221</v>
      </c>
      <c r="D455" s="29">
        <f>'Surf '!EJ42</f>
        <v>0</v>
      </c>
      <c r="E455" s="30" t="s">
        <v>56</v>
      </c>
      <c r="F455" s="30">
        <v>250</v>
      </c>
      <c r="G455" s="31">
        <f t="shared" si="110"/>
        <v>0</v>
      </c>
      <c r="H455" s="27"/>
      <c r="L455" s="27"/>
    </row>
    <row r="456" spans="1:12" s="32" customFormat="1" ht="12.75" x14ac:dyDescent="0.2">
      <c r="A456" s="27"/>
      <c r="B456" s="28"/>
      <c r="C456" s="27" t="s">
        <v>612</v>
      </c>
      <c r="D456" s="29">
        <f>'Surf '!EN42</f>
        <v>0</v>
      </c>
      <c r="E456" s="30" t="s">
        <v>56</v>
      </c>
      <c r="F456" s="30">
        <v>150</v>
      </c>
      <c r="G456" s="31">
        <f t="shared" ref="G456" si="124">D456*F456</f>
        <v>0</v>
      </c>
      <c r="H456" s="27"/>
      <c r="L456" s="27"/>
    </row>
    <row r="457" spans="1:12" s="32" customFormat="1" ht="12.75" x14ac:dyDescent="0.2">
      <c r="A457" s="27"/>
      <c r="B457" s="28"/>
      <c r="C457" s="27" t="s">
        <v>285</v>
      </c>
      <c r="D457" s="29">
        <f>'Surf '!EW40</f>
        <v>0</v>
      </c>
      <c r="E457" s="30" t="s">
        <v>56</v>
      </c>
      <c r="F457" s="30">
        <v>150</v>
      </c>
      <c r="G457" s="31">
        <f t="shared" ref="G457" si="125">D457*F457</f>
        <v>0</v>
      </c>
      <c r="H457" s="27"/>
      <c r="K457" s="27"/>
      <c r="L457" s="27"/>
    </row>
    <row r="458" spans="1:12" s="32" customFormat="1" ht="12.75" x14ac:dyDescent="0.2">
      <c r="A458" s="27"/>
      <c r="B458" s="28"/>
      <c r="C458" s="27" t="s">
        <v>726</v>
      </c>
      <c r="D458" s="29">
        <f>'Surf '!EX40</f>
        <v>0</v>
      </c>
      <c r="E458" s="30" t="s">
        <v>0</v>
      </c>
      <c r="F458" s="30">
        <v>1000</v>
      </c>
      <c r="G458" s="31">
        <f t="shared" ref="G458" si="126">D458*F458</f>
        <v>0</v>
      </c>
      <c r="H458" s="27"/>
      <c r="K458" s="27"/>
      <c r="L458" s="27"/>
    </row>
    <row r="459" spans="1:12" s="32" customFormat="1" ht="12.75" x14ac:dyDescent="0.2">
      <c r="A459" s="27"/>
      <c r="B459" s="28"/>
      <c r="C459" s="27" t="s">
        <v>276</v>
      </c>
      <c r="D459" s="31">
        <f>'Surf '!FA40</f>
        <v>0</v>
      </c>
      <c r="E459" s="30" t="s">
        <v>0</v>
      </c>
      <c r="F459" s="30">
        <v>150</v>
      </c>
      <c r="G459" s="31">
        <f t="shared" si="110"/>
        <v>0</v>
      </c>
      <c r="H459" s="27"/>
      <c r="K459" s="27"/>
      <c r="L459" s="27"/>
    </row>
    <row r="460" spans="1:12" s="32" customFormat="1" ht="12.75" x14ac:dyDescent="0.2">
      <c r="A460" s="27"/>
      <c r="B460" s="28"/>
      <c r="C460" s="27" t="s">
        <v>521</v>
      </c>
      <c r="D460" s="31">
        <f>'Surf '!FC40</f>
        <v>0</v>
      </c>
      <c r="E460" s="30" t="s">
        <v>0</v>
      </c>
      <c r="F460" s="30">
        <v>800</v>
      </c>
      <c r="G460" s="31">
        <f t="shared" ref="G460:G462" si="127">D460*F460</f>
        <v>0</v>
      </c>
      <c r="H460" s="27"/>
      <c r="I460" s="32" t="s">
        <v>724</v>
      </c>
      <c r="K460" s="27"/>
      <c r="L460" s="27"/>
    </row>
    <row r="461" spans="1:12" s="32" customFormat="1" ht="12.75" x14ac:dyDescent="0.2">
      <c r="A461" s="27"/>
      <c r="B461" s="28"/>
      <c r="C461" s="27" t="s">
        <v>725</v>
      </c>
      <c r="D461" s="31">
        <f>'Surf '!FB40</f>
        <v>0</v>
      </c>
      <c r="E461" s="30" t="s">
        <v>0</v>
      </c>
      <c r="F461" s="30">
        <v>500</v>
      </c>
      <c r="G461" s="31">
        <f t="shared" si="127"/>
        <v>0</v>
      </c>
      <c r="H461" s="27"/>
      <c r="I461" s="32">
        <f>(2+4.05+1.05)*1.1+1*0.8</f>
        <v>8.6100000000000012</v>
      </c>
      <c r="K461" s="27"/>
      <c r="L461" s="27"/>
    </row>
    <row r="462" spans="1:12" s="32" customFormat="1" ht="12.75" x14ac:dyDescent="0.2">
      <c r="A462" s="27"/>
      <c r="B462" s="28"/>
      <c r="C462" s="27" t="s">
        <v>408</v>
      </c>
      <c r="D462" s="31">
        <f>'Surf '!FD40</f>
        <v>0</v>
      </c>
      <c r="E462" s="30" t="s">
        <v>2</v>
      </c>
      <c r="F462" s="30"/>
      <c r="G462" s="31">
        <f t="shared" si="127"/>
        <v>0</v>
      </c>
      <c r="H462" s="27"/>
      <c r="K462" s="27"/>
      <c r="L462" s="27"/>
    </row>
    <row r="463" spans="1:12" s="32" customFormat="1" ht="12.75" x14ac:dyDescent="0.2">
      <c r="A463" s="27"/>
      <c r="B463" s="28"/>
      <c r="C463" s="27" t="s">
        <v>70</v>
      </c>
      <c r="D463" s="29">
        <f>'Surf '!FE40*2.5</f>
        <v>0</v>
      </c>
      <c r="E463" s="30" t="s">
        <v>56</v>
      </c>
      <c r="F463" s="30">
        <v>250</v>
      </c>
      <c r="G463" s="31">
        <f t="shared" si="110"/>
        <v>0</v>
      </c>
      <c r="H463" s="27"/>
      <c r="J463" s="27"/>
      <c r="K463" s="27"/>
      <c r="L463" s="27"/>
    </row>
    <row r="464" spans="1:12" s="32" customFormat="1" ht="12.75" x14ac:dyDescent="0.2">
      <c r="A464" s="27"/>
      <c r="B464" s="28"/>
      <c r="C464" s="27" t="s">
        <v>147</v>
      </c>
      <c r="D464" s="29">
        <f>'Surf '!FM40</f>
        <v>0</v>
      </c>
      <c r="E464" s="30" t="s">
        <v>56</v>
      </c>
      <c r="F464" s="30">
        <v>300</v>
      </c>
      <c r="G464" s="31">
        <f t="shared" si="110"/>
        <v>0</v>
      </c>
      <c r="H464" s="27"/>
      <c r="J464" s="27"/>
      <c r="K464" s="27"/>
      <c r="L464" s="27"/>
    </row>
    <row r="465" spans="1:12" s="32" customFormat="1" ht="12.75" x14ac:dyDescent="0.2">
      <c r="A465" s="27"/>
      <c r="B465" s="28"/>
      <c r="C465" s="27" t="s">
        <v>333</v>
      </c>
      <c r="D465" s="29">
        <f>'Surf '!FS40</f>
        <v>0</v>
      </c>
      <c r="E465" s="30" t="s">
        <v>56</v>
      </c>
      <c r="F465" s="30">
        <v>500</v>
      </c>
      <c r="G465" s="31">
        <f t="shared" ref="G465:G466" si="128">D465*F465</f>
        <v>0</v>
      </c>
      <c r="H465" s="27"/>
      <c r="J465" s="27"/>
      <c r="K465" s="27"/>
      <c r="L465" s="27"/>
    </row>
    <row r="466" spans="1:12" s="32" customFormat="1" ht="12.75" x14ac:dyDescent="0.2">
      <c r="A466" s="27"/>
      <c r="B466" s="28"/>
      <c r="C466" s="27" t="s">
        <v>360</v>
      </c>
      <c r="D466" s="29">
        <f>'Surf '!BN40</f>
        <v>0</v>
      </c>
      <c r="E466" s="30" t="s">
        <v>1</v>
      </c>
      <c r="F466" s="30">
        <v>210</v>
      </c>
      <c r="G466" s="31">
        <f t="shared" si="128"/>
        <v>0</v>
      </c>
      <c r="H466" s="27"/>
      <c r="J466" s="27"/>
      <c r="K466" s="27"/>
      <c r="L466" s="27"/>
    </row>
    <row r="467" spans="1:12" s="32" customFormat="1" ht="12.75" x14ac:dyDescent="0.2">
      <c r="A467" s="27"/>
      <c r="B467" s="28"/>
      <c r="C467" s="27" t="s">
        <v>334</v>
      </c>
      <c r="D467" s="29">
        <f>'Surf '!HL40</f>
        <v>0</v>
      </c>
      <c r="E467" s="30" t="s">
        <v>56</v>
      </c>
      <c r="F467" s="30">
        <v>250</v>
      </c>
      <c r="G467" s="31">
        <f t="shared" ref="G467" si="129">D467*F467</f>
        <v>0</v>
      </c>
      <c r="H467" s="27"/>
      <c r="J467" s="27"/>
      <c r="K467" s="27"/>
      <c r="L467" s="27"/>
    </row>
    <row r="468" spans="1:12" s="27" customFormat="1" ht="12.75" x14ac:dyDescent="0.2">
      <c r="B468" s="28"/>
      <c r="C468" s="27" t="s">
        <v>428</v>
      </c>
      <c r="D468" s="35">
        <f>+'Surf '!CR40</f>
        <v>0</v>
      </c>
      <c r="E468" s="30" t="s">
        <v>56</v>
      </c>
      <c r="F468" s="30">
        <v>150</v>
      </c>
      <c r="G468" s="31">
        <f>D468*F468</f>
        <v>0</v>
      </c>
      <c r="I468" s="32"/>
    </row>
    <row r="469" spans="1:12" s="27" customFormat="1" ht="12.75" x14ac:dyDescent="0.2">
      <c r="B469" s="28"/>
      <c r="C469" s="27" t="s">
        <v>72</v>
      </c>
      <c r="D469" s="35">
        <f>'Surf '!EY40</f>
        <v>0</v>
      </c>
      <c r="E469" s="30" t="s">
        <v>0</v>
      </c>
      <c r="F469" s="30">
        <v>300</v>
      </c>
      <c r="G469" s="31">
        <f t="shared" si="110"/>
        <v>0</v>
      </c>
      <c r="I469" s="32"/>
      <c r="L469" s="39"/>
    </row>
    <row r="470" spans="1:12" s="27" customFormat="1" ht="12.75" x14ac:dyDescent="0.2">
      <c r="B470" s="28"/>
      <c r="C470" s="27" t="s">
        <v>556</v>
      </c>
      <c r="D470" s="35"/>
      <c r="E470" s="30"/>
      <c r="F470" s="30"/>
      <c r="G470" s="31"/>
      <c r="I470" s="32"/>
      <c r="L470" s="39"/>
    </row>
    <row r="471" spans="1:12" s="27" customFormat="1" ht="12.75" x14ac:dyDescent="0.2">
      <c r="B471" s="28"/>
      <c r="C471" s="27" t="s">
        <v>557</v>
      </c>
      <c r="D471" s="35"/>
      <c r="E471" s="30" t="s">
        <v>1</v>
      </c>
      <c r="F471" s="30">
        <v>15</v>
      </c>
      <c r="G471" s="31">
        <f t="shared" ref="G471" si="130">D471*F471</f>
        <v>0</v>
      </c>
      <c r="H471" s="37"/>
      <c r="I471" s="32"/>
      <c r="L471" s="39"/>
    </row>
    <row r="472" spans="1:12" s="27" customFormat="1" ht="12.75" x14ac:dyDescent="0.2">
      <c r="B472" s="28"/>
      <c r="C472" s="27" t="s">
        <v>422</v>
      </c>
      <c r="D472" s="35">
        <f>'Surf '!Y40</f>
        <v>0</v>
      </c>
      <c r="E472" s="30" t="s">
        <v>1</v>
      </c>
      <c r="F472" s="30">
        <v>50</v>
      </c>
      <c r="G472" s="31">
        <f t="shared" si="110"/>
        <v>0</v>
      </c>
      <c r="I472" s="32"/>
      <c r="L472" s="39"/>
    </row>
    <row r="473" spans="1:12" s="27" customFormat="1" ht="12.75" x14ac:dyDescent="0.2">
      <c r="B473" s="28"/>
      <c r="C473" s="27" t="s">
        <v>558</v>
      </c>
      <c r="D473" s="35"/>
      <c r="E473" s="30" t="s">
        <v>273</v>
      </c>
      <c r="F473" s="30">
        <v>1500</v>
      </c>
      <c r="G473" s="31">
        <f t="shared" ref="G473" si="131">D473*F473</f>
        <v>0</v>
      </c>
      <c r="I473" s="32"/>
      <c r="L473" s="39"/>
    </row>
    <row r="474" spans="1:12" s="27" customFormat="1" ht="6" customHeight="1" x14ac:dyDescent="0.2">
      <c r="B474" s="28"/>
      <c r="D474" s="35"/>
      <c r="E474" s="30"/>
      <c r="F474" s="30"/>
      <c r="G474" s="31"/>
      <c r="I474" s="32"/>
      <c r="L474" s="39"/>
    </row>
    <row r="475" spans="1:12" s="27" customFormat="1" ht="12.75" x14ac:dyDescent="0.2">
      <c r="B475" s="28"/>
      <c r="C475" s="27" t="s">
        <v>71</v>
      </c>
      <c r="D475" s="35">
        <f>'Surf '!R40</f>
        <v>0</v>
      </c>
      <c r="E475" s="30" t="s">
        <v>1</v>
      </c>
      <c r="F475" s="30">
        <v>160</v>
      </c>
      <c r="G475" s="31">
        <f t="shared" ref="G475" si="132">D475*F475</f>
        <v>0</v>
      </c>
      <c r="I475" s="32"/>
      <c r="L475" s="39"/>
    </row>
    <row r="476" spans="1:12" s="27" customFormat="1" ht="12.75" x14ac:dyDescent="0.2">
      <c r="B476" s="28"/>
      <c r="C476" s="27" t="s">
        <v>361</v>
      </c>
      <c r="D476" s="35">
        <f>'Surf '!S40</f>
        <v>0</v>
      </c>
      <c r="E476" s="30" t="s">
        <v>1</v>
      </c>
      <c r="F476" s="30">
        <f>250+50</f>
        <v>300</v>
      </c>
      <c r="G476" s="31">
        <f t="shared" ref="G476" si="133">D476*F476</f>
        <v>0</v>
      </c>
      <c r="H476" s="37"/>
      <c r="I476" s="32"/>
      <c r="L476" s="39"/>
    </row>
    <row r="477" spans="1:12" s="27" customFormat="1" ht="12.75" x14ac:dyDescent="0.2">
      <c r="B477" s="28"/>
      <c r="C477" s="27" t="s">
        <v>149</v>
      </c>
      <c r="D477" s="29">
        <f>'Surf '!HB40</f>
        <v>0</v>
      </c>
      <c r="E477" s="30" t="s">
        <v>2</v>
      </c>
      <c r="F477" s="30">
        <v>25</v>
      </c>
      <c r="G477" s="31">
        <f t="shared" ref="G477:G483" si="134">D477*F477</f>
        <v>0</v>
      </c>
      <c r="I477" s="32"/>
    </row>
    <row r="478" spans="1:12" s="27" customFormat="1" ht="12.75" x14ac:dyDescent="0.2">
      <c r="B478" s="28"/>
      <c r="C478" s="27" t="s">
        <v>266</v>
      </c>
      <c r="D478" s="29">
        <f>'Surf '!HC40</f>
        <v>0</v>
      </c>
      <c r="E478" s="30" t="s">
        <v>2</v>
      </c>
      <c r="F478" s="30">
        <v>25</v>
      </c>
      <c r="G478" s="31">
        <f t="shared" ref="G478" si="135">D478*F478</f>
        <v>0</v>
      </c>
      <c r="I478" s="32"/>
    </row>
    <row r="479" spans="1:12" s="27" customFormat="1" ht="12.75" x14ac:dyDescent="0.2">
      <c r="B479" s="28"/>
      <c r="C479" s="27" t="s">
        <v>150</v>
      </c>
      <c r="D479" s="29">
        <f>'Surf '!HA40</f>
        <v>0</v>
      </c>
      <c r="E479" s="30" t="s">
        <v>2</v>
      </c>
      <c r="F479" s="30">
        <v>25</v>
      </c>
      <c r="G479" s="31">
        <f t="shared" ref="G479" si="136">D479*F479</f>
        <v>0</v>
      </c>
      <c r="I479" s="32"/>
    </row>
    <row r="480" spans="1:12" s="27" customFormat="1" ht="12.75" x14ac:dyDescent="0.2">
      <c r="B480" s="28"/>
      <c r="C480" s="27" t="s">
        <v>411</v>
      </c>
      <c r="D480" s="35">
        <f>'Surf '!ET40</f>
        <v>0.87</v>
      </c>
      <c r="E480" s="30" t="s">
        <v>0</v>
      </c>
      <c r="F480" s="30">
        <v>40</v>
      </c>
      <c r="G480" s="31">
        <f t="shared" si="134"/>
        <v>34.799999999999997</v>
      </c>
      <c r="I480" s="32"/>
    </row>
    <row r="481" spans="2:9" s="27" customFormat="1" ht="12.75" x14ac:dyDescent="0.2">
      <c r="B481" s="28"/>
      <c r="C481" s="27" t="s">
        <v>412</v>
      </c>
      <c r="D481" s="35">
        <f>'Surf '!EU40</f>
        <v>0</v>
      </c>
      <c r="E481" s="30" t="s">
        <v>0</v>
      </c>
      <c r="F481" s="30">
        <v>90</v>
      </c>
      <c r="G481" s="31">
        <f t="shared" ref="G481" si="137">D481*F481</f>
        <v>0</v>
      </c>
      <c r="I481" s="32"/>
    </row>
    <row r="482" spans="2:9" s="27" customFormat="1" ht="12.75" x14ac:dyDescent="0.2">
      <c r="B482" s="28"/>
      <c r="C482" s="27" t="s">
        <v>73</v>
      </c>
      <c r="D482" s="29">
        <f>'Surf '!L40</f>
        <v>43.379999999999995</v>
      </c>
      <c r="E482" s="30" t="s">
        <v>0</v>
      </c>
      <c r="F482" s="30">
        <v>8</v>
      </c>
      <c r="G482" s="31">
        <f t="shared" si="134"/>
        <v>347.03999999999996</v>
      </c>
      <c r="I482" s="32"/>
    </row>
    <row r="483" spans="2:9" s="27" customFormat="1" ht="12.75" x14ac:dyDescent="0.2">
      <c r="B483" s="28"/>
      <c r="C483" s="27" t="s">
        <v>74</v>
      </c>
      <c r="D483" s="29">
        <f>'Surf '!FF40</f>
        <v>0</v>
      </c>
      <c r="E483" s="30" t="s">
        <v>2</v>
      </c>
      <c r="F483" s="30">
        <v>100</v>
      </c>
      <c r="G483" s="31">
        <f t="shared" si="134"/>
        <v>0</v>
      </c>
      <c r="H483" s="37"/>
      <c r="I483" s="32"/>
    </row>
    <row r="484" spans="2:9" s="27" customFormat="1" ht="12.75" x14ac:dyDescent="0.2">
      <c r="B484" s="28"/>
      <c r="C484" s="27" t="s">
        <v>173</v>
      </c>
      <c r="D484" s="29">
        <f>'Surf '!ES40</f>
        <v>0</v>
      </c>
      <c r="E484" s="30" t="s">
        <v>0</v>
      </c>
      <c r="F484" s="30">
        <v>10</v>
      </c>
      <c r="G484" s="31">
        <f t="shared" ref="G484:G485" si="138">D484*F484</f>
        <v>0</v>
      </c>
      <c r="H484" s="166">
        <f>+'Surf '!F$40</f>
        <v>172.54780000000002</v>
      </c>
      <c r="I484" s="32"/>
    </row>
    <row r="485" spans="2:9" s="27" customFormat="1" ht="12.75" x14ac:dyDescent="0.2">
      <c r="B485" s="28"/>
      <c r="C485" s="27" t="s">
        <v>632</v>
      </c>
      <c r="D485" s="29"/>
      <c r="E485" s="30" t="s">
        <v>1</v>
      </c>
      <c r="F485" s="30">
        <v>100</v>
      </c>
      <c r="G485" s="31">
        <f t="shared" si="138"/>
        <v>0</v>
      </c>
      <c r="H485" s="166"/>
      <c r="I485" s="32"/>
    </row>
    <row r="486" spans="2:9" s="27" customFormat="1" ht="12.75" x14ac:dyDescent="0.2">
      <c r="B486" s="28"/>
      <c r="C486" s="36">
        <v>0.1</v>
      </c>
      <c r="D486" s="29">
        <v>1</v>
      </c>
      <c r="E486" s="30" t="s">
        <v>68</v>
      </c>
      <c r="F486" s="31">
        <f>SUM(G421:G484)*C486</f>
        <v>317.18400000000003</v>
      </c>
      <c r="G486" s="31">
        <f>D486*F486</f>
        <v>317.18400000000003</v>
      </c>
      <c r="H486" s="163" t="s">
        <v>335</v>
      </c>
      <c r="I486" s="32"/>
    </row>
    <row r="487" spans="2:9" s="27" customFormat="1" ht="12.75" x14ac:dyDescent="0.2">
      <c r="B487" s="28"/>
      <c r="C487" s="28"/>
      <c r="D487" s="40"/>
      <c r="E487" s="40"/>
      <c r="F487" s="40" t="s">
        <v>3</v>
      </c>
      <c r="G487" s="41">
        <f>SUM(G421:G486)</f>
        <v>3489.0240000000003</v>
      </c>
      <c r="H487" s="42">
        <f>G487/H484</f>
        <v>20.220622923039297</v>
      </c>
      <c r="I487" s="32"/>
    </row>
    <row r="488" spans="2:9" s="27" customFormat="1" ht="12.75" x14ac:dyDescent="0.2">
      <c r="B488" s="28"/>
      <c r="D488" s="29"/>
      <c r="E488" s="30"/>
      <c r="F488" s="30"/>
      <c r="G488" s="31"/>
      <c r="I488" s="32"/>
    </row>
    <row r="489" spans="2:9" s="27" customFormat="1" ht="12.75" x14ac:dyDescent="0.2">
      <c r="B489" s="28"/>
      <c r="D489" s="29"/>
      <c r="E489" s="30"/>
      <c r="F489" s="30"/>
      <c r="G489" s="31"/>
      <c r="I489" s="32"/>
    </row>
    <row r="490" spans="2:9" s="27" customFormat="1" ht="12.75" x14ac:dyDescent="0.2">
      <c r="B490" s="28" t="s">
        <v>75</v>
      </c>
      <c r="D490" s="29"/>
      <c r="E490" s="30"/>
      <c r="F490" s="30"/>
      <c r="G490" s="31"/>
      <c r="I490" s="32"/>
    </row>
    <row r="491" spans="2:9" s="27" customFormat="1" ht="12.75" x14ac:dyDescent="0.2">
      <c r="B491" s="28"/>
      <c r="C491" s="27" t="s">
        <v>187</v>
      </c>
      <c r="D491" s="29">
        <f>'Surf '!F40</f>
        <v>172.54780000000002</v>
      </c>
      <c r="E491" s="30" t="s">
        <v>56</v>
      </c>
      <c r="F491" s="30">
        <v>2</v>
      </c>
      <c r="G491" s="31">
        <f>D491*F491</f>
        <v>345.09560000000005</v>
      </c>
      <c r="I491" s="32"/>
    </row>
    <row r="492" spans="2:9" s="27" customFormat="1" ht="12.75" x14ac:dyDescent="0.2">
      <c r="B492" s="28"/>
      <c r="C492" s="27" t="s">
        <v>292</v>
      </c>
      <c r="D492" s="35">
        <f>'Surf '!AV40</f>
        <v>22.067499999999999</v>
      </c>
      <c r="E492" s="30" t="s">
        <v>56</v>
      </c>
      <c r="F492" s="30">
        <v>30</v>
      </c>
      <c r="G492" s="31">
        <f>D492*F492</f>
        <v>662.02499999999998</v>
      </c>
      <c r="I492" s="32"/>
    </row>
    <row r="493" spans="2:9" s="27" customFormat="1" ht="12.75" x14ac:dyDescent="0.2">
      <c r="B493" s="28"/>
      <c r="C493" s="27" t="s">
        <v>131</v>
      </c>
      <c r="D493" s="35">
        <f>'Surf '!AU40</f>
        <v>75.714600000000004</v>
      </c>
      <c r="E493" s="30" t="s">
        <v>56</v>
      </c>
      <c r="F493" s="30">
        <v>15</v>
      </c>
      <c r="G493" s="31">
        <f>D493*F493</f>
        <v>1135.7190000000001</v>
      </c>
      <c r="I493" s="32"/>
    </row>
    <row r="494" spans="2:9" s="27" customFormat="1" ht="12.75" x14ac:dyDescent="0.2">
      <c r="B494" s="28"/>
      <c r="C494" s="27" t="s">
        <v>76</v>
      </c>
      <c r="D494" s="29">
        <f>'Surf '!AS40</f>
        <v>0</v>
      </c>
      <c r="E494" s="30" t="s">
        <v>56</v>
      </c>
      <c r="F494" s="30">
        <v>8</v>
      </c>
      <c r="G494" s="31">
        <f t="shared" ref="G494:G522" si="139">D494*F494</f>
        <v>0</v>
      </c>
      <c r="I494" s="32"/>
    </row>
    <row r="495" spans="2:9" s="27" customFormat="1" ht="12.75" x14ac:dyDescent="0.2">
      <c r="B495" s="28"/>
      <c r="C495" s="27" t="s">
        <v>445</v>
      </c>
      <c r="D495" s="29">
        <f>'Surf '!AT40</f>
        <v>97.782100000000014</v>
      </c>
      <c r="E495" s="30" t="s">
        <v>56</v>
      </c>
      <c r="F495" s="30">
        <v>12</v>
      </c>
      <c r="G495" s="31">
        <f t="shared" ref="G495" si="140">D495*F495</f>
        <v>1173.3852000000002</v>
      </c>
      <c r="I495" s="32"/>
    </row>
    <row r="496" spans="2:9" s="27" customFormat="1" ht="12.75" x14ac:dyDescent="0.2">
      <c r="B496" s="28"/>
      <c r="C496" s="27" t="s">
        <v>526</v>
      </c>
      <c r="D496" s="29">
        <f>'Surf '!AR40</f>
        <v>22.067499999999999</v>
      </c>
      <c r="E496" s="30" t="s">
        <v>56</v>
      </c>
      <c r="F496" s="30">
        <v>20</v>
      </c>
      <c r="G496" s="31">
        <f t="shared" ref="G496:G497" si="141">D496*F496</f>
        <v>441.34999999999997</v>
      </c>
      <c r="I496" s="32"/>
    </row>
    <row r="497" spans="2:9" s="27" customFormat="1" ht="12.75" x14ac:dyDescent="0.2">
      <c r="B497" s="28"/>
      <c r="C497" s="37" t="s">
        <v>234</v>
      </c>
      <c r="D497" s="29"/>
      <c r="E497" s="30" t="s">
        <v>56</v>
      </c>
      <c r="F497" s="30">
        <v>35</v>
      </c>
      <c r="G497" s="31">
        <f t="shared" si="141"/>
        <v>0</v>
      </c>
      <c r="I497" s="32"/>
    </row>
    <row r="498" spans="2:9" s="27" customFormat="1" ht="12.75" x14ac:dyDescent="0.2">
      <c r="B498" s="28"/>
      <c r="C498" s="27" t="s">
        <v>77</v>
      </c>
      <c r="D498" s="35">
        <f>'Surf '!T40</f>
        <v>75.714600000000004</v>
      </c>
      <c r="E498" s="30" t="s">
        <v>56</v>
      </c>
      <c r="F498" s="30">
        <v>38</v>
      </c>
      <c r="G498" s="31">
        <f t="shared" si="139"/>
        <v>2877.1548000000003</v>
      </c>
      <c r="I498" s="32"/>
    </row>
    <row r="499" spans="2:9" s="27" customFormat="1" ht="12.75" x14ac:dyDescent="0.2">
      <c r="B499" s="28"/>
      <c r="C499" s="27" t="s">
        <v>78</v>
      </c>
      <c r="D499" s="29">
        <f>'Surf '!U40</f>
        <v>0</v>
      </c>
      <c r="E499" s="30" t="s">
        <v>56</v>
      </c>
      <c r="F499" s="30">
        <v>75</v>
      </c>
      <c r="G499" s="31">
        <f t="shared" si="139"/>
        <v>0</v>
      </c>
      <c r="I499" s="32"/>
    </row>
    <row r="500" spans="2:9" s="27" customFormat="1" ht="12.75" x14ac:dyDescent="0.2">
      <c r="B500" s="28"/>
      <c r="C500" s="27" t="s">
        <v>148</v>
      </c>
      <c r="D500" s="29">
        <f>'Surf '!AQ40</f>
        <v>0</v>
      </c>
      <c r="E500" s="30" t="s">
        <v>56</v>
      </c>
      <c r="F500" s="30">
        <v>75</v>
      </c>
      <c r="G500" s="31">
        <f t="shared" ref="G500" si="142">D500*F500</f>
        <v>0</v>
      </c>
      <c r="I500" s="32"/>
    </row>
    <row r="501" spans="2:9" s="27" customFormat="1" ht="12.75" x14ac:dyDescent="0.2">
      <c r="B501" s="28"/>
      <c r="C501" s="27" t="s">
        <v>732</v>
      </c>
      <c r="D501" s="29">
        <f>'Surf '!X40</f>
        <v>0</v>
      </c>
      <c r="E501" s="30" t="s">
        <v>56</v>
      </c>
      <c r="F501" s="30">
        <v>30</v>
      </c>
      <c r="G501" s="31">
        <f t="shared" ref="G501" si="143">D501*F501</f>
        <v>0</v>
      </c>
      <c r="I501" s="32"/>
    </row>
    <row r="502" spans="2:9" s="27" customFormat="1" ht="12.75" x14ac:dyDescent="0.2">
      <c r="B502" s="28"/>
      <c r="C502" s="27" t="s">
        <v>322</v>
      </c>
      <c r="D502" s="29">
        <f>'Surf '!V40</f>
        <v>0</v>
      </c>
      <c r="E502" s="30" t="s">
        <v>56</v>
      </c>
      <c r="F502" s="30">
        <v>70</v>
      </c>
      <c r="G502" s="31">
        <f t="shared" si="139"/>
        <v>0</v>
      </c>
      <c r="I502" s="32"/>
    </row>
    <row r="503" spans="2:9" s="27" customFormat="1" ht="12.75" x14ac:dyDescent="0.2">
      <c r="B503" s="28"/>
      <c r="C503" s="27" t="s">
        <v>323</v>
      </c>
      <c r="D503" s="29">
        <f>'Surf '!W40</f>
        <v>22.067499999999999</v>
      </c>
      <c r="E503" s="30" t="s">
        <v>56</v>
      </c>
      <c r="F503" s="30">
        <v>75</v>
      </c>
      <c r="G503" s="31">
        <f t="shared" ref="G503:G504" si="144">D503*F503</f>
        <v>1655.0625</v>
      </c>
    </row>
    <row r="504" spans="2:9" s="27" customFormat="1" ht="12.75" x14ac:dyDescent="0.2">
      <c r="B504" s="28"/>
      <c r="C504" s="27" t="s">
        <v>636</v>
      </c>
      <c r="D504" s="29">
        <f>'Surf '!EV40</f>
        <v>4.45</v>
      </c>
      <c r="E504" s="30" t="s">
        <v>0</v>
      </c>
      <c r="F504" s="30">
        <v>60</v>
      </c>
      <c r="G504" s="31">
        <f t="shared" si="144"/>
        <v>267</v>
      </c>
    </row>
    <row r="505" spans="2:9" s="27" customFormat="1" ht="12.75" x14ac:dyDescent="0.2">
      <c r="B505" s="28"/>
      <c r="C505" s="27" t="s">
        <v>30</v>
      </c>
      <c r="D505" s="29">
        <f>'Surf '!M40</f>
        <v>0</v>
      </c>
      <c r="E505" s="30" t="s">
        <v>0</v>
      </c>
      <c r="F505" s="30">
        <v>20</v>
      </c>
      <c r="G505" s="31">
        <f t="shared" ref="G505" si="145">D505*F505</f>
        <v>0</v>
      </c>
    </row>
    <row r="506" spans="2:9" s="27" customFormat="1" ht="12.75" x14ac:dyDescent="0.2">
      <c r="B506" s="28"/>
      <c r="C506" s="27" t="s">
        <v>211</v>
      </c>
      <c r="D506" s="29">
        <f>'Surf '!N40</f>
        <v>17.569999999999997</v>
      </c>
      <c r="E506" s="30" t="s">
        <v>0</v>
      </c>
      <c r="F506" s="30">
        <v>25</v>
      </c>
      <c r="G506" s="31">
        <f t="shared" si="139"/>
        <v>439.24999999999994</v>
      </c>
    </row>
    <row r="507" spans="2:9" s="27" customFormat="1" ht="12.75" x14ac:dyDescent="0.2">
      <c r="B507" s="28"/>
      <c r="C507" s="27" t="s">
        <v>80</v>
      </c>
      <c r="D507" s="29">
        <f>'Surf '!GH40</f>
        <v>0</v>
      </c>
      <c r="E507" s="30" t="s">
        <v>56</v>
      </c>
      <c r="F507" s="30">
        <v>45</v>
      </c>
      <c r="G507" s="31">
        <f t="shared" si="139"/>
        <v>0</v>
      </c>
      <c r="I507" s="165"/>
    </row>
    <row r="508" spans="2:9" s="27" customFormat="1" ht="12.75" x14ac:dyDescent="0.2">
      <c r="B508" s="28"/>
      <c r="C508" s="27" t="s">
        <v>81</v>
      </c>
      <c r="D508" s="29">
        <f>D509</f>
        <v>41.833499999999987</v>
      </c>
      <c r="E508" s="30" t="s">
        <v>56</v>
      </c>
      <c r="F508" s="30">
        <v>15</v>
      </c>
      <c r="G508" s="31">
        <f t="shared" si="139"/>
        <v>627.50249999999983</v>
      </c>
      <c r="I508" s="32"/>
    </row>
    <row r="509" spans="2:9" s="27" customFormat="1" ht="12.75" x14ac:dyDescent="0.2">
      <c r="B509" s="28"/>
      <c r="C509" s="27" t="s">
        <v>82</v>
      </c>
      <c r="D509" s="29">
        <f>'Surf '!GG40</f>
        <v>41.833499999999987</v>
      </c>
      <c r="E509" s="30" t="s">
        <v>56</v>
      </c>
      <c r="F509" s="30">
        <v>70</v>
      </c>
      <c r="G509" s="31">
        <f t="shared" si="139"/>
        <v>2928.3449999999989</v>
      </c>
      <c r="I509" s="165"/>
    </row>
    <row r="510" spans="2:9" s="27" customFormat="1" ht="12.75" x14ac:dyDescent="0.2">
      <c r="B510" s="28"/>
      <c r="C510" s="27" t="s">
        <v>615</v>
      </c>
      <c r="D510" s="29"/>
      <c r="E510" s="30" t="s">
        <v>56</v>
      </c>
      <c r="F510" s="30">
        <f>F508+F509</f>
        <v>85</v>
      </c>
      <c r="G510" s="31">
        <f t="shared" si="139"/>
        <v>0</v>
      </c>
      <c r="H510" s="166"/>
      <c r="I510" s="32"/>
    </row>
    <row r="511" spans="2:9" s="27" customFormat="1" ht="12.75" x14ac:dyDescent="0.2">
      <c r="B511" s="28"/>
      <c r="C511" s="27" t="s">
        <v>616</v>
      </c>
      <c r="D511" s="29"/>
      <c r="E511" s="30"/>
      <c r="F511" s="30"/>
      <c r="G511" s="31"/>
      <c r="H511" s="166"/>
      <c r="I511" s="32"/>
    </row>
    <row r="512" spans="2:9" s="27" customFormat="1" ht="12.75" x14ac:dyDescent="0.2">
      <c r="B512" s="28"/>
      <c r="C512" s="27" t="s">
        <v>327</v>
      </c>
      <c r="D512" s="29">
        <f>'Surf '!HU40</f>
        <v>0</v>
      </c>
      <c r="E512" s="30" t="s">
        <v>56</v>
      </c>
      <c r="F512" s="30">
        <v>400</v>
      </c>
      <c r="G512" s="31">
        <f t="shared" ref="G512" si="146">D512*F512</f>
        <v>0</v>
      </c>
      <c r="I512" s="165"/>
    </row>
    <row r="513" spans="1:9" s="27" customFormat="1" ht="12.75" x14ac:dyDescent="0.2">
      <c r="B513" s="28"/>
      <c r="C513" s="27" t="s">
        <v>527</v>
      </c>
      <c r="D513" s="35">
        <f>'Surf '!O40</f>
        <v>41.22</v>
      </c>
      <c r="E513" s="30" t="s">
        <v>0</v>
      </c>
      <c r="F513" s="30">
        <v>20</v>
      </c>
      <c r="G513" s="31">
        <f t="shared" si="139"/>
        <v>824.4</v>
      </c>
      <c r="I513" s="32"/>
    </row>
    <row r="514" spans="1:9" s="27" customFormat="1" ht="12.75" x14ac:dyDescent="0.2">
      <c r="B514" s="28"/>
      <c r="C514" s="27" t="s">
        <v>727</v>
      </c>
      <c r="D514" s="31">
        <f>'Surf '!AA40</f>
        <v>23.37</v>
      </c>
      <c r="E514" s="30" t="s">
        <v>0</v>
      </c>
      <c r="F514" s="30">
        <v>35</v>
      </c>
      <c r="G514" s="31">
        <f t="shared" si="139"/>
        <v>817.95</v>
      </c>
      <c r="I514" s="32"/>
    </row>
    <row r="515" spans="1:9" s="27" customFormat="1" ht="12.75" x14ac:dyDescent="0.2">
      <c r="B515" s="28"/>
      <c r="C515" s="27" t="s">
        <v>728</v>
      </c>
      <c r="D515" s="31">
        <f>'Surf '!AB40</f>
        <v>0</v>
      </c>
      <c r="E515" s="30" t="s">
        <v>0</v>
      </c>
      <c r="F515" s="30">
        <v>35</v>
      </c>
      <c r="G515" s="31">
        <f t="shared" ref="G515" si="147">D515*F515</f>
        <v>0</v>
      </c>
      <c r="I515" s="32"/>
    </row>
    <row r="516" spans="1:9" s="27" customFormat="1" ht="12.75" x14ac:dyDescent="0.2">
      <c r="B516" s="28"/>
      <c r="C516" s="27" t="s">
        <v>83</v>
      </c>
      <c r="D516" s="31">
        <f>'Surf '!Z40</f>
        <v>3.69</v>
      </c>
      <c r="E516" s="30" t="s">
        <v>0</v>
      </c>
      <c r="F516" s="30">
        <v>250</v>
      </c>
      <c r="G516" s="31">
        <f t="shared" si="139"/>
        <v>922.5</v>
      </c>
      <c r="I516" s="32"/>
    </row>
    <row r="517" spans="1:9" s="27" customFormat="1" ht="12.75" x14ac:dyDescent="0.2">
      <c r="B517" s="28"/>
      <c r="C517" s="27" t="s">
        <v>190</v>
      </c>
      <c r="D517" s="31">
        <f>'Surf '!AC40</f>
        <v>7.38</v>
      </c>
      <c r="E517" s="30" t="s">
        <v>0</v>
      </c>
      <c r="F517" s="30">
        <v>50</v>
      </c>
      <c r="G517" s="31">
        <f t="shared" ref="G517" si="148">D517*F517</f>
        <v>369</v>
      </c>
      <c r="I517" s="32"/>
    </row>
    <row r="518" spans="1:9" s="27" customFormat="1" ht="12.75" x14ac:dyDescent="0.2">
      <c r="A518" s="38"/>
      <c r="B518" s="38"/>
      <c r="C518" s="27" t="s">
        <v>609</v>
      </c>
      <c r="D518" s="31">
        <f>'Surf '!AD40</f>
        <v>0</v>
      </c>
      <c r="E518" s="30" t="s">
        <v>56</v>
      </c>
      <c r="F518" s="30">
        <v>85</v>
      </c>
      <c r="G518" s="31">
        <f t="shared" ref="G518:G519" si="149">D518*F518</f>
        <v>0</v>
      </c>
      <c r="H518" s="37"/>
      <c r="I518" s="32"/>
    </row>
    <row r="519" spans="1:9" s="27" customFormat="1" ht="12.75" x14ac:dyDescent="0.2">
      <c r="A519" s="38"/>
      <c r="B519" s="38"/>
      <c r="C519" s="27" t="s">
        <v>416</v>
      </c>
      <c r="D519" s="31">
        <f>'Surf '!AE40</f>
        <v>0</v>
      </c>
      <c r="E519" s="30" t="s">
        <v>1</v>
      </c>
      <c r="F519" s="30">
        <v>90</v>
      </c>
      <c r="G519" s="31">
        <f t="shared" si="149"/>
        <v>0</v>
      </c>
      <c r="H519" s="37"/>
      <c r="I519" s="32"/>
    </row>
    <row r="520" spans="1:9" s="27" customFormat="1" ht="12.75" x14ac:dyDescent="0.2">
      <c r="A520" s="38"/>
      <c r="B520" s="38"/>
      <c r="C520" s="27" t="s">
        <v>417</v>
      </c>
      <c r="D520" s="31">
        <f>'Surf '!AF40</f>
        <v>0</v>
      </c>
      <c r="E520" s="30" t="s">
        <v>0</v>
      </c>
      <c r="F520" s="30">
        <v>100</v>
      </c>
      <c r="G520" s="31">
        <f t="shared" ref="G520" si="150">D520*F520</f>
        <v>0</v>
      </c>
      <c r="H520" s="37"/>
      <c r="I520" s="32"/>
    </row>
    <row r="521" spans="1:9" s="27" customFormat="1" ht="12.75" x14ac:dyDescent="0.2">
      <c r="A521" s="38"/>
      <c r="B521" s="28"/>
      <c r="C521" s="27" t="s">
        <v>160</v>
      </c>
      <c r="D521" s="31">
        <f>'Surf '!AO40</f>
        <v>0</v>
      </c>
      <c r="E521" s="30" t="s">
        <v>0</v>
      </c>
      <c r="F521" s="30">
        <v>60</v>
      </c>
      <c r="G521" s="31">
        <f t="shared" ref="G521" si="151">D521*F521</f>
        <v>0</v>
      </c>
    </row>
    <row r="522" spans="1:9" s="27" customFormat="1" ht="12.75" x14ac:dyDescent="0.2">
      <c r="B522" s="28"/>
      <c r="C522" s="27" t="s">
        <v>84</v>
      </c>
      <c r="D522" s="35">
        <f>'Surf '!AP40</f>
        <v>0</v>
      </c>
      <c r="E522" s="30" t="s">
        <v>1</v>
      </c>
      <c r="F522" s="30">
        <v>190</v>
      </c>
      <c r="G522" s="31">
        <f t="shared" si="139"/>
        <v>0</v>
      </c>
      <c r="I522" s="32"/>
    </row>
    <row r="523" spans="1:9" s="27" customFormat="1" ht="12.75" x14ac:dyDescent="0.2">
      <c r="B523" s="28"/>
      <c r="C523" s="27" t="s">
        <v>85</v>
      </c>
      <c r="D523" s="35">
        <f>'Surf '!AW40</f>
        <v>4</v>
      </c>
      <c r="E523" s="30" t="s">
        <v>2</v>
      </c>
      <c r="F523" s="30">
        <v>160</v>
      </c>
      <c r="G523" s="31">
        <f>D523*F523</f>
        <v>640</v>
      </c>
      <c r="H523" s="166">
        <f>+'Surf '!F$40</f>
        <v>172.54780000000002</v>
      </c>
      <c r="I523" s="32"/>
    </row>
    <row r="524" spans="1:9" s="27" customFormat="1" ht="12.75" x14ac:dyDescent="0.2">
      <c r="B524" s="28"/>
      <c r="C524" s="36">
        <v>0.03</v>
      </c>
      <c r="D524" s="29">
        <v>1</v>
      </c>
      <c r="E524" s="30" t="s">
        <v>68</v>
      </c>
      <c r="F524" s="29">
        <f>SUM(G492:G523)*C524</f>
        <v>473.41931999999997</v>
      </c>
      <c r="G524" s="31">
        <f>D524*F524</f>
        <v>473.41931999999997</v>
      </c>
      <c r="H524" s="163" t="s">
        <v>335</v>
      </c>
      <c r="I524" s="32"/>
    </row>
    <row r="525" spans="1:9" s="27" customFormat="1" ht="12.75" x14ac:dyDescent="0.2">
      <c r="B525" s="28"/>
      <c r="C525" s="28"/>
      <c r="D525" s="40"/>
      <c r="E525" s="40"/>
      <c r="F525" s="40" t="s">
        <v>3</v>
      </c>
      <c r="G525" s="41">
        <f>SUM(G491:G524)</f>
        <v>16599.158920000002</v>
      </c>
      <c r="H525" s="42">
        <f>G525/H523</f>
        <v>96.200350975208025</v>
      </c>
      <c r="I525" s="32"/>
    </row>
    <row r="526" spans="1:9" s="27" customFormat="1" ht="12.75" x14ac:dyDescent="0.2">
      <c r="B526" s="28"/>
      <c r="D526" s="29"/>
      <c r="E526" s="30"/>
      <c r="F526" s="30"/>
      <c r="G526" s="31"/>
      <c r="I526" s="32"/>
    </row>
    <row r="527" spans="1:9" s="27" customFormat="1" ht="12.75" x14ac:dyDescent="0.2">
      <c r="B527" s="28" t="s">
        <v>86</v>
      </c>
      <c r="D527" s="29"/>
      <c r="E527" s="30"/>
      <c r="F527" s="30"/>
      <c r="G527" s="31"/>
      <c r="I527" s="32"/>
    </row>
    <row r="528" spans="1:9" s="27" customFormat="1" ht="12.75" x14ac:dyDescent="0.2">
      <c r="B528" s="28"/>
      <c r="C528" s="27" t="s">
        <v>87</v>
      </c>
      <c r="D528" s="29">
        <f>'Surf '!GR40</f>
        <v>275.74620000000004</v>
      </c>
      <c r="E528" s="30" t="s">
        <v>56</v>
      </c>
      <c r="F528" s="30">
        <v>14.5</v>
      </c>
      <c r="G528" s="31">
        <f>D528*F528</f>
        <v>3998.3199000000004</v>
      </c>
      <c r="I528" s="32"/>
    </row>
    <row r="529" spans="2:9" s="27" customFormat="1" ht="12.75" x14ac:dyDescent="0.2">
      <c r="B529" s="28"/>
      <c r="C529" s="27" t="str">
        <f>'Surf '!GS3</f>
        <v>Enduit projeté mur</v>
      </c>
      <c r="D529" s="29">
        <f>'Surf '!GS40</f>
        <v>0</v>
      </c>
      <c r="E529" s="30" t="s">
        <v>56</v>
      </c>
      <c r="F529" s="30">
        <v>7</v>
      </c>
      <c r="G529" s="31">
        <f t="shared" ref="G529:G532" si="152">D529*F529</f>
        <v>0</v>
      </c>
      <c r="I529" s="32"/>
    </row>
    <row r="530" spans="2:9" s="27" customFormat="1" ht="12.75" x14ac:dyDescent="0.2">
      <c r="B530" s="28"/>
      <c r="C530" s="27" t="s">
        <v>522</v>
      </c>
      <c r="D530" s="29">
        <f>'Surf '!GI40</f>
        <v>0</v>
      </c>
      <c r="E530" s="30" t="s">
        <v>56</v>
      </c>
      <c r="F530" s="30">
        <v>55</v>
      </c>
      <c r="G530" s="31">
        <f t="shared" ref="G530" si="153">D530*F530</f>
        <v>0</v>
      </c>
      <c r="I530" s="32"/>
    </row>
    <row r="531" spans="2:9" s="27" customFormat="1" ht="12.75" x14ac:dyDescent="0.2">
      <c r="B531" s="28"/>
      <c r="C531" s="27" t="s">
        <v>529</v>
      </c>
      <c r="D531" s="29">
        <f>'Surf '!GT40</f>
        <v>0</v>
      </c>
      <c r="E531" s="30" t="s">
        <v>56</v>
      </c>
      <c r="F531" s="30">
        <v>140</v>
      </c>
      <c r="G531" s="31">
        <f t="shared" ref="G531" si="154">D531*F531</f>
        <v>0</v>
      </c>
      <c r="I531" s="32"/>
    </row>
    <row r="532" spans="2:9" s="27" customFormat="1" ht="12.75" x14ac:dyDescent="0.2">
      <c r="B532" s="28"/>
      <c r="C532" s="27" t="s">
        <v>97</v>
      </c>
      <c r="D532" s="29">
        <f>'Surf '!GU40</f>
        <v>23.110500000000002</v>
      </c>
      <c r="E532" s="30" t="s">
        <v>56</v>
      </c>
      <c r="F532" s="30">
        <v>14</v>
      </c>
      <c r="G532" s="31">
        <f t="shared" si="152"/>
        <v>323.54700000000003</v>
      </c>
      <c r="I532" s="32"/>
    </row>
    <row r="533" spans="2:9" s="27" customFormat="1" ht="12.75" x14ac:dyDescent="0.2">
      <c r="B533" s="28"/>
      <c r="C533" s="27" t="s">
        <v>320</v>
      </c>
      <c r="D533" s="29">
        <f>'Surf '!GV40</f>
        <v>0</v>
      </c>
      <c r="E533" s="30" t="s">
        <v>56</v>
      </c>
      <c r="F533" s="30">
        <v>12</v>
      </c>
      <c r="G533" s="31">
        <f t="shared" ref="G533" si="155">D533*F533</f>
        <v>0</v>
      </c>
      <c r="I533" s="32"/>
    </row>
    <row r="534" spans="2:9" s="27" customFormat="1" ht="12.75" x14ac:dyDescent="0.2">
      <c r="B534" s="28"/>
      <c r="C534" s="27" t="s">
        <v>151</v>
      </c>
      <c r="D534" s="29">
        <f>'Surf '!GW40</f>
        <v>0</v>
      </c>
      <c r="E534" s="30" t="s">
        <v>56</v>
      </c>
      <c r="F534" s="30">
        <v>13</v>
      </c>
      <c r="G534" s="31">
        <f t="shared" ref="G534:G550" si="156">D534*F534</f>
        <v>0</v>
      </c>
      <c r="I534" s="32"/>
    </row>
    <row r="535" spans="2:9" s="27" customFormat="1" ht="12.75" x14ac:dyDescent="0.2">
      <c r="B535" s="28"/>
      <c r="C535" s="27" t="s">
        <v>100</v>
      </c>
      <c r="D535" s="29">
        <f>'Surf '!GX40</f>
        <v>4.96</v>
      </c>
      <c r="E535" s="30" t="s">
        <v>56</v>
      </c>
      <c r="F535" s="30">
        <v>14.5</v>
      </c>
      <c r="G535" s="31">
        <f t="shared" si="156"/>
        <v>71.92</v>
      </c>
      <c r="I535" s="32"/>
    </row>
    <row r="536" spans="2:9" s="27" customFormat="1" ht="12.75" x14ac:dyDescent="0.2">
      <c r="B536" s="28"/>
      <c r="C536" s="27" t="s">
        <v>194</v>
      </c>
      <c r="D536" s="29">
        <f>D386</f>
        <v>0</v>
      </c>
      <c r="E536" s="30" t="s">
        <v>56</v>
      </c>
      <c r="F536" s="30">
        <v>13</v>
      </c>
      <c r="G536" s="31">
        <f t="shared" ref="G536" si="157">D536*F536</f>
        <v>0</v>
      </c>
      <c r="I536" s="32"/>
    </row>
    <row r="537" spans="2:9" s="27" customFormat="1" ht="12.75" x14ac:dyDescent="0.2">
      <c r="B537" s="28"/>
      <c r="C537" s="27" t="str">
        <f>'Surf '!GY3</f>
        <v>Enduit projeté plafond</v>
      </c>
      <c r="D537" s="29">
        <f>'Surf '!GY40</f>
        <v>0</v>
      </c>
      <c r="E537" s="30" t="s">
        <v>1</v>
      </c>
      <c r="F537" s="30">
        <v>7</v>
      </c>
      <c r="G537" s="31">
        <f t="shared" si="156"/>
        <v>0</v>
      </c>
      <c r="I537" s="32"/>
    </row>
    <row r="538" spans="2:9" s="27" customFormat="1" ht="12.75" x14ac:dyDescent="0.2">
      <c r="B538" s="28"/>
      <c r="C538" s="27" t="s">
        <v>79</v>
      </c>
      <c r="D538" s="29">
        <f>'Surf '!Q40</f>
        <v>51.401699999999998</v>
      </c>
      <c r="E538" s="30" t="s">
        <v>56</v>
      </c>
      <c r="F538" s="30">
        <v>35</v>
      </c>
      <c r="G538" s="31">
        <f>D538*F538</f>
        <v>1799.0594999999998</v>
      </c>
      <c r="I538" s="32"/>
    </row>
    <row r="539" spans="2:9" s="27" customFormat="1" ht="6.75" customHeight="1" x14ac:dyDescent="0.2">
      <c r="B539" s="28"/>
      <c r="D539" s="29"/>
      <c r="E539" s="30"/>
      <c r="F539" s="30"/>
      <c r="G539" s="31"/>
      <c r="I539" s="32"/>
    </row>
    <row r="540" spans="2:9" s="27" customFormat="1" ht="12.75" x14ac:dyDescent="0.2">
      <c r="B540" s="28"/>
      <c r="C540" s="27" t="s">
        <v>373</v>
      </c>
      <c r="D540" s="35">
        <f>Facades!R71</f>
        <v>0</v>
      </c>
      <c r="E540" s="30" t="s">
        <v>1</v>
      </c>
      <c r="F540" s="30">
        <v>30</v>
      </c>
      <c r="G540" s="31">
        <f>D540*F540</f>
        <v>0</v>
      </c>
      <c r="I540" s="32"/>
    </row>
    <row r="541" spans="2:9" s="27" customFormat="1" ht="12.75" x14ac:dyDescent="0.2">
      <c r="B541" s="28"/>
      <c r="C541" s="27" t="s">
        <v>559</v>
      </c>
      <c r="D541" s="35"/>
      <c r="E541" s="30" t="s">
        <v>1</v>
      </c>
      <c r="F541" s="30">
        <v>15</v>
      </c>
      <c r="G541" s="31">
        <f>D541*F541</f>
        <v>0</v>
      </c>
      <c r="I541" s="32"/>
    </row>
    <row r="542" spans="2:9" s="27" customFormat="1" ht="12.75" x14ac:dyDescent="0.2">
      <c r="B542" s="28"/>
      <c r="C542" s="27" t="s">
        <v>640</v>
      </c>
      <c r="D542" s="35">
        <f>'Surf '!AL40</f>
        <v>0</v>
      </c>
      <c r="E542" s="30" t="s">
        <v>0</v>
      </c>
      <c r="F542" s="30">
        <v>30</v>
      </c>
      <c r="G542" s="31">
        <f>D542*F542</f>
        <v>0</v>
      </c>
      <c r="I542" s="32"/>
    </row>
    <row r="543" spans="2:9" s="27" customFormat="1" ht="12.75" x14ac:dyDescent="0.2">
      <c r="B543" s="28"/>
      <c r="C543" s="27" t="s">
        <v>700</v>
      </c>
      <c r="D543" s="35">
        <f>'Surf '!BV40</f>
        <v>1</v>
      </c>
      <c r="E543" s="30" t="s">
        <v>2</v>
      </c>
      <c r="F543" s="30">
        <v>50</v>
      </c>
      <c r="G543" s="31">
        <f>D543*F543</f>
        <v>50</v>
      </c>
      <c r="I543" s="32"/>
    </row>
    <row r="544" spans="2:9" s="27" customFormat="1" ht="12.75" x14ac:dyDescent="0.2">
      <c r="B544" s="28"/>
      <c r="D544" s="35"/>
      <c r="E544" s="30"/>
      <c r="F544" s="30"/>
      <c r="G544" s="31"/>
      <c r="I544" s="32"/>
    </row>
    <row r="545" spans="2:9" s="27" customFormat="1" ht="12.75" x14ac:dyDescent="0.2">
      <c r="B545" s="28"/>
      <c r="C545" s="27" t="s">
        <v>293</v>
      </c>
      <c r="D545" s="29">
        <f>'Surf '!DC41</f>
        <v>2</v>
      </c>
      <c r="E545" s="30" t="s">
        <v>2</v>
      </c>
      <c r="F545" s="30">
        <v>30</v>
      </c>
      <c r="G545" s="31">
        <f>D545*F545</f>
        <v>60</v>
      </c>
      <c r="I545" s="32"/>
    </row>
    <row r="546" spans="2:9" s="27" customFormat="1" ht="12.75" x14ac:dyDescent="0.2">
      <c r="B546" s="28"/>
      <c r="C546" s="27" t="s">
        <v>294</v>
      </c>
      <c r="D546" s="29">
        <f>'Surf '!DV40</f>
        <v>0</v>
      </c>
      <c r="E546" s="30" t="s">
        <v>2</v>
      </c>
      <c r="F546" s="30">
        <v>35</v>
      </c>
      <c r="G546" s="31">
        <f>D546*F546</f>
        <v>0</v>
      </c>
      <c r="I546" s="32"/>
    </row>
    <row r="547" spans="2:9" s="27" customFormat="1" ht="12.75" x14ac:dyDescent="0.2">
      <c r="B547" s="28"/>
      <c r="C547" s="27" t="s">
        <v>121</v>
      </c>
      <c r="D547" s="35">
        <f>D480</f>
        <v>0.87</v>
      </c>
      <c r="E547" s="30" t="s">
        <v>0</v>
      </c>
      <c r="F547" s="30">
        <v>7</v>
      </c>
      <c r="G547" s="31">
        <f t="shared" si="156"/>
        <v>6.09</v>
      </c>
      <c r="I547" s="32"/>
    </row>
    <row r="548" spans="2:9" s="27" customFormat="1" ht="12.75" x14ac:dyDescent="0.2">
      <c r="B548" s="28"/>
      <c r="C548" s="27" t="s">
        <v>98</v>
      </c>
      <c r="D548" s="29">
        <f>D482</f>
        <v>43.379999999999995</v>
      </c>
      <c r="E548" s="30" t="s">
        <v>0</v>
      </c>
      <c r="F548" s="30">
        <v>5</v>
      </c>
      <c r="G548" s="31">
        <f t="shared" si="156"/>
        <v>216.89999999999998</v>
      </c>
      <c r="I548" s="32"/>
    </row>
    <row r="549" spans="2:9" s="27" customFormat="1" ht="12.75" x14ac:dyDescent="0.2">
      <c r="B549" s="28"/>
      <c r="C549" s="27" t="s">
        <v>173</v>
      </c>
      <c r="D549" s="29">
        <f>D484</f>
        <v>0</v>
      </c>
      <c r="E549" s="30" t="s">
        <v>0</v>
      </c>
      <c r="F549" s="30">
        <v>5</v>
      </c>
      <c r="G549" s="31">
        <f t="shared" si="156"/>
        <v>0</v>
      </c>
      <c r="H549" s="166">
        <f>+'Surf '!F$40</f>
        <v>172.54780000000002</v>
      </c>
      <c r="I549" s="32"/>
    </row>
    <row r="550" spans="2:9" s="27" customFormat="1" ht="12.75" x14ac:dyDescent="0.2">
      <c r="B550" s="28"/>
      <c r="C550" s="27" t="s">
        <v>99</v>
      </c>
      <c r="D550" s="29">
        <f>'Surf '!F40</f>
        <v>172.54780000000002</v>
      </c>
      <c r="E550" s="30" t="s">
        <v>56</v>
      </c>
      <c r="F550" s="30">
        <v>10</v>
      </c>
      <c r="G550" s="31">
        <f t="shared" si="156"/>
        <v>1725.4780000000003</v>
      </c>
      <c r="H550" s="163"/>
      <c r="I550" s="32"/>
    </row>
    <row r="551" spans="2:9" s="27" customFormat="1" ht="12.75" x14ac:dyDescent="0.2">
      <c r="B551" s="28"/>
      <c r="C551" s="36">
        <v>0.03</v>
      </c>
      <c r="D551" s="29">
        <v>1</v>
      </c>
      <c r="E551" s="30" t="s">
        <v>68</v>
      </c>
      <c r="F551" s="29">
        <f>SUM(G528:G550)*C551</f>
        <v>247.53943200000003</v>
      </c>
      <c r="G551" s="31">
        <f>D551*F551</f>
        <v>247.53943200000003</v>
      </c>
      <c r="H551" s="163" t="s">
        <v>335</v>
      </c>
      <c r="I551" s="32"/>
    </row>
    <row r="552" spans="2:9" s="27" customFormat="1" ht="12.75" x14ac:dyDescent="0.2">
      <c r="B552" s="28"/>
      <c r="C552" s="28"/>
      <c r="D552" s="40"/>
      <c r="E552" s="40"/>
      <c r="F552" s="40" t="s">
        <v>3</v>
      </c>
      <c r="G552" s="41">
        <f>SUM(G528:G551)</f>
        <v>8498.8538320000007</v>
      </c>
      <c r="H552" s="42"/>
      <c r="I552" s="32"/>
    </row>
    <row r="553" spans="2:9" s="27" customFormat="1" ht="12.75" x14ac:dyDescent="0.2">
      <c r="B553" s="28"/>
      <c r="D553" s="30"/>
      <c r="E553" s="30"/>
      <c r="F553" s="30"/>
      <c r="G553" s="31"/>
      <c r="I553" s="32"/>
    </row>
    <row r="554" spans="2:9" s="27" customFormat="1" ht="12.75" x14ac:dyDescent="0.2">
      <c r="B554" s="28"/>
      <c r="D554" s="29"/>
      <c r="E554" s="30"/>
      <c r="F554" s="30"/>
      <c r="G554" s="31"/>
      <c r="I554" s="32"/>
    </row>
    <row r="555" spans="2:9" s="27" customFormat="1" ht="12.75" x14ac:dyDescent="0.2">
      <c r="B555" s="28"/>
      <c r="C555" s="28"/>
      <c r="D555" s="40"/>
      <c r="E555" s="40"/>
      <c r="F555" s="18" t="s">
        <v>3</v>
      </c>
      <c r="G555" s="24">
        <f>G32+G46+G249+G552+G525+G487+G418+G366+G313+G290</f>
        <v>861847.02024732693</v>
      </c>
      <c r="I555" s="167"/>
    </row>
    <row r="556" spans="2:9" s="27" customFormat="1" ht="12.75" x14ac:dyDescent="0.2">
      <c r="B556" s="28"/>
      <c r="C556" s="28"/>
      <c r="D556" s="40"/>
      <c r="E556" s="40"/>
      <c r="F556" s="40"/>
      <c r="G556" s="41"/>
      <c r="I556" s="167"/>
    </row>
    <row r="557" spans="2:9" s="27" customFormat="1" ht="12.75" x14ac:dyDescent="0.2">
      <c r="B557" s="28"/>
      <c r="D557" s="168"/>
      <c r="E557" s="38"/>
      <c r="F557" s="38" t="s">
        <v>359</v>
      </c>
      <c r="G557" s="32">
        <f>G555/'Surf '!F40</f>
        <v>4994.8305353492005</v>
      </c>
      <c r="I557" s="32"/>
    </row>
    <row r="558" spans="2:9" s="27" customFormat="1" ht="12.75" x14ac:dyDescent="0.2">
      <c r="B558" s="28"/>
      <c r="D558" s="168"/>
      <c r="E558" s="38"/>
      <c r="F558" s="38"/>
      <c r="G558" s="32"/>
      <c r="I558" s="32"/>
    </row>
    <row r="559" spans="2:9" s="27" customFormat="1" ht="12.75" x14ac:dyDescent="0.2">
      <c r="B559" s="28"/>
      <c r="D559" s="168"/>
      <c r="E559" s="38"/>
      <c r="F559" s="38"/>
      <c r="G559" s="32"/>
      <c r="I559" s="32"/>
    </row>
    <row r="560" spans="2:9" s="27" customFormat="1" ht="12.75" x14ac:dyDescent="0.2">
      <c r="B560" s="28"/>
      <c r="D560" s="168"/>
      <c r="E560" s="38"/>
      <c r="F560" s="38"/>
      <c r="G560" s="32"/>
      <c r="I560" s="32"/>
    </row>
    <row r="561" spans="2:9" s="27" customFormat="1" ht="12.75" x14ac:dyDescent="0.2">
      <c r="B561" s="28"/>
      <c r="D561" s="168"/>
      <c r="E561" s="38"/>
      <c r="F561" s="38"/>
      <c r="G561" s="32"/>
      <c r="I561" s="32"/>
    </row>
    <row r="562" spans="2:9" ht="12.75" x14ac:dyDescent="0.2">
      <c r="D562" s="19"/>
      <c r="H562" s="9"/>
    </row>
    <row r="563" spans="2:9" ht="12.75" x14ac:dyDescent="0.2">
      <c r="D563" s="19"/>
      <c r="H563" s="9"/>
    </row>
    <row r="564" spans="2:9" ht="12.75" x14ac:dyDescent="0.2">
      <c r="D564" s="19"/>
      <c r="H564" s="9"/>
    </row>
    <row r="565" spans="2:9" ht="12.75" x14ac:dyDescent="0.2">
      <c r="D565" s="19"/>
      <c r="H565" s="9"/>
    </row>
    <row r="566" spans="2:9" ht="12.75" x14ac:dyDescent="0.2">
      <c r="D566" s="19"/>
      <c r="H566" s="9"/>
    </row>
    <row r="567" spans="2:9" ht="12.75" x14ac:dyDescent="0.2">
      <c r="D567" s="19"/>
      <c r="H567" s="9"/>
    </row>
    <row r="568" spans="2:9" ht="12.75" x14ac:dyDescent="0.2">
      <c r="D568" s="19"/>
      <c r="H568" s="9"/>
    </row>
    <row r="569" spans="2:9" ht="12.75" x14ac:dyDescent="0.2">
      <c r="D569" s="19"/>
      <c r="H569" s="9"/>
    </row>
    <row r="570" spans="2:9" ht="12.75" x14ac:dyDescent="0.2">
      <c r="C570" s="8"/>
      <c r="D570" s="20"/>
      <c r="E570" s="20"/>
      <c r="F570" s="20"/>
      <c r="G570" s="12"/>
      <c r="H570" s="9"/>
    </row>
    <row r="571" spans="2:9" ht="12.75" x14ac:dyDescent="0.2">
      <c r="D571" s="19"/>
      <c r="H571" s="9"/>
    </row>
    <row r="572" spans="2:9" ht="12.75" x14ac:dyDescent="0.2">
      <c r="C572" s="13"/>
      <c r="D572" s="11"/>
      <c r="E572" s="11"/>
      <c r="F572" s="20"/>
      <c r="G572" s="12"/>
      <c r="H572" s="9"/>
      <c r="I572" s="10"/>
    </row>
    <row r="573" spans="2:9" ht="12.75" x14ac:dyDescent="0.2">
      <c r="F573" s="26"/>
      <c r="H573" s="9"/>
      <c r="I573" s="10"/>
    </row>
    <row r="574" spans="2:9" ht="12.75" x14ac:dyDescent="0.2">
      <c r="H574" s="9"/>
      <c r="I574" s="10"/>
    </row>
    <row r="575" spans="2:9" ht="12.75" x14ac:dyDescent="0.2">
      <c r="H575" s="9"/>
    </row>
    <row r="576" spans="2:9" ht="12.75" x14ac:dyDescent="0.2">
      <c r="H576" s="9"/>
    </row>
    <row r="577" spans="2:9" ht="12.75" x14ac:dyDescent="0.2">
      <c r="B577" s="23"/>
      <c r="H577" s="9"/>
    </row>
    <row r="578" spans="2:9" ht="12.75" x14ac:dyDescent="0.2">
      <c r="D578" s="19"/>
      <c r="H578" s="9"/>
    </row>
    <row r="579" spans="2:9" ht="12.75" x14ac:dyDescent="0.2">
      <c r="D579" s="19"/>
      <c r="H579" s="9"/>
    </row>
    <row r="580" spans="2:9" ht="12.75" x14ac:dyDescent="0.2">
      <c r="D580" s="19"/>
      <c r="H580" s="9"/>
    </row>
    <row r="581" spans="2:9" ht="12.75" x14ac:dyDescent="0.2">
      <c r="D581" s="19"/>
      <c r="H581" s="9"/>
    </row>
    <row r="582" spans="2:9" ht="12.75" x14ac:dyDescent="0.2">
      <c r="D582" s="19"/>
      <c r="H582" s="9"/>
    </row>
    <row r="583" spans="2:9" ht="12.75" x14ac:dyDescent="0.2">
      <c r="D583" s="19"/>
      <c r="F583" s="20"/>
      <c r="G583" s="12"/>
      <c r="H583" s="9"/>
      <c r="I583" s="15"/>
    </row>
    <row r="584" spans="2:9" ht="12.75" x14ac:dyDescent="0.2">
      <c r="D584" s="19"/>
      <c r="H584" s="9"/>
    </row>
    <row r="585" spans="2:9" ht="12.75" x14ac:dyDescent="0.2">
      <c r="H585" s="9"/>
    </row>
    <row r="586" spans="2:9" ht="12.75" x14ac:dyDescent="0.2">
      <c r="C586" s="8"/>
      <c r="D586" s="20"/>
      <c r="E586" s="20"/>
      <c r="F586" s="20"/>
      <c r="G586" s="12"/>
      <c r="H586" s="9"/>
      <c r="I586" s="10"/>
    </row>
    <row r="587" spans="2:9" ht="12.75" x14ac:dyDescent="0.2">
      <c r="H587" s="9"/>
      <c r="I587" s="10"/>
    </row>
    <row r="588" spans="2:9" ht="12.75" x14ac:dyDescent="0.2">
      <c r="B588" s="25"/>
      <c r="H588" s="9"/>
      <c r="I588" s="10"/>
    </row>
    <row r="589" spans="2:9" ht="12.75" x14ac:dyDescent="0.2">
      <c r="H589" s="9"/>
      <c r="I589" s="10"/>
    </row>
    <row r="590" spans="2:9" ht="12.75" x14ac:dyDescent="0.2">
      <c r="H590" s="9"/>
      <c r="I590" s="15"/>
    </row>
    <row r="591" spans="2:9" ht="12.75" x14ac:dyDescent="0.2">
      <c r="H591" s="9"/>
    </row>
    <row r="592" spans="2:9" ht="12.75" x14ac:dyDescent="0.2">
      <c r="H592" s="9"/>
    </row>
    <row r="593" spans="2:9" ht="12.75" x14ac:dyDescent="0.2">
      <c r="C593" s="8"/>
      <c r="D593" s="20"/>
      <c r="E593" s="20"/>
      <c r="F593" s="20"/>
      <c r="G593" s="12"/>
      <c r="H593" s="9"/>
    </row>
    <row r="594" spans="2:9" ht="12.75" x14ac:dyDescent="0.2">
      <c r="H594" s="9"/>
    </row>
    <row r="595" spans="2:9" ht="12.75" x14ac:dyDescent="0.2">
      <c r="B595" s="25"/>
      <c r="H595" s="9"/>
      <c r="I595" s="10"/>
    </row>
    <row r="596" spans="2:9" ht="12.75" x14ac:dyDescent="0.2">
      <c r="H596" s="9"/>
      <c r="I596" s="10"/>
    </row>
    <row r="597" spans="2:9" ht="12.75" x14ac:dyDescent="0.2">
      <c r="H597" s="9"/>
      <c r="I597" s="10"/>
    </row>
    <row r="598" spans="2:9" ht="12.75" x14ac:dyDescent="0.2">
      <c r="H598" s="9"/>
      <c r="I598" s="10"/>
    </row>
    <row r="599" spans="2:9" ht="12.75" x14ac:dyDescent="0.2">
      <c r="H599" s="9"/>
      <c r="I599" s="10"/>
    </row>
    <row r="600" spans="2:9" ht="12.75" x14ac:dyDescent="0.2">
      <c r="H600" s="9"/>
    </row>
    <row r="601" spans="2:9" ht="12.75" x14ac:dyDescent="0.2">
      <c r="H601" s="9"/>
      <c r="I601" s="12"/>
    </row>
    <row r="602" spans="2:9" ht="12.75" x14ac:dyDescent="0.2">
      <c r="H602" s="9"/>
    </row>
    <row r="603" spans="2:9" ht="12.75" x14ac:dyDescent="0.2">
      <c r="H603" s="9"/>
    </row>
    <row r="604" spans="2:9" ht="12.75" x14ac:dyDescent="0.2">
      <c r="C604" s="8"/>
      <c r="D604" s="20"/>
      <c r="E604" s="20"/>
      <c r="F604" s="20"/>
      <c r="G604" s="12"/>
      <c r="H604" s="9"/>
    </row>
    <row r="605" spans="2:9" ht="12.75" x14ac:dyDescent="0.2">
      <c r="H605" s="9"/>
    </row>
    <row r="606" spans="2:9" ht="12.75" x14ac:dyDescent="0.2">
      <c r="B606" s="25"/>
      <c r="H606" s="9"/>
    </row>
    <row r="607" spans="2:9" ht="12.75" x14ac:dyDescent="0.2">
      <c r="H607" s="9"/>
      <c r="I607" s="10"/>
    </row>
    <row r="608" spans="2:9" ht="12.75" x14ac:dyDescent="0.2">
      <c r="H608" s="9"/>
      <c r="I608" s="10"/>
    </row>
    <row r="609" spans="2:9" ht="12.75" x14ac:dyDescent="0.2">
      <c r="H609" s="9"/>
      <c r="I609" s="10"/>
    </row>
    <row r="610" spans="2:9" ht="12.75" x14ac:dyDescent="0.2">
      <c r="H610" s="9"/>
    </row>
    <row r="611" spans="2:9" ht="12.75" x14ac:dyDescent="0.2">
      <c r="H611" s="9"/>
      <c r="I611" s="12"/>
    </row>
    <row r="612" spans="2:9" ht="12.75" x14ac:dyDescent="0.2">
      <c r="H612" s="9"/>
    </row>
    <row r="613" spans="2:9" ht="12.75" x14ac:dyDescent="0.2">
      <c r="H613" s="9"/>
    </row>
    <row r="614" spans="2:9" ht="12.75" x14ac:dyDescent="0.2">
      <c r="C614" s="8"/>
      <c r="D614" s="20"/>
      <c r="E614" s="20"/>
      <c r="F614" s="20"/>
      <c r="G614" s="12"/>
      <c r="H614" s="9"/>
    </row>
    <row r="615" spans="2:9" ht="12.75" x14ac:dyDescent="0.2">
      <c r="H615" s="9"/>
    </row>
    <row r="616" spans="2:9" ht="12.75" x14ac:dyDescent="0.2">
      <c r="B616" s="25"/>
      <c r="H616" s="9"/>
    </row>
    <row r="617" spans="2:9" ht="12.75" x14ac:dyDescent="0.2">
      <c r="H617" s="9"/>
      <c r="I617" s="10"/>
    </row>
    <row r="618" spans="2:9" ht="12.75" x14ac:dyDescent="0.2">
      <c r="H618" s="9"/>
      <c r="I618" s="10"/>
    </row>
    <row r="619" spans="2:9" ht="12.75" x14ac:dyDescent="0.2">
      <c r="H619" s="9"/>
      <c r="I619" s="10"/>
    </row>
    <row r="620" spans="2:9" ht="12.75" x14ac:dyDescent="0.2">
      <c r="H620" s="9"/>
      <c r="I620" s="10"/>
    </row>
    <row r="621" spans="2:9" ht="12.75" x14ac:dyDescent="0.2">
      <c r="H621" s="9"/>
    </row>
    <row r="622" spans="2:9" ht="12.75" x14ac:dyDescent="0.2">
      <c r="H622" s="9"/>
      <c r="I622" s="12"/>
    </row>
    <row r="623" spans="2:9" ht="12.75" x14ac:dyDescent="0.2">
      <c r="H623" s="9"/>
    </row>
    <row r="624" spans="2:9" ht="12.75" x14ac:dyDescent="0.2">
      <c r="H624" s="9"/>
    </row>
    <row r="625" spans="2:9" ht="12.75" x14ac:dyDescent="0.2">
      <c r="C625" s="8"/>
      <c r="D625" s="20"/>
      <c r="E625" s="20"/>
      <c r="F625" s="20"/>
      <c r="G625" s="12"/>
      <c r="H625" s="9"/>
    </row>
    <row r="626" spans="2:9" ht="12.75" x14ac:dyDescent="0.2">
      <c r="H626" s="9"/>
    </row>
    <row r="627" spans="2:9" ht="12.75" x14ac:dyDescent="0.2">
      <c r="B627" s="25"/>
      <c r="H627" s="9"/>
    </row>
    <row r="628" spans="2:9" ht="12.75" x14ac:dyDescent="0.2">
      <c r="H628" s="9"/>
      <c r="I628" s="10"/>
    </row>
    <row r="629" spans="2:9" ht="12.75" x14ac:dyDescent="0.2">
      <c r="H629" s="9"/>
      <c r="I629" s="10"/>
    </row>
    <row r="630" spans="2:9" ht="12.75" x14ac:dyDescent="0.2">
      <c r="H630" s="9"/>
      <c r="I630" s="10"/>
    </row>
    <row r="631" spans="2:9" ht="12.75" x14ac:dyDescent="0.2">
      <c r="H631" s="9"/>
    </row>
    <row r="632" spans="2:9" ht="12.75" x14ac:dyDescent="0.2">
      <c r="H632" s="9"/>
      <c r="I632" s="12"/>
    </row>
    <row r="633" spans="2:9" ht="12.75" x14ac:dyDescent="0.2">
      <c r="H633" s="9"/>
    </row>
    <row r="634" spans="2:9" ht="12.75" x14ac:dyDescent="0.2">
      <c r="H634" s="9"/>
    </row>
    <row r="635" spans="2:9" ht="12.75" x14ac:dyDescent="0.2">
      <c r="C635" s="8"/>
      <c r="D635" s="20"/>
      <c r="E635" s="20"/>
      <c r="F635" s="20"/>
      <c r="G635" s="12"/>
      <c r="H635" s="9"/>
    </row>
    <row r="636" spans="2:9" ht="12.75" x14ac:dyDescent="0.2">
      <c r="H636" s="9"/>
    </row>
    <row r="637" spans="2:9" x14ac:dyDescent="0.25">
      <c r="B637" s="25"/>
    </row>
    <row r="638" spans="2:9" x14ac:dyDescent="0.25">
      <c r="I638" s="10"/>
    </row>
    <row r="639" spans="2:9" x14ac:dyDescent="0.25">
      <c r="I639" s="10"/>
    </row>
    <row r="640" spans="2:9" x14ac:dyDescent="0.25">
      <c r="I640" s="10"/>
    </row>
    <row r="642" spans="2:9" x14ac:dyDescent="0.25">
      <c r="I642" s="12"/>
    </row>
    <row r="645" spans="2:9" x14ac:dyDescent="0.25">
      <c r="C645" s="8"/>
      <c r="D645" s="20"/>
      <c r="E645" s="20"/>
      <c r="F645" s="20"/>
      <c r="G645" s="12"/>
    </row>
    <row r="647" spans="2:9" x14ac:dyDescent="0.25">
      <c r="B647" s="25"/>
    </row>
    <row r="648" spans="2:9" x14ac:dyDescent="0.25">
      <c r="I648" s="10"/>
    </row>
    <row r="649" spans="2:9" x14ac:dyDescent="0.25">
      <c r="I649" s="10"/>
    </row>
    <row r="650" spans="2:9" x14ac:dyDescent="0.25">
      <c r="I650" s="10"/>
    </row>
    <row r="652" spans="2:9" x14ac:dyDescent="0.25">
      <c r="I652" s="12"/>
    </row>
    <row r="655" spans="2:9" x14ac:dyDescent="0.25">
      <c r="C655" s="8"/>
      <c r="D655" s="20"/>
      <c r="E655" s="20"/>
      <c r="F655" s="20"/>
      <c r="G655" s="12"/>
    </row>
    <row r="657" spans="2:9" x14ac:dyDescent="0.25">
      <c r="B657" s="25"/>
    </row>
    <row r="658" spans="2:9" x14ac:dyDescent="0.25">
      <c r="I658" s="10"/>
    </row>
    <row r="659" spans="2:9" x14ac:dyDescent="0.25">
      <c r="I659" s="10"/>
    </row>
    <row r="660" spans="2:9" x14ac:dyDescent="0.25">
      <c r="I660" s="10"/>
    </row>
    <row r="661" spans="2:9" x14ac:dyDescent="0.25">
      <c r="I661" s="10"/>
    </row>
    <row r="662" spans="2:9" x14ac:dyDescent="0.25">
      <c r="I662" s="10"/>
    </row>
    <row r="663" spans="2:9" x14ac:dyDescent="0.25">
      <c r="I663" s="10"/>
    </row>
    <row r="666" spans="2:9" x14ac:dyDescent="0.25">
      <c r="I666" s="12"/>
    </row>
    <row r="669" spans="2:9" x14ac:dyDescent="0.25">
      <c r="C669" s="8"/>
      <c r="D669" s="20"/>
      <c r="E669" s="20"/>
      <c r="F669" s="20"/>
      <c r="G669" s="12"/>
    </row>
    <row r="671" spans="2:9" x14ac:dyDescent="0.25">
      <c r="B671" s="25"/>
    </row>
    <row r="674" spans="2:9" x14ac:dyDescent="0.25">
      <c r="B674" s="25"/>
      <c r="I674" s="10"/>
    </row>
    <row r="675" spans="2:9" ht="12.75" x14ac:dyDescent="0.2">
      <c r="B675" s="9"/>
      <c r="H675" s="9"/>
      <c r="I675" s="10"/>
    </row>
    <row r="676" spans="2:9" ht="12.75" x14ac:dyDescent="0.2">
      <c r="B676" s="9"/>
      <c r="H676" s="9"/>
      <c r="I676" s="10"/>
    </row>
    <row r="677" spans="2:9" ht="12.75" x14ac:dyDescent="0.2">
      <c r="B677" s="9"/>
      <c r="H677" s="9"/>
      <c r="I677" s="10"/>
    </row>
    <row r="678" spans="2:9" ht="12.75" x14ac:dyDescent="0.2">
      <c r="B678" s="9"/>
      <c r="H678" s="9"/>
      <c r="I678" s="15"/>
    </row>
    <row r="679" spans="2:9" ht="12.75" x14ac:dyDescent="0.2">
      <c r="B679" s="9"/>
      <c r="H679" s="9"/>
    </row>
    <row r="680" spans="2:9" ht="12.75" x14ac:dyDescent="0.2">
      <c r="B680" s="9"/>
      <c r="H680" s="9"/>
    </row>
    <row r="681" spans="2:9" x14ac:dyDescent="0.25">
      <c r="B681" s="9"/>
      <c r="C681" s="8"/>
      <c r="D681" s="20"/>
      <c r="E681" s="20"/>
      <c r="F681" s="20"/>
      <c r="G681" s="12"/>
    </row>
  </sheetData>
  <mergeCells count="2">
    <mergeCell ref="B1:G1"/>
    <mergeCell ref="D2:G2"/>
  </mergeCells>
  <phoneticPr fontId="5" type="noConversion"/>
  <conditionalFormatting sqref="F137:F154 F198:F225 F239:F243 F247 F264:F274">
    <cfRule type="cellIs" dxfId="5" priority="40" stopIfTrue="1" operator="equal">
      <formula>"Non totalisé"</formula>
    </cfRule>
    <cfRule type="cellIs" dxfId="4" priority="41" stopIfTrue="1" operator="equal">
      <formula>"Variante"</formula>
    </cfRule>
    <cfRule type="cellIs" dxfId="3" priority="42" stopIfTrue="1" operator="equal">
      <formula>"Option"</formula>
    </cfRule>
  </conditionalFormatting>
  <conditionalFormatting sqref="F177:F196">
    <cfRule type="cellIs" dxfId="2" priority="1" stopIfTrue="1" operator="equal">
      <formula>"Non totalisé"</formula>
    </cfRule>
    <cfRule type="cellIs" dxfId="1" priority="2" stopIfTrue="1" operator="equal">
      <formula>"Variante"</formula>
    </cfRule>
    <cfRule type="cellIs" dxfId="0" priority="3" stopIfTrue="1" operator="equal">
      <formula>"Option"</formula>
    </cfRule>
  </conditionalFormatting>
  <pageMargins left="0.7" right="0.7" top="0.75" bottom="0.75" header="0.3" footer="0.3"/>
  <pageSetup paperSize="9" scale="84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BB79"/>
  <sheetViews>
    <sheetView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K50" sqref="K50"/>
    </sheetView>
  </sheetViews>
  <sheetFormatPr baseColWidth="10" defaultColWidth="11.42578125" defaultRowHeight="15.75" x14ac:dyDescent="0.25"/>
  <cols>
    <col min="1" max="1" width="14.140625" style="282" customWidth="1"/>
    <col min="2" max="2" width="14.28515625" style="5" customWidth="1"/>
    <col min="3" max="3" width="16.140625" style="5" customWidth="1"/>
    <col min="4" max="4" width="13.5703125" style="227" bestFit="1" customWidth="1"/>
    <col min="5" max="5" width="8.85546875" style="227" customWidth="1"/>
    <col min="6" max="7" width="5.5703125" style="228" customWidth="1"/>
    <col min="8" max="8" width="11.42578125" style="228"/>
    <col min="9" max="9" width="7" style="228" customWidth="1"/>
    <col min="10" max="10" width="11.42578125" style="228"/>
    <col min="11" max="11" width="11.42578125" style="2"/>
    <col min="12" max="12" width="11.42578125" style="228"/>
    <col min="13" max="13" width="11.42578125" style="2"/>
    <col min="14" max="14" width="11.42578125" style="228"/>
    <col min="15" max="15" width="11.42578125" style="2"/>
    <col min="16" max="16" width="12.5703125" style="228" customWidth="1"/>
    <col min="17" max="17" width="11.42578125" style="2"/>
    <col min="18" max="18" width="11.42578125" style="228"/>
    <col min="19" max="19" width="11.42578125" style="2"/>
    <col min="20" max="22" width="11.42578125" style="228"/>
    <col min="23" max="23" width="11.42578125" style="230"/>
    <col min="24" max="34" width="11.42578125" style="6"/>
    <col min="35" max="35" width="11.5703125" style="6" customWidth="1"/>
    <col min="36" max="38" width="11.42578125" style="6"/>
    <col min="39" max="39" width="11.42578125" style="7"/>
    <col min="40" max="42" width="11.42578125" style="6"/>
    <col min="43" max="43" width="11.42578125" style="2"/>
    <col min="44" max="44" width="3.140625" style="1" customWidth="1"/>
    <col min="45" max="48" width="11.42578125" style="4"/>
    <col min="49" max="49" width="3.42578125" style="1" customWidth="1"/>
    <col min="50" max="54" width="11.42578125" style="230"/>
    <col min="55" max="16384" width="11.42578125" style="1"/>
  </cols>
  <sheetData>
    <row r="1" spans="1:54" ht="15.75" customHeight="1" x14ac:dyDescent="0.25">
      <c r="A1" s="226" t="s">
        <v>123</v>
      </c>
      <c r="G1" s="229"/>
      <c r="H1" s="229"/>
      <c r="I1" s="229"/>
      <c r="J1" s="229"/>
      <c r="K1" s="3" t="s">
        <v>129</v>
      </c>
      <c r="L1" s="229" t="s">
        <v>517</v>
      </c>
      <c r="M1" s="3" t="s">
        <v>129</v>
      </c>
      <c r="O1" s="3" t="s">
        <v>129</v>
      </c>
      <c r="Q1" s="3" t="s">
        <v>129</v>
      </c>
      <c r="S1" s="3" t="s">
        <v>129</v>
      </c>
      <c r="AQ1" s="3" t="s">
        <v>129</v>
      </c>
    </row>
    <row r="2" spans="1:54" ht="15.75" customHeight="1" x14ac:dyDescent="0.25">
      <c r="A2" s="231" t="s">
        <v>122</v>
      </c>
      <c r="C2" s="5" t="s">
        <v>122</v>
      </c>
      <c r="G2" s="229"/>
      <c r="H2" s="229"/>
      <c r="I2" s="229"/>
      <c r="J2" s="229"/>
      <c r="K2" s="3" t="s">
        <v>130</v>
      </c>
      <c r="L2" s="229"/>
      <c r="M2" s="3" t="s">
        <v>130</v>
      </c>
      <c r="O2" s="3" t="s">
        <v>130</v>
      </c>
      <c r="Q2" s="3" t="s">
        <v>130</v>
      </c>
      <c r="S2" s="3" t="s">
        <v>130</v>
      </c>
      <c r="AQ2" s="3" t="s">
        <v>130</v>
      </c>
    </row>
    <row r="3" spans="1:54" ht="15.75" customHeight="1" x14ac:dyDescent="0.25">
      <c r="A3" s="231" t="s">
        <v>122</v>
      </c>
      <c r="C3" s="5" t="s">
        <v>122</v>
      </c>
      <c r="G3" s="232"/>
      <c r="H3" s="232"/>
      <c r="I3" s="232"/>
      <c r="J3" s="232"/>
      <c r="K3" s="3">
        <v>600</v>
      </c>
      <c r="L3" s="232"/>
      <c r="M3" s="3">
        <v>1200</v>
      </c>
      <c r="O3" s="3">
        <v>1500</v>
      </c>
      <c r="Q3" s="3">
        <v>600</v>
      </c>
      <c r="S3" s="3">
        <v>100</v>
      </c>
      <c r="AQ3" s="3">
        <v>150</v>
      </c>
    </row>
    <row r="4" spans="1:54" s="242" customFormat="1" ht="72" customHeight="1" x14ac:dyDescent="0.25">
      <c r="A4" s="233"/>
      <c r="B4" s="234" t="s">
        <v>101</v>
      </c>
      <c r="C4" s="234" t="s">
        <v>102</v>
      </c>
      <c r="D4" s="235"/>
      <c r="E4" s="235"/>
      <c r="F4" s="526" t="s">
        <v>103</v>
      </c>
      <c r="G4" s="526"/>
      <c r="H4" s="526"/>
      <c r="I4" s="526"/>
      <c r="J4" s="526"/>
      <c r="K4" s="236" t="s">
        <v>122</v>
      </c>
      <c r="L4" s="235"/>
      <c r="M4" s="236"/>
      <c r="N4" s="235"/>
      <c r="O4" s="236"/>
      <c r="P4" s="235"/>
      <c r="Q4" s="236"/>
      <c r="R4" s="235"/>
      <c r="S4" s="236"/>
      <c r="T4" s="235"/>
      <c r="U4" s="235"/>
      <c r="V4" s="235"/>
      <c r="W4" s="237" t="s">
        <v>67</v>
      </c>
      <c r="X4" s="238" t="s">
        <v>376</v>
      </c>
      <c r="Y4" s="239" t="s">
        <v>442</v>
      </c>
      <c r="Z4" s="239" t="s">
        <v>503</v>
      </c>
      <c r="AA4" s="239" t="s">
        <v>571</v>
      </c>
      <c r="AB4" s="238" t="s">
        <v>720</v>
      </c>
      <c r="AC4" s="238" t="s">
        <v>721</v>
      </c>
      <c r="AD4" s="238" t="s">
        <v>562</v>
      </c>
      <c r="AE4" s="238" t="s">
        <v>572</v>
      </c>
      <c r="AF4" s="238" t="s">
        <v>570</v>
      </c>
      <c r="AG4" s="238" t="s">
        <v>514</v>
      </c>
      <c r="AH4" s="240" t="s">
        <v>530</v>
      </c>
      <c r="AI4" s="240" t="s">
        <v>507</v>
      </c>
      <c r="AJ4" s="240" t="s">
        <v>722</v>
      </c>
      <c r="AK4" s="240" t="s">
        <v>723</v>
      </c>
      <c r="AL4" s="240" t="s">
        <v>508</v>
      </c>
      <c r="AM4" s="241" t="s">
        <v>104</v>
      </c>
      <c r="AN4" s="238" t="s">
        <v>299</v>
      </c>
      <c r="AO4" s="239" t="s">
        <v>505</v>
      </c>
      <c r="AP4" s="238" t="s">
        <v>202</v>
      </c>
      <c r="AQ4" s="236"/>
      <c r="AS4" s="243" t="s">
        <v>89</v>
      </c>
      <c r="AT4" s="244" t="s">
        <v>695</v>
      </c>
      <c r="AU4" s="244" t="s">
        <v>682</v>
      </c>
      <c r="AV4" s="243" t="s">
        <v>394</v>
      </c>
      <c r="AX4" s="245" t="s">
        <v>180</v>
      </c>
      <c r="AY4" s="245" t="s">
        <v>365</v>
      </c>
      <c r="AZ4" s="245" t="s">
        <v>181</v>
      </c>
      <c r="BA4" s="245" t="s">
        <v>181</v>
      </c>
      <c r="BB4" s="245" t="s">
        <v>181</v>
      </c>
    </row>
    <row r="5" spans="1:54" ht="60" x14ac:dyDescent="0.25">
      <c r="A5" s="246" t="s">
        <v>654</v>
      </c>
      <c r="B5" s="5" t="s">
        <v>1</v>
      </c>
      <c r="C5" s="5" t="s">
        <v>1</v>
      </c>
      <c r="D5" s="227" t="s">
        <v>364</v>
      </c>
      <c r="E5" s="307" t="s">
        <v>656</v>
      </c>
      <c r="F5" s="228" t="s">
        <v>12</v>
      </c>
      <c r="G5" s="228" t="s">
        <v>13</v>
      </c>
      <c r="H5" s="228" t="s">
        <v>90</v>
      </c>
      <c r="I5" s="228" t="s">
        <v>105</v>
      </c>
      <c r="J5" s="247" t="s">
        <v>106</v>
      </c>
      <c r="K5" s="3" t="s">
        <v>128</v>
      </c>
      <c r="L5" s="247" t="s">
        <v>109</v>
      </c>
      <c r="M5" s="3" t="s">
        <v>128</v>
      </c>
      <c r="N5" s="247" t="s">
        <v>504</v>
      </c>
      <c r="O5" s="3" t="s">
        <v>128</v>
      </c>
      <c r="P5" s="247" t="s">
        <v>569</v>
      </c>
      <c r="Q5" s="3" t="s">
        <v>128</v>
      </c>
      <c r="R5" s="247" t="s">
        <v>363</v>
      </c>
      <c r="S5" s="3" t="s">
        <v>128</v>
      </c>
      <c r="T5" s="248" t="s">
        <v>509</v>
      </c>
      <c r="U5" s="248" t="s">
        <v>510</v>
      </c>
      <c r="V5" s="248" t="s">
        <v>107</v>
      </c>
      <c r="W5" s="230" t="s">
        <v>1</v>
      </c>
      <c r="X5" s="6" t="s">
        <v>1</v>
      </c>
      <c r="Y5" s="6" t="s">
        <v>1</v>
      </c>
      <c r="Z5" s="6" t="s">
        <v>1</v>
      </c>
      <c r="AA5" s="6" t="s">
        <v>1</v>
      </c>
      <c r="AB5" s="6" t="s">
        <v>1</v>
      </c>
      <c r="AC5" s="6" t="s">
        <v>1</v>
      </c>
      <c r="AD5" s="6" t="s">
        <v>1</v>
      </c>
      <c r="AE5" s="6" t="s">
        <v>1</v>
      </c>
      <c r="AF5" s="6" t="s">
        <v>1</v>
      </c>
      <c r="AG5" s="6" t="s">
        <v>0</v>
      </c>
      <c r="AH5" s="6" t="s">
        <v>0</v>
      </c>
      <c r="AI5" s="6" t="s">
        <v>0</v>
      </c>
      <c r="AJ5" s="6" t="s">
        <v>0</v>
      </c>
      <c r="AK5" s="6" t="s">
        <v>0</v>
      </c>
      <c r="AL5" s="6" t="s">
        <v>0</v>
      </c>
      <c r="AM5" s="7" t="s">
        <v>1</v>
      </c>
      <c r="AN5" s="6" t="s">
        <v>1</v>
      </c>
      <c r="AO5" s="6" t="s">
        <v>1</v>
      </c>
      <c r="AP5" s="249" t="s">
        <v>201</v>
      </c>
      <c r="AQ5" s="3" t="s">
        <v>128</v>
      </c>
      <c r="AS5" s="4" t="s">
        <v>0</v>
      </c>
      <c r="AT5" s="4" t="s">
        <v>2</v>
      </c>
      <c r="AU5" s="4" t="s">
        <v>2</v>
      </c>
      <c r="AV5" s="4" t="s">
        <v>0</v>
      </c>
      <c r="AX5" s="230" t="s">
        <v>1</v>
      </c>
      <c r="AY5" s="230" t="s">
        <v>0</v>
      </c>
      <c r="AZ5" s="250" t="s">
        <v>203</v>
      </c>
      <c r="BA5" s="251" t="s">
        <v>204</v>
      </c>
      <c r="BB5" s="251" t="s">
        <v>205</v>
      </c>
    </row>
    <row r="7" spans="1:54" ht="15" x14ac:dyDescent="0.25">
      <c r="A7" s="252"/>
      <c r="B7" s="5">
        <v>54.3</v>
      </c>
      <c r="C7" s="5">
        <v>353</v>
      </c>
      <c r="H7" s="306">
        <f t="shared" ref="H7:H12" si="0">F7*G7</f>
        <v>0</v>
      </c>
      <c r="J7" s="306">
        <f>I7*H7</f>
        <v>0</v>
      </c>
      <c r="K7" s="2" t="str">
        <f>IF(J7=0," ",H7*K$3)</f>
        <v xml:space="preserve"> </v>
      </c>
      <c r="T7" s="228">
        <f>F7*I7</f>
        <v>0</v>
      </c>
      <c r="V7" s="253"/>
      <c r="X7" s="6">
        <v>0.95</v>
      </c>
      <c r="AA7" s="7">
        <f>8.4*0.2</f>
        <v>1.6800000000000002</v>
      </c>
      <c r="AB7" s="7">
        <v>17.899999999999999</v>
      </c>
      <c r="AC7" s="6">
        <v>51</v>
      </c>
      <c r="AJ7" s="6">
        <f>(F7+G7)*2*I7</f>
        <v>0</v>
      </c>
      <c r="AN7" s="7"/>
      <c r="AQ7" s="2" t="str">
        <f>IF(AM7=0," ",H7*AQ$3)</f>
        <v xml:space="preserve"> </v>
      </c>
      <c r="AS7" s="4">
        <v>3.05</v>
      </c>
      <c r="AT7" s="4">
        <v>1</v>
      </c>
      <c r="AU7" s="4">
        <v>1</v>
      </c>
    </row>
    <row r="8" spans="1:54" ht="15" x14ac:dyDescent="0.25">
      <c r="A8" s="252"/>
      <c r="B8" s="5">
        <v>88</v>
      </c>
      <c r="D8" s="227" t="s">
        <v>658</v>
      </c>
      <c r="E8" s="227">
        <v>1</v>
      </c>
      <c r="F8" s="228">
        <v>3.29</v>
      </c>
      <c r="G8" s="228">
        <v>2.71</v>
      </c>
      <c r="H8" s="306">
        <f t="shared" si="0"/>
        <v>8.9159000000000006</v>
      </c>
      <c r="I8" s="228">
        <v>1</v>
      </c>
      <c r="J8" s="306"/>
      <c r="K8" s="2" t="str">
        <f t="shared" ref="K8" si="1">IF(J8=0," ",H8*K$3)</f>
        <v xml:space="preserve"> </v>
      </c>
      <c r="L8" s="306">
        <f>H8*I8</f>
        <v>8.9159000000000006</v>
      </c>
      <c r="M8" s="2">
        <f>IF(L8=0," ",$H8*M$3)</f>
        <v>10699.08</v>
      </c>
      <c r="O8" s="2" t="str">
        <f>IF(N8=0," ",$H8*O$3)</f>
        <v xml:space="preserve"> </v>
      </c>
      <c r="Q8" s="2" t="str">
        <f>IF(P8=0," ",$H8*Q$3)</f>
        <v xml:space="preserve"> </v>
      </c>
      <c r="S8" s="2" t="str">
        <f>IF(R8=0," ",$H8*S$3)</f>
        <v xml:space="preserve"> </v>
      </c>
      <c r="V8" s="228">
        <f>F8*I8</f>
        <v>3.29</v>
      </c>
      <c r="W8" s="230" t="s">
        <v>122</v>
      </c>
      <c r="X8" s="6">
        <v>2.2999999999999998</v>
      </c>
      <c r="AA8" s="6">
        <f>20.17*0.2</f>
        <v>4.0340000000000007</v>
      </c>
      <c r="AB8" s="7">
        <v>37.5</v>
      </c>
      <c r="AC8" s="7"/>
      <c r="AI8" s="6">
        <f>(F8+2*G8)*I8</f>
        <v>8.7100000000000009</v>
      </c>
      <c r="AN8" s="7"/>
      <c r="AS8" s="4">
        <v>3.05</v>
      </c>
      <c r="AT8" s="4">
        <v>1</v>
      </c>
      <c r="AU8" s="4">
        <v>1</v>
      </c>
    </row>
    <row r="9" spans="1:54" ht="15" x14ac:dyDescent="0.25">
      <c r="A9" s="252"/>
      <c r="B9" s="5">
        <v>68</v>
      </c>
      <c r="D9" s="227" t="s">
        <v>655</v>
      </c>
      <c r="F9" s="228">
        <v>4.5</v>
      </c>
      <c r="G9" s="228">
        <v>3.12</v>
      </c>
      <c r="H9" s="306">
        <f t="shared" ref="H9" si="2">F9*G9</f>
        <v>14.040000000000001</v>
      </c>
      <c r="I9" s="228">
        <v>1</v>
      </c>
      <c r="J9" s="306"/>
      <c r="K9" s="2" t="str">
        <f t="shared" ref="K9" si="3">IF(J9=0," ",H9*K$3)</f>
        <v xml:space="preserve"> </v>
      </c>
      <c r="L9" s="306">
        <f>H9*I9</f>
        <v>14.040000000000001</v>
      </c>
      <c r="M9" s="2">
        <f>IF(L9=0," ",$H9*M$3)</f>
        <v>16848</v>
      </c>
      <c r="O9" s="2" t="str">
        <f>IF(N9=0," ",$H9*O$3)</f>
        <v xml:space="preserve"> </v>
      </c>
      <c r="Q9" s="2" t="str">
        <f>IF(P9=0," ",$H9*Q$3)</f>
        <v xml:space="preserve"> </v>
      </c>
      <c r="S9" s="2" t="str">
        <f>IF(R9=0," ",$H9*S$3)</f>
        <v xml:space="preserve"> </v>
      </c>
      <c r="V9" s="228">
        <f>F9*I9</f>
        <v>4.5</v>
      </c>
      <c r="W9" s="230" t="s">
        <v>122</v>
      </c>
      <c r="X9" s="6" t="s">
        <v>657</v>
      </c>
      <c r="AB9" s="7">
        <f>-4.5*3.12</f>
        <v>-14.040000000000001</v>
      </c>
      <c r="AJ9" s="6">
        <f>(F9+2*G9)*I9</f>
        <v>10.74</v>
      </c>
      <c r="AN9" s="7"/>
    </row>
    <row r="10" spans="1:54" ht="15" x14ac:dyDescent="0.25">
      <c r="A10" s="252"/>
      <c r="B10" s="5">
        <v>17.899999999999999</v>
      </c>
      <c r="H10" s="306">
        <f t="shared" si="0"/>
        <v>0</v>
      </c>
      <c r="J10" s="306">
        <f>I10*H10</f>
        <v>0</v>
      </c>
      <c r="K10" s="2" t="str">
        <f t="shared" ref="K10:K12" si="4">IF(J10=0," ",H10*K$3)</f>
        <v xml:space="preserve"> </v>
      </c>
      <c r="Q10" s="2" t="str">
        <f>IF(P10=0," ",J10*Q$3)</f>
        <v xml:space="preserve"> </v>
      </c>
      <c r="S10" s="2" t="str">
        <f>IF(R10=0," ",R10*S$3)</f>
        <v xml:space="preserve"> </v>
      </c>
      <c r="T10" s="228">
        <f t="shared" ref="T10" si="5">F10*I10</f>
        <v>0</v>
      </c>
      <c r="AA10" s="7"/>
      <c r="AB10" s="7"/>
      <c r="AJ10" s="6">
        <f>(F10+G10)*2*I10</f>
        <v>0</v>
      </c>
      <c r="AN10" s="7"/>
    </row>
    <row r="11" spans="1:54" ht="15" x14ac:dyDescent="0.25">
      <c r="A11" s="252"/>
      <c r="B11" s="5">
        <v>37.5</v>
      </c>
      <c r="H11" s="306">
        <f t="shared" si="0"/>
        <v>0</v>
      </c>
      <c r="J11" s="306">
        <f>I11*H11</f>
        <v>0</v>
      </c>
      <c r="K11" s="2" t="str">
        <f t="shared" si="4"/>
        <v xml:space="preserve"> </v>
      </c>
      <c r="M11" s="2" t="str">
        <f t="shared" ref="M11:M12" si="6">IF(L11=0," ",$H11*M$3)</f>
        <v xml:space="preserve"> </v>
      </c>
      <c r="O11" s="2" t="str">
        <f>IF(N11=0," ",$H11*O$3)</f>
        <v xml:space="preserve"> </v>
      </c>
      <c r="Q11" s="2" t="str">
        <f>IF(P11=0," ",$H11*Q$3)</f>
        <v xml:space="preserve"> </v>
      </c>
      <c r="S11" s="2" t="str">
        <f>IF(R11=0," ",$H11*S$3)</f>
        <v xml:space="preserve"> </v>
      </c>
      <c r="T11" s="228">
        <f>F11*I11</f>
        <v>0</v>
      </c>
      <c r="W11" s="230" t="s">
        <v>122</v>
      </c>
      <c r="AB11" s="7"/>
      <c r="AJ11" s="6">
        <f>(F11+G11)*2*I11</f>
        <v>0</v>
      </c>
      <c r="AN11" s="7"/>
    </row>
    <row r="12" spans="1:54" ht="15" x14ac:dyDescent="0.25">
      <c r="A12" s="252"/>
      <c r="B12" s="5">
        <f>0.95+2.3</f>
        <v>3.25</v>
      </c>
      <c r="H12" s="306">
        <f t="shared" si="0"/>
        <v>0</v>
      </c>
      <c r="J12" s="306"/>
      <c r="K12" s="2" t="str">
        <f t="shared" si="4"/>
        <v xml:space="preserve"> </v>
      </c>
      <c r="L12" s="306">
        <f>H12*I12</f>
        <v>0</v>
      </c>
      <c r="M12" s="2" t="str">
        <f t="shared" si="6"/>
        <v xml:space="preserve"> </v>
      </c>
      <c r="O12" s="2" t="str">
        <f>IF(N12=0," ",$H12*O$3)</f>
        <v xml:space="preserve"> </v>
      </c>
      <c r="Q12" s="2" t="str">
        <f>IF(P12=0," ",$H12*Q$3)</f>
        <v xml:space="preserve"> </v>
      </c>
      <c r="S12" s="2" t="str">
        <f>IF(R12=0," ",$H12*S$3)</f>
        <v xml:space="preserve"> </v>
      </c>
      <c r="V12" s="228">
        <f>F12*I12</f>
        <v>0</v>
      </c>
      <c r="W12" s="230" t="s">
        <v>122</v>
      </c>
      <c r="AB12" s="7"/>
      <c r="AJ12" s="6">
        <f>(F12+2*G12)*I12</f>
        <v>0</v>
      </c>
      <c r="AN12" s="7"/>
    </row>
    <row r="13" spans="1:54" ht="15" x14ac:dyDescent="0.25">
      <c r="A13" s="252"/>
      <c r="H13" s="306">
        <f t="shared" ref="H13" si="7">F13*G13</f>
        <v>0</v>
      </c>
      <c r="J13" s="306"/>
      <c r="K13" s="2" t="str">
        <f t="shared" ref="K13" si="8">IF(J13=0," ",H13*K$3)</f>
        <v xml:space="preserve"> </v>
      </c>
      <c r="P13" s="228">
        <f>I13*H13</f>
        <v>0</v>
      </c>
      <c r="Q13" s="2" t="str">
        <f>IF(P13=0," ",J13*Q$3)</f>
        <v xml:space="preserve"> </v>
      </c>
      <c r="S13" s="2" t="str">
        <f>IF(R13=0," ",R13*S$3)</f>
        <v xml:space="preserve"> </v>
      </c>
      <c r="T13" s="228">
        <f>F13*I13</f>
        <v>0</v>
      </c>
      <c r="V13" s="254"/>
      <c r="AJ13" s="6">
        <f>(F13+G13)*2*I13</f>
        <v>0</v>
      </c>
      <c r="AN13" s="7"/>
    </row>
    <row r="14" spans="1:54" ht="15" x14ac:dyDescent="0.25">
      <c r="A14" s="252"/>
      <c r="C14" s="255"/>
      <c r="K14" s="2" t="str">
        <f>IF(J14=0," ",H14*K$3)</f>
        <v xml:space="preserve"> </v>
      </c>
      <c r="M14" s="2" t="str">
        <f>IF(L14=0," ",$H14*M$3)</f>
        <v xml:space="preserve"> </v>
      </c>
      <c r="W14" s="256"/>
      <c r="AI14" s="257"/>
      <c r="AJ14" s="257"/>
      <c r="AK14" s="257"/>
      <c r="AL14" s="257"/>
    </row>
    <row r="15" spans="1:54" ht="15" x14ac:dyDescent="0.25">
      <c r="A15" s="252"/>
      <c r="B15" s="258"/>
      <c r="C15" s="259"/>
      <c r="F15" s="228" t="s">
        <v>12</v>
      </c>
      <c r="G15" s="228" t="s">
        <v>179</v>
      </c>
      <c r="H15" s="228" t="s">
        <v>90</v>
      </c>
      <c r="I15" s="228" t="s">
        <v>105</v>
      </c>
      <c r="L15" s="260"/>
      <c r="M15" s="2" t="str">
        <f>IF(L15=0," ",$H15*M$3)</f>
        <v xml:space="preserve"> </v>
      </c>
      <c r="W15" s="256"/>
      <c r="AI15" s="257"/>
      <c r="AJ15" s="257"/>
      <c r="AK15" s="257"/>
      <c r="AL15" s="257"/>
    </row>
    <row r="16" spans="1:54" ht="15" x14ac:dyDescent="0.25">
      <c r="A16" s="252"/>
      <c r="C16" s="259" t="s">
        <v>374</v>
      </c>
      <c r="D16" s="261"/>
      <c r="E16" s="261"/>
      <c r="F16" s="260"/>
      <c r="J16" s="262"/>
      <c r="M16" s="2" t="str">
        <f>IF(L16=0," ",$H16*M$3)</f>
        <v xml:space="preserve"> </v>
      </c>
      <c r="T16" s="262"/>
      <c r="U16" s="262"/>
      <c r="V16" s="260"/>
      <c r="W16" s="256"/>
      <c r="AI16" s="257"/>
      <c r="AJ16" s="257"/>
      <c r="AK16" s="257"/>
      <c r="AL16" s="257"/>
      <c r="AY16" s="230">
        <f>F16*I16</f>
        <v>0</v>
      </c>
    </row>
    <row r="17" spans="1:54" ht="15" x14ac:dyDescent="0.25">
      <c r="A17" s="252"/>
      <c r="C17" s="259" t="s">
        <v>375</v>
      </c>
      <c r="D17" s="261"/>
      <c r="E17" s="261"/>
      <c r="F17" s="260"/>
      <c r="J17" s="262"/>
      <c r="M17" s="2" t="str">
        <f>IF(L17=0," ",$H17*M$3)</f>
        <v xml:space="preserve"> </v>
      </c>
      <c r="T17" s="262"/>
      <c r="U17" s="262"/>
      <c r="V17" s="260"/>
      <c r="W17" s="256"/>
      <c r="AI17" s="257"/>
      <c r="AJ17" s="257"/>
      <c r="AK17" s="257"/>
      <c r="AL17" s="257"/>
      <c r="BB17" s="230">
        <f>F17*I17</f>
        <v>0</v>
      </c>
    </row>
    <row r="18" spans="1:54" ht="15" x14ac:dyDescent="0.25">
      <c r="A18" s="252"/>
      <c r="B18" s="263"/>
      <c r="C18" s="264"/>
      <c r="I18" s="265">
        <f>SUM(I7:I13)</f>
        <v>2</v>
      </c>
      <c r="J18" s="266">
        <f>SUM(J7:J17)</f>
        <v>0</v>
      </c>
      <c r="L18" s="266">
        <f>SUM(L7:L17)</f>
        <v>22.9559</v>
      </c>
      <c r="N18" s="266">
        <f>SUM(N7:N17)</f>
        <v>0</v>
      </c>
      <c r="O18" s="3"/>
      <c r="P18" s="266">
        <f>SUM(P7:P17)</f>
        <v>0</v>
      </c>
      <c r="R18" s="266">
        <f>SUM(R7:R17)</f>
        <v>0</v>
      </c>
      <c r="T18" s="266">
        <f t="shared" ref="T18:Y18" si="9">SUM(T7:T17)</f>
        <v>0</v>
      </c>
      <c r="U18" s="266">
        <f t="shared" si="9"/>
        <v>0</v>
      </c>
      <c r="V18" s="266">
        <f t="shared" si="9"/>
        <v>7.79</v>
      </c>
      <c r="W18" s="267">
        <f t="shared" si="9"/>
        <v>0</v>
      </c>
      <c r="X18" s="268">
        <f t="shared" si="9"/>
        <v>3.25</v>
      </c>
      <c r="Y18" s="268">
        <f t="shared" si="9"/>
        <v>0</v>
      </c>
      <c r="Z18" s="268">
        <f>SUM(B7:B13)-W18-J18-L18-N18-P18-AC18-AD18-AE18-Y18-AB18-AA18-X18-R18</f>
        <v>144.67010000000005</v>
      </c>
      <c r="AA18" s="268">
        <f t="shared" ref="AA18:AP18" si="10">SUM(AA7:AA17)</f>
        <v>5.7140000000000004</v>
      </c>
      <c r="AB18" s="268">
        <f t="shared" si="10"/>
        <v>41.36</v>
      </c>
      <c r="AC18" s="268">
        <f t="shared" si="10"/>
        <v>51</v>
      </c>
      <c r="AD18" s="268">
        <f t="shared" si="10"/>
        <v>0</v>
      </c>
      <c r="AE18" s="268">
        <f t="shared" si="10"/>
        <v>0</v>
      </c>
      <c r="AF18" s="268">
        <f t="shared" si="10"/>
        <v>0</v>
      </c>
      <c r="AG18" s="268">
        <f t="shared" si="10"/>
        <v>0</v>
      </c>
      <c r="AH18" s="268">
        <f t="shared" si="10"/>
        <v>0</v>
      </c>
      <c r="AI18" s="268">
        <f t="shared" si="10"/>
        <v>8.7100000000000009</v>
      </c>
      <c r="AJ18" s="268">
        <f t="shared" si="10"/>
        <v>10.74</v>
      </c>
      <c r="AK18" s="268">
        <f t="shared" si="10"/>
        <v>0</v>
      </c>
      <c r="AL18" s="268">
        <f t="shared" si="10"/>
        <v>0</v>
      </c>
      <c r="AM18" s="268">
        <f t="shared" si="10"/>
        <v>0</v>
      </c>
      <c r="AN18" s="268">
        <f t="shared" si="10"/>
        <v>0</v>
      </c>
      <c r="AO18" s="268">
        <f t="shared" si="10"/>
        <v>0</v>
      </c>
      <c r="AP18" s="268">
        <f t="shared" si="10"/>
        <v>0</v>
      </c>
      <c r="AQ18" s="2" t="str">
        <f>IF(AM18=0," ",$H18*AQ$3)</f>
        <v xml:space="preserve"> </v>
      </c>
      <c r="AR18" s="269" t="s">
        <v>122</v>
      </c>
      <c r="AS18" s="270">
        <f>SUM(AS7:AS17)</f>
        <v>6.1</v>
      </c>
      <c r="AT18" s="270">
        <f>SUM(AT7:AT17)</f>
        <v>2</v>
      </c>
      <c r="AU18" s="270">
        <f>SUM(AU7:AU17)</f>
        <v>2</v>
      </c>
      <c r="AV18" s="270">
        <f>SUM(AV7:AV17)</f>
        <v>0</v>
      </c>
      <c r="AW18" s="269" t="s">
        <v>122</v>
      </c>
      <c r="AX18" s="267">
        <f>SUM(AX7:AX17)</f>
        <v>0</v>
      </c>
      <c r="AY18" s="267">
        <f>SUM(AY7:AY17)</f>
        <v>0</v>
      </c>
      <c r="AZ18" s="267">
        <f>SUM(AZ7:AZ17)</f>
        <v>0</v>
      </c>
      <c r="BA18" s="267">
        <f>SUM(BA7:BA17)</f>
        <v>0</v>
      </c>
      <c r="BB18" s="267">
        <f>SUM(BB7:BB17)</f>
        <v>0</v>
      </c>
    </row>
    <row r="19" spans="1:54" x14ac:dyDescent="0.25">
      <c r="A19" s="271"/>
      <c r="B19" s="272"/>
      <c r="C19" s="272"/>
      <c r="D19" s="273"/>
      <c r="E19" s="273"/>
      <c r="F19" s="274"/>
      <c r="G19" s="274"/>
      <c r="H19" s="274"/>
      <c r="I19" s="275"/>
      <c r="J19" s="276"/>
      <c r="K19" s="277"/>
      <c r="L19" s="276"/>
      <c r="M19" s="277"/>
      <c r="N19" s="276"/>
      <c r="O19" s="277"/>
      <c r="P19" s="276"/>
      <c r="Q19" s="277"/>
      <c r="R19" s="276"/>
      <c r="S19" s="277"/>
      <c r="T19" s="276"/>
      <c r="U19" s="276"/>
      <c r="V19" s="276"/>
      <c r="W19" s="278"/>
      <c r="X19" s="279"/>
      <c r="Y19" s="279"/>
      <c r="Z19" s="279"/>
      <c r="AA19" s="216"/>
      <c r="AB19" s="216"/>
      <c r="AC19" s="216"/>
      <c r="AD19" s="216"/>
      <c r="AE19" s="216"/>
      <c r="AF19" s="280"/>
      <c r="AG19" s="280"/>
      <c r="AH19" s="280"/>
      <c r="AI19" s="279"/>
      <c r="AJ19" s="279"/>
      <c r="AK19" s="279"/>
      <c r="AL19" s="279"/>
      <c r="AM19" s="279"/>
      <c r="AN19" s="279"/>
      <c r="AO19" s="279"/>
      <c r="AP19" s="279"/>
      <c r="AQ19" s="277"/>
      <c r="AR19" s="277"/>
      <c r="AS19" s="281"/>
      <c r="AT19" s="281"/>
      <c r="AU19" s="281"/>
      <c r="AV19" s="281"/>
      <c r="AW19" s="269" t="s">
        <v>122</v>
      </c>
      <c r="AX19" s="278"/>
      <c r="AY19" s="278"/>
      <c r="AZ19" s="278"/>
      <c r="BA19" s="278"/>
      <c r="BB19" s="278"/>
    </row>
    <row r="20" spans="1:54" ht="60" x14ac:dyDescent="0.25">
      <c r="A20" s="246" t="s">
        <v>659</v>
      </c>
      <c r="B20" s="5" t="s">
        <v>1</v>
      </c>
      <c r="C20" s="5" t="s">
        <v>1</v>
      </c>
      <c r="D20" s="227" t="s">
        <v>364</v>
      </c>
      <c r="F20" s="228" t="s">
        <v>12</v>
      </c>
      <c r="G20" s="228" t="s">
        <v>13</v>
      </c>
      <c r="H20" s="228" t="s">
        <v>90</v>
      </c>
      <c r="I20" s="228" t="s">
        <v>105</v>
      </c>
      <c r="J20" s="247" t="s">
        <v>106</v>
      </c>
      <c r="K20" s="3" t="s">
        <v>128</v>
      </c>
      <c r="L20" s="247" t="s">
        <v>109</v>
      </c>
      <c r="M20" s="3" t="s">
        <v>128</v>
      </c>
      <c r="N20" s="247" t="s">
        <v>504</v>
      </c>
      <c r="O20" s="3" t="s">
        <v>128</v>
      </c>
      <c r="P20" s="247" t="str">
        <f>P5</f>
        <v>grlles de ventilation
Total m²</v>
      </c>
      <c r="Q20" s="3" t="s">
        <v>128</v>
      </c>
      <c r="R20" s="247" t="s">
        <v>363</v>
      </c>
      <c r="S20" s="3" t="s">
        <v>128</v>
      </c>
      <c r="T20" s="248" t="str">
        <f>T5</f>
        <v>Linéaire bavettes alu</v>
      </c>
      <c r="U20" s="248" t="str">
        <f>U5</f>
        <v>Linéaire bavettes zinc</v>
      </c>
      <c r="V20" s="248" t="s">
        <v>107</v>
      </c>
      <c r="W20" s="230" t="s">
        <v>1</v>
      </c>
      <c r="X20" s="6" t="s">
        <v>1</v>
      </c>
      <c r="Y20" s="6" t="s">
        <v>1</v>
      </c>
      <c r="Z20" s="6" t="s">
        <v>1</v>
      </c>
      <c r="AA20" s="6" t="s">
        <v>1</v>
      </c>
      <c r="AB20" s="6" t="s">
        <v>1</v>
      </c>
      <c r="AC20" s="6" t="s">
        <v>1</v>
      </c>
      <c r="AD20" s="6" t="s">
        <v>1</v>
      </c>
      <c r="AE20" s="6" t="s">
        <v>1</v>
      </c>
      <c r="AF20" s="6" t="s">
        <v>0</v>
      </c>
      <c r="AG20" s="6" t="s">
        <v>0</v>
      </c>
      <c r="AH20" s="6" t="s">
        <v>0</v>
      </c>
      <c r="AI20" s="6" t="s">
        <v>0</v>
      </c>
      <c r="AJ20" s="6" t="s">
        <v>0</v>
      </c>
      <c r="AK20" s="6" t="s">
        <v>0</v>
      </c>
      <c r="AL20" s="6" t="s">
        <v>0</v>
      </c>
      <c r="AM20" s="7" t="s">
        <v>1</v>
      </c>
      <c r="AN20" s="6" t="s">
        <v>1</v>
      </c>
      <c r="AO20" s="6" t="s">
        <v>1</v>
      </c>
      <c r="AP20" s="249" t="s">
        <v>201</v>
      </c>
      <c r="AQ20" s="3" t="s">
        <v>128</v>
      </c>
      <c r="AS20" s="4" t="s">
        <v>0</v>
      </c>
      <c r="AT20" s="4" t="s">
        <v>2</v>
      </c>
      <c r="AU20" s="4" t="s">
        <v>2</v>
      </c>
      <c r="AV20" s="4" t="s">
        <v>0</v>
      </c>
      <c r="AX20" s="230" t="s">
        <v>1</v>
      </c>
      <c r="AY20" s="230" t="s">
        <v>0</v>
      </c>
      <c r="AZ20" s="250" t="s">
        <v>203</v>
      </c>
      <c r="BA20" s="251" t="s">
        <v>204</v>
      </c>
      <c r="BB20" s="251" t="s">
        <v>205</v>
      </c>
    </row>
    <row r="21" spans="1:54" x14ac:dyDescent="0.25">
      <c r="M21" s="2" t="str">
        <f>IF(L21=0," ",$H21*M$3)</f>
        <v xml:space="preserve"> </v>
      </c>
    </row>
    <row r="22" spans="1:54" ht="15" x14ac:dyDescent="0.25">
      <c r="A22" s="252"/>
      <c r="B22" s="5">
        <v>6.7</v>
      </c>
      <c r="C22" s="5">
        <v>306</v>
      </c>
      <c r="H22" s="228">
        <f t="shared" ref="H22:H26" si="11">F22*G22</f>
        <v>0</v>
      </c>
      <c r="J22" s="228">
        <f>I22*H22</f>
        <v>0</v>
      </c>
      <c r="K22" s="2" t="str">
        <f>IF(J22=0," ",H22*K$3)</f>
        <v xml:space="preserve"> </v>
      </c>
      <c r="T22" s="228">
        <f>F22*I22</f>
        <v>0</v>
      </c>
      <c r="V22" s="283"/>
      <c r="X22" s="6">
        <v>0.95</v>
      </c>
      <c r="AA22" s="7">
        <f>28.3*0.2</f>
        <v>5.66</v>
      </c>
      <c r="AB22" s="6">
        <v>6.7</v>
      </c>
      <c r="AJ22" s="6">
        <f>(F22+G22)*2*I22</f>
        <v>0</v>
      </c>
      <c r="AN22" s="7"/>
      <c r="AQ22" s="2" t="str">
        <f>IF(AM22=0," ",H22*AQ$3)</f>
        <v xml:space="preserve"> </v>
      </c>
      <c r="AS22" s="4">
        <v>8.9</v>
      </c>
      <c r="AT22" s="4">
        <v>1</v>
      </c>
      <c r="AU22" s="4">
        <v>1</v>
      </c>
    </row>
    <row r="23" spans="1:54" ht="15" x14ac:dyDescent="0.25">
      <c r="A23" s="252"/>
      <c r="B23" s="5">
        <v>44</v>
      </c>
      <c r="H23" s="228">
        <f t="shared" ref="H23" si="12">F23*G23</f>
        <v>0</v>
      </c>
      <c r="J23" s="228">
        <f>I23*H23</f>
        <v>0</v>
      </c>
      <c r="K23" s="2" t="str">
        <f>IF(J23=0," ",H23*K$3)</f>
        <v xml:space="preserve"> </v>
      </c>
      <c r="M23" s="2" t="str">
        <f t="shared" ref="M23" si="13">IF(L23=0," ",$H23*M$3)</f>
        <v xml:space="preserve"> </v>
      </c>
      <c r="T23" s="228">
        <f>F23*I23</f>
        <v>0</v>
      </c>
      <c r="V23" s="283"/>
      <c r="X23" s="6">
        <v>6.8</v>
      </c>
      <c r="AA23" s="7" t="s">
        <v>697</v>
      </c>
      <c r="AB23" s="6">
        <v>44</v>
      </c>
      <c r="AJ23" s="6">
        <f>(F23+G23)*2*I23</f>
        <v>0</v>
      </c>
      <c r="AN23" s="7"/>
      <c r="AQ23" s="2" t="str">
        <f>IF(AM23=0," ",H23*AQ$3)</f>
        <v xml:space="preserve"> </v>
      </c>
      <c r="AS23" s="4">
        <v>2.63</v>
      </c>
      <c r="AT23" s="4">
        <v>1</v>
      </c>
      <c r="AU23" s="4">
        <v>1</v>
      </c>
    </row>
    <row r="24" spans="1:54" ht="15" x14ac:dyDescent="0.25">
      <c r="A24" s="252"/>
      <c r="B24" s="5">
        <v>180</v>
      </c>
      <c r="H24" s="228">
        <f>F24*G24</f>
        <v>0</v>
      </c>
      <c r="L24" s="228">
        <f>H24*I24</f>
        <v>0</v>
      </c>
      <c r="M24" s="2" t="str">
        <f>IF(L24=0," ",$H24*M$3)</f>
        <v xml:space="preserve"> </v>
      </c>
      <c r="O24" s="2" t="str">
        <f>IF(N24=0," ",$H24*O$3)</f>
        <v xml:space="preserve"> </v>
      </c>
      <c r="S24" s="2" t="str">
        <f>IF(R24=0," ",$H24*S$3)</f>
        <v xml:space="preserve"> </v>
      </c>
      <c r="T24" s="228" t="s">
        <v>257</v>
      </c>
      <c r="V24" s="228">
        <f>F24*I24</f>
        <v>0</v>
      </c>
      <c r="W24" s="230" t="s">
        <v>122</v>
      </c>
      <c r="X24" s="6" t="s">
        <v>657</v>
      </c>
      <c r="AA24" s="6">
        <f>8.2*(0.2+0.6)</f>
        <v>6.56</v>
      </c>
      <c r="AJ24" s="6">
        <f>(F24+G24*2)*I24</f>
        <v>0</v>
      </c>
      <c r="AN24" s="7"/>
    </row>
    <row r="25" spans="1:54" ht="15" x14ac:dyDescent="0.25">
      <c r="A25" s="252"/>
      <c r="B25" s="5">
        <f>6.8+0.95</f>
        <v>7.75</v>
      </c>
      <c r="H25" s="228">
        <f>F25*G25</f>
        <v>0</v>
      </c>
      <c r="L25" s="228">
        <f>H25*I25</f>
        <v>0</v>
      </c>
      <c r="M25" s="2" t="str">
        <f>IF(L25=0," ",$H25*M$3)</f>
        <v xml:space="preserve"> </v>
      </c>
      <c r="O25" s="2" t="str">
        <f>IF(N25=0," ",$H25*O$3)</f>
        <v xml:space="preserve"> </v>
      </c>
      <c r="S25" s="2" t="str">
        <f>IF(R25=0," ",$H25*S$3)</f>
        <v xml:space="preserve"> </v>
      </c>
      <c r="T25" s="228" t="s">
        <v>257</v>
      </c>
      <c r="V25" s="228">
        <f>F25*I25</f>
        <v>0</v>
      </c>
      <c r="W25" s="230" t="s">
        <v>122</v>
      </c>
      <c r="AA25" s="6" t="s">
        <v>698</v>
      </c>
      <c r="AJ25" s="6">
        <f>(F25+G25*2)*I25</f>
        <v>0</v>
      </c>
      <c r="AN25" s="7"/>
    </row>
    <row r="26" spans="1:54" ht="15" x14ac:dyDescent="0.25">
      <c r="A26" s="252"/>
      <c r="B26" s="5">
        <v>19.5</v>
      </c>
      <c r="H26" s="228">
        <f t="shared" si="11"/>
        <v>0</v>
      </c>
      <c r="J26" s="228">
        <f>I26*H26</f>
        <v>0</v>
      </c>
      <c r="K26" s="2" t="str">
        <f>IF(J26=0," ",H26*K$3)</f>
        <v xml:space="preserve"> </v>
      </c>
      <c r="M26" s="2" t="str">
        <f t="shared" ref="M26:M29" si="14">IF(L26=0," ",$H26*M$3)</f>
        <v xml:space="preserve"> </v>
      </c>
      <c r="T26" s="228">
        <f>F26*I26</f>
        <v>0</v>
      </c>
      <c r="V26" s="283"/>
      <c r="AA26" s="7"/>
      <c r="AJ26" s="6">
        <f>(F26+G26)*2*I26</f>
        <v>0</v>
      </c>
      <c r="AN26" s="7"/>
      <c r="AQ26" s="2" t="str">
        <f>IF(AM26=0," ",H26*AQ$3)</f>
        <v xml:space="preserve"> </v>
      </c>
    </row>
    <row r="27" spans="1:54" ht="15" x14ac:dyDescent="0.25">
      <c r="A27" s="252"/>
      <c r="B27" s="5" t="s">
        <v>699</v>
      </c>
      <c r="D27" s="227" t="s">
        <v>660</v>
      </c>
      <c r="E27" s="227">
        <v>1</v>
      </c>
      <c r="F27" s="228">
        <v>1</v>
      </c>
      <c r="G27" s="228">
        <v>2.15</v>
      </c>
      <c r="H27" s="228">
        <f>F27*G27</f>
        <v>2.15</v>
      </c>
      <c r="I27" s="228">
        <v>1</v>
      </c>
      <c r="M27" s="2" t="str">
        <f t="shared" si="14"/>
        <v xml:space="preserve"> </v>
      </c>
      <c r="N27" s="228">
        <f>H27*I27</f>
        <v>2.15</v>
      </c>
      <c r="O27" s="2">
        <f>IF(N27=0," ",$H27*O$3)</f>
        <v>3225</v>
      </c>
      <c r="Q27" s="2" t="str">
        <f>IF(P27=0," ",$H27*Q$3)</f>
        <v xml:space="preserve"> </v>
      </c>
      <c r="S27" s="2" t="str">
        <f>IF(R27=0," ",$H27*S$3)</f>
        <v xml:space="preserve"> </v>
      </c>
      <c r="V27" s="228">
        <f>F27*I27</f>
        <v>1</v>
      </c>
      <c r="W27" s="230" t="s">
        <v>122</v>
      </c>
      <c r="AI27" s="6">
        <f>(F27+G27*2)*I27</f>
        <v>5.3</v>
      </c>
      <c r="AN27" s="7"/>
    </row>
    <row r="28" spans="1:54" ht="15" x14ac:dyDescent="0.25">
      <c r="A28" s="252"/>
      <c r="F28" s="228">
        <f>0.93+0.93</f>
        <v>1.86</v>
      </c>
      <c r="G28" s="228">
        <v>2.04</v>
      </c>
      <c r="H28" s="228">
        <f>F28*G28</f>
        <v>3.7944000000000004</v>
      </c>
      <c r="I28" s="228">
        <v>1</v>
      </c>
      <c r="M28" s="2" t="str">
        <f t="shared" ref="M28" si="15">IF(L28=0," ",$H28*M$3)</f>
        <v xml:space="preserve"> </v>
      </c>
      <c r="N28" s="228">
        <f>H28*I28</f>
        <v>3.7944000000000004</v>
      </c>
      <c r="O28" s="2">
        <f>IF(N28=0," ",$H28*O$3)</f>
        <v>5691.6</v>
      </c>
      <c r="Q28" s="2" t="str">
        <f>IF(P28=0," ",$H28*Q$3)</f>
        <v xml:space="preserve"> </v>
      </c>
      <c r="S28" s="2" t="str">
        <f>IF(R28=0," ",$H28*S$3)</f>
        <v xml:space="preserve"> </v>
      </c>
      <c r="V28" s="228">
        <f>F28*I28</f>
        <v>1.86</v>
      </c>
      <c r="AI28" s="6">
        <f>(F28+G28*2)*I28</f>
        <v>5.94</v>
      </c>
      <c r="AN28" s="7"/>
    </row>
    <row r="29" spans="1:54" ht="15" x14ac:dyDescent="0.25">
      <c r="A29" s="252"/>
      <c r="B29" s="5">
        <f>8.2*0.6</f>
        <v>4.919999999999999</v>
      </c>
      <c r="H29" s="228">
        <f>F29*G29</f>
        <v>0</v>
      </c>
      <c r="J29" s="228">
        <f t="shared" ref="J29" si="16">I29*H29</f>
        <v>0</v>
      </c>
      <c r="K29" s="2" t="str">
        <f t="shared" ref="K29" si="17">IF(J29=0," ",H29*K$3)</f>
        <v xml:space="preserve"> </v>
      </c>
      <c r="M29" s="2" t="str">
        <f t="shared" si="14"/>
        <v xml:space="preserve"> </v>
      </c>
      <c r="O29" s="2" t="str">
        <f>IF(N29=0," ",$H29*O$3)</f>
        <v xml:space="preserve"> </v>
      </c>
      <c r="Q29" s="2" t="str">
        <f>IF(P29=0," ",$H29*Q$3)</f>
        <v xml:space="preserve"> </v>
      </c>
      <c r="S29" s="2" t="str">
        <f>IF(R29=0," ",$H29*S$3)</f>
        <v xml:space="preserve"> </v>
      </c>
      <c r="T29" s="228">
        <f t="shared" ref="T29" si="18">F29*I29</f>
        <v>0</v>
      </c>
      <c r="W29" s="230" t="s">
        <v>122</v>
      </c>
      <c r="AN29" s="7"/>
    </row>
    <row r="30" spans="1:54" ht="15" x14ac:dyDescent="0.25">
      <c r="A30" s="252"/>
      <c r="C30" s="255"/>
      <c r="O30" s="2" t="str">
        <f t="shared" ref="O30:O37" si="19">IF(N30=0," ",$H30*O$3)</f>
        <v xml:space="preserve"> </v>
      </c>
      <c r="W30" s="256"/>
      <c r="AI30" s="257"/>
      <c r="AJ30" s="257"/>
      <c r="AK30" s="257"/>
      <c r="AL30" s="257"/>
    </row>
    <row r="31" spans="1:54" ht="15" x14ac:dyDescent="0.25">
      <c r="A31" s="252"/>
      <c r="B31" s="258"/>
      <c r="C31" s="259"/>
      <c r="F31" s="228" t="s">
        <v>12</v>
      </c>
      <c r="G31" s="228" t="s">
        <v>179</v>
      </c>
      <c r="H31" s="228" t="s">
        <v>90</v>
      </c>
      <c r="I31" s="228" t="s">
        <v>105</v>
      </c>
      <c r="L31" s="260"/>
      <c r="O31" s="2" t="str">
        <f t="shared" si="19"/>
        <v xml:space="preserve"> </v>
      </c>
      <c r="W31" s="256"/>
      <c r="AI31" s="257"/>
      <c r="AJ31" s="257"/>
      <c r="AK31" s="257"/>
      <c r="AL31" s="257"/>
    </row>
    <row r="32" spans="1:54" ht="15" x14ac:dyDescent="0.25">
      <c r="A32" s="252"/>
      <c r="C32" s="259" t="s">
        <v>374</v>
      </c>
      <c r="D32" s="261"/>
      <c r="E32" s="261"/>
      <c r="F32" s="260"/>
      <c r="J32" s="262"/>
      <c r="O32" s="2" t="str">
        <f t="shared" si="19"/>
        <v xml:space="preserve"> </v>
      </c>
      <c r="T32" s="262"/>
      <c r="U32" s="262"/>
      <c r="V32" s="260"/>
      <c r="W32" s="256"/>
      <c r="AI32" s="257"/>
      <c r="AJ32" s="257"/>
      <c r="AK32" s="257"/>
      <c r="AL32" s="257"/>
      <c r="AY32" s="230">
        <f>F32*I32</f>
        <v>0</v>
      </c>
    </row>
    <row r="33" spans="1:54" ht="15" x14ac:dyDescent="0.25">
      <c r="A33" s="252"/>
      <c r="C33" s="259" t="s">
        <v>375</v>
      </c>
      <c r="D33" s="261"/>
      <c r="E33" s="261"/>
      <c r="F33" s="260"/>
      <c r="J33" s="262"/>
      <c r="O33" s="2" t="str">
        <f t="shared" si="19"/>
        <v xml:space="preserve"> </v>
      </c>
      <c r="T33" s="262"/>
      <c r="U33" s="262"/>
      <c r="V33" s="260"/>
      <c r="W33" s="256"/>
      <c r="AI33" s="257"/>
      <c r="AJ33" s="257"/>
      <c r="AK33" s="257"/>
      <c r="AL33" s="257"/>
      <c r="BB33" s="230">
        <f>F33*I33</f>
        <v>0</v>
      </c>
    </row>
    <row r="34" spans="1:54" ht="15" x14ac:dyDescent="0.25">
      <c r="A34" s="252"/>
      <c r="B34" s="263"/>
      <c r="C34" s="264"/>
      <c r="I34" s="265">
        <f>SUM(I22:I29)</f>
        <v>2</v>
      </c>
      <c r="J34" s="266">
        <f>SUM(J22:J33)</f>
        <v>0</v>
      </c>
      <c r="L34" s="266">
        <f>SUM(L22:L33)</f>
        <v>0</v>
      </c>
      <c r="N34" s="266">
        <f>SUM(N22:N33)</f>
        <v>5.9443999999999999</v>
      </c>
      <c r="P34" s="266">
        <f>SUM(P22:P33)</f>
        <v>0</v>
      </c>
      <c r="R34" s="266">
        <f>SUM(R22:R33)</f>
        <v>0</v>
      </c>
      <c r="T34" s="266">
        <f t="shared" ref="T34:Y34" si="20">SUM(T22:T33)</f>
        <v>0</v>
      </c>
      <c r="U34" s="266">
        <f t="shared" si="20"/>
        <v>0</v>
      </c>
      <c r="V34" s="266">
        <f t="shared" si="20"/>
        <v>2.8600000000000003</v>
      </c>
      <c r="W34" s="267">
        <f t="shared" si="20"/>
        <v>0</v>
      </c>
      <c r="X34" s="268">
        <f t="shared" si="20"/>
        <v>7.75</v>
      </c>
      <c r="Y34" s="268">
        <f t="shared" si="20"/>
        <v>0</v>
      </c>
      <c r="Z34" s="268">
        <f>SUM(B22:B29)-W34-J34-L34-N34-P34-AC34-AD34-AE34-Y34-AB34-AA34-X34-R34</f>
        <v>186.25560000000004</v>
      </c>
      <c r="AA34" s="268">
        <f t="shared" ref="AA34:AP34" si="21">SUM(AA22:AA33)</f>
        <v>12.219999999999999</v>
      </c>
      <c r="AB34" s="268">
        <f t="shared" si="21"/>
        <v>50.7</v>
      </c>
      <c r="AC34" s="268">
        <f t="shared" si="21"/>
        <v>0</v>
      </c>
      <c r="AD34" s="268">
        <f t="shared" si="21"/>
        <v>0</v>
      </c>
      <c r="AE34" s="268">
        <f t="shared" si="21"/>
        <v>0</v>
      </c>
      <c r="AF34" s="268">
        <f t="shared" si="21"/>
        <v>0</v>
      </c>
      <c r="AG34" s="268">
        <f t="shared" si="21"/>
        <v>0</v>
      </c>
      <c r="AH34" s="268">
        <f t="shared" si="21"/>
        <v>0</v>
      </c>
      <c r="AI34" s="268">
        <f t="shared" si="21"/>
        <v>11.24</v>
      </c>
      <c r="AJ34" s="268">
        <f t="shared" si="21"/>
        <v>0</v>
      </c>
      <c r="AK34" s="268">
        <f t="shared" si="21"/>
        <v>0</v>
      </c>
      <c r="AL34" s="268">
        <f t="shared" si="21"/>
        <v>0</v>
      </c>
      <c r="AM34" s="268">
        <f t="shared" si="21"/>
        <v>0</v>
      </c>
      <c r="AN34" s="268">
        <f t="shared" si="21"/>
        <v>0</v>
      </c>
      <c r="AO34" s="268">
        <f t="shared" si="21"/>
        <v>0</v>
      </c>
      <c r="AP34" s="268">
        <f t="shared" si="21"/>
        <v>0</v>
      </c>
      <c r="AQ34" s="2" t="str">
        <f>IF(AM34=0," ",$H34*AQ$3)</f>
        <v xml:space="preserve"> </v>
      </c>
      <c r="AR34" s="269" t="s">
        <v>122</v>
      </c>
      <c r="AS34" s="270">
        <f>SUM(AS22:AS33)</f>
        <v>11.530000000000001</v>
      </c>
      <c r="AT34" s="270">
        <f>SUM(AT22:AT33)</f>
        <v>2</v>
      </c>
      <c r="AU34" s="270">
        <f>SUM(AU22:AU33)</f>
        <v>2</v>
      </c>
      <c r="AV34" s="270">
        <f>SUM(AV22:AV33)</f>
        <v>0</v>
      </c>
      <c r="AW34" s="269" t="s">
        <v>122</v>
      </c>
      <c r="AX34" s="267">
        <f>SUM(AX22:AX33)</f>
        <v>0</v>
      </c>
      <c r="AY34" s="267">
        <f>SUM(AY22:AY33)</f>
        <v>0</v>
      </c>
      <c r="AZ34" s="267">
        <f>SUM(AZ22:AZ33)</f>
        <v>0</v>
      </c>
      <c r="BA34" s="267">
        <f>SUM(BA22:BA33)</f>
        <v>0</v>
      </c>
      <c r="BB34" s="267">
        <f>SUM(BB22:BB33)</f>
        <v>0</v>
      </c>
    </row>
    <row r="35" spans="1:54" x14ac:dyDescent="0.25">
      <c r="A35" s="271"/>
      <c r="B35" s="272"/>
      <c r="C35" s="272"/>
      <c r="D35" s="273"/>
      <c r="E35" s="273"/>
      <c r="F35" s="274"/>
      <c r="G35" s="274"/>
      <c r="H35" s="274"/>
      <c r="I35" s="275"/>
      <c r="J35" s="276"/>
      <c r="K35" s="277"/>
      <c r="L35" s="276"/>
      <c r="M35" s="277"/>
      <c r="N35" s="276"/>
      <c r="O35" s="277"/>
      <c r="P35" s="276"/>
      <c r="Q35" s="277"/>
      <c r="R35" s="276"/>
      <c r="S35" s="277"/>
      <c r="T35" s="276"/>
      <c r="U35" s="276"/>
      <c r="V35" s="276"/>
      <c r="W35" s="278"/>
      <c r="X35" s="279"/>
      <c r="Y35" s="279"/>
      <c r="Z35" s="279"/>
      <c r="AA35" s="216"/>
      <c r="AB35" s="216"/>
      <c r="AC35" s="216"/>
      <c r="AD35" s="216"/>
      <c r="AE35" s="216"/>
      <c r="AF35" s="280"/>
      <c r="AG35" s="280"/>
      <c r="AH35" s="280"/>
      <c r="AI35" s="279"/>
      <c r="AJ35" s="279"/>
      <c r="AK35" s="279"/>
      <c r="AL35" s="279"/>
      <c r="AM35" s="279"/>
      <c r="AN35" s="279"/>
      <c r="AO35" s="279"/>
      <c r="AP35" s="279"/>
      <c r="AQ35" s="277"/>
      <c r="AR35" s="277"/>
      <c r="AS35" s="281"/>
      <c r="AT35" s="281"/>
      <c r="AU35" s="281"/>
      <c r="AV35" s="281"/>
      <c r="AW35" s="269" t="s">
        <v>122</v>
      </c>
      <c r="AX35" s="278"/>
      <c r="AY35" s="278"/>
      <c r="AZ35" s="278"/>
      <c r="BA35" s="278"/>
      <c r="BB35" s="278"/>
    </row>
    <row r="36" spans="1:54" ht="60" x14ac:dyDescent="0.25">
      <c r="A36" s="246" t="s">
        <v>661</v>
      </c>
      <c r="B36" s="5" t="s">
        <v>1</v>
      </c>
      <c r="C36" s="5" t="s">
        <v>1</v>
      </c>
      <c r="D36" s="227" t="s">
        <v>364</v>
      </c>
      <c r="F36" s="228" t="s">
        <v>12</v>
      </c>
      <c r="G36" s="228" t="s">
        <v>13</v>
      </c>
      <c r="H36" s="228" t="s">
        <v>90</v>
      </c>
      <c r="I36" s="228" t="s">
        <v>105</v>
      </c>
      <c r="J36" s="247" t="s">
        <v>106</v>
      </c>
      <c r="K36" s="3" t="s">
        <v>128</v>
      </c>
      <c r="L36" s="247" t="s">
        <v>109</v>
      </c>
      <c r="M36" s="3" t="s">
        <v>128</v>
      </c>
      <c r="N36" s="247" t="str">
        <f>N20</f>
        <v>Porte pleine
Total m²</v>
      </c>
      <c r="O36" s="3" t="s">
        <v>128</v>
      </c>
      <c r="P36" s="247" t="str">
        <f>P20</f>
        <v>grlles de ventilation
Total m²</v>
      </c>
      <c r="Q36" s="3" t="s">
        <v>128</v>
      </c>
      <c r="R36" s="247" t="str">
        <f>R20</f>
        <v>Menuiserie remise en peinture
Total m²</v>
      </c>
      <c r="S36" s="3" t="s">
        <v>128</v>
      </c>
      <c r="T36" s="248" t="str">
        <f>T20</f>
        <v>Linéaire bavettes alu</v>
      </c>
      <c r="U36" s="248" t="str">
        <f>U20</f>
        <v>Linéaire bavettes zinc</v>
      </c>
      <c r="V36" s="248" t="s">
        <v>107</v>
      </c>
      <c r="W36" s="230" t="s">
        <v>1</v>
      </c>
      <c r="X36" s="6" t="s">
        <v>1</v>
      </c>
      <c r="Y36" s="6" t="s">
        <v>1</v>
      </c>
      <c r="Z36" s="6" t="s">
        <v>1</v>
      </c>
      <c r="AA36" s="6" t="s">
        <v>1</v>
      </c>
      <c r="AB36" s="6" t="s">
        <v>1</v>
      </c>
      <c r="AC36" s="6" t="s">
        <v>1</v>
      </c>
      <c r="AD36" s="6" t="s">
        <v>1</v>
      </c>
      <c r="AE36" s="6" t="s">
        <v>1</v>
      </c>
      <c r="AF36" s="6" t="s">
        <v>0</v>
      </c>
      <c r="AG36" s="6" t="s">
        <v>0</v>
      </c>
      <c r="AH36" s="6" t="s">
        <v>0</v>
      </c>
      <c r="AI36" s="6" t="s">
        <v>0</v>
      </c>
      <c r="AJ36" s="6" t="s">
        <v>0</v>
      </c>
      <c r="AK36" s="6" t="s">
        <v>0</v>
      </c>
      <c r="AL36" s="6" t="s">
        <v>0</v>
      </c>
      <c r="AM36" s="7" t="s">
        <v>1</v>
      </c>
      <c r="AN36" s="6" t="s">
        <v>1</v>
      </c>
      <c r="AO36" s="6" t="s">
        <v>1</v>
      </c>
      <c r="AP36" s="6" t="s">
        <v>0</v>
      </c>
      <c r="AQ36" s="3" t="s">
        <v>128</v>
      </c>
      <c r="AS36" s="4" t="s">
        <v>0</v>
      </c>
      <c r="AT36" s="4" t="s">
        <v>2</v>
      </c>
      <c r="AU36" s="4" t="s">
        <v>2</v>
      </c>
      <c r="AV36" s="4" t="s">
        <v>0</v>
      </c>
      <c r="AX36" s="230" t="s">
        <v>1</v>
      </c>
      <c r="AY36" s="230" t="s">
        <v>0</v>
      </c>
      <c r="AZ36" s="230" t="s">
        <v>0</v>
      </c>
      <c r="BA36" s="230" t="s">
        <v>0</v>
      </c>
      <c r="BB36" s="230" t="s">
        <v>0</v>
      </c>
    </row>
    <row r="37" spans="1:54" x14ac:dyDescent="0.25">
      <c r="O37" s="2" t="str">
        <f t="shared" si="19"/>
        <v xml:space="preserve"> </v>
      </c>
    </row>
    <row r="38" spans="1:54" ht="15" x14ac:dyDescent="0.25">
      <c r="A38" s="252"/>
      <c r="B38" s="5">
        <v>10</v>
      </c>
      <c r="C38" s="5">
        <v>460</v>
      </c>
      <c r="F38" s="228">
        <v>7.47</v>
      </c>
      <c r="G38" s="228">
        <f>23.3/F38</f>
        <v>3.1191432396251675</v>
      </c>
      <c r="H38" s="228">
        <f t="shared" ref="H38:H39" si="22">F38*G38</f>
        <v>23.3</v>
      </c>
      <c r="I38" s="228">
        <v>1</v>
      </c>
      <c r="J38" s="228">
        <f>I38*H38</f>
        <v>23.3</v>
      </c>
      <c r="K38" s="2">
        <f>IF(J38=0," ",H38*K$3)</f>
        <v>13980</v>
      </c>
      <c r="T38" s="228">
        <f>F38*I38</f>
        <v>7.47</v>
      </c>
      <c r="V38" s="283"/>
      <c r="X38" s="6">
        <v>1.05</v>
      </c>
      <c r="AA38" s="7">
        <f>(45.12-7.45-12.5)*(0.6+0.2)</f>
        <v>20.135999999999996</v>
      </c>
      <c r="AB38" s="6">
        <v>163.6</v>
      </c>
      <c r="AC38" s="6">
        <v>14.5</v>
      </c>
      <c r="AJ38" s="7">
        <f>(F38+G38)*2*I38</f>
        <v>21.178286479250335</v>
      </c>
      <c r="AN38" s="7"/>
      <c r="AQ38" s="2" t="str">
        <f>IF(AM38=0," ",H38*AQ$3)</f>
        <v xml:space="preserve"> </v>
      </c>
      <c r="AS38" s="4">
        <v>3.6</v>
      </c>
      <c r="AT38" s="4">
        <v>1</v>
      </c>
    </row>
    <row r="39" spans="1:54" ht="15" x14ac:dyDescent="0.25">
      <c r="A39" s="252"/>
      <c r="B39" s="5">
        <v>14.5</v>
      </c>
      <c r="F39" s="228">
        <v>12.5</v>
      </c>
      <c r="G39" s="228">
        <f>32.5/F39</f>
        <v>2.6</v>
      </c>
      <c r="H39" s="228">
        <f t="shared" si="22"/>
        <v>32.5</v>
      </c>
      <c r="I39" s="228">
        <v>1</v>
      </c>
      <c r="J39" s="228">
        <f>I39*H39</f>
        <v>32.5</v>
      </c>
      <c r="K39" s="2">
        <f>IF(J39=0," ",H39*K$3)</f>
        <v>19500</v>
      </c>
      <c r="M39" s="2" t="str">
        <f t="shared" ref="M39" si="23">IF(L39=0," ",$H39*M$3)</f>
        <v xml:space="preserve"> </v>
      </c>
      <c r="T39" s="228">
        <f>F39*I39</f>
        <v>12.5</v>
      </c>
      <c r="V39" s="283"/>
      <c r="X39" s="6">
        <v>1.7</v>
      </c>
      <c r="AA39" s="7">
        <f>7.45*0.6</f>
        <v>4.47</v>
      </c>
      <c r="AB39" s="6">
        <f>-(4*0.8)*8</f>
        <v>-25.6</v>
      </c>
      <c r="AC39" s="6">
        <f>-1.06*2.1</f>
        <v>-2.2260000000000004</v>
      </c>
      <c r="AJ39" s="7">
        <f>(F39+G39)*2*I39</f>
        <v>30.2</v>
      </c>
      <c r="AN39" s="7"/>
      <c r="AQ39" s="2" t="str">
        <f>IF(AM39=0," ",H39*AQ$3)</f>
        <v xml:space="preserve"> </v>
      </c>
      <c r="AS39" s="4">
        <v>3.6</v>
      </c>
      <c r="AT39" s="4">
        <v>1</v>
      </c>
    </row>
    <row r="40" spans="1:54" ht="15" x14ac:dyDescent="0.25">
      <c r="A40" s="252"/>
      <c r="B40" s="5">
        <v>41.8</v>
      </c>
      <c r="H40" s="228">
        <f t="shared" ref="H40" si="24">F40*G40</f>
        <v>0</v>
      </c>
      <c r="L40" s="228">
        <f t="shared" ref="L40" si="25">H40*I40</f>
        <v>0</v>
      </c>
      <c r="M40" s="2" t="str">
        <f>IF(L40=0," ",$H40*M$3)</f>
        <v xml:space="preserve"> </v>
      </c>
      <c r="O40" s="2" t="str">
        <f>IF(N40=0," ",$H40*O$3)</f>
        <v xml:space="preserve"> </v>
      </c>
      <c r="S40" s="2" t="str">
        <f>IF(R40=0," ",$H40*S$3)</f>
        <v xml:space="preserve"> </v>
      </c>
      <c r="T40" s="228" t="s">
        <v>257</v>
      </c>
      <c r="V40" s="228">
        <f>F40*I40</f>
        <v>0</v>
      </c>
      <c r="W40" s="230" t="s">
        <v>122</v>
      </c>
      <c r="X40" s="6" t="s">
        <v>657</v>
      </c>
      <c r="AA40" s="6">
        <f>32.5*0.6</f>
        <v>19.5</v>
      </c>
      <c r="AJ40" s="7">
        <f>(F40+G40*2)*I40</f>
        <v>0</v>
      </c>
      <c r="AN40" s="7"/>
      <c r="AS40" s="4">
        <v>3.6</v>
      </c>
      <c r="AT40" s="4">
        <v>1</v>
      </c>
    </row>
    <row r="41" spans="1:54" ht="15" x14ac:dyDescent="0.25">
      <c r="A41" s="252"/>
      <c r="B41" s="5">
        <v>163.6</v>
      </c>
      <c r="F41" s="228">
        <v>4.0199999999999996</v>
      </c>
      <c r="G41" s="228">
        <v>0.8</v>
      </c>
      <c r="H41" s="228">
        <f>F41*G41</f>
        <v>3.2159999999999997</v>
      </c>
      <c r="I41" s="228">
        <v>8</v>
      </c>
      <c r="J41" s="228">
        <f t="shared" ref="J41" si="26">I41*H41</f>
        <v>25.727999999999998</v>
      </c>
      <c r="K41" s="2">
        <f>IF(J41=0," ",H41*K$3)</f>
        <v>1929.6</v>
      </c>
      <c r="M41" s="2" t="str">
        <f>IF(L41=0," ",$H41*M$3)</f>
        <v xml:space="preserve"> </v>
      </c>
      <c r="O41" s="2" t="str">
        <f>IF(N41=0," ",$H41*O$3)</f>
        <v xml:space="preserve"> </v>
      </c>
      <c r="S41" s="2" t="str">
        <f>IF(R41=0," ",$H41*S$3)</f>
        <v xml:space="preserve"> </v>
      </c>
      <c r="T41" s="228">
        <f>F41*I41</f>
        <v>32.159999999999997</v>
      </c>
      <c r="W41" s="230" t="s">
        <v>122</v>
      </c>
      <c r="AB41" s="6">
        <v>147.6</v>
      </c>
      <c r="AC41" s="6">
        <v>7.3</v>
      </c>
      <c r="AJ41" s="7">
        <f>(F41+G41*2)*I41</f>
        <v>44.959999999999994</v>
      </c>
      <c r="AN41" s="7"/>
    </row>
    <row r="42" spans="1:54" ht="15" x14ac:dyDescent="0.25">
      <c r="A42" s="252"/>
      <c r="B42" s="5">
        <v>147.6</v>
      </c>
      <c r="H42" s="228">
        <f t="shared" ref="H42" si="27">F42*G42</f>
        <v>0</v>
      </c>
      <c r="J42" s="228">
        <f>I42*H42</f>
        <v>0</v>
      </c>
      <c r="K42" s="2" t="str">
        <f>IF(J42=0," ",H42*K$3)</f>
        <v xml:space="preserve"> </v>
      </c>
      <c r="M42" s="2" t="str">
        <f t="shared" ref="M42:M43" si="28">IF(L42=0," ",$H42*M$3)</f>
        <v xml:space="preserve"> </v>
      </c>
      <c r="T42" s="228">
        <f>F42*I42</f>
        <v>0</v>
      </c>
      <c r="V42" s="283"/>
      <c r="AA42" s="7"/>
      <c r="AB42" s="6">
        <v>-23.3</v>
      </c>
      <c r="AJ42" s="7">
        <f>(F42+G42)*2*I42</f>
        <v>0</v>
      </c>
      <c r="AN42" s="7"/>
      <c r="AQ42" s="2" t="str">
        <f>IF(AM42=0," ",H42*AQ$3)</f>
        <v xml:space="preserve"> </v>
      </c>
    </row>
    <row r="43" spans="1:54" ht="15" x14ac:dyDescent="0.25">
      <c r="A43" s="252"/>
      <c r="B43" s="5">
        <f>1.05+1.7</f>
        <v>2.75</v>
      </c>
      <c r="D43" s="227" t="s">
        <v>662</v>
      </c>
      <c r="E43" s="227">
        <v>1</v>
      </c>
      <c r="F43" s="228">
        <v>1.06</v>
      </c>
      <c r="G43" s="228">
        <v>2.1</v>
      </c>
      <c r="H43" s="228">
        <f>F43*G43</f>
        <v>2.2260000000000004</v>
      </c>
      <c r="I43" s="228">
        <v>1</v>
      </c>
      <c r="M43" s="2" t="str">
        <f t="shared" si="28"/>
        <v xml:space="preserve"> </v>
      </c>
      <c r="N43" s="228">
        <f t="shared" ref="N43:N44" si="29">H43*I43</f>
        <v>2.2260000000000004</v>
      </c>
      <c r="O43" s="2">
        <f>IF(N43=0," ",$H43*O$3)</f>
        <v>3339.0000000000005</v>
      </c>
      <c r="Q43" s="2" t="str">
        <f>IF(P43=0," ",$H43*Q$3)</f>
        <v xml:space="preserve"> </v>
      </c>
      <c r="S43" s="2" t="str">
        <f>IF(R43=0," ",$H43*S$3)</f>
        <v xml:space="preserve"> </v>
      </c>
      <c r="V43" s="228">
        <f>F43*I43</f>
        <v>1.06</v>
      </c>
      <c r="W43" s="230" t="s">
        <v>122</v>
      </c>
      <c r="AB43" s="6">
        <v>-7.3</v>
      </c>
      <c r="AK43" s="6">
        <f>(F43+G43*2)*I43</f>
        <v>5.26</v>
      </c>
      <c r="AN43" s="7"/>
    </row>
    <row r="44" spans="1:54" ht="15" x14ac:dyDescent="0.25">
      <c r="A44" s="252"/>
      <c r="B44" s="5" t="s">
        <v>699</v>
      </c>
      <c r="F44" s="228">
        <v>2</v>
      </c>
      <c r="G44" s="228">
        <v>2.1</v>
      </c>
      <c r="H44" s="228">
        <f>F44*G44</f>
        <v>4.2</v>
      </c>
      <c r="I44" s="228">
        <v>1</v>
      </c>
      <c r="M44" s="2" t="str">
        <f t="shared" ref="M44" si="30">IF(L44=0," ",$H44*M$3)</f>
        <v xml:space="preserve"> </v>
      </c>
      <c r="N44" s="228">
        <f t="shared" si="29"/>
        <v>4.2</v>
      </c>
      <c r="O44" s="2">
        <f>IF(N44=0," ",$H44*O$3)</f>
        <v>6300</v>
      </c>
      <c r="Q44" s="2" t="str">
        <f>IF(P44=0," ",$H44*Q$3)</f>
        <v xml:space="preserve"> </v>
      </c>
      <c r="S44" s="2" t="str">
        <f>IF(R44=0," ",$H44*S$3)</f>
        <v xml:space="preserve"> </v>
      </c>
      <c r="V44" s="228">
        <f>F44*I44</f>
        <v>2</v>
      </c>
      <c r="W44" s="230" t="s">
        <v>122</v>
      </c>
      <c r="AB44" s="6">
        <v>-32.5</v>
      </c>
      <c r="AJ44" s="6">
        <f>(F44+G44*2)*I44</f>
        <v>6.2</v>
      </c>
      <c r="AN44" s="7"/>
    </row>
    <row r="45" spans="1:54" ht="15" x14ac:dyDescent="0.25">
      <c r="A45" s="252"/>
      <c r="B45" s="5">
        <f>45.1*0.6</f>
        <v>27.06</v>
      </c>
      <c r="C45" s="255"/>
      <c r="W45" s="256"/>
      <c r="AB45" s="6">
        <f>-2*2.1</f>
        <v>-4.2</v>
      </c>
      <c r="AI45" s="257"/>
      <c r="AJ45" s="257"/>
      <c r="AK45" s="257"/>
      <c r="AL45" s="257"/>
    </row>
    <row r="46" spans="1:54" ht="15" x14ac:dyDescent="0.25">
      <c r="A46" s="252"/>
      <c r="B46" s="258"/>
      <c r="C46" s="259"/>
      <c r="F46" s="228" t="s">
        <v>12</v>
      </c>
      <c r="G46" s="228" t="s">
        <v>179</v>
      </c>
      <c r="H46" s="228" t="s">
        <v>90</v>
      </c>
      <c r="I46" s="228" t="s">
        <v>105</v>
      </c>
      <c r="L46" s="260"/>
      <c r="W46" s="256"/>
      <c r="AI46" s="257"/>
      <c r="AJ46" s="257"/>
      <c r="AK46" s="257"/>
      <c r="AL46" s="257"/>
    </row>
    <row r="47" spans="1:54" ht="15" x14ac:dyDescent="0.25">
      <c r="A47" s="252"/>
      <c r="C47" s="259" t="s">
        <v>374</v>
      </c>
      <c r="D47" s="261"/>
      <c r="E47" s="261"/>
      <c r="F47" s="260"/>
      <c r="J47" s="262"/>
      <c r="T47" s="262"/>
      <c r="U47" s="262"/>
      <c r="V47" s="260"/>
      <c r="W47" s="256"/>
      <c r="AI47" s="257"/>
      <c r="AJ47" s="257"/>
      <c r="AK47" s="257"/>
      <c r="AL47" s="257"/>
      <c r="AY47" s="230">
        <f>F47*I47</f>
        <v>0</v>
      </c>
    </row>
    <row r="48" spans="1:54" ht="15" x14ac:dyDescent="0.25">
      <c r="A48" s="252"/>
      <c r="C48" s="259" t="s">
        <v>375</v>
      </c>
      <c r="D48" s="261"/>
      <c r="E48" s="261"/>
      <c r="F48" s="260"/>
      <c r="J48" s="262"/>
      <c r="T48" s="262"/>
      <c r="U48" s="262"/>
      <c r="V48" s="260"/>
      <c r="W48" s="256"/>
      <c r="AI48" s="257"/>
      <c r="AJ48" s="257"/>
      <c r="AK48" s="257"/>
      <c r="AL48" s="257"/>
      <c r="BB48" s="230">
        <f>F48*I48</f>
        <v>0</v>
      </c>
    </row>
    <row r="49" spans="1:54" ht="15" x14ac:dyDescent="0.25">
      <c r="A49" s="252"/>
      <c r="B49" s="263"/>
      <c r="C49" s="264"/>
      <c r="I49" s="265">
        <f>SUM(I38:I44)</f>
        <v>12</v>
      </c>
      <c r="J49" s="266">
        <f>SUM(J38:J48)</f>
        <v>81.527999999999992</v>
      </c>
      <c r="L49" s="266">
        <f>SUM(L38:L48)</f>
        <v>0</v>
      </c>
      <c r="N49" s="266">
        <f>SUM(N38:N48)</f>
        <v>6.4260000000000002</v>
      </c>
      <c r="P49" s="266">
        <f>SUM(P38:P48)</f>
        <v>0</v>
      </c>
      <c r="R49" s="266">
        <f>SUM(R38:R48)</f>
        <v>0</v>
      </c>
      <c r="T49" s="266">
        <f t="shared" ref="T49:Y49" si="31">SUM(T38:T48)</f>
        <v>52.129999999999995</v>
      </c>
      <c r="U49" s="266">
        <f t="shared" si="31"/>
        <v>0</v>
      </c>
      <c r="V49" s="266">
        <f t="shared" si="31"/>
        <v>3.06</v>
      </c>
      <c r="W49" s="267">
        <f t="shared" si="31"/>
        <v>0</v>
      </c>
      <c r="X49" s="268">
        <f t="shared" si="31"/>
        <v>2.75</v>
      </c>
      <c r="Y49" s="268">
        <f t="shared" si="31"/>
        <v>0</v>
      </c>
      <c r="Z49" s="268">
        <f>SUM(B38:B44)-W49-J49-L49-N49-P49-AC49-AD49-AE49-Y49-AB49-AA49-X49-R49</f>
        <v>7.5659999999999741</v>
      </c>
      <c r="AA49" s="268">
        <f t="shared" ref="AA49:AP49" si="32">SUM(AA38:AA48)</f>
        <v>44.105999999999995</v>
      </c>
      <c r="AB49" s="268">
        <f>SUM(AB38:AB48)</f>
        <v>218.3</v>
      </c>
      <c r="AC49" s="268">
        <f t="shared" si="32"/>
        <v>19.573999999999998</v>
      </c>
      <c r="AD49" s="268">
        <f t="shared" si="32"/>
        <v>0</v>
      </c>
      <c r="AE49" s="268">
        <f t="shared" si="32"/>
        <v>0</v>
      </c>
      <c r="AF49" s="268">
        <f t="shared" si="32"/>
        <v>0</v>
      </c>
      <c r="AG49" s="268">
        <f t="shared" si="32"/>
        <v>0</v>
      </c>
      <c r="AH49" s="268">
        <f t="shared" si="32"/>
        <v>0</v>
      </c>
      <c r="AI49" s="268">
        <f t="shared" si="32"/>
        <v>0</v>
      </c>
      <c r="AJ49" s="268">
        <f t="shared" si="32"/>
        <v>102.53828647925033</v>
      </c>
      <c r="AK49" s="268">
        <f t="shared" si="32"/>
        <v>5.26</v>
      </c>
      <c r="AL49" s="268">
        <f t="shared" si="32"/>
        <v>0</v>
      </c>
      <c r="AM49" s="268">
        <f t="shared" si="32"/>
        <v>0</v>
      </c>
      <c r="AN49" s="268">
        <f t="shared" si="32"/>
        <v>0</v>
      </c>
      <c r="AO49" s="268">
        <f t="shared" si="32"/>
        <v>0</v>
      </c>
      <c r="AP49" s="268">
        <f t="shared" si="32"/>
        <v>0</v>
      </c>
      <c r="AQ49" s="2" t="str">
        <f>IF(AM49=0," ",$H49*AQ$3)</f>
        <v xml:space="preserve"> </v>
      </c>
      <c r="AR49" s="269" t="s">
        <v>122</v>
      </c>
      <c r="AS49" s="270">
        <f>SUM(AS38:AS48)</f>
        <v>10.8</v>
      </c>
      <c r="AT49" s="270">
        <f>SUM(AT38:AT48)</f>
        <v>3</v>
      </c>
      <c r="AU49" s="270">
        <f>SUM(AU38:AU48)</f>
        <v>0</v>
      </c>
      <c r="AV49" s="270">
        <f>SUM(AV38:AV48)</f>
        <v>0</v>
      </c>
      <c r="AW49" s="269" t="s">
        <v>122</v>
      </c>
      <c r="AX49" s="267">
        <f>SUM(AX38:AX48)</f>
        <v>0</v>
      </c>
      <c r="AY49" s="267">
        <f>SUM(AY38:AY48)</f>
        <v>0</v>
      </c>
      <c r="AZ49" s="267">
        <f>SUM(AZ38:AZ48)</f>
        <v>0</v>
      </c>
      <c r="BA49" s="267">
        <f>SUM(BA38:BA48)</f>
        <v>0</v>
      </c>
      <c r="BB49" s="267">
        <f>SUM(BB38:BB48)</f>
        <v>0</v>
      </c>
    </row>
    <row r="50" spans="1:54" x14ac:dyDescent="0.25">
      <c r="A50" s="271"/>
      <c r="B50" s="272"/>
      <c r="C50" s="272"/>
      <c r="D50" s="273"/>
      <c r="E50" s="273"/>
      <c r="F50" s="274"/>
      <c r="G50" s="274"/>
      <c r="H50" s="274"/>
      <c r="I50" s="275"/>
      <c r="J50" s="276"/>
      <c r="K50" s="277"/>
      <c r="L50" s="276"/>
      <c r="M50" s="277"/>
      <c r="N50" s="276"/>
      <c r="O50" s="277"/>
      <c r="P50" s="276"/>
      <c r="Q50" s="277"/>
      <c r="R50" s="276"/>
      <c r="S50" s="277"/>
      <c r="T50" s="276"/>
      <c r="U50" s="276"/>
      <c r="V50" s="276"/>
      <c r="W50" s="278"/>
      <c r="X50" s="279"/>
      <c r="Y50" s="279"/>
      <c r="Z50" s="279"/>
      <c r="AA50" s="216"/>
      <c r="AB50" s="216"/>
      <c r="AC50" s="216"/>
      <c r="AD50" s="216"/>
      <c r="AE50" s="216"/>
      <c r="AF50" s="280"/>
      <c r="AG50" s="280"/>
      <c r="AH50" s="280"/>
      <c r="AI50" s="279"/>
      <c r="AJ50" s="279"/>
      <c r="AK50" s="279"/>
      <c r="AL50" s="279"/>
      <c r="AM50" s="279"/>
      <c r="AN50" s="279"/>
      <c r="AO50" s="279"/>
      <c r="AP50" s="279"/>
      <c r="AQ50" s="277"/>
      <c r="AR50" s="277"/>
      <c r="AS50" s="281"/>
      <c r="AT50" s="281"/>
      <c r="AU50" s="281"/>
      <c r="AV50" s="281"/>
      <c r="AW50" s="269" t="s">
        <v>122</v>
      </c>
      <c r="AX50" s="278"/>
      <c r="AY50" s="278"/>
      <c r="AZ50" s="278"/>
      <c r="BA50" s="278"/>
      <c r="BB50" s="278"/>
    </row>
    <row r="51" spans="1:54" ht="60" x14ac:dyDescent="0.25">
      <c r="A51" s="246" t="s">
        <v>663</v>
      </c>
      <c r="B51" s="5" t="s">
        <v>1</v>
      </c>
      <c r="C51" s="5" t="s">
        <v>1</v>
      </c>
      <c r="D51" s="227" t="s">
        <v>364</v>
      </c>
      <c r="F51" s="228" t="s">
        <v>12</v>
      </c>
      <c r="G51" s="228" t="s">
        <v>13</v>
      </c>
      <c r="H51" s="228" t="s">
        <v>90</v>
      </c>
      <c r="I51" s="228" t="s">
        <v>105</v>
      </c>
      <c r="J51" s="247" t="s">
        <v>106</v>
      </c>
      <c r="K51" s="3" t="s">
        <v>128</v>
      </c>
      <c r="L51" s="247" t="s">
        <v>109</v>
      </c>
      <c r="M51" s="3" t="s">
        <v>128</v>
      </c>
      <c r="N51" s="247" t="s">
        <v>504</v>
      </c>
      <c r="O51" s="3" t="s">
        <v>128</v>
      </c>
      <c r="P51" s="247" t="str">
        <f>P36</f>
        <v>grlles de ventilation
Total m²</v>
      </c>
      <c r="Q51" s="3" t="s">
        <v>128</v>
      </c>
      <c r="R51" s="247" t="s">
        <v>363</v>
      </c>
      <c r="S51" s="3" t="s">
        <v>128</v>
      </c>
      <c r="T51" s="248" t="str">
        <f>T36</f>
        <v>Linéaire bavettes alu</v>
      </c>
      <c r="U51" s="248" t="str">
        <f>U36</f>
        <v>Linéaire bavettes zinc</v>
      </c>
      <c r="V51" s="248" t="s">
        <v>107</v>
      </c>
      <c r="W51" s="230" t="s">
        <v>1</v>
      </c>
      <c r="X51" s="6" t="s">
        <v>1</v>
      </c>
      <c r="Y51" s="6" t="s">
        <v>1</v>
      </c>
      <c r="Z51" s="6" t="s">
        <v>1</v>
      </c>
      <c r="AA51" s="6" t="s">
        <v>1</v>
      </c>
      <c r="AB51" s="6" t="s">
        <v>1</v>
      </c>
      <c r="AC51" s="6" t="s">
        <v>1</v>
      </c>
      <c r="AD51" s="6" t="s">
        <v>1</v>
      </c>
      <c r="AE51" s="6" t="s">
        <v>1</v>
      </c>
      <c r="AF51" s="6" t="s">
        <v>0</v>
      </c>
      <c r="AG51" s="6" t="s">
        <v>0</v>
      </c>
      <c r="AH51" s="6" t="s">
        <v>0</v>
      </c>
      <c r="AI51" s="6" t="s">
        <v>0</v>
      </c>
      <c r="AJ51" s="6" t="s">
        <v>0</v>
      </c>
      <c r="AK51" s="6" t="s">
        <v>0</v>
      </c>
      <c r="AL51" s="6" t="s">
        <v>0</v>
      </c>
      <c r="AM51" s="7" t="s">
        <v>1</v>
      </c>
      <c r="AN51" s="6" t="s">
        <v>1</v>
      </c>
      <c r="AO51" s="6" t="s">
        <v>1</v>
      </c>
      <c r="AP51" s="249" t="s">
        <v>201</v>
      </c>
      <c r="AQ51" s="3" t="s">
        <v>128</v>
      </c>
      <c r="AS51" s="4" t="s">
        <v>0</v>
      </c>
      <c r="AT51" s="4" t="s">
        <v>2</v>
      </c>
      <c r="AU51" s="4" t="s">
        <v>2</v>
      </c>
      <c r="AV51" s="4" t="s">
        <v>0</v>
      </c>
      <c r="AX51" s="230" t="s">
        <v>1</v>
      </c>
      <c r="AY51" s="230" t="s">
        <v>0</v>
      </c>
      <c r="AZ51" s="250" t="s">
        <v>203</v>
      </c>
      <c r="BA51" s="251" t="s">
        <v>204</v>
      </c>
      <c r="BB51" s="251" t="s">
        <v>205</v>
      </c>
    </row>
    <row r="52" spans="1:54" x14ac:dyDescent="0.25">
      <c r="O52" s="2" t="str">
        <f t="shared" ref="O52" si="33">IF(N52=0," ",$H52*O$3)</f>
        <v xml:space="preserve"> </v>
      </c>
    </row>
    <row r="53" spans="1:54" ht="15" x14ac:dyDescent="0.25">
      <c r="A53" s="252"/>
      <c r="B53" s="5">
        <v>24.3</v>
      </c>
      <c r="C53" s="5">
        <v>361</v>
      </c>
      <c r="E53" s="227">
        <v>13</v>
      </c>
      <c r="F53" s="228">
        <v>16.5</v>
      </c>
      <c r="G53" s="228">
        <v>0.48</v>
      </c>
      <c r="H53" s="228">
        <f t="shared" ref="H53:H57" si="34">F53*G53</f>
        <v>7.92</v>
      </c>
      <c r="I53" s="228">
        <v>1</v>
      </c>
      <c r="J53" s="228">
        <f>I53*H53</f>
        <v>7.92</v>
      </c>
      <c r="K53" s="2">
        <f>IF(J53=0," ",H53*K$3)</f>
        <v>4752</v>
      </c>
      <c r="T53" s="228">
        <f>F53*I53</f>
        <v>16.5</v>
      </c>
      <c r="V53" s="283"/>
      <c r="X53" s="6">
        <v>1.05</v>
      </c>
      <c r="AA53" s="7">
        <f>4.06*0.2</f>
        <v>0.81199999999999994</v>
      </c>
      <c r="AI53" s="6">
        <f>(F53+G53)*2*I53</f>
        <v>33.96</v>
      </c>
      <c r="AN53" s="7"/>
      <c r="AQ53" s="2" t="str">
        <f>IF(AM53=0," ",H53*AQ$3)</f>
        <v xml:space="preserve"> </v>
      </c>
      <c r="AS53" s="4">
        <v>5.9</v>
      </c>
      <c r="AT53" s="4">
        <v>1</v>
      </c>
      <c r="AU53" s="4">
        <v>1</v>
      </c>
    </row>
    <row r="54" spans="1:54" ht="15" x14ac:dyDescent="0.25">
      <c r="A54" s="252"/>
      <c r="B54" s="5">
        <f>8.8+1.05</f>
        <v>9.8500000000000014</v>
      </c>
      <c r="E54" s="227">
        <v>13</v>
      </c>
      <c r="F54" s="228">
        <v>16.600000000000001</v>
      </c>
      <c r="G54" s="228">
        <v>0.48</v>
      </c>
      <c r="H54" s="228">
        <f t="shared" si="34"/>
        <v>7.968</v>
      </c>
      <c r="I54" s="228">
        <v>1</v>
      </c>
      <c r="J54" s="228">
        <f>I54*H54</f>
        <v>7.968</v>
      </c>
      <c r="K54" s="2">
        <f>IF(J54=0," ",H54*K$3)</f>
        <v>4780.8</v>
      </c>
      <c r="M54" s="2" t="str">
        <f t="shared" ref="M54" si="35">IF(L54=0," ",$H54*M$3)</f>
        <v xml:space="preserve"> </v>
      </c>
      <c r="T54" s="228">
        <f>F54*I54</f>
        <v>16.600000000000001</v>
      </c>
      <c r="V54" s="283"/>
      <c r="X54" s="6">
        <v>8.8000000000000007</v>
      </c>
      <c r="AA54" s="7">
        <f>8.3</f>
        <v>8.3000000000000007</v>
      </c>
      <c r="AI54" s="6">
        <f>(F54+G54)*2*I54</f>
        <v>34.160000000000004</v>
      </c>
      <c r="AN54" s="7"/>
      <c r="AQ54" s="2" t="str">
        <f>IF(AM54=0," ",H54*AQ$3)</f>
        <v xml:space="preserve"> </v>
      </c>
      <c r="AS54" s="4">
        <v>3.9</v>
      </c>
      <c r="AT54" s="4">
        <v>1</v>
      </c>
      <c r="AU54" s="4">
        <v>1</v>
      </c>
    </row>
    <row r="55" spans="1:54" ht="15" x14ac:dyDescent="0.25">
      <c r="A55" s="252"/>
      <c r="B55" s="5">
        <v>27</v>
      </c>
      <c r="E55" s="227">
        <v>10</v>
      </c>
      <c r="F55" s="228">
        <v>13</v>
      </c>
      <c r="G55" s="228">
        <v>0.48</v>
      </c>
      <c r="H55" s="228">
        <f t="shared" ref="H55" si="36">F55*G55</f>
        <v>6.24</v>
      </c>
      <c r="I55" s="228">
        <v>1</v>
      </c>
      <c r="J55" s="228">
        <f>I55*H55</f>
        <v>6.24</v>
      </c>
      <c r="K55" s="2">
        <f>IF(J55=0," ",H55*K$3)</f>
        <v>3744</v>
      </c>
      <c r="M55" s="2" t="str">
        <f t="shared" ref="M55" si="37">IF(L55=0," ",$H55*M$3)</f>
        <v xml:space="preserve"> </v>
      </c>
      <c r="T55" s="228">
        <f>F55*I55</f>
        <v>13</v>
      </c>
      <c r="V55" s="283"/>
      <c r="X55" s="6" t="s">
        <v>657</v>
      </c>
      <c r="AA55" s="7">
        <f>-2.41*0.48</f>
        <v>-1.1568000000000001</v>
      </c>
      <c r="AI55" s="6">
        <f>(F55+G55)*2*I55</f>
        <v>26.96</v>
      </c>
      <c r="AN55" s="7"/>
      <c r="AQ55" s="2" t="str">
        <f>IF(AM55=0," ",H55*AQ$3)</f>
        <v xml:space="preserve"> </v>
      </c>
      <c r="AS55" s="4">
        <v>5.55</v>
      </c>
      <c r="AT55" s="4">
        <v>1</v>
      </c>
      <c r="AU55" s="4">
        <v>1</v>
      </c>
    </row>
    <row r="56" spans="1:54" ht="15" x14ac:dyDescent="0.25">
      <c r="A56" s="252"/>
      <c r="B56" s="5">
        <v>192</v>
      </c>
      <c r="D56" s="227" t="s">
        <v>665</v>
      </c>
      <c r="E56" s="227">
        <v>1</v>
      </c>
      <c r="F56" s="228">
        <v>1.5</v>
      </c>
      <c r="G56" s="228">
        <v>2.42</v>
      </c>
      <c r="H56" s="228">
        <f t="shared" si="34"/>
        <v>3.63</v>
      </c>
      <c r="I56" s="228">
        <v>1</v>
      </c>
      <c r="L56" s="228">
        <f t="shared" ref="L56" si="38">H56*I56</f>
        <v>3.63</v>
      </c>
      <c r="M56" s="2">
        <f>IF(L56=0," ",$H56*M$3)</f>
        <v>4356</v>
      </c>
      <c r="O56" s="2" t="str">
        <f>IF(N56=0," ",$H56*O$3)</f>
        <v xml:space="preserve"> </v>
      </c>
      <c r="S56" s="2" t="str">
        <f>IF(R56=0," ",$H56*S$3)</f>
        <v xml:space="preserve"> </v>
      </c>
      <c r="T56" s="228" t="s">
        <v>257</v>
      </c>
      <c r="V56" s="228">
        <f>F56*I56</f>
        <v>1.5</v>
      </c>
      <c r="W56" s="230" t="s">
        <v>122</v>
      </c>
      <c r="AA56" s="6">
        <f>-1.1*0.48</f>
        <v>-0.52800000000000002</v>
      </c>
      <c r="AI56" s="6">
        <f>(F56+G56*2)*I56</f>
        <v>6.34</v>
      </c>
      <c r="AN56" s="7"/>
      <c r="AS56" s="4">
        <v>0.73</v>
      </c>
      <c r="AT56" s="4">
        <v>1</v>
      </c>
    </row>
    <row r="57" spans="1:54" ht="15" x14ac:dyDescent="0.25">
      <c r="A57" s="252"/>
      <c r="E57" s="227">
        <v>1</v>
      </c>
      <c r="F57" s="228">
        <v>0.93</v>
      </c>
      <c r="G57" s="228">
        <v>0.48</v>
      </c>
      <c r="H57" s="228">
        <f t="shared" si="34"/>
        <v>0.44640000000000002</v>
      </c>
      <c r="I57" s="228">
        <v>1</v>
      </c>
      <c r="J57" s="228">
        <f>I57*H57</f>
        <v>0.44640000000000002</v>
      </c>
      <c r="K57" s="2">
        <f>IF(J57=0," ",H57*K$3)</f>
        <v>267.84000000000003</v>
      </c>
      <c r="M57" s="2" t="str">
        <f t="shared" ref="M57" si="39">IF(L57=0," ",$H57*M$3)</f>
        <v xml:space="preserve"> </v>
      </c>
      <c r="T57" s="228">
        <f>F57*I57</f>
        <v>0.93</v>
      </c>
      <c r="V57" s="283"/>
      <c r="AA57" s="7">
        <f>-0.91*0.48</f>
        <v>-0.43680000000000002</v>
      </c>
      <c r="AI57" s="6">
        <f>(F57+G57)*2*I57</f>
        <v>2.8200000000000003</v>
      </c>
      <c r="AN57" s="7"/>
      <c r="AQ57" s="2" t="str">
        <f>IF(AM57=0," ",H57*AQ$3)</f>
        <v xml:space="preserve"> </v>
      </c>
      <c r="AS57" s="4">
        <v>0.73</v>
      </c>
      <c r="AT57" s="4">
        <v>1</v>
      </c>
    </row>
    <row r="58" spans="1:54" ht="15" x14ac:dyDescent="0.25">
      <c r="A58" s="252"/>
      <c r="E58" s="227">
        <v>2</v>
      </c>
      <c r="F58" s="228">
        <v>2.41</v>
      </c>
      <c r="G58" s="228">
        <v>0.48</v>
      </c>
      <c r="H58" s="228">
        <f t="shared" ref="H58:H60" si="40">F58*G58</f>
        <v>1.1568000000000001</v>
      </c>
      <c r="I58" s="228">
        <v>1</v>
      </c>
      <c r="J58" s="228">
        <f t="shared" ref="J58:J60" si="41">I58*H58</f>
        <v>1.1568000000000001</v>
      </c>
      <c r="K58" s="2">
        <f t="shared" ref="K58:K60" si="42">IF(J58=0," ",H58*K$3)</f>
        <v>694.08</v>
      </c>
      <c r="M58" s="2" t="str">
        <f t="shared" ref="M58:M60" si="43">IF(L58=0," ",$H58*M$3)</f>
        <v xml:space="preserve"> </v>
      </c>
      <c r="T58" s="228">
        <f t="shared" ref="T58:T60" si="44">F58*I58</f>
        <v>2.41</v>
      </c>
      <c r="V58" s="283"/>
      <c r="AA58" s="7">
        <f>16.7*0.2</f>
        <v>3.34</v>
      </c>
      <c r="AI58" s="6">
        <f>(F58+G58)*2*I58</f>
        <v>5.78</v>
      </c>
      <c r="AN58" s="7"/>
      <c r="AQ58" s="2" t="str">
        <f t="shared" ref="AQ58:AQ60" si="45">IF(AM58=0," ",H58*AQ$3)</f>
        <v xml:space="preserve"> </v>
      </c>
      <c r="AS58" s="4">
        <v>0.73</v>
      </c>
      <c r="AT58" s="4">
        <v>1</v>
      </c>
    </row>
    <row r="59" spans="1:54" ht="15" x14ac:dyDescent="0.25">
      <c r="A59" s="252"/>
      <c r="E59" s="227">
        <v>1</v>
      </c>
      <c r="F59" s="228">
        <v>1.1000000000000001</v>
      </c>
      <c r="G59" s="228">
        <v>0.48</v>
      </c>
      <c r="H59" s="228">
        <f t="shared" ref="H59" si="46">F59*G59</f>
        <v>0.52800000000000002</v>
      </c>
      <c r="I59" s="228">
        <v>1</v>
      </c>
      <c r="J59" s="228">
        <f t="shared" ref="J59" si="47">I59*H59</f>
        <v>0.52800000000000002</v>
      </c>
      <c r="K59" s="2">
        <f t="shared" ref="K59" si="48">IF(J59=0," ",H59*K$3)</f>
        <v>316.8</v>
      </c>
      <c r="M59" s="2" t="str">
        <f t="shared" ref="M59" si="49">IF(L59=0," ",$H59*M$3)</f>
        <v xml:space="preserve"> </v>
      </c>
      <c r="T59" s="228">
        <f t="shared" ref="T59" si="50">F59*I59</f>
        <v>1.1000000000000001</v>
      </c>
      <c r="V59" s="283"/>
      <c r="AA59" s="7"/>
      <c r="AI59" s="6">
        <f>(F59+G59)*2*I59</f>
        <v>3.16</v>
      </c>
      <c r="AN59" s="7"/>
      <c r="AQ59" s="2" t="str">
        <f t="shared" ref="AQ59" si="51">IF(AM59=0," ",H59*AQ$3)</f>
        <v xml:space="preserve"> </v>
      </c>
    </row>
    <row r="60" spans="1:54" ht="15" x14ac:dyDescent="0.25">
      <c r="A60" s="252"/>
      <c r="E60" s="227">
        <v>1</v>
      </c>
      <c r="F60" s="228">
        <v>0.91</v>
      </c>
      <c r="G60" s="228">
        <v>0.48</v>
      </c>
      <c r="H60" s="228">
        <f t="shared" si="40"/>
        <v>0.43680000000000002</v>
      </c>
      <c r="I60" s="228">
        <v>1</v>
      </c>
      <c r="J60" s="228">
        <f t="shared" si="41"/>
        <v>0.43680000000000002</v>
      </c>
      <c r="K60" s="2">
        <f t="shared" si="42"/>
        <v>262.08000000000004</v>
      </c>
      <c r="M60" s="2" t="str">
        <f t="shared" si="43"/>
        <v xml:space="preserve"> </v>
      </c>
      <c r="T60" s="228">
        <f t="shared" si="44"/>
        <v>0.91</v>
      </c>
      <c r="V60" s="283"/>
      <c r="AA60" s="7"/>
      <c r="AI60" s="6">
        <f>(F60+G60)*2*I60</f>
        <v>2.7800000000000002</v>
      </c>
      <c r="AN60" s="7"/>
      <c r="AQ60" s="2" t="str">
        <f t="shared" si="45"/>
        <v xml:space="preserve"> </v>
      </c>
    </row>
    <row r="61" spans="1:54" ht="15" x14ac:dyDescent="0.25">
      <c r="A61" s="252"/>
      <c r="D61" s="227" t="s">
        <v>664</v>
      </c>
      <c r="E61" s="227">
        <v>1</v>
      </c>
      <c r="F61" s="228">
        <v>1.6</v>
      </c>
      <c r="G61" s="228">
        <v>2.4</v>
      </c>
      <c r="H61" s="228">
        <f>F61*G61</f>
        <v>3.84</v>
      </c>
      <c r="I61" s="228">
        <v>1</v>
      </c>
      <c r="M61" s="2" t="str">
        <f t="shared" ref="M61:M62" si="52">IF(L61=0," ",$H61*M$3)</f>
        <v xml:space="preserve"> </v>
      </c>
      <c r="N61" s="228">
        <f t="shared" ref="N61:N62" si="53">H61*I61</f>
        <v>3.84</v>
      </c>
      <c r="O61" s="2">
        <f>IF(N61=0," ",$H61*O$3)</f>
        <v>5760</v>
      </c>
      <c r="Q61" s="2" t="str">
        <f>IF(P61=0," ",$H61*Q$3)</f>
        <v xml:space="preserve"> </v>
      </c>
      <c r="S61" s="2" t="str">
        <f>IF(R61=0," ",$H61*S$3)</f>
        <v xml:space="preserve"> </v>
      </c>
      <c r="V61" s="228">
        <f>F61*I61</f>
        <v>1.6</v>
      </c>
      <c r="W61" s="230" t="s">
        <v>122</v>
      </c>
      <c r="AI61" s="6">
        <f>(F61+G61*2)*I61</f>
        <v>6.4</v>
      </c>
      <c r="AN61" s="7"/>
    </row>
    <row r="62" spans="1:54" ht="15" x14ac:dyDescent="0.25">
      <c r="A62" s="252"/>
      <c r="H62" s="228">
        <f>F62*G62</f>
        <v>0</v>
      </c>
      <c r="M62" s="2" t="str">
        <f t="shared" si="52"/>
        <v xml:space="preserve"> </v>
      </c>
      <c r="N62" s="228">
        <f t="shared" si="53"/>
        <v>0</v>
      </c>
      <c r="O62" s="2" t="str">
        <f>IF(N62=0," ",$H62*O$3)</f>
        <v xml:space="preserve"> </v>
      </c>
      <c r="Q62" s="2" t="str">
        <f>IF(P62=0," ",$H62*Q$3)</f>
        <v xml:space="preserve"> </v>
      </c>
      <c r="S62" s="2" t="str">
        <f>IF(R62=0," ",$H62*S$3)</f>
        <v xml:space="preserve"> </v>
      </c>
      <c r="V62" s="228">
        <f>F62*I62</f>
        <v>0</v>
      </c>
      <c r="W62" s="230" t="s">
        <v>122</v>
      </c>
      <c r="AI62" s="6">
        <f>(F62+G62*2)*I62</f>
        <v>0</v>
      </c>
      <c r="AN62" s="7"/>
    </row>
    <row r="63" spans="1:54" ht="15" x14ac:dyDescent="0.25">
      <c r="A63" s="252"/>
      <c r="C63" s="255"/>
      <c r="W63" s="256"/>
      <c r="AI63" s="257"/>
      <c r="AJ63" s="257"/>
      <c r="AK63" s="257"/>
      <c r="AL63" s="257"/>
    </row>
    <row r="64" spans="1:54" ht="15" x14ac:dyDescent="0.25">
      <c r="A64" s="252"/>
      <c r="B64" s="258"/>
      <c r="C64" s="259"/>
      <c r="F64" s="228" t="s">
        <v>12</v>
      </c>
      <c r="G64" s="228" t="s">
        <v>179</v>
      </c>
      <c r="H64" s="228" t="s">
        <v>90</v>
      </c>
      <c r="I64" s="228" t="s">
        <v>105</v>
      </c>
      <c r="L64" s="260"/>
      <c r="W64" s="256"/>
      <c r="AI64" s="257"/>
      <c r="AJ64" s="257"/>
      <c r="AK64" s="257"/>
      <c r="AL64" s="257"/>
    </row>
    <row r="65" spans="1:54" ht="15" x14ac:dyDescent="0.25">
      <c r="A65" s="252"/>
      <c r="C65" s="259" t="s">
        <v>374</v>
      </c>
      <c r="D65" s="261"/>
      <c r="E65" s="261"/>
      <c r="F65" s="260"/>
      <c r="J65" s="262"/>
      <c r="T65" s="262"/>
      <c r="U65" s="262"/>
      <c r="V65" s="260"/>
      <c r="W65" s="256"/>
      <c r="AI65" s="257"/>
      <c r="AJ65" s="257"/>
      <c r="AK65" s="257"/>
      <c r="AL65" s="257"/>
      <c r="AY65" s="230">
        <f>F65*I65</f>
        <v>0</v>
      </c>
    </row>
    <row r="66" spans="1:54" ht="15" x14ac:dyDescent="0.25">
      <c r="A66" s="252"/>
      <c r="C66" s="259" t="s">
        <v>375</v>
      </c>
      <c r="D66" s="261"/>
      <c r="E66" s="261"/>
      <c r="F66" s="260"/>
      <c r="J66" s="262"/>
      <c r="T66" s="262"/>
      <c r="U66" s="262"/>
      <c r="V66" s="260"/>
      <c r="W66" s="256"/>
      <c r="AI66" s="257"/>
      <c r="AJ66" s="257"/>
      <c r="AK66" s="257"/>
      <c r="AL66" s="257"/>
      <c r="BB66" s="230">
        <f>F66*I66</f>
        <v>0</v>
      </c>
    </row>
    <row r="67" spans="1:54" ht="15" x14ac:dyDescent="0.25">
      <c r="A67" s="252"/>
      <c r="B67" s="263"/>
      <c r="C67" s="264"/>
      <c r="I67" s="265">
        <f>SUM(I53:I62)</f>
        <v>9</v>
      </c>
      <c r="J67" s="266">
        <f>SUM(J53:J66)</f>
        <v>24.696000000000002</v>
      </c>
      <c r="L67" s="266">
        <f>SUM(L53:L66)</f>
        <v>3.63</v>
      </c>
      <c r="N67" s="266">
        <f>SUM(N53:N66)</f>
        <v>3.84</v>
      </c>
      <c r="P67" s="266">
        <f>SUM(P53:P66)</f>
        <v>0</v>
      </c>
      <c r="R67" s="266">
        <f>SUM(R53:R66)</f>
        <v>0</v>
      </c>
      <c r="T67" s="266">
        <f t="shared" ref="T67:Y67" si="54">SUM(T53:T66)</f>
        <v>51.449999999999996</v>
      </c>
      <c r="U67" s="266">
        <f t="shared" si="54"/>
        <v>0</v>
      </c>
      <c r="V67" s="266">
        <f t="shared" si="54"/>
        <v>3.1</v>
      </c>
      <c r="W67" s="267">
        <f t="shared" si="54"/>
        <v>0</v>
      </c>
      <c r="X67" s="268">
        <f t="shared" si="54"/>
        <v>9.8500000000000014</v>
      </c>
      <c r="Y67" s="268">
        <f t="shared" si="54"/>
        <v>0</v>
      </c>
      <c r="Z67" s="268">
        <f>SUM(B53:B62)-W67-J67-L67-N67-P67-AC67-AD67-AE67-Y67-AB67-AA67-X67-R67</f>
        <v>200.80360000000002</v>
      </c>
      <c r="AA67" s="268">
        <f t="shared" ref="AA67:AP67" si="55">SUM(AA53:AA66)</f>
        <v>10.330399999999999</v>
      </c>
      <c r="AB67" s="268">
        <f t="shared" si="55"/>
        <v>0</v>
      </c>
      <c r="AC67" s="268">
        <f t="shared" si="55"/>
        <v>0</v>
      </c>
      <c r="AD67" s="268">
        <f t="shared" si="55"/>
        <v>0</v>
      </c>
      <c r="AE67" s="268">
        <f t="shared" si="55"/>
        <v>0</v>
      </c>
      <c r="AF67" s="268">
        <f t="shared" si="55"/>
        <v>0</v>
      </c>
      <c r="AG67" s="268">
        <f t="shared" si="55"/>
        <v>0</v>
      </c>
      <c r="AH67" s="268">
        <f t="shared" si="55"/>
        <v>0</v>
      </c>
      <c r="AI67" s="268">
        <f t="shared" si="55"/>
        <v>122.36000000000001</v>
      </c>
      <c r="AJ67" s="268">
        <f t="shared" si="55"/>
        <v>0</v>
      </c>
      <c r="AK67" s="268">
        <f t="shared" si="55"/>
        <v>0</v>
      </c>
      <c r="AL67" s="268">
        <f t="shared" si="55"/>
        <v>0</v>
      </c>
      <c r="AM67" s="268">
        <f t="shared" si="55"/>
        <v>0</v>
      </c>
      <c r="AN67" s="268">
        <f t="shared" si="55"/>
        <v>0</v>
      </c>
      <c r="AO67" s="268">
        <f t="shared" si="55"/>
        <v>0</v>
      </c>
      <c r="AP67" s="268">
        <f t="shared" si="55"/>
        <v>0</v>
      </c>
      <c r="AQ67" s="2" t="str">
        <f>IF(AM67=0," ",$H67*AQ$3)</f>
        <v xml:space="preserve"> </v>
      </c>
      <c r="AR67" s="269" t="s">
        <v>122</v>
      </c>
      <c r="AS67" s="270">
        <f>SUM(AS53:AS66)</f>
        <v>17.540000000000003</v>
      </c>
      <c r="AT67" s="270">
        <f>SUM(AT53:AT66)</f>
        <v>6</v>
      </c>
      <c r="AU67" s="270">
        <f>SUM(AU53:AU66)</f>
        <v>3</v>
      </c>
      <c r="AV67" s="270">
        <f>SUM(AV53:AV66)</f>
        <v>0</v>
      </c>
      <c r="AW67" s="269" t="s">
        <v>122</v>
      </c>
      <c r="AX67" s="267">
        <f>SUM(AX53:AX66)</f>
        <v>0</v>
      </c>
      <c r="AY67" s="267">
        <f>SUM(AY53:AY66)</f>
        <v>0</v>
      </c>
      <c r="AZ67" s="267">
        <f>SUM(AZ53:AZ66)</f>
        <v>0</v>
      </c>
      <c r="BA67" s="267">
        <f>SUM(BA53:BA66)</f>
        <v>0</v>
      </c>
      <c r="BB67" s="267">
        <f>SUM(BB53:BB66)</f>
        <v>0</v>
      </c>
    </row>
    <row r="68" spans="1:54" x14ac:dyDescent="0.25">
      <c r="A68" s="271"/>
      <c r="B68" s="272"/>
      <c r="C68" s="272"/>
      <c r="D68" s="273"/>
      <c r="E68" s="273"/>
      <c r="F68" s="274"/>
      <c r="G68" s="274"/>
      <c r="H68" s="274"/>
      <c r="I68" s="275"/>
      <c r="J68" s="276"/>
      <c r="K68" s="277"/>
      <c r="L68" s="276"/>
      <c r="M68" s="277"/>
      <c r="N68" s="276"/>
      <c r="O68" s="277"/>
      <c r="P68" s="276"/>
      <c r="Q68" s="277"/>
      <c r="R68" s="276"/>
      <c r="S68" s="277"/>
      <c r="T68" s="276"/>
      <c r="U68" s="276"/>
      <c r="V68" s="276"/>
      <c r="W68" s="278"/>
      <c r="X68" s="279"/>
      <c r="Y68" s="279"/>
      <c r="Z68" s="279"/>
      <c r="AA68" s="216"/>
      <c r="AB68" s="216"/>
      <c r="AC68" s="216"/>
      <c r="AD68" s="216"/>
      <c r="AE68" s="216"/>
      <c r="AF68" s="280"/>
      <c r="AG68" s="280"/>
      <c r="AH68" s="280"/>
      <c r="AI68" s="279"/>
      <c r="AJ68" s="279"/>
      <c r="AK68" s="279"/>
      <c r="AL68" s="279"/>
      <c r="AM68" s="279"/>
      <c r="AN68" s="279"/>
      <c r="AO68" s="279"/>
      <c r="AP68" s="279"/>
      <c r="AQ68" s="277"/>
      <c r="AR68" s="277"/>
      <c r="AS68" s="281"/>
      <c r="AT68" s="281"/>
      <c r="AU68" s="281"/>
      <c r="AV68" s="281"/>
      <c r="AW68" s="269" t="s">
        <v>122</v>
      </c>
      <c r="AX68" s="278"/>
      <c r="AY68" s="278"/>
      <c r="AZ68" s="278"/>
      <c r="BA68" s="278"/>
      <c r="BB68" s="278"/>
    </row>
    <row r="69" spans="1:54" s="242" customFormat="1" ht="24.75" customHeight="1" x14ac:dyDescent="0.25">
      <c r="A69" s="236" t="s">
        <v>108</v>
      </c>
      <c r="B69" s="234" t="s">
        <v>101</v>
      </c>
      <c r="C69" s="234"/>
      <c r="D69" s="284"/>
      <c r="E69" s="284"/>
      <c r="F69" s="526" t="s">
        <v>103</v>
      </c>
      <c r="G69" s="526"/>
      <c r="H69" s="526"/>
      <c r="I69" s="526"/>
      <c r="J69" s="526"/>
      <c r="K69" s="236"/>
      <c r="L69" s="235"/>
      <c r="M69" s="236"/>
      <c r="N69" s="235"/>
      <c r="O69" s="236"/>
      <c r="P69" s="235"/>
      <c r="Q69" s="236"/>
      <c r="R69" s="235"/>
      <c r="S69" s="236"/>
      <c r="T69" s="235"/>
      <c r="U69" s="235"/>
      <c r="V69" s="235"/>
      <c r="W69" s="237" t="str">
        <f t="shared" ref="W69:AP69" si="56">W4</f>
        <v>Divers</v>
      </c>
      <c r="X69" s="238" t="str">
        <f t="shared" si="56"/>
        <v>Ravalement enduits</v>
      </c>
      <c r="Y69" s="239" t="str">
        <f t="shared" si="56"/>
        <v>Enduits neufs refaits</v>
      </c>
      <c r="Z69" s="239" t="str">
        <f t="shared" si="56"/>
        <v>ITE</v>
      </c>
      <c r="AA69" s="238" t="str">
        <f t="shared" si="56"/>
        <v>ITE Soubassements</v>
      </c>
      <c r="AB69" s="238" t="str">
        <f t="shared" si="56"/>
        <v>Bardage briques</v>
      </c>
      <c r="AC69" s="239" t="str">
        <f t="shared" si="56"/>
        <v>Bardage type tôle</v>
      </c>
      <c r="AD69" s="239" t="str">
        <f t="shared" si="56"/>
        <v>Bardage fibro ciment  rainuré de couleur gis béton</v>
      </c>
      <c r="AE69" s="239" t="str">
        <f t="shared" si="56"/>
        <v>Tôle habillage BSO</v>
      </c>
      <c r="AF69" s="238" t="str">
        <f t="shared" si="56"/>
        <v>Claustra Bois rapporté devant châssis</v>
      </c>
      <c r="AG69" s="238" t="str">
        <f t="shared" si="56"/>
        <v>Cable inox</v>
      </c>
      <c r="AH69" s="238" t="str">
        <f t="shared" si="56"/>
        <v>Encadrements ravalement</v>
      </c>
      <c r="AI69" s="240" t="str">
        <f t="shared" si="56"/>
        <v>Encadrements ITE</v>
      </c>
      <c r="AJ69" s="240" t="str">
        <f t="shared" si="56"/>
        <v>Encadrements Briques</v>
      </c>
      <c r="AK69" s="240" t="str">
        <f t="shared" si="56"/>
        <v>Encadrements Bardage tôle</v>
      </c>
      <c r="AL69" s="240" t="str">
        <f t="shared" si="56"/>
        <v>Encadrements Carrelet vieilli</v>
      </c>
      <c r="AM69" s="241" t="str">
        <f t="shared" si="56"/>
        <v>Volets</v>
      </c>
      <c r="AN69" s="238" t="str">
        <f t="shared" si="56"/>
        <v>BSO</v>
      </c>
      <c r="AO69" s="239" t="str">
        <f t="shared" si="56"/>
        <v>Habillage bois / grille bois</v>
      </c>
      <c r="AP69" s="238" t="str">
        <f t="shared" si="56"/>
        <v>Tôle</v>
      </c>
      <c r="AQ69" s="236"/>
      <c r="AS69" s="244" t="str">
        <f>AS4</f>
        <v>DEP</v>
      </c>
      <c r="AT69" s="244" t="str">
        <f>AT4</f>
        <v>Boites à eau
Naissances EP</v>
      </c>
      <c r="AU69" s="244" t="str">
        <f>AU4</f>
        <v>dont dauphins</v>
      </c>
      <c r="AV69" s="244" t="str">
        <f>AV4</f>
        <v>Chéneaux</v>
      </c>
      <c r="AX69" s="245" t="str">
        <f>AX4</f>
        <v>Caillebotis balcons</v>
      </c>
      <c r="AY69" s="245" t="str">
        <f>AY4</f>
        <v>Garde-corps contemporain</v>
      </c>
      <c r="AZ69" s="245" t="str">
        <f>AZ4</f>
        <v>Simple
 garde-corps</v>
      </c>
      <c r="BA69" s="245" t="str">
        <f>BA4</f>
        <v>Simple
 garde-corps</v>
      </c>
      <c r="BB69" s="245" t="str">
        <f>BB4</f>
        <v>Simple
 garde-corps</v>
      </c>
    </row>
    <row r="70" spans="1:54" ht="60" x14ac:dyDescent="0.25">
      <c r="B70" s="5" t="s">
        <v>1</v>
      </c>
      <c r="E70" s="247" t="str">
        <f>E5</f>
        <v>dépose existant</v>
      </c>
      <c r="I70" s="247" t="s">
        <v>186</v>
      </c>
      <c r="J70" s="247" t="str">
        <f>+J5</f>
        <v>Chassis
Total m²</v>
      </c>
      <c r="K70" s="3"/>
      <c r="L70" s="247" t="str">
        <f>+L5</f>
        <v>Portes vitrees
Total m²</v>
      </c>
      <c r="M70" s="3"/>
      <c r="N70" s="247" t="str">
        <f>+N5</f>
        <v>Porte pleine
Total m²</v>
      </c>
      <c r="O70" s="3"/>
      <c r="P70" s="247" t="str">
        <f>+P5</f>
        <v>grlles de ventilation
Total m²</v>
      </c>
      <c r="Q70" s="3"/>
      <c r="R70" s="247" t="str">
        <f>+R5</f>
        <v>Menuiserie remise en peinture
Total m²</v>
      </c>
      <c r="S70" s="3"/>
      <c r="T70" s="247" t="str">
        <f>T51</f>
        <v>Linéaire bavettes alu</v>
      </c>
      <c r="U70" s="247" t="str">
        <f>U51</f>
        <v>Linéaire bavettes zinc</v>
      </c>
      <c r="V70" s="247" t="str">
        <f>+V5</f>
        <v>Linéaire Seuils</v>
      </c>
      <c r="W70" s="250" t="str">
        <f>+W5</f>
        <v>m²</v>
      </c>
      <c r="X70" s="249" t="str">
        <f>+X5</f>
        <v>m²</v>
      </c>
      <c r="Y70" s="249" t="s">
        <v>1</v>
      </c>
      <c r="Z70" s="249" t="s">
        <v>1</v>
      </c>
      <c r="AA70" s="249" t="str">
        <f>+AA5</f>
        <v>m²</v>
      </c>
      <c r="AB70" s="249" t="str">
        <f>+AB5</f>
        <v>m²</v>
      </c>
      <c r="AC70" s="249" t="s">
        <v>1</v>
      </c>
      <c r="AD70" s="249" t="s">
        <v>1</v>
      </c>
      <c r="AE70" s="249" t="s">
        <v>1</v>
      </c>
      <c r="AF70" s="249" t="str">
        <f t="shared" ref="AF70:AP70" si="57">+AF5</f>
        <v>m²</v>
      </c>
      <c r="AG70" s="249" t="str">
        <f t="shared" si="57"/>
        <v>ml</v>
      </c>
      <c r="AH70" s="249" t="str">
        <f t="shared" si="57"/>
        <v>ml</v>
      </c>
      <c r="AI70" s="249" t="str">
        <f t="shared" si="57"/>
        <v>ml</v>
      </c>
      <c r="AJ70" s="249" t="str">
        <f t="shared" si="57"/>
        <v>ml</v>
      </c>
      <c r="AK70" s="249" t="str">
        <f t="shared" si="57"/>
        <v>ml</v>
      </c>
      <c r="AL70" s="249" t="str">
        <f t="shared" si="57"/>
        <v>ml</v>
      </c>
      <c r="AM70" s="285" t="str">
        <f t="shared" si="57"/>
        <v>m²</v>
      </c>
      <c r="AN70" s="249" t="str">
        <f t="shared" si="57"/>
        <v>m²</v>
      </c>
      <c r="AO70" s="249" t="str">
        <f t="shared" si="57"/>
        <v>m²</v>
      </c>
      <c r="AP70" s="249" t="str">
        <f t="shared" si="57"/>
        <v>habillage coffre volet ml</v>
      </c>
      <c r="AQ70" s="3"/>
      <c r="AR70" s="242"/>
      <c r="AS70" s="286" t="str">
        <f>+AS5</f>
        <v>ml</v>
      </c>
      <c r="AT70" s="286" t="str">
        <f>+AT5</f>
        <v>u</v>
      </c>
      <c r="AU70" s="286" t="str">
        <f>+AU5</f>
        <v>u</v>
      </c>
      <c r="AV70" s="286" t="str">
        <f>+AV5</f>
        <v>ml</v>
      </c>
      <c r="AW70" s="242"/>
      <c r="AX70" s="250" t="str">
        <f>+AX5</f>
        <v>m²</v>
      </c>
      <c r="AY70" s="250" t="str">
        <f>+AY5</f>
        <v>ml</v>
      </c>
      <c r="AZ70" s="250" t="str">
        <f>+AZ5</f>
        <v>avec tôle
ml</v>
      </c>
      <c r="BA70" s="251" t="str">
        <f>+BA5</f>
        <v>avec barreaudage
ml</v>
      </c>
      <c r="BB70" s="251" t="str">
        <f>+BB5</f>
        <v>avec lisse horizontale
ml</v>
      </c>
    </row>
    <row r="71" spans="1:54" s="294" customFormat="1" x14ac:dyDescent="0.25">
      <c r="A71" s="287">
        <f>C71/B71</f>
        <v>1.2413191532190426</v>
      </c>
      <c r="B71" s="288">
        <f>SUM(B6:B69)</f>
        <v>1192.28</v>
      </c>
      <c r="C71" s="288">
        <f>SUM(C6:C69)</f>
        <v>1480</v>
      </c>
      <c r="D71" s="289"/>
      <c r="E71" s="265">
        <f>SUM(E8:E70)</f>
        <v>46</v>
      </c>
      <c r="F71" s="290"/>
      <c r="G71" s="290"/>
      <c r="H71" s="290"/>
      <c r="I71" s="265">
        <f>I18+I34+I49+I67</f>
        <v>25</v>
      </c>
      <c r="J71" s="265">
        <f>J18+J34+J49+J67</f>
        <v>106.22399999999999</v>
      </c>
      <c r="K71" s="269"/>
      <c r="L71" s="291">
        <f>L18+L34+L49+L67</f>
        <v>26.585899999999999</v>
      </c>
      <c r="M71" s="292"/>
      <c r="N71" s="291">
        <f>N18+N34+N49+N67</f>
        <v>16.2104</v>
      </c>
      <c r="O71" s="292"/>
      <c r="P71" s="291">
        <f>P18+P34+P49+P67</f>
        <v>0</v>
      </c>
      <c r="Q71" s="292"/>
      <c r="R71" s="291">
        <f>R18+R34+R49+R67</f>
        <v>0</v>
      </c>
      <c r="S71" s="269"/>
      <c r="T71" s="291">
        <f t="shared" ref="T71:AP71" si="58">T18+T34+T49+T67</f>
        <v>103.57999999999998</v>
      </c>
      <c r="U71" s="291">
        <f t="shared" si="58"/>
        <v>0</v>
      </c>
      <c r="V71" s="291">
        <f t="shared" si="58"/>
        <v>16.810000000000002</v>
      </c>
      <c r="W71" s="267">
        <f t="shared" si="58"/>
        <v>0</v>
      </c>
      <c r="X71" s="268">
        <f t="shared" si="58"/>
        <v>23.6</v>
      </c>
      <c r="Y71" s="268">
        <f t="shared" si="58"/>
        <v>0</v>
      </c>
      <c r="Z71" s="268">
        <f t="shared" si="58"/>
        <v>539.29530000000011</v>
      </c>
      <c r="AA71" s="268">
        <f t="shared" si="58"/>
        <v>72.370399999999989</v>
      </c>
      <c r="AB71" s="268">
        <f t="shared" si="58"/>
        <v>310.36</v>
      </c>
      <c r="AC71" s="268">
        <f t="shared" si="58"/>
        <v>70.573999999999998</v>
      </c>
      <c r="AD71" s="268">
        <f t="shared" si="58"/>
        <v>0</v>
      </c>
      <c r="AE71" s="268">
        <f t="shared" si="58"/>
        <v>0</v>
      </c>
      <c r="AF71" s="268">
        <f t="shared" si="58"/>
        <v>0</v>
      </c>
      <c r="AG71" s="268">
        <f t="shared" si="58"/>
        <v>0</v>
      </c>
      <c r="AH71" s="268">
        <f t="shared" si="58"/>
        <v>0</v>
      </c>
      <c r="AI71" s="268">
        <f t="shared" si="58"/>
        <v>142.31</v>
      </c>
      <c r="AJ71" s="268">
        <f t="shared" si="58"/>
        <v>113.27828647925033</v>
      </c>
      <c r="AK71" s="268">
        <f t="shared" si="58"/>
        <v>5.26</v>
      </c>
      <c r="AL71" s="268">
        <f t="shared" si="58"/>
        <v>0</v>
      </c>
      <c r="AM71" s="268">
        <f t="shared" si="58"/>
        <v>0</v>
      </c>
      <c r="AN71" s="268">
        <f t="shared" si="58"/>
        <v>0</v>
      </c>
      <c r="AO71" s="268">
        <f t="shared" si="58"/>
        <v>0</v>
      </c>
      <c r="AP71" s="268">
        <f t="shared" si="58"/>
        <v>0</v>
      </c>
      <c r="AQ71" s="269"/>
      <c r="AR71" s="293" t="s">
        <v>122</v>
      </c>
      <c r="AS71" s="270">
        <f>AS18+AS34+AS49+AS67</f>
        <v>45.970000000000006</v>
      </c>
      <c r="AT71" s="270">
        <f>AT18+AT34+AT49+AT67</f>
        <v>13</v>
      </c>
      <c r="AU71" s="270">
        <f>AU18+AU34+AU49+AU67</f>
        <v>7</v>
      </c>
      <c r="AV71" s="270">
        <f>AV18+AV34+AV49+AV67</f>
        <v>0</v>
      </c>
      <c r="AW71" s="269" t="s">
        <v>122</v>
      </c>
      <c r="AX71" s="267">
        <f>AX18+AX34+AX49+AX67</f>
        <v>0</v>
      </c>
      <c r="AY71" s="267">
        <f>AY18+AY34+AY49+AY67</f>
        <v>0</v>
      </c>
      <c r="AZ71" s="267">
        <f>AZ18+AZ34+AZ49+AZ67</f>
        <v>0</v>
      </c>
      <c r="BA71" s="267">
        <f>BA18+BA34+BA49+BA67</f>
        <v>0</v>
      </c>
      <c r="BB71" s="267">
        <f>BB18+BB34+BB49+BB67</f>
        <v>0</v>
      </c>
    </row>
    <row r="72" spans="1:54" x14ac:dyDescent="0.25">
      <c r="A72" s="295">
        <f>(C71-B71)/B71</f>
        <v>0.24131915321904254</v>
      </c>
      <c r="C72" s="5">
        <f>C71/B71</f>
        <v>1.2413191532190426</v>
      </c>
      <c r="AH72" s="6" t="s">
        <v>301</v>
      </c>
      <c r="AI72" s="6" t="s">
        <v>301</v>
      </c>
      <c r="AJ72" s="6" t="s">
        <v>301</v>
      </c>
      <c r="AK72" s="6" t="s">
        <v>301</v>
      </c>
      <c r="AL72" s="6" t="s">
        <v>301</v>
      </c>
      <c r="AS72" s="4" t="s">
        <v>683</v>
      </c>
      <c r="AW72" s="242"/>
    </row>
    <row r="73" spans="1:54" x14ac:dyDescent="0.25">
      <c r="AH73" s="6">
        <v>0.2</v>
      </c>
      <c r="AI73" s="6">
        <v>0.2</v>
      </c>
      <c r="AJ73" s="6">
        <v>0.2</v>
      </c>
      <c r="AK73" s="6">
        <v>0.2</v>
      </c>
      <c r="AL73" s="6">
        <v>0.2</v>
      </c>
      <c r="AM73" s="296"/>
      <c r="AN73" s="297"/>
      <c r="AO73" s="297"/>
      <c r="AP73" s="297"/>
      <c r="AS73" s="270">
        <f>AS71-AU71</f>
        <v>38.970000000000006</v>
      </c>
    </row>
    <row r="74" spans="1:54" ht="24.75" x14ac:dyDescent="0.25">
      <c r="A74" s="226"/>
      <c r="AH74" s="298" t="s">
        <v>439</v>
      </c>
      <c r="AI74" s="298" t="s">
        <v>439</v>
      </c>
      <c r="AJ74" s="298" t="s">
        <v>439</v>
      </c>
      <c r="AK74" s="298" t="s">
        <v>439</v>
      </c>
      <c r="AL74" s="298" t="s">
        <v>439</v>
      </c>
      <c r="AM74" s="268"/>
      <c r="AN74" s="299"/>
      <c r="AO74" s="299"/>
      <c r="AP74" s="299"/>
    </row>
    <row r="75" spans="1:54" x14ac:dyDescent="0.25">
      <c r="A75" s="246"/>
      <c r="AH75" s="268" t="s">
        <v>1</v>
      </c>
      <c r="AI75" s="268" t="s">
        <v>1</v>
      </c>
      <c r="AJ75" s="268" t="s">
        <v>1</v>
      </c>
      <c r="AK75" s="268" t="s">
        <v>1</v>
      </c>
      <c r="AL75" s="268" t="s">
        <v>1</v>
      </c>
      <c r="AM75" s="300"/>
      <c r="AN75" s="301"/>
      <c r="AO75" s="301"/>
      <c r="AP75" s="301"/>
    </row>
    <row r="76" spans="1:54" x14ac:dyDescent="0.25">
      <c r="AH76" s="7">
        <f t="shared" ref="AH76:AL76" si="59">AH71*AH73</f>
        <v>0</v>
      </c>
      <c r="AI76" s="7">
        <f t="shared" si="59"/>
        <v>28.462000000000003</v>
      </c>
      <c r="AJ76" s="7">
        <f t="shared" si="59"/>
        <v>22.655657295850066</v>
      </c>
      <c r="AK76" s="7">
        <f t="shared" si="59"/>
        <v>1.052</v>
      </c>
      <c r="AL76" s="7">
        <f t="shared" si="59"/>
        <v>0</v>
      </c>
    </row>
    <row r="77" spans="1:54" x14ac:dyDescent="0.25">
      <c r="AF77" s="302"/>
      <c r="AG77" s="302"/>
      <c r="AH77" s="302"/>
      <c r="AJ77" s="297"/>
      <c r="AK77" s="297"/>
      <c r="AL77" s="297"/>
    </row>
    <row r="78" spans="1:54" x14ac:dyDescent="0.25">
      <c r="A78" s="246"/>
    </row>
    <row r="79" spans="1:54" x14ac:dyDescent="0.25">
      <c r="C79" s="303"/>
      <c r="AF79" s="304"/>
      <c r="AG79" s="304"/>
      <c r="AH79" s="304"/>
      <c r="AI79" s="301"/>
      <c r="AJ79" s="301"/>
      <c r="AK79" s="301"/>
      <c r="AL79" s="301"/>
    </row>
  </sheetData>
  <mergeCells count="2">
    <mergeCell ref="F4:J4"/>
    <mergeCell ref="F69:J6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T150"/>
  <sheetViews>
    <sheetView zoomScale="85" zoomScaleNormal="85" workbookViewId="0">
      <selection activeCell="G17" sqref="G17"/>
    </sheetView>
  </sheetViews>
  <sheetFormatPr baseColWidth="10" defaultColWidth="11.42578125" defaultRowHeight="15.75" x14ac:dyDescent="0.25"/>
  <cols>
    <col min="1" max="1" width="11.42578125" style="43"/>
    <col min="2" max="2" width="31.7109375" style="1" customWidth="1"/>
    <col min="3" max="4" width="5.7109375" style="1" customWidth="1"/>
    <col min="5" max="5" width="18.28515625" style="1" customWidth="1"/>
    <col min="6" max="6" width="13.28515625" style="1" customWidth="1"/>
    <col min="7" max="7" width="15.140625" style="1" customWidth="1"/>
    <col min="8" max="8" width="18.85546875" style="1" customWidth="1"/>
    <col min="9" max="9" width="19.28515625" style="2" customWidth="1"/>
    <col min="10" max="14" width="13.7109375" style="2" customWidth="1"/>
    <col min="15" max="15" width="24.28515625" style="2" customWidth="1"/>
    <col min="16" max="16" width="21" style="1" customWidth="1"/>
    <col min="17" max="16384" width="11.42578125" style="1"/>
  </cols>
  <sheetData>
    <row r="1" spans="1:12" s="338" customFormat="1" x14ac:dyDescent="0.25">
      <c r="A1" s="337" t="s">
        <v>239</v>
      </c>
      <c r="B1" s="338" t="s">
        <v>235</v>
      </c>
      <c r="F1" s="339"/>
      <c r="G1" s="4"/>
      <c r="H1" s="339"/>
      <c r="I1" s="339"/>
      <c r="J1" s="4"/>
      <c r="K1" s="4"/>
      <c r="L1" s="4"/>
    </row>
    <row r="2" spans="1:12" s="338" customFormat="1" x14ac:dyDescent="0.25">
      <c r="A2" s="337"/>
      <c r="E2" s="339" t="s">
        <v>236</v>
      </c>
      <c r="F2" s="339" t="s">
        <v>237</v>
      </c>
      <c r="G2" s="339" t="s">
        <v>238</v>
      </c>
      <c r="H2" s="339"/>
      <c r="I2" s="339"/>
      <c r="J2" s="4"/>
      <c r="K2" s="4"/>
      <c r="L2" s="4"/>
    </row>
    <row r="3" spans="1:12" s="338" customFormat="1" x14ac:dyDescent="0.25">
      <c r="A3" s="337"/>
      <c r="E3" s="340"/>
      <c r="F3" s="341">
        <f>(7.5+7.5)/13.34</f>
        <v>1.1244377811094453</v>
      </c>
      <c r="G3" s="45">
        <f>E3*F3</f>
        <v>0</v>
      </c>
      <c r="H3" s="342"/>
      <c r="I3" s="343"/>
      <c r="J3" s="527"/>
      <c r="K3" s="527"/>
      <c r="L3" s="4"/>
    </row>
    <row r="4" spans="1:12" s="338" customFormat="1" x14ac:dyDescent="0.25">
      <c r="A4" s="337"/>
      <c r="E4" s="343"/>
      <c r="F4" s="341">
        <f>(7.5+7.5)/13.34</f>
        <v>1.1244377811094453</v>
      </c>
      <c r="G4" s="45">
        <f>E4*F4</f>
        <v>0</v>
      </c>
      <c r="H4" s="342"/>
      <c r="I4" s="343"/>
      <c r="J4" s="527"/>
      <c r="K4" s="527"/>
      <c r="L4" s="4"/>
    </row>
    <row r="5" spans="1:12" s="338" customFormat="1" ht="17.25" customHeight="1" x14ac:dyDescent="0.25">
      <c r="A5" s="337"/>
      <c r="B5" s="344" t="s">
        <v>159</v>
      </c>
      <c r="C5" s="344"/>
      <c r="D5" s="344"/>
      <c r="E5" s="4"/>
      <c r="F5" s="345"/>
      <c r="G5" s="270">
        <f>SUM(G3:G4)</f>
        <v>0</v>
      </c>
      <c r="H5" s="4"/>
      <c r="I5" s="4"/>
      <c r="J5" s="4"/>
      <c r="K5" s="4"/>
      <c r="L5" s="4"/>
    </row>
    <row r="6" spans="1:12" s="338" customFormat="1" ht="15" customHeight="1" x14ac:dyDescent="0.25">
      <c r="A6" s="337"/>
      <c r="B6" s="344"/>
      <c r="C6" s="344"/>
      <c r="D6" s="344"/>
      <c r="E6" s="4"/>
      <c r="F6" s="4"/>
      <c r="G6" s="4"/>
      <c r="H6" s="4"/>
      <c r="I6" s="4"/>
      <c r="J6" s="4"/>
      <c r="K6" s="4"/>
      <c r="L6" s="4"/>
    </row>
    <row r="7" spans="1:12" s="338" customFormat="1" x14ac:dyDescent="0.25">
      <c r="A7" s="337"/>
      <c r="B7" s="338" t="s">
        <v>258</v>
      </c>
      <c r="E7" s="346" t="s">
        <v>236</v>
      </c>
      <c r="F7" s="339" t="s">
        <v>237</v>
      </c>
      <c r="G7" s="339" t="s">
        <v>238</v>
      </c>
      <c r="H7" s="4"/>
      <c r="I7" s="4"/>
      <c r="J7" s="4"/>
      <c r="K7" s="4"/>
      <c r="L7" s="4"/>
    </row>
    <row r="8" spans="1:12" s="338" customFormat="1" x14ac:dyDescent="0.25">
      <c r="A8" s="337"/>
      <c r="E8" s="4"/>
      <c r="F8" s="347"/>
      <c r="G8" s="348"/>
      <c r="H8" s="339"/>
      <c r="I8" s="339"/>
      <c r="J8" s="4"/>
      <c r="K8" s="4"/>
      <c r="L8" s="4"/>
    </row>
    <row r="9" spans="1:12" s="338" customFormat="1" x14ac:dyDescent="0.25">
      <c r="A9" s="337"/>
      <c r="E9" s="45"/>
      <c r="F9" s="347"/>
      <c r="G9" s="348"/>
      <c r="H9" s="339"/>
      <c r="I9" s="339"/>
      <c r="J9" s="4"/>
      <c r="K9" s="4"/>
      <c r="L9" s="4"/>
    </row>
    <row r="10" spans="1:12" s="338" customFormat="1" x14ac:dyDescent="0.25">
      <c r="A10" s="337"/>
      <c r="B10" s="344" t="s">
        <v>159</v>
      </c>
      <c r="C10" s="344"/>
      <c r="D10" s="344"/>
      <c r="E10" s="344" t="s">
        <v>159</v>
      </c>
      <c r="F10" s="4"/>
      <c r="G10" s="270">
        <f>+SUM(G8:G9)</f>
        <v>0</v>
      </c>
      <c r="H10" s="4"/>
      <c r="I10" s="4"/>
      <c r="J10" s="4"/>
      <c r="K10" s="4"/>
      <c r="L10" s="4"/>
    </row>
    <row r="11" spans="1:12" s="338" customFormat="1" ht="16.5" customHeight="1" x14ac:dyDescent="0.25">
      <c r="A11" s="337"/>
      <c r="B11" s="344"/>
      <c r="C11" s="344"/>
      <c r="D11" s="344"/>
      <c r="E11" s="4"/>
      <c r="F11" s="4"/>
      <c r="G11" s="4"/>
      <c r="H11" s="4"/>
      <c r="I11" s="4"/>
      <c r="J11" s="4"/>
      <c r="K11" s="4"/>
      <c r="L11" s="4"/>
    </row>
    <row r="12" spans="1:12" s="338" customFormat="1" ht="9" customHeight="1" x14ac:dyDescent="0.25">
      <c r="A12" s="337"/>
      <c r="E12" s="4"/>
      <c r="F12" s="4"/>
      <c r="G12" s="348"/>
      <c r="H12" s="4"/>
      <c r="I12" s="4"/>
      <c r="J12" s="4"/>
      <c r="K12" s="4"/>
      <c r="L12" s="4"/>
    </row>
    <row r="13" spans="1:12" s="338" customFormat="1" x14ac:dyDescent="0.25">
      <c r="A13" s="337"/>
      <c r="B13" s="338" t="s">
        <v>302</v>
      </c>
      <c r="E13" s="4"/>
      <c r="F13" s="4"/>
      <c r="G13" s="348"/>
      <c r="H13" s="4"/>
      <c r="I13" s="4"/>
      <c r="J13" s="4"/>
      <c r="K13" s="4"/>
      <c r="L13" s="4"/>
    </row>
    <row r="14" spans="1:12" s="338" customFormat="1" x14ac:dyDescent="0.25">
      <c r="A14" s="337"/>
      <c r="B14" s="349" t="s">
        <v>159</v>
      </c>
      <c r="E14" s="4"/>
      <c r="F14" s="4"/>
      <c r="G14" s="350">
        <f>SUM(G13:G13)</f>
        <v>0</v>
      </c>
      <c r="H14" s="4"/>
      <c r="I14" s="4"/>
      <c r="J14" s="4"/>
      <c r="K14" s="4"/>
      <c r="L14" s="4"/>
    </row>
    <row r="15" spans="1:12" s="338" customFormat="1" ht="6.75" customHeight="1" x14ac:dyDescent="0.25">
      <c r="A15" s="337"/>
      <c r="E15" s="4"/>
      <c r="F15" s="4"/>
      <c r="G15" s="4"/>
      <c r="H15" s="4"/>
      <c r="I15" s="4"/>
      <c r="J15" s="4"/>
      <c r="K15" s="4"/>
      <c r="L15" s="4"/>
    </row>
    <row r="16" spans="1:12" s="338" customFormat="1" x14ac:dyDescent="0.25">
      <c r="A16" s="337"/>
      <c r="E16" s="339" t="s">
        <v>236</v>
      </c>
      <c r="F16" s="339" t="s">
        <v>237</v>
      </c>
      <c r="G16" s="339" t="s">
        <v>238</v>
      </c>
      <c r="H16" s="339"/>
      <c r="I16" s="339"/>
      <c r="J16" s="4"/>
      <c r="K16" s="4"/>
      <c r="L16" s="4"/>
    </row>
    <row r="17" spans="1:12" s="338" customFormat="1" x14ac:dyDescent="0.25">
      <c r="A17" s="337"/>
      <c r="B17" s="338" t="s">
        <v>260</v>
      </c>
      <c r="E17" s="4"/>
      <c r="F17" s="341">
        <f>(7.5+7.5)/13.34</f>
        <v>1.1244377811094453</v>
      </c>
      <c r="G17" s="348">
        <f t="shared" ref="G17" si="0">+E17*F17</f>
        <v>0</v>
      </c>
      <c r="H17" s="4"/>
      <c r="I17" s="4"/>
      <c r="J17" s="4"/>
      <c r="K17" s="4"/>
      <c r="L17" s="4"/>
    </row>
    <row r="18" spans="1:12" s="338" customFormat="1" x14ac:dyDescent="0.25">
      <c r="A18" s="337"/>
      <c r="B18" s="349" t="s">
        <v>159</v>
      </c>
      <c r="E18" s="4"/>
      <c r="F18" s="4"/>
      <c r="G18" s="350">
        <f>SUM(G17:G17)</f>
        <v>0</v>
      </c>
      <c r="H18" s="4"/>
      <c r="I18" s="4"/>
      <c r="J18" s="4"/>
      <c r="K18" s="4"/>
      <c r="L18" s="4"/>
    </row>
    <row r="19" spans="1:12" s="338" customFormat="1" ht="7.5" customHeight="1" x14ac:dyDescent="0.25">
      <c r="A19" s="337"/>
      <c r="E19" s="4"/>
      <c r="F19" s="4"/>
      <c r="G19" s="4"/>
      <c r="H19" s="4"/>
      <c r="I19" s="4"/>
      <c r="J19" s="4"/>
      <c r="K19" s="4"/>
      <c r="L19" s="4"/>
    </row>
    <row r="20" spans="1:12" s="338" customFormat="1" x14ac:dyDescent="0.25">
      <c r="A20" s="337"/>
      <c r="B20" s="338" t="s">
        <v>261</v>
      </c>
      <c r="E20" s="4"/>
      <c r="F20" s="4">
        <v>1</v>
      </c>
      <c r="G20" s="348">
        <f t="shared" ref="G20" si="1">+E20*F20</f>
        <v>0</v>
      </c>
      <c r="H20" s="4"/>
      <c r="I20" s="4"/>
      <c r="J20" s="4"/>
      <c r="K20" s="4"/>
      <c r="L20" s="4"/>
    </row>
    <row r="21" spans="1:12" s="338" customFormat="1" x14ac:dyDescent="0.25">
      <c r="A21" s="337"/>
      <c r="B21" s="349" t="s">
        <v>159</v>
      </c>
      <c r="E21" s="4"/>
      <c r="F21" s="4"/>
      <c r="G21" s="350">
        <f>SUM(G20:G20)</f>
        <v>0</v>
      </c>
      <c r="H21" s="4"/>
      <c r="I21" s="4"/>
      <c r="J21" s="4"/>
      <c r="K21" s="4"/>
      <c r="L21" s="4"/>
    </row>
    <row r="22" spans="1:12" s="338" customFormat="1" ht="9" customHeight="1" x14ac:dyDescent="0.25">
      <c r="A22" s="337"/>
      <c r="E22" s="4"/>
      <c r="F22" s="4"/>
      <c r="G22" s="4"/>
      <c r="H22" s="4"/>
      <c r="I22" s="4"/>
      <c r="J22" s="4"/>
      <c r="K22" s="4"/>
      <c r="L22" s="4"/>
    </row>
    <row r="23" spans="1:12" s="338" customFormat="1" x14ac:dyDescent="0.25">
      <c r="A23" s="337"/>
      <c r="B23" s="338" t="s">
        <v>259</v>
      </c>
      <c r="E23" s="4"/>
      <c r="F23" s="4"/>
      <c r="G23" s="348">
        <f>+E23*F23</f>
        <v>0</v>
      </c>
      <c r="H23" s="4"/>
      <c r="I23" s="4"/>
      <c r="J23" s="4"/>
      <c r="K23" s="4"/>
      <c r="L23" s="4"/>
    </row>
    <row r="24" spans="1:12" s="338" customFormat="1" x14ac:dyDescent="0.25">
      <c r="A24" s="337"/>
      <c r="E24" s="4"/>
      <c r="F24" s="4"/>
      <c r="G24" s="348">
        <f>+E24*F24</f>
        <v>0</v>
      </c>
      <c r="H24" s="4"/>
      <c r="I24" s="4"/>
      <c r="J24" s="4"/>
      <c r="K24" s="4"/>
      <c r="L24" s="4"/>
    </row>
    <row r="25" spans="1:12" s="338" customFormat="1" x14ac:dyDescent="0.25">
      <c r="A25" s="337"/>
      <c r="B25" s="349" t="s">
        <v>159</v>
      </c>
      <c r="E25" s="4"/>
      <c r="F25" s="4"/>
      <c r="G25" s="350">
        <f>SUM(G23:G24)</f>
        <v>0</v>
      </c>
      <c r="H25" s="4"/>
      <c r="I25" s="348" t="s">
        <v>122</v>
      </c>
      <c r="J25" s="4"/>
      <c r="K25" s="4"/>
      <c r="L25" s="4"/>
    </row>
    <row r="26" spans="1:12" s="338" customFormat="1" ht="6.75" customHeight="1" x14ac:dyDescent="0.25">
      <c r="A26" s="337"/>
      <c r="B26" s="344"/>
      <c r="C26" s="344"/>
      <c r="D26" s="344"/>
      <c r="E26" s="4"/>
      <c r="F26" s="4"/>
      <c r="G26" s="4"/>
      <c r="H26" s="4"/>
      <c r="I26" s="4"/>
      <c r="J26" s="4"/>
      <c r="K26" s="4"/>
      <c r="L26" s="4"/>
    </row>
    <row r="27" spans="1:12" s="338" customFormat="1" x14ac:dyDescent="0.25">
      <c r="A27" s="337"/>
      <c r="E27" s="339" t="s">
        <v>300</v>
      </c>
      <c r="F27" s="339" t="s">
        <v>301</v>
      </c>
      <c r="G27" s="339" t="s">
        <v>200</v>
      </c>
      <c r="H27" s="4"/>
      <c r="I27" s="4"/>
      <c r="J27" s="4"/>
      <c r="K27" s="4"/>
      <c r="L27" s="4"/>
    </row>
    <row r="28" spans="1:12" s="338" customFormat="1" x14ac:dyDescent="0.25">
      <c r="A28" s="337"/>
      <c r="B28" s="351" t="s">
        <v>244</v>
      </c>
      <c r="C28" s="351"/>
      <c r="D28" s="351"/>
      <c r="E28" s="4">
        <f>SUM(E23:E24)</f>
        <v>0</v>
      </c>
      <c r="F28" s="4">
        <v>0.45</v>
      </c>
      <c r="G28" s="350">
        <f>E28*F28</f>
        <v>0</v>
      </c>
      <c r="H28" s="4"/>
      <c r="I28" s="4"/>
      <c r="J28" s="4"/>
      <c r="K28" s="4"/>
      <c r="L28" s="4"/>
    </row>
    <row r="29" spans="1:12" s="338" customFormat="1" ht="6.75" customHeight="1" x14ac:dyDescent="0.25">
      <c r="A29" s="337"/>
      <c r="B29" s="344"/>
      <c r="C29" s="344"/>
      <c r="D29" s="344"/>
      <c r="E29" s="4"/>
      <c r="F29" s="4"/>
      <c r="G29" s="4"/>
      <c r="H29" s="4"/>
      <c r="I29" s="4"/>
      <c r="J29" s="4"/>
      <c r="K29" s="4"/>
      <c r="L29" s="4"/>
    </row>
    <row r="30" spans="1:12" s="338" customFormat="1" x14ac:dyDescent="0.25">
      <c r="A30" s="337"/>
      <c r="B30" s="338" t="s">
        <v>242</v>
      </c>
      <c r="F30" s="4"/>
      <c r="G30" s="45"/>
      <c r="H30" s="4" t="s">
        <v>105</v>
      </c>
      <c r="I30" s="4"/>
      <c r="J30" s="4"/>
      <c r="K30" s="4"/>
      <c r="L30" s="4"/>
    </row>
    <row r="31" spans="1:12" s="338" customFormat="1" x14ac:dyDescent="0.25">
      <c r="A31" s="337"/>
      <c r="F31" s="4"/>
      <c r="G31" s="4">
        <v>0</v>
      </c>
      <c r="H31" s="4"/>
      <c r="I31" s="4"/>
      <c r="J31" s="4"/>
      <c r="K31" s="4"/>
      <c r="L31" s="4"/>
    </row>
    <row r="32" spans="1:12" s="338" customFormat="1" x14ac:dyDescent="0.25">
      <c r="A32" s="337"/>
      <c r="F32" s="4"/>
      <c r="G32" s="352">
        <v>0</v>
      </c>
      <c r="H32" s="4"/>
      <c r="I32" s="339"/>
      <c r="J32" s="4"/>
      <c r="K32" s="4"/>
      <c r="L32" s="4"/>
    </row>
    <row r="33" spans="1:17" s="338" customFormat="1" x14ac:dyDescent="0.25">
      <c r="A33" s="337"/>
      <c r="F33" s="4"/>
      <c r="G33" s="352">
        <v>0</v>
      </c>
      <c r="H33" s="4"/>
      <c r="I33" s="339"/>
      <c r="J33" s="4"/>
      <c r="K33" s="4"/>
      <c r="L33" s="4"/>
    </row>
    <row r="34" spans="1:17" s="338" customFormat="1" x14ac:dyDescent="0.25">
      <c r="A34" s="337"/>
      <c r="F34" s="4"/>
      <c r="G34" s="352">
        <v>0</v>
      </c>
      <c r="H34" s="4"/>
      <c r="I34" s="339"/>
      <c r="J34" s="4"/>
      <c r="K34" s="4"/>
      <c r="L34" s="4"/>
    </row>
    <row r="35" spans="1:17" s="338" customFormat="1" x14ac:dyDescent="0.25">
      <c r="A35" s="337"/>
      <c r="B35" s="344"/>
      <c r="C35" s="344"/>
      <c r="D35" s="344"/>
      <c r="F35" s="4" t="s">
        <v>263</v>
      </c>
      <c r="G35" s="348">
        <f>SUM(G31:G34)</f>
        <v>0</v>
      </c>
      <c r="H35" s="46">
        <f>SUM(H31:H34)</f>
        <v>0</v>
      </c>
      <c r="I35" s="4"/>
      <c r="J35" s="351"/>
      <c r="K35" s="351"/>
      <c r="L35" s="4"/>
    </row>
    <row r="36" spans="1:17" s="338" customFormat="1" x14ac:dyDescent="0.25">
      <c r="A36" s="337"/>
      <c r="B36" s="344"/>
      <c r="C36" s="344"/>
      <c r="D36" s="344"/>
      <c r="F36" s="4"/>
      <c r="G36" s="348"/>
      <c r="H36" s="46"/>
      <c r="I36" s="351"/>
      <c r="J36" s="351"/>
      <c r="K36" s="351"/>
      <c r="L36" s="4"/>
    </row>
    <row r="37" spans="1:17" s="338" customFormat="1" x14ac:dyDescent="0.25">
      <c r="A37" s="337"/>
      <c r="B37" s="344"/>
      <c r="C37" s="344"/>
      <c r="D37" s="344"/>
      <c r="F37" s="4" t="s">
        <v>262</v>
      </c>
      <c r="G37" s="350">
        <f>G35-G39</f>
        <v>0</v>
      </c>
      <c r="H37" s="46"/>
      <c r="I37" s="351"/>
      <c r="J37" s="351"/>
      <c r="K37" s="351"/>
      <c r="L37" s="4"/>
    </row>
    <row r="38" spans="1:17" s="338" customFormat="1" ht="6" customHeight="1" x14ac:dyDescent="0.25">
      <c r="A38" s="337"/>
      <c r="B38" s="344"/>
      <c r="C38" s="344"/>
      <c r="D38" s="344"/>
      <c r="F38" s="4"/>
      <c r="G38" s="353"/>
      <c r="H38" s="46"/>
      <c r="I38" s="351"/>
      <c r="J38" s="351"/>
      <c r="K38" s="351"/>
      <c r="L38" s="4"/>
    </row>
    <row r="39" spans="1:17" s="338" customFormat="1" x14ac:dyDescent="0.25">
      <c r="A39" s="337"/>
      <c r="C39" s="344"/>
      <c r="D39" s="344"/>
      <c r="F39" s="4" t="s">
        <v>245</v>
      </c>
      <c r="G39" s="354">
        <f>+H35</f>
        <v>0</v>
      </c>
      <c r="H39" s="4"/>
      <c r="I39" s="351"/>
      <c r="J39" s="351"/>
      <c r="K39" s="351"/>
      <c r="L39" s="4"/>
    </row>
    <row r="40" spans="1:17" s="338" customFormat="1" ht="6.75" customHeight="1" x14ac:dyDescent="0.25">
      <c r="A40" s="337"/>
      <c r="B40" s="344"/>
      <c r="C40" s="344"/>
      <c r="D40" s="344"/>
      <c r="F40" s="4"/>
      <c r="G40" s="4"/>
      <c r="I40" s="4"/>
      <c r="J40" s="4"/>
      <c r="K40" s="4"/>
      <c r="L40" s="4"/>
    </row>
    <row r="41" spans="1:17" s="338" customFormat="1" x14ac:dyDescent="0.25">
      <c r="A41" s="337"/>
      <c r="B41" s="338" t="s">
        <v>163</v>
      </c>
      <c r="F41" s="4"/>
      <c r="G41" s="4">
        <v>0</v>
      </c>
      <c r="H41" s="4"/>
      <c r="I41" s="4"/>
      <c r="J41" s="4"/>
      <c r="K41" s="4"/>
      <c r="L41" s="4"/>
    </row>
    <row r="42" spans="1:17" s="338" customFormat="1" x14ac:dyDescent="0.25">
      <c r="A42" s="337"/>
      <c r="B42" s="338" t="s">
        <v>172</v>
      </c>
      <c r="F42" s="4"/>
      <c r="G42" s="355">
        <v>0</v>
      </c>
      <c r="H42" s="4"/>
      <c r="I42" s="4"/>
      <c r="J42" s="4"/>
      <c r="K42" s="4"/>
      <c r="L42" s="4"/>
    </row>
    <row r="43" spans="1:17" s="338" customFormat="1" x14ac:dyDescent="0.25">
      <c r="A43" s="337"/>
      <c r="F43" s="4"/>
      <c r="G43" s="4"/>
      <c r="H43" s="4"/>
      <c r="I43" s="4"/>
      <c r="J43" s="4"/>
      <c r="K43" s="4"/>
      <c r="L43" s="4"/>
    </row>
    <row r="44" spans="1:17" s="357" customFormat="1" x14ac:dyDescent="0.25">
      <c r="A44" s="356" t="s">
        <v>249</v>
      </c>
      <c r="E44" s="358"/>
      <c r="H44" s="230"/>
      <c r="I44" s="230"/>
      <c r="J44" s="230"/>
      <c r="K44" s="359"/>
      <c r="L44" s="359"/>
      <c r="M44" s="230"/>
      <c r="N44" s="230"/>
      <c r="O44" s="230"/>
    </row>
    <row r="45" spans="1:17" s="357" customFormat="1" x14ac:dyDescent="0.25">
      <c r="A45" s="356"/>
      <c r="C45" s="230" t="s">
        <v>12</v>
      </c>
      <c r="D45" s="230" t="s">
        <v>13</v>
      </c>
      <c r="E45" s="357" t="s">
        <v>158</v>
      </c>
      <c r="F45" s="230" t="s">
        <v>246</v>
      </c>
      <c r="G45" s="230"/>
      <c r="H45" s="230" t="s">
        <v>170</v>
      </c>
      <c r="I45" s="230" t="s">
        <v>92</v>
      </c>
      <c r="J45" s="230" t="s">
        <v>247</v>
      </c>
      <c r="K45" s="230" t="s">
        <v>162</v>
      </c>
      <c r="L45" s="230" t="s">
        <v>91</v>
      </c>
      <c r="M45" s="230" t="s">
        <v>89</v>
      </c>
      <c r="N45" s="230" t="s">
        <v>245</v>
      </c>
      <c r="O45" s="230" t="s">
        <v>172</v>
      </c>
      <c r="P45" s="230" t="s">
        <v>433</v>
      </c>
      <c r="Q45" s="230" t="s">
        <v>308</v>
      </c>
    </row>
    <row r="46" spans="1:17" s="357" customFormat="1" x14ac:dyDescent="0.25">
      <c r="A46" s="360" t="s">
        <v>122</v>
      </c>
      <c r="B46" s="357" t="s">
        <v>565</v>
      </c>
      <c r="C46" s="230"/>
      <c r="D46" s="230"/>
      <c r="E46" s="359"/>
      <c r="F46" s="359">
        <v>0</v>
      </c>
      <c r="G46" s="359"/>
      <c r="H46" s="359">
        <v>0</v>
      </c>
      <c r="I46" s="361">
        <f>F46-H46</f>
        <v>0</v>
      </c>
      <c r="J46" s="230"/>
      <c r="K46" s="359"/>
      <c r="L46" s="359"/>
      <c r="M46" s="362" t="s">
        <v>306</v>
      </c>
      <c r="N46" s="230"/>
      <c r="O46" s="230"/>
      <c r="P46" s="230"/>
      <c r="Q46" s="230"/>
    </row>
    <row r="47" spans="1:17" s="357" customFormat="1" x14ac:dyDescent="0.25">
      <c r="A47" s="360" t="s">
        <v>122</v>
      </c>
      <c r="B47" s="357" t="s">
        <v>566</v>
      </c>
      <c r="C47" s="230"/>
      <c r="D47" s="230"/>
      <c r="E47" s="359">
        <f>C47*D47</f>
        <v>0</v>
      </c>
      <c r="F47" s="359">
        <f>(C47+D47)*2</f>
        <v>0</v>
      </c>
      <c r="G47" s="359"/>
      <c r="H47" s="359"/>
      <c r="I47" s="361">
        <f>F47-H47</f>
        <v>0</v>
      </c>
      <c r="J47" s="230"/>
      <c r="K47" s="359"/>
      <c r="L47" s="359"/>
      <c r="M47" s="362" t="s">
        <v>306</v>
      </c>
      <c r="N47" s="230"/>
      <c r="O47" s="230"/>
      <c r="P47" s="230"/>
      <c r="Q47" s="230"/>
    </row>
    <row r="48" spans="1:17" s="357" customFormat="1" x14ac:dyDescent="0.25">
      <c r="A48" s="360" t="s">
        <v>122</v>
      </c>
      <c r="C48" s="230"/>
      <c r="D48" s="230"/>
      <c r="E48" s="359">
        <f>C48*D48</f>
        <v>0</v>
      </c>
      <c r="F48" s="359">
        <f>(C48+D48)*2</f>
        <v>0</v>
      </c>
      <c r="G48" s="359"/>
      <c r="H48" s="359"/>
      <c r="I48" s="361">
        <f>F48-H48</f>
        <v>0</v>
      </c>
      <c r="J48" s="230"/>
      <c r="K48" s="359"/>
      <c r="L48" s="359"/>
      <c r="M48" s="362" t="s">
        <v>306</v>
      </c>
      <c r="N48" s="230"/>
      <c r="O48" s="230"/>
      <c r="P48" s="230"/>
      <c r="Q48" s="230"/>
    </row>
    <row r="49" spans="1:20" s="357" customFormat="1" x14ac:dyDescent="0.25">
      <c r="A49" s="356"/>
      <c r="B49" s="363" t="s">
        <v>159</v>
      </c>
      <c r="C49" s="364"/>
      <c r="D49" s="364"/>
      <c r="E49" s="365">
        <f>SUM(E44:E48)</f>
        <v>0</v>
      </c>
      <c r="F49" s="365">
        <f>SUM(F44:F48)</f>
        <v>0</v>
      </c>
      <c r="G49" s="365"/>
      <c r="H49" s="365">
        <f>SUM(H44:H48)</f>
        <v>0</v>
      </c>
      <c r="I49" s="365">
        <f>SUM(I45:I48)</f>
        <v>0</v>
      </c>
      <c r="J49" s="365">
        <f t="shared" ref="J49:O49" si="2">SUM(J44:J48)</f>
        <v>0</v>
      </c>
      <c r="K49" s="365">
        <f t="shared" si="2"/>
        <v>0</v>
      </c>
      <c r="L49" s="365">
        <f t="shared" si="2"/>
        <v>0</v>
      </c>
      <c r="M49" s="365">
        <f t="shared" si="2"/>
        <v>0</v>
      </c>
      <c r="N49" s="365">
        <f t="shared" si="2"/>
        <v>0</v>
      </c>
      <c r="O49" s="365">
        <f t="shared" si="2"/>
        <v>0</v>
      </c>
      <c r="P49" s="365">
        <f>SUM(P44:P48)</f>
        <v>0</v>
      </c>
      <c r="Q49" s="365">
        <f>SUM(Q44:Q48)</f>
        <v>0</v>
      </c>
    </row>
    <row r="50" spans="1:20" s="357" customFormat="1" x14ac:dyDescent="0.25">
      <c r="A50" s="356"/>
      <c r="B50" s="357" t="s">
        <v>163</v>
      </c>
      <c r="E50" s="230">
        <f>Q49</f>
        <v>0</v>
      </c>
      <c r="F50" s="366"/>
      <c r="G50" s="366"/>
      <c r="H50" s="230"/>
      <c r="I50" s="230"/>
      <c r="J50" s="230"/>
      <c r="K50" s="230"/>
      <c r="L50" s="230"/>
      <c r="M50" s="230"/>
      <c r="N50" s="230"/>
      <c r="O50" s="230"/>
    </row>
    <row r="51" spans="1:20" s="357" customFormat="1" x14ac:dyDescent="0.25">
      <c r="A51" s="356"/>
      <c r="B51" s="357" t="s">
        <v>251</v>
      </c>
      <c r="E51" s="365">
        <f>P49</f>
        <v>0</v>
      </c>
      <c r="F51" s="366"/>
      <c r="G51" s="366"/>
      <c r="H51" s="230"/>
      <c r="I51" s="230"/>
      <c r="J51" s="230"/>
      <c r="K51" s="230"/>
      <c r="L51" s="230"/>
      <c r="M51" s="230"/>
      <c r="N51" s="230"/>
      <c r="O51" s="230"/>
    </row>
    <row r="52" spans="1:20" s="357" customFormat="1" x14ac:dyDescent="0.25">
      <c r="A52" s="356"/>
      <c r="B52" s="364"/>
      <c r="C52" s="364"/>
      <c r="D52" s="364"/>
      <c r="E52" s="230"/>
      <c r="F52" s="230"/>
      <c r="G52" s="230"/>
      <c r="H52" s="230"/>
      <c r="I52" s="230"/>
      <c r="J52" s="230"/>
      <c r="K52" s="230"/>
      <c r="L52" s="230"/>
      <c r="M52" s="230"/>
      <c r="N52" s="230"/>
      <c r="O52" s="230"/>
    </row>
    <row r="53" spans="1:20" s="368" customFormat="1" x14ac:dyDescent="0.25">
      <c r="A53" s="367" t="s">
        <v>536</v>
      </c>
      <c r="E53" s="369"/>
      <c r="F53" s="369"/>
      <c r="I53" s="370"/>
      <c r="J53" s="370"/>
      <c r="K53" s="370"/>
      <c r="L53" s="371"/>
      <c r="M53" s="371"/>
      <c r="N53" s="370"/>
      <c r="O53" s="370"/>
      <c r="P53" s="370"/>
    </row>
    <row r="54" spans="1:20" s="368" customFormat="1" ht="26.25" x14ac:dyDescent="0.25">
      <c r="A54" s="367"/>
      <c r="C54" s="370" t="s">
        <v>12</v>
      </c>
      <c r="D54" s="370" t="s">
        <v>13</v>
      </c>
      <c r="E54" s="368" t="s">
        <v>158</v>
      </c>
      <c r="F54" s="368" t="s">
        <v>538</v>
      </c>
      <c r="G54" s="368" t="s">
        <v>539</v>
      </c>
      <c r="H54" s="370" t="s">
        <v>246</v>
      </c>
      <c r="I54" s="370" t="s">
        <v>170</v>
      </c>
      <c r="J54" s="370" t="s">
        <v>92</v>
      </c>
      <c r="K54" s="370" t="s">
        <v>247</v>
      </c>
      <c r="L54" s="370" t="s">
        <v>162</v>
      </c>
      <c r="M54" s="370" t="s">
        <v>91</v>
      </c>
      <c r="N54" s="370" t="s">
        <v>89</v>
      </c>
      <c r="O54" s="370" t="s">
        <v>245</v>
      </c>
      <c r="P54" s="370" t="s">
        <v>308</v>
      </c>
      <c r="Q54" s="372" t="s">
        <v>540</v>
      </c>
      <c r="R54" s="373" t="s">
        <v>172</v>
      </c>
      <c r="S54" s="373" t="s">
        <v>541</v>
      </c>
      <c r="T54" s="373" t="s">
        <v>160</v>
      </c>
    </row>
    <row r="55" spans="1:20" s="368" customFormat="1" x14ac:dyDescent="0.25">
      <c r="A55" s="374"/>
      <c r="C55" s="370"/>
      <c r="D55" s="370"/>
      <c r="E55" s="371"/>
      <c r="F55" s="371"/>
      <c r="G55" s="371"/>
      <c r="H55" s="371"/>
      <c r="I55" s="371"/>
      <c r="J55" s="375"/>
      <c r="K55" s="370"/>
      <c r="L55" s="371"/>
      <c r="M55" s="371"/>
      <c r="N55" s="376"/>
      <c r="O55" s="370"/>
      <c r="P55" s="370"/>
      <c r="Q55" s="370"/>
      <c r="R55" s="370"/>
      <c r="S55" s="370"/>
      <c r="T55" s="370"/>
    </row>
    <row r="56" spans="1:20" s="368" customFormat="1" x14ac:dyDescent="0.25">
      <c r="A56" s="374"/>
      <c r="C56" s="370"/>
      <c r="D56" s="370"/>
      <c r="E56" s="371"/>
      <c r="F56" s="371"/>
      <c r="G56" s="371"/>
      <c r="H56" s="371"/>
      <c r="I56" s="371"/>
      <c r="J56" s="375"/>
      <c r="K56" s="370"/>
      <c r="L56" s="371"/>
      <c r="M56" s="371"/>
      <c r="N56" s="377"/>
      <c r="O56" s="370"/>
      <c r="P56" s="370"/>
      <c r="Q56" s="370"/>
      <c r="R56" s="370"/>
      <c r="S56" s="370"/>
      <c r="T56" s="370"/>
    </row>
    <row r="57" spans="1:20" s="368" customFormat="1" x14ac:dyDescent="0.25">
      <c r="A57" s="374"/>
      <c r="C57" s="370"/>
      <c r="D57" s="370"/>
      <c r="E57" s="378"/>
      <c r="F57" s="378"/>
      <c r="G57" s="378"/>
      <c r="H57" s="371"/>
      <c r="I57" s="371"/>
      <c r="J57" s="375"/>
      <c r="K57" s="370"/>
      <c r="L57" s="371"/>
      <c r="M57" s="371"/>
      <c r="N57" s="377"/>
      <c r="O57" s="370"/>
      <c r="P57" s="370"/>
      <c r="Q57" s="370"/>
      <c r="R57" s="370"/>
      <c r="S57" s="370"/>
      <c r="T57" s="370"/>
    </row>
    <row r="58" spans="1:20" s="368" customFormat="1" x14ac:dyDescent="0.25">
      <c r="A58" s="367"/>
      <c r="B58" s="379" t="s">
        <v>159</v>
      </c>
      <c r="C58" s="380"/>
      <c r="D58" s="380"/>
      <c r="E58" s="381">
        <f>SUM(E53:E57)</f>
        <v>0</v>
      </c>
      <c r="F58" s="381">
        <f>SUM(F53:F57)</f>
        <v>0</v>
      </c>
      <c r="G58" s="381">
        <f>SUM(G55:G57)</f>
        <v>0</v>
      </c>
      <c r="H58" s="381">
        <f>SUM(H55:H57)</f>
        <v>0</v>
      </c>
      <c r="I58" s="381">
        <f>SUM(I55:I57)</f>
        <v>0</v>
      </c>
      <c r="J58" s="381">
        <f>SUM(J54:J57)</f>
        <v>0</v>
      </c>
      <c r="K58" s="381">
        <f>SUM(K54:K57)</f>
        <v>0</v>
      </c>
      <c r="L58" s="381">
        <f>SUM(L54:L57)</f>
        <v>0</v>
      </c>
      <c r="M58" s="381">
        <f>SUM(M54:M57)</f>
        <v>0</v>
      </c>
      <c r="N58" s="381"/>
      <c r="O58" s="381">
        <f t="shared" ref="O58:T58" si="3">SUM(O53:O57)</f>
        <v>0</v>
      </c>
      <c r="P58" s="381">
        <f t="shared" si="3"/>
        <v>0</v>
      </c>
      <c r="Q58" s="381">
        <f t="shared" si="3"/>
        <v>0</v>
      </c>
      <c r="R58" s="381">
        <f t="shared" si="3"/>
        <v>0</v>
      </c>
      <c r="S58" s="381">
        <f t="shared" si="3"/>
        <v>0</v>
      </c>
      <c r="T58" s="381">
        <f t="shared" si="3"/>
        <v>0</v>
      </c>
    </row>
    <row r="59" spans="1:20" s="368" customFormat="1" x14ac:dyDescent="0.25">
      <c r="A59" s="367"/>
      <c r="B59" s="379"/>
      <c r="C59" s="380"/>
      <c r="D59" s="380"/>
      <c r="E59" s="381"/>
      <c r="F59" s="381"/>
      <c r="G59" s="381"/>
      <c r="H59" s="381"/>
      <c r="I59" s="381"/>
      <c r="J59" s="381"/>
      <c r="K59" s="381"/>
      <c r="L59" s="381"/>
      <c r="M59" s="381"/>
      <c r="N59" s="381"/>
      <c r="O59" s="381"/>
      <c r="P59" s="381"/>
      <c r="Q59" s="381"/>
      <c r="R59" s="381"/>
    </row>
    <row r="60" spans="1:20" s="368" customFormat="1" x14ac:dyDescent="0.25">
      <c r="A60" s="367"/>
      <c r="B60" s="380"/>
      <c r="C60" s="380"/>
      <c r="D60" s="380"/>
      <c r="E60" s="370"/>
      <c r="F60" s="370"/>
      <c r="G60" s="370"/>
      <c r="H60" s="370"/>
      <c r="I60" s="370"/>
      <c r="J60" s="370"/>
      <c r="K60" s="370"/>
      <c r="L60" s="370"/>
      <c r="M60" s="370"/>
      <c r="N60" s="370"/>
      <c r="O60" s="370"/>
      <c r="P60" s="370"/>
    </row>
    <row r="61" spans="1:20" s="383" customFormat="1" x14ac:dyDescent="0.25">
      <c r="A61" s="382" t="s">
        <v>544</v>
      </c>
      <c r="E61" s="384"/>
      <c r="H61" s="385"/>
      <c r="I61" s="385"/>
      <c r="J61" s="385"/>
      <c r="K61" s="386"/>
      <c r="L61" s="386"/>
      <c r="M61" s="385"/>
      <c r="N61" s="385"/>
      <c r="O61" s="385"/>
    </row>
    <row r="62" spans="1:20" s="383" customFormat="1" x14ac:dyDescent="0.25">
      <c r="A62" s="382"/>
      <c r="C62" s="385" t="s">
        <v>12</v>
      </c>
      <c r="D62" s="385" t="s">
        <v>13</v>
      </c>
      <c r="E62" s="383" t="s">
        <v>158</v>
      </c>
      <c r="F62" s="385" t="s">
        <v>240</v>
      </c>
      <c r="G62" s="385" t="s">
        <v>545</v>
      </c>
      <c r="H62" s="385" t="s">
        <v>546</v>
      </c>
      <c r="I62" s="385" t="s">
        <v>89</v>
      </c>
      <c r="J62" s="385" t="s">
        <v>245</v>
      </c>
      <c r="K62" s="387" t="s">
        <v>308</v>
      </c>
      <c r="L62" s="387" t="s">
        <v>172</v>
      </c>
      <c r="M62" s="385"/>
      <c r="N62" s="385"/>
      <c r="O62" s="385"/>
      <c r="P62" s="385"/>
      <c r="Q62" s="387"/>
    </row>
    <row r="63" spans="1:20" s="383" customFormat="1" x14ac:dyDescent="0.25">
      <c r="A63" s="388" t="s">
        <v>122</v>
      </c>
      <c r="C63" s="385"/>
      <c r="D63" s="385"/>
      <c r="E63" s="386">
        <f>C63*D63</f>
        <v>0</v>
      </c>
      <c r="F63" s="386">
        <f>C63</f>
        <v>0</v>
      </c>
      <c r="G63" s="386">
        <f>D63*2</f>
        <v>0</v>
      </c>
      <c r="H63" s="386"/>
      <c r="I63" s="386"/>
      <c r="J63" s="385"/>
      <c r="K63" s="385"/>
      <c r="L63" s="385"/>
      <c r="M63" s="389"/>
      <c r="N63" s="385"/>
      <c r="O63" s="385"/>
      <c r="P63" s="385"/>
      <c r="Q63" s="385"/>
    </row>
    <row r="64" spans="1:20" s="383" customFormat="1" x14ac:dyDescent="0.25">
      <c r="A64" s="382"/>
      <c r="B64" s="390" t="s">
        <v>159</v>
      </c>
      <c r="C64" s="391"/>
      <c r="D64" s="391"/>
      <c r="E64" s="392">
        <f t="shared" ref="E64:L64" si="4">SUM(E61:E63)</f>
        <v>0</v>
      </c>
      <c r="F64" s="392">
        <f t="shared" si="4"/>
        <v>0</v>
      </c>
      <c r="G64" s="392">
        <f t="shared" si="4"/>
        <v>0</v>
      </c>
      <c r="H64" s="392">
        <f t="shared" si="4"/>
        <v>0</v>
      </c>
      <c r="I64" s="392">
        <f t="shared" si="4"/>
        <v>0</v>
      </c>
      <c r="J64" s="392">
        <f t="shared" si="4"/>
        <v>0</v>
      </c>
      <c r="K64" s="392">
        <f t="shared" si="4"/>
        <v>0</v>
      </c>
      <c r="L64" s="392">
        <f t="shared" si="4"/>
        <v>0</v>
      </c>
      <c r="M64" s="392"/>
      <c r="N64" s="392"/>
      <c r="O64" s="392"/>
      <c r="P64" s="392"/>
      <c r="Q64" s="392"/>
    </row>
    <row r="65" spans="1:19" s="383" customFormat="1" x14ac:dyDescent="0.25">
      <c r="A65" s="388"/>
      <c r="C65" s="385"/>
      <c r="D65" s="385"/>
      <c r="E65" s="386"/>
      <c r="F65" s="386"/>
      <c r="G65" s="386"/>
      <c r="H65" s="386"/>
      <c r="I65" s="386"/>
      <c r="J65" s="385"/>
      <c r="K65" s="385"/>
      <c r="L65" s="385"/>
      <c r="M65" s="389"/>
      <c r="N65" s="385"/>
      <c r="O65" s="385"/>
      <c r="P65" s="385"/>
      <c r="Q65" s="385"/>
    </row>
    <row r="66" spans="1:19" s="383" customFormat="1" x14ac:dyDescent="0.25">
      <c r="A66" s="382"/>
      <c r="E66" s="385"/>
      <c r="H66" s="385"/>
      <c r="I66" s="385"/>
      <c r="J66" s="385"/>
      <c r="K66" s="385"/>
      <c r="L66" s="385"/>
      <c r="M66" s="385"/>
      <c r="N66" s="385"/>
      <c r="O66" s="385"/>
    </row>
    <row r="67" spans="1:19" s="394" customFormat="1" x14ac:dyDescent="0.25">
      <c r="A67" s="393" t="s">
        <v>550</v>
      </c>
      <c r="E67" s="395"/>
      <c r="H67" s="396"/>
      <c r="I67" s="396"/>
      <c r="J67" s="396"/>
      <c r="K67" s="396"/>
      <c r="L67" s="397"/>
      <c r="M67" s="397"/>
      <c r="N67" s="397"/>
      <c r="O67" s="396"/>
      <c r="P67" s="396"/>
    </row>
    <row r="68" spans="1:19" s="394" customFormat="1" ht="30" x14ac:dyDescent="0.25">
      <c r="A68" s="393"/>
      <c r="C68" s="396" t="s">
        <v>12</v>
      </c>
      <c r="D68" s="396" t="s">
        <v>13</v>
      </c>
      <c r="E68" s="396" t="s">
        <v>670</v>
      </c>
      <c r="F68" s="486" t="s">
        <v>668</v>
      </c>
      <c r="G68" s="488" t="s">
        <v>669</v>
      </c>
      <c r="H68" s="396" t="s">
        <v>240</v>
      </c>
      <c r="I68" s="396" t="s">
        <v>545</v>
      </c>
      <c r="J68" s="396" t="s">
        <v>545</v>
      </c>
      <c r="K68" s="396" t="s">
        <v>674</v>
      </c>
      <c r="L68" s="396" t="s">
        <v>671</v>
      </c>
      <c r="M68" s="396" t="s">
        <v>546</v>
      </c>
      <c r="N68" s="396" t="s">
        <v>89</v>
      </c>
      <c r="O68" s="396" t="s">
        <v>245</v>
      </c>
      <c r="P68" s="398" t="s">
        <v>308</v>
      </c>
      <c r="Q68" s="398" t="s">
        <v>172</v>
      </c>
      <c r="R68" s="399" t="s">
        <v>553</v>
      </c>
      <c r="S68" s="399" t="s">
        <v>656</v>
      </c>
    </row>
    <row r="69" spans="1:19" s="394" customFormat="1" x14ac:dyDescent="0.25">
      <c r="A69" s="393"/>
      <c r="B69" s="394" t="s">
        <v>685</v>
      </c>
      <c r="C69" s="492">
        <v>41.5</v>
      </c>
      <c r="D69" s="492">
        <v>23.41</v>
      </c>
      <c r="E69" s="487">
        <v>7.0000000000000007E-2</v>
      </c>
      <c r="F69" s="491">
        <f>C69*D69</f>
        <v>971.51499999999999</v>
      </c>
      <c r="G69" s="489"/>
      <c r="H69" s="396"/>
      <c r="I69" s="396" t="s">
        <v>688</v>
      </c>
      <c r="J69" s="396" t="s">
        <v>689</v>
      </c>
      <c r="K69" s="396"/>
      <c r="L69" s="396"/>
      <c r="M69" s="396"/>
      <c r="N69" s="396"/>
      <c r="O69" s="396"/>
      <c r="P69" s="398"/>
      <c r="Q69" s="398"/>
      <c r="R69" s="399"/>
      <c r="S69" s="399"/>
    </row>
    <row r="70" spans="1:19" s="394" customFormat="1" x14ac:dyDescent="0.25">
      <c r="A70" s="400" t="s">
        <v>122</v>
      </c>
      <c r="B70" s="394" t="s">
        <v>687</v>
      </c>
      <c r="C70" s="492">
        <v>41.5</v>
      </c>
      <c r="D70" s="492">
        <v>23.41</v>
      </c>
      <c r="E70" s="487">
        <f>165/1195</f>
        <v>0.13807531380753138</v>
      </c>
      <c r="F70" s="491">
        <f>C70*D70-F71</f>
        <v>851.42169999999999</v>
      </c>
      <c r="G70" s="489">
        <f>F70*SQRT(100^2+(E70*100)^2)/100</f>
        <v>859.4994704451891</v>
      </c>
      <c r="H70" s="397">
        <v>31.24</v>
      </c>
      <c r="I70" s="397"/>
      <c r="J70" s="397"/>
      <c r="K70" s="396"/>
      <c r="L70" s="397">
        <f>13.2*4</f>
        <v>52.8</v>
      </c>
      <c r="M70" s="397">
        <f>(C70+D70)*2</f>
        <v>129.82</v>
      </c>
      <c r="N70" s="397" t="s">
        <v>672</v>
      </c>
      <c r="O70" s="396"/>
      <c r="P70" s="396"/>
      <c r="Q70" s="396">
        <f>31-8</f>
        <v>23</v>
      </c>
      <c r="R70" s="396">
        <v>2</v>
      </c>
      <c r="S70" s="491">
        <f>G70</f>
        <v>859.4994704451891</v>
      </c>
    </row>
    <row r="71" spans="1:19" s="394" customFormat="1" x14ac:dyDescent="0.25">
      <c r="A71" s="400" t="s">
        <v>122</v>
      </c>
      <c r="B71" s="394" t="s">
        <v>686</v>
      </c>
      <c r="C71" s="492">
        <v>5.13</v>
      </c>
      <c r="D71" s="492">
        <v>23.41</v>
      </c>
      <c r="E71" s="487">
        <f>165/513</f>
        <v>0.32163742690058478</v>
      </c>
      <c r="F71" s="491">
        <f>((C71*(D71/2)/2)*2)*2</f>
        <v>120.0933</v>
      </c>
      <c r="G71" s="489">
        <f>F71*SQRT(100^2+(E71*100)^2)/100</f>
        <v>126.15231748620396</v>
      </c>
      <c r="H71" s="397"/>
      <c r="I71" s="397"/>
      <c r="J71" s="397"/>
      <c r="K71" s="396"/>
      <c r="L71" s="397"/>
      <c r="M71" s="397"/>
      <c r="N71" s="397" t="s">
        <v>672</v>
      </c>
      <c r="O71" s="396"/>
      <c r="P71" s="396"/>
      <c r="Q71" s="396"/>
      <c r="R71" s="396"/>
      <c r="S71" s="491">
        <f>G71</f>
        <v>126.15231748620396</v>
      </c>
    </row>
    <row r="72" spans="1:19" s="394" customFormat="1" x14ac:dyDescent="0.25">
      <c r="A72" s="400"/>
      <c r="B72" s="394" t="s">
        <v>673</v>
      </c>
      <c r="C72" s="396">
        <f>(39.8+36.64)/2</f>
        <v>38.22</v>
      </c>
      <c r="D72" s="396">
        <v>5.38</v>
      </c>
      <c r="E72" s="487"/>
      <c r="F72" s="491"/>
      <c r="G72" s="489">
        <f>C72*D72</f>
        <v>205.62359999999998</v>
      </c>
      <c r="H72" s="397"/>
      <c r="I72" s="397">
        <v>5.38</v>
      </c>
      <c r="J72" s="397"/>
      <c r="K72" s="396">
        <v>36.64</v>
      </c>
      <c r="L72" s="397">
        <v>5.96</v>
      </c>
      <c r="M72" s="397">
        <v>39.799999999999997</v>
      </c>
      <c r="N72" s="397" t="s">
        <v>672</v>
      </c>
      <c r="O72" s="396"/>
      <c r="P72" s="396">
        <v>1</v>
      </c>
      <c r="Q72" s="396"/>
      <c r="R72" s="396"/>
      <c r="S72" s="491">
        <f>G72</f>
        <v>205.62359999999998</v>
      </c>
    </row>
    <row r="73" spans="1:19" s="394" customFormat="1" x14ac:dyDescent="0.25">
      <c r="A73" s="400"/>
      <c r="C73" s="396">
        <f>(7.75+2.8)/2</f>
        <v>5.2750000000000004</v>
      </c>
      <c r="D73" s="396">
        <v>3.6</v>
      </c>
      <c r="E73" s="396"/>
      <c r="F73" s="396"/>
      <c r="G73" s="489">
        <f>C73*D73</f>
        <v>18.990000000000002</v>
      </c>
      <c r="H73" s="397"/>
      <c r="I73" s="397">
        <v>3.6</v>
      </c>
      <c r="J73" s="397"/>
      <c r="K73" s="396">
        <v>2.8</v>
      </c>
      <c r="L73" s="397" t="s">
        <v>564</v>
      </c>
      <c r="M73" s="397">
        <v>7.75</v>
      </c>
      <c r="N73" s="397" t="s">
        <v>672</v>
      </c>
      <c r="O73" s="396"/>
      <c r="P73" s="396"/>
      <c r="Q73" s="396"/>
      <c r="R73" s="396"/>
      <c r="S73" s="491">
        <f>G73</f>
        <v>18.990000000000002</v>
      </c>
    </row>
    <row r="74" spans="1:19" s="394" customFormat="1" x14ac:dyDescent="0.25">
      <c r="A74" s="400"/>
      <c r="B74" s="394" t="s">
        <v>675</v>
      </c>
      <c r="C74" s="492">
        <v>20.25</v>
      </c>
      <c r="D74" s="396">
        <v>4.3499999999999996</v>
      </c>
      <c r="E74" s="396"/>
      <c r="F74" s="396"/>
      <c r="G74" s="489">
        <f>C74*D74</f>
        <v>88.087499999999991</v>
      </c>
      <c r="H74" s="397"/>
      <c r="I74" s="397"/>
      <c r="J74" s="397">
        <v>20.23</v>
      </c>
      <c r="K74" s="396">
        <f>20.25+3.44</f>
        <v>23.69</v>
      </c>
      <c r="L74" s="397" t="s">
        <v>564</v>
      </c>
      <c r="M74" s="397">
        <v>20.25</v>
      </c>
      <c r="N74" s="397" t="s">
        <v>672</v>
      </c>
      <c r="O74" s="396"/>
      <c r="P74" s="396"/>
      <c r="Q74" s="396"/>
      <c r="R74" s="396"/>
      <c r="S74" s="491">
        <f>G74</f>
        <v>88.087499999999991</v>
      </c>
    </row>
    <row r="75" spans="1:19" s="394" customFormat="1" x14ac:dyDescent="0.25">
      <c r="A75" s="400"/>
      <c r="B75" s="394" t="s">
        <v>677</v>
      </c>
      <c r="C75" s="396">
        <f>5.8+12.2+9.2+19.2</f>
        <v>46.4</v>
      </c>
      <c r="D75" s="396">
        <v>3.6</v>
      </c>
      <c r="E75" s="396"/>
      <c r="F75" s="396"/>
      <c r="G75" s="489">
        <f>C75*D75</f>
        <v>167.04</v>
      </c>
      <c r="H75" s="397">
        <f>3.6+3.6</f>
        <v>7.2</v>
      </c>
      <c r="J75" s="397">
        <f>C75</f>
        <v>46.4</v>
      </c>
      <c r="K75" s="396">
        <f>C75-4.35</f>
        <v>42.05</v>
      </c>
      <c r="L75" s="397"/>
      <c r="M75" s="397">
        <f>3.6+3.6+3.6</f>
        <v>10.8</v>
      </c>
      <c r="N75" s="397" t="s">
        <v>672</v>
      </c>
      <c r="O75" s="396"/>
      <c r="P75" s="396"/>
      <c r="Q75" s="396">
        <v>5</v>
      </c>
      <c r="R75" s="396"/>
      <c r="S75" s="396"/>
    </row>
    <row r="76" spans="1:19" s="394" customFormat="1" x14ac:dyDescent="0.25">
      <c r="A76" s="400" t="s">
        <v>122</v>
      </c>
      <c r="B76" s="394" t="s">
        <v>678</v>
      </c>
      <c r="C76" s="396">
        <v>5.9</v>
      </c>
      <c r="D76" s="396">
        <v>4.3499999999999996</v>
      </c>
      <c r="E76" s="396"/>
      <c r="F76" s="396"/>
      <c r="G76" s="489">
        <f>C76*D76</f>
        <v>25.664999999999999</v>
      </c>
      <c r="H76" s="397"/>
      <c r="I76" s="397"/>
      <c r="J76" s="397">
        <f>5.92+3.6+3.6</f>
        <v>13.12</v>
      </c>
      <c r="K76" s="396">
        <v>5.9</v>
      </c>
      <c r="L76" s="397"/>
      <c r="M76" s="397">
        <v>5.9</v>
      </c>
      <c r="N76" s="397" t="s">
        <v>672</v>
      </c>
      <c r="O76" s="396"/>
      <c r="P76" s="396"/>
      <c r="Q76" s="396"/>
      <c r="R76" s="396"/>
      <c r="S76" s="396"/>
    </row>
    <row r="77" spans="1:19" s="394" customFormat="1" x14ac:dyDescent="0.25">
      <c r="A77" s="393"/>
      <c r="B77" s="401" t="s">
        <v>159</v>
      </c>
      <c r="C77" s="402"/>
      <c r="D77" s="402"/>
      <c r="G77" s="490">
        <f>SUM(G70:G76)</f>
        <v>1491.057887931393</v>
      </c>
      <c r="H77" s="490">
        <f t="shared" ref="H77:S77" si="5">SUM(H70:H76)</f>
        <v>38.44</v>
      </c>
      <c r="I77" s="490">
        <f t="shared" si="5"/>
        <v>8.98</v>
      </c>
      <c r="J77" s="490">
        <f t="shared" si="5"/>
        <v>79.75</v>
      </c>
      <c r="K77" s="490">
        <f t="shared" si="5"/>
        <v>111.08</v>
      </c>
      <c r="L77" s="490">
        <f t="shared" si="5"/>
        <v>58.76</v>
      </c>
      <c r="M77" s="490">
        <f t="shared" si="5"/>
        <v>214.32000000000002</v>
      </c>
      <c r="N77" s="490">
        <f t="shared" si="5"/>
        <v>0</v>
      </c>
      <c r="O77" s="490">
        <f t="shared" si="5"/>
        <v>0</v>
      </c>
      <c r="P77" s="490">
        <f t="shared" si="5"/>
        <v>1</v>
      </c>
      <c r="Q77" s="490">
        <f t="shared" si="5"/>
        <v>28</v>
      </c>
      <c r="R77" s="490">
        <f t="shared" si="5"/>
        <v>2</v>
      </c>
      <c r="S77" s="490">
        <f t="shared" si="5"/>
        <v>1298.3528879313931</v>
      </c>
    </row>
    <row r="78" spans="1:19" s="394" customFormat="1" x14ac:dyDescent="0.25">
      <c r="A78" s="393"/>
      <c r="E78" s="396"/>
      <c r="H78" s="396"/>
      <c r="I78" s="396"/>
      <c r="J78" s="396"/>
      <c r="K78" s="396"/>
      <c r="L78" s="396"/>
      <c r="M78" s="396"/>
      <c r="N78" s="396"/>
      <c r="O78" s="396"/>
      <c r="P78" s="396"/>
    </row>
    <row r="79" spans="1:19" s="262" customFormat="1" x14ac:dyDescent="0.25">
      <c r="A79" s="403" t="s">
        <v>316</v>
      </c>
      <c r="E79" s="404"/>
      <c r="H79" s="228"/>
      <c r="I79" s="228"/>
      <c r="J79" s="228"/>
      <c r="K79" s="405"/>
      <c r="L79" s="405"/>
      <c r="M79" s="228"/>
      <c r="N79" s="228"/>
      <c r="O79" s="228"/>
    </row>
    <row r="80" spans="1:19" s="262" customFormat="1" x14ac:dyDescent="0.25">
      <c r="A80" s="403"/>
      <c r="C80" s="228" t="s">
        <v>12</v>
      </c>
      <c r="D80" s="228" t="s">
        <v>13</v>
      </c>
      <c r="E80" s="262" t="s">
        <v>158</v>
      </c>
      <c r="F80" s="228" t="s">
        <v>246</v>
      </c>
      <c r="G80" s="228" t="s">
        <v>253</v>
      </c>
      <c r="H80" s="228" t="s">
        <v>170</v>
      </c>
      <c r="I80" s="228" t="s">
        <v>92</v>
      </c>
      <c r="J80" s="228" t="s">
        <v>247</v>
      </c>
      <c r="K80" s="228" t="s">
        <v>162</v>
      </c>
      <c r="L80" s="228" t="s">
        <v>91</v>
      </c>
      <c r="M80" s="228" t="s">
        <v>89</v>
      </c>
      <c r="N80" s="228" t="s">
        <v>245</v>
      </c>
      <c r="O80" s="228" t="s">
        <v>172</v>
      </c>
      <c r="P80" s="228" t="s">
        <v>307</v>
      </c>
      <c r="Q80" s="228" t="s">
        <v>308</v>
      </c>
    </row>
    <row r="81" spans="1:19" s="262" customFormat="1" x14ac:dyDescent="0.25">
      <c r="A81" s="406" t="s">
        <v>122</v>
      </c>
      <c r="B81" s="262" t="s">
        <v>676</v>
      </c>
      <c r="C81" s="228">
        <v>41</v>
      </c>
      <c r="D81" s="228">
        <v>5.62</v>
      </c>
      <c r="E81" s="405">
        <f>C81*D81-G81</f>
        <v>230.42000000000002</v>
      </c>
      <c r="F81" s="405">
        <f>(C81+D81)*2</f>
        <v>93.24</v>
      </c>
      <c r="G81" s="405"/>
      <c r="H81" s="405">
        <v>41</v>
      </c>
      <c r="I81" s="260">
        <f>F81-H81</f>
        <v>52.239999999999995</v>
      </c>
      <c r="J81" s="228">
        <v>4</v>
      </c>
      <c r="K81" s="405"/>
      <c r="L81" s="405"/>
      <c r="M81" s="260"/>
      <c r="N81" s="228"/>
      <c r="O81" s="228">
        <v>7</v>
      </c>
      <c r="P81" s="228"/>
      <c r="Q81" s="228"/>
    </row>
    <row r="82" spans="1:19" s="262" customFormat="1" x14ac:dyDescent="0.25">
      <c r="A82" s="406" t="s">
        <v>122</v>
      </c>
      <c r="C82" s="228"/>
      <c r="D82" s="228"/>
      <c r="E82" s="405">
        <f>C82*D82-G82</f>
        <v>0</v>
      </c>
      <c r="F82" s="405">
        <f>(C82+D82)*2</f>
        <v>0</v>
      </c>
      <c r="G82" s="405"/>
      <c r="H82" s="405"/>
      <c r="I82" s="260">
        <f>(C82+D82)*2</f>
        <v>0</v>
      </c>
      <c r="J82" s="228"/>
      <c r="K82" s="405"/>
      <c r="L82" s="405"/>
      <c r="M82" s="407"/>
      <c r="N82" s="228"/>
      <c r="O82" s="228"/>
      <c r="P82" s="228"/>
      <c r="Q82" s="228"/>
    </row>
    <row r="83" spans="1:19" s="262" customFormat="1" x14ac:dyDescent="0.25">
      <c r="A83" s="403"/>
      <c r="B83" s="408" t="s">
        <v>159</v>
      </c>
      <c r="C83" s="409"/>
      <c r="D83" s="409"/>
      <c r="E83" s="290">
        <f>SUM(E79:E82)</f>
        <v>230.42000000000002</v>
      </c>
      <c r="F83" s="290">
        <f>SUM(F79:F82)</f>
        <v>93.24</v>
      </c>
      <c r="G83" s="290">
        <f>SUM(G79:G82)</f>
        <v>0</v>
      </c>
      <c r="H83" s="290">
        <f>SUM(H79:H82)</f>
        <v>41</v>
      </c>
      <c r="I83" s="290">
        <f>SUM(I80:I82)</f>
        <v>52.239999999999995</v>
      </c>
      <c r="J83" s="290">
        <f t="shared" ref="J83:P83" si="6">SUM(J79:J82)</f>
        <v>4</v>
      </c>
      <c r="K83" s="290">
        <f t="shared" si="6"/>
        <v>0</v>
      </c>
      <c r="L83" s="290">
        <f t="shared" si="6"/>
        <v>0</v>
      </c>
      <c r="M83" s="290">
        <f t="shared" si="6"/>
        <v>0</v>
      </c>
      <c r="N83" s="290">
        <f t="shared" si="6"/>
        <v>0</v>
      </c>
      <c r="O83" s="290">
        <f t="shared" si="6"/>
        <v>7</v>
      </c>
      <c r="P83" s="290">
        <f t="shared" si="6"/>
        <v>0</v>
      </c>
      <c r="Q83" s="290">
        <v>2</v>
      </c>
    </row>
    <row r="84" spans="1:19" s="262" customFormat="1" x14ac:dyDescent="0.25">
      <c r="A84" s="403"/>
      <c r="B84" s="262" t="s">
        <v>163</v>
      </c>
      <c r="E84" s="228">
        <f>Q83</f>
        <v>2</v>
      </c>
      <c r="F84" s="227"/>
      <c r="G84" s="227"/>
      <c r="H84" s="228"/>
      <c r="I84" s="228"/>
      <c r="J84" s="228"/>
      <c r="K84" s="228"/>
      <c r="L84" s="228"/>
      <c r="M84" s="228"/>
      <c r="N84" s="228"/>
      <c r="O84" s="228"/>
    </row>
    <row r="85" spans="1:19" s="262" customFormat="1" x14ac:dyDescent="0.25">
      <c r="A85" s="403"/>
      <c r="B85" s="262" t="s">
        <v>251</v>
      </c>
      <c r="E85" s="290">
        <f>P83</f>
        <v>0</v>
      </c>
      <c r="F85" s="227"/>
      <c r="G85" s="227"/>
      <c r="H85" s="228"/>
      <c r="I85" s="228"/>
      <c r="J85" s="228"/>
      <c r="K85" s="228"/>
      <c r="L85" s="228"/>
      <c r="M85" s="228"/>
      <c r="N85" s="228"/>
      <c r="O85" s="228"/>
    </row>
    <row r="86" spans="1:19" s="262" customFormat="1" x14ac:dyDescent="0.25">
      <c r="A86" s="403"/>
      <c r="E86" s="228"/>
      <c r="H86" s="228"/>
      <c r="I86" s="228"/>
      <c r="J86" s="228"/>
      <c r="K86" s="228"/>
      <c r="L86" s="228"/>
      <c r="M86" s="228"/>
      <c r="N86" s="228"/>
      <c r="O86" s="228"/>
    </row>
    <row r="87" spans="1:19" s="368" customFormat="1" x14ac:dyDescent="0.25">
      <c r="A87" s="367" t="s">
        <v>547</v>
      </c>
      <c r="E87" s="369"/>
      <c r="H87" s="370"/>
      <c r="I87" s="370"/>
      <c r="J87" s="370"/>
      <c r="K87" s="371"/>
      <c r="L87" s="371"/>
      <c r="M87" s="370"/>
      <c r="N87" s="370"/>
      <c r="O87" s="370"/>
    </row>
    <row r="88" spans="1:19" s="368" customFormat="1" ht="26.25" x14ac:dyDescent="0.25">
      <c r="A88" s="367"/>
      <c r="C88" s="370" t="s">
        <v>12</v>
      </c>
      <c r="D88" s="370" t="s">
        <v>13</v>
      </c>
      <c r="E88" s="368" t="s">
        <v>158</v>
      </c>
      <c r="F88" s="368" t="s">
        <v>538</v>
      </c>
      <c r="G88" s="368" t="s">
        <v>539</v>
      </c>
      <c r="H88" s="370" t="s">
        <v>246</v>
      </c>
      <c r="I88" s="370" t="s">
        <v>170</v>
      </c>
      <c r="J88" s="370" t="s">
        <v>92</v>
      </c>
      <c r="K88" s="370" t="s">
        <v>247</v>
      </c>
      <c r="L88" s="370" t="s">
        <v>162</v>
      </c>
      <c r="M88" s="370" t="s">
        <v>91</v>
      </c>
      <c r="N88" s="370" t="s">
        <v>89</v>
      </c>
      <c r="O88" s="370" t="s">
        <v>245</v>
      </c>
      <c r="P88" s="370" t="s">
        <v>308</v>
      </c>
      <c r="Q88" s="372" t="s">
        <v>540</v>
      </c>
      <c r="R88" s="373" t="s">
        <v>172</v>
      </c>
      <c r="S88" s="373" t="s">
        <v>541</v>
      </c>
    </row>
    <row r="89" spans="1:19" s="368" customFormat="1" x14ac:dyDescent="0.25">
      <c r="A89" s="374" t="s">
        <v>122</v>
      </c>
      <c r="B89" s="368" t="s">
        <v>537</v>
      </c>
      <c r="C89" s="370"/>
      <c r="D89" s="370"/>
      <c r="E89" s="371">
        <f>C89*D89</f>
        <v>0</v>
      </c>
      <c r="F89" s="371">
        <v>0</v>
      </c>
      <c r="G89" s="371"/>
      <c r="H89" s="371">
        <f>(C89+D89)*2</f>
        <v>0</v>
      </c>
      <c r="I89" s="371"/>
      <c r="J89" s="375">
        <f>H89-I89</f>
        <v>0</v>
      </c>
      <c r="K89" s="370"/>
      <c r="L89" s="371"/>
      <c r="M89" s="371">
        <v>0</v>
      </c>
      <c r="N89" s="376" t="s">
        <v>306</v>
      </c>
      <c r="O89" s="370"/>
      <c r="P89" s="370"/>
      <c r="Q89" s="370"/>
      <c r="R89" s="370"/>
      <c r="S89" s="370"/>
    </row>
    <row r="90" spans="1:19" s="368" customFormat="1" x14ac:dyDescent="0.25">
      <c r="A90" s="374" t="s">
        <v>122</v>
      </c>
      <c r="C90" s="370"/>
      <c r="D90" s="370"/>
      <c r="E90" s="371">
        <f>C90*D90</f>
        <v>0</v>
      </c>
      <c r="F90" s="371">
        <f>D90*E90</f>
        <v>0</v>
      </c>
      <c r="G90" s="371">
        <f>E90*F90</f>
        <v>0</v>
      </c>
      <c r="H90" s="371">
        <f>(C90+D90)*2</f>
        <v>0</v>
      </c>
      <c r="I90" s="371"/>
      <c r="J90" s="375">
        <f>H90-I90</f>
        <v>0</v>
      </c>
      <c r="K90" s="370"/>
      <c r="L90" s="371"/>
      <c r="M90" s="371"/>
      <c r="N90" s="377"/>
      <c r="O90" s="370"/>
      <c r="P90" s="370"/>
      <c r="Q90" s="370"/>
      <c r="R90" s="370"/>
      <c r="S90" s="370"/>
    </row>
    <row r="91" spans="1:19" s="368" customFormat="1" x14ac:dyDescent="0.25">
      <c r="A91" s="374" t="s">
        <v>122</v>
      </c>
      <c r="C91" s="370"/>
      <c r="D91" s="370"/>
      <c r="E91" s="371">
        <f>C91*D91</f>
        <v>0</v>
      </c>
      <c r="F91" s="371">
        <f>D91*E91</f>
        <v>0</v>
      </c>
      <c r="G91" s="371">
        <f>E91*F91</f>
        <v>0</v>
      </c>
      <c r="H91" s="371">
        <f>(C91+D91)*2</f>
        <v>0</v>
      </c>
      <c r="I91" s="371"/>
      <c r="J91" s="375">
        <f>H91-I91</f>
        <v>0</v>
      </c>
      <c r="K91" s="370"/>
      <c r="L91" s="371"/>
      <c r="M91" s="371"/>
      <c r="N91" s="377"/>
      <c r="O91" s="370"/>
      <c r="P91" s="370"/>
      <c r="Q91" s="370"/>
      <c r="R91" s="370"/>
      <c r="S91" s="370"/>
    </row>
    <row r="92" spans="1:19" s="368" customFormat="1" x14ac:dyDescent="0.25">
      <c r="A92" s="367"/>
      <c r="B92" s="379" t="s">
        <v>159</v>
      </c>
      <c r="C92" s="380"/>
      <c r="D92" s="380"/>
      <c r="E92" s="381">
        <f>SUM(E87:E91)</f>
        <v>0</v>
      </c>
      <c r="F92" s="381">
        <f>SUM(F87:F91)</f>
        <v>0</v>
      </c>
      <c r="G92" s="381">
        <f>SUM(G87:G91)</f>
        <v>0</v>
      </c>
      <c r="H92" s="381">
        <f>SUM(G87:G91)</f>
        <v>0</v>
      </c>
      <c r="I92" s="381">
        <f>SUM(I87:I91)</f>
        <v>0</v>
      </c>
      <c r="J92" s="381">
        <f>SUM(J88:J91)</f>
        <v>0</v>
      </c>
      <c r="K92" s="381">
        <f t="shared" ref="K92:O92" si="7">SUM(K87:K91)</f>
        <v>0</v>
      </c>
      <c r="L92" s="381">
        <f t="shared" si="7"/>
        <v>0</v>
      </c>
      <c r="M92" s="381">
        <f t="shared" si="7"/>
        <v>0</v>
      </c>
      <c r="N92" s="381">
        <f t="shared" si="7"/>
        <v>0</v>
      </c>
      <c r="O92" s="381">
        <f t="shared" si="7"/>
        <v>0</v>
      </c>
      <c r="P92" s="381">
        <f>SUM(R87:R87)</f>
        <v>0</v>
      </c>
      <c r="Q92" s="381">
        <f>SUM(Q87:Q91)</f>
        <v>0</v>
      </c>
      <c r="R92" s="381">
        <f>SUM(R87:R91)</f>
        <v>0</v>
      </c>
      <c r="S92" s="381">
        <f>SUM(S87:S91)</f>
        <v>0</v>
      </c>
    </row>
    <row r="93" spans="1:19" s="368" customFormat="1" x14ac:dyDescent="0.25">
      <c r="A93" s="367"/>
      <c r="E93" s="370"/>
      <c r="H93" s="370"/>
      <c r="I93" s="370"/>
      <c r="J93" s="370"/>
      <c r="K93" s="370"/>
      <c r="L93" s="370"/>
      <c r="M93" s="370"/>
      <c r="N93" s="370"/>
      <c r="O93" s="370"/>
    </row>
    <row r="94" spans="1:19" s="50" customFormat="1" x14ac:dyDescent="0.25">
      <c r="A94" s="410" t="s">
        <v>315</v>
      </c>
      <c r="E94" s="51"/>
      <c r="H94" s="52"/>
      <c r="I94" s="52"/>
      <c r="J94" s="52"/>
      <c r="K94" s="411"/>
      <c r="L94" s="411"/>
      <c r="M94" s="52"/>
      <c r="N94" s="52"/>
      <c r="O94" s="52"/>
    </row>
    <row r="95" spans="1:19" s="50" customFormat="1" x14ac:dyDescent="0.25">
      <c r="A95" s="410"/>
      <c r="C95" s="52" t="s">
        <v>12</v>
      </c>
      <c r="D95" s="52" t="s">
        <v>13</v>
      </c>
      <c r="E95" s="50" t="s">
        <v>158</v>
      </c>
      <c r="F95" s="52" t="s">
        <v>246</v>
      </c>
      <c r="G95" s="52" t="s">
        <v>253</v>
      </c>
      <c r="H95" s="52" t="s">
        <v>170</v>
      </c>
      <c r="I95" s="52" t="s">
        <v>92</v>
      </c>
      <c r="J95" s="52" t="s">
        <v>247</v>
      </c>
      <c r="K95" s="52" t="s">
        <v>162</v>
      </c>
      <c r="L95" s="52" t="s">
        <v>91</v>
      </c>
      <c r="M95" s="52" t="s">
        <v>89</v>
      </c>
      <c r="N95" s="52" t="s">
        <v>245</v>
      </c>
      <c r="O95" s="52" t="s">
        <v>172</v>
      </c>
      <c r="P95" s="52" t="s">
        <v>307</v>
      </c>
      <c r="Q95" s="70" t="s">
        <v>308</v>
      </c>
    </row>
    <row r="96" spans="1:19" s="50" customFormat="1" x14ac:dyDescent="0.25">
      <c r="A96" s="412" t="s">
        <v>122</v>
      </c>
      <c r="B96" s="50" t="s">
        <v>304</v>
      </c>
      <c r="C96" s="52"/>
      <c r="D96" s="52"/>
      <c r="E96" s="411">
        <f>C96*D96-G96</f>
        <v>0</v>
      </c>
      <c r="F96" s="411">
        <f>(C96+D96)*2</f>
        <v>0</v>
      </c>
      <c r="G96" s="411"/>
      <c r="H96" s="411"/>
      <c r="I96" s="413">
        <f>F96-H96</f>
        <v>0</v>
      </c>
      <c r="J96" s="52"/>
      <c r="K96" s="411"/>
      <c r="L96" s="411"/>
      <c r="M96" s="414" t="s">
        <v>306</v>
      </c>
      <c r="N96" s="52"/>
      <c r="O96" s="52"/>
      <c r="P96" s="52"/>
      <c r="Q96" s="52"/>
    </row>
    <row r="97" spans="1:17" s="50" customFormat="1" x14ac:dyDescent="0.25">
      <c r="A97" s="412"/>
      <c r="C97" s="52"/>
      <c r="D97" s="52"/>
      <c r="E97" s="411"/>
      <c r="F97" s="411"/>
      <c r="G97" s="411"/>
      <c r="H97" s="411"/>
      <c r="I97" s="413"/>
      <c r="J97" s="52"/>
      <c r="K97" s="411"/>
      <c r="L97" s="411"/>
      <c r="M97" s="414"/>
      <c r="N97" s="52"/>
      <c r="O97" s="52"/>
      <c r="P97" s="52"/>
      <c r="Q97" s="52"/>
    </row>
    <row r="98" spans="1:17" s="50" customFormat="1" x14ac:dyDescent="0.25">
      <c r="A98" s="410"/>
      <c r="B98" s="415" t="s">
        <v>159</v>
      </c>
      <c r="C98" s="416"/>
      <c r="D98" s="416"/>
      <c r="E98" s="417">
        <f>SUM(E94:E97)</f>
        <v>0</v>
      </c>
      <c r="F98" s="417">
        <f>SUM(F94:F97)</f>
        <v>0</v>
      </c>
      <c r="G98" s="417">
        <f>SUM(G94:G97)</f>
        <v>0</v>
      </c>
      <c r="H98" s="417">
        <f>SUM(H94:H97)</f>
        <v>0</v>
      </c>
      <c r="I98" s="417">
        <f>SUM(I95:I97)</f>
        <v>0</v>
      </c>
      <c r="J98" s="417">
        <f t="shared" ref="J98:Q98" si="8">SUM(J94:J97)</f>
        <v>0</v>
      </c>
      <c r="K98" s="417">
        <f t="shared" si="8"/>
        <v>0</v>
      </c>
      <c r="L98" s="417">
        <f t="shared" si="8"/>
        <v>0</v>
      </c>
      <c r="M98" s="417">
        <f t="shared" si="8"/>
        <v>0</v>
      </c>
      <c r="N98" s="417">
        <f t="shared" si="8"/>
        <v>0</v>
      </c>
      <c r="O98" s="417">
        <f t="shared" si="8"/>
        <v>0</v>
      </c>
      <c r="P98" s="417">
        <f t="shared" si="8"/>
        <v>0</v>
      </c>
      <c r="Q98" s="417">
        <f t="shared" si="8"/>
        <v>0</v>
      </c>
    </row>
    <row r="99" spans="1:17" s="50" customFormat="1" x14ac:dyDescent="0.25">
      <c r="A99" s="410"/>
      <c r="B99" s="50" t="s">
        <v>163</v>
      </c>
      <c r="E99" s="52">
        <f>Q98</f>
        <v>0</v>
      </c>
      <c r="F99" s="418"/>
      <c r="G99" s="418"/>
      <c r="H99" s="52"/>
      <c r="I99" s="52"/>
      <c r="J99" s="52"/>
      <c r="K99" s="52"/>
      <c r="L99" s="52"/>
      <c r="M99" s="52"/>
      <c r="N99" s="52"/>
      <c r="O99" s="52"/>
    </row>
    <row r="100" spans="1:17" s="50" customFormat="1" x14ac:dyDescent="0.25">
      <c r="A100" s="410"/>
      <c r="B100" s="50" t="s">
        <v>251</v>
      </c>
      <c r="E100" s="417">
        <f>P98</f>
        <v>0</v>
      </c>
      <c r="F100" s="418"/>
      <c r="G100" s="418"/>
      <c r="H100" s="52"/>
      <c r="I100" s="52"/>
      <c r="J100" s="52"/>
      <c r="K100" s="52"/>
      <c r="L100" s="52"/>
      <c r="M100" s="52"/>
      <c r="N100" s="52"/>
      <c r="O100" s="52"/>
    </row>
    <row r="101" spans="1:17" s="50" customFormat="1" x14ac:dyDescent="0.25">
      <c r="A101" s="410"/>
      <c r="E101" s="419"/>
      <c r="H101" s="52"/>
      <c r="I101" s="52"/>
      <c r="J101" s="52"/>
      <c r="K101" s="52"/>
      <c r="L101" s="52"/>
      <c r="M101" s="52"/>
      <c r="N101" s="52"/>
      <c r="O101" s="52"/>
    </row>
    <row r="102" spans="1:17" s="421" customFormat="1" x14ac:dyDescent="0.25">
      <c r="A102" s="420" t="s">
        <v>551</v>
      </c>
      <c r="E102" s="422"/>
      <c r="H102" s="146"/>
      <c r="I102" s="146"/>
      <c r="J102" s="146"/>
      <c r="K102" s="423"/>
      <c r="L102" s="423"/>
      <c r="M102" s="146"/>
      <c r="N102" s="146"/>
      <c r="O102" s="146"/>
    </row>
    <row r="103" spans="1:17" s="421" customFormat="1" ht="24.75" x14ac:dyDescent="0.25">
      <c r="A103" s="420"/>
      <c r="C103" s="146" t="s">
        <v>12</v>
      </c>
      <c r="D103" s="146" t="s">
        <v>13</v>
      </c>
      <c r="E103" s="421" t="s">
        <v>158</v>
      </c>
      <c r="F103" s="424" t="s">
        <v>552</v>
      </c>
      <c r="G103" s="146" t="s">
        <v>546</v>
      </c>
      <c r="H103" s="146" t="s">
        <v>453</v>
      </c>
      <c r="I103" s="146"/>
      <c r="J103" s="425"/>
      <c r="K103" s="425"/>
      <c r="L103" s="146"/>
      <c r="M103" s="146"/>
      <c r="N103" s="146"/>
      <c r="O103" s="146"/>
      <c r="P103" s="425"/>
    </row>
    <row r="104" spans="1:17" s="421" customFormat="1" x14ac:dyDescent="0.25">
      <c r="A104" s="426" t="s">
        <v>122</v>
      </c>
      <c r="B104" s="421" t="s">
        <v>304</v>
      </c>
      <c r="C104" s="146"/>
      <c r="D104" s="146"/>
      <c r="E104" s="423">
        <f>C104*D104</f>
        <v>0</v>
      </c>
      <c r="F104" s="423">
        <f>(C104+D104)*2</f>
        <v>0</v>
      </c>
      <c r="G104" s="423"/>
      <c r="H104" s="427"/>
      <c r="I104" s="146"/>
      <c r="J104" s="146"/>
      <c r="K104" s="146"/>
      <c r="L104" s="427"/>
      <c r="M104" s="146"/>
      <c r="N104" s="146"/>
      <c r="O104" s="146"/>
      <c r="P104" s="146"/>
    </row>
    <row r="105" spans="1:17" s="421" customFormat="1" x14ac:dyDescent="0.25">
      <c r="A105" s="426" t="s">
        <v>122</v>
      </c>
      <c r="B105" s="421" t="s">
        <v>305</v>
      </c>
      <c r="C105" s="146"/>
      <c r="D105" s="146"/>
      <c r="E105" s="423">
        <f>C105*D105</f>
        <v>0</v>
      </c>
      <c r="F105" s="423">
        <f>(C105+D105)*2</f>
        <v>0</v>
      </c>
      <c r="G105" s="423"/>
      <c r="H105" s="427"/>
      <c r="I105" s="146"/>
      <c r="J105" s="146"/>
      <c r="K105" s="146"/>
      <c r="L105" s="427"/>
      <c r="M105" s="146"/>
      <c r="N105" s="146"/>
      <c r="O105" s="146"/>
      <c r="P105" s="146"/>
    </row>
    <row r="106" spans="1:17" s="421" customFormat="1" x14ac:dyDescent="0.25">
      <c r="A106" s="420"/>
      <c r="B106" s="428" t="s">
        <v>159</v>
      </c>
      <c r="C106" s="429"/>
      <c r="D106" s="429"/>
      <c r="E106" s="430">
        <f>SUM(E102:E105)</f>
        <v>0</v>
      </c>
      <c r="F106" s="430">
        <f>SUM(F102:F105)</f>
        <v>0</v>
      </c>
      <c r="G106" s="430">
        <f>SUM(H102:H105)</f>
        <v>0</v>
      </c>
      <c r="H106" s="430">
        <f>SUM(I102:I105)</f>
        <v>0</v>
      </c>
      <c r="I106" s="430"/>
      <c r="J106" s="430"/>
      <c r="K106" s="430"/>
      <c r="L106" s="430"/>
      <c r="M106" s="430"/>
      <c r="N106" s="430"/>
      <c r="O106" s="430"/>
      <c r="P106" s="430"/>
    </row>
    <row r="107" spans="1:17" s="421" customFormat="1" x14ac:dyDescent="0.25">
      <c r="A107" s="420"/>
      <c r="E107" s="146"/>
      <c r="H107" s="146"/>
      <c r="I107" s="146"/>
      <c r="J107" s="146"/>
      <c r="K107" s="146"/>
      <c r="L107" s="146"/>
      <c r="M107" s="146"/>
      <c r="N107" s="146"/>
      <c r="O107" s="146"/>
    </row>
    <row r="108" spans="1:17" s="432" customFormat="1" x14ac:dyDescent="0.25">
      <c r="A108" s="431"/>
      <c r="F108" s="433"/>
      <c r="G108" s="54"/>
      <c r="H108" s="54"/>
    </row>
    <row r="109" spans="1:17" s="432" customFormat="1" x14ac:dyDescent="0.25">
      <c r="A109" s="431"/>
      <c r="M109" s="54"/>
      <c r="N109" s="54"/>
      <c r="O109" s="54"/>
    </row>
    <row r="110" spans="1:17" s="432" customFormat="1" x14ac:dyDescent="0.25">
      <c r="A110" s="431" t="s">
        <v>377</v>
      </c>
      <c r="B110" s="431" t="s">
        <v>378</v>
      </c>
      <c r="H110" s="434"/>
    </row>
    <row r="111" spans="1:17" s="432" customFormat="1" x14ac:dyDescent="0.25">
      <c r="A111" s="431"/>
      <c r="E111" s="434" t="s">
        <v>379</v>
      </c>
      <c r="F111" s="434" t="s">
        <v>381</v>
      </c>
      <c r="G111" s="434" t="s">
        <v>238</v>
      </c>
      <c r="H111" s="434"/>
    </row>
    <row r="112" spans="1:17" s="432" customFormat="1" x14ac:dyDescent="0.25">
      <c r="A112" s="431"/>
      <c r="B112" s="432" t="s">
        <v>380</v>
      </c>
      <c r="E112" s="435"/>
      <c r="F112" s="436">
        <f>7.12/5.1</f>
        <v>1.3960784313725492</v>
      </c>
      <c r="G112" s="437">
        <f t="shared" ref="G112:G114" si="9">E112*F112</f>
        <v>0</v>
      </c>
      <c r="H112" s="438"/>
    </row>
    <row r="113" spans="1:15" s="432" customFormat="1" x14ac:dyDescent="0.25">
      <c r="A113" s="431"/>
      <c r="B113" s="432" t="s">
        <v>392</v>
      </c>
      <c r="E113" s="435"/>
      <c r="F113" s="436">
        <f>7.12/5.1</f>
        <v>1.3960784313725492</v>
      </c>
      <c r="G113" s="437">
        <f t="shared" si="9"/>
        <v>0</v>
      </c>
      <c r="H113" s="438"/>
    </row>
    <row r="114" spans="1:15" s="432" customFormat="1" x14ac:dyDescent="0.25">
      <c r="A114" s="431"/>
      <c r="B114" s="432" t="s">
        <v>393</v>
      </c>
      <c r="E114" s="435"/>
      <c r="F114" s="436">
        <f>7.12/5.1</f>
        <v>1.3960784313725492</v>
      </c>
      <c r="G114" s="437">
        <f t="shared" si="9"/>
        <v>0</v>
      </c>
      <c r="H114" s="438"/>
    </row>
    <row r="115" spans="1:15" s="432" customFormat="1" ht="17.25" customHeight="1" x14ac:dyDescent="0.25">
      <c r="A115" s="431"/>
      <c r="B115" s="439" t="s">
        <v>159</v>
      </c>
      <c r="C115" s="439"/>
      <c r="D115" s="439"/>
      <c r="E115" s="54"/>
      <c r="F115" s="440"/>
      <c r="G115" s="441">
        <f>SUM(G112:G114)</f>
        <v>0</v>
      </c>
      <c r="H115" s="54"/>
    </row>
    <row r="116" spans="1:15" s="432" customFormat="1" x14ac:dyDescent="0.25">
      <c r="A116" s="431"/>
      <c r="M116" s="54"/>
      <c r="N116" s="54"/>
      <c r="O116" s="54"/>
    </row>
    <row r="117" spans="1:15" s="432" customFormat="1" x14ac:dyDescent="0.25">
      <c r="A117" s="431"/>
      <c r="E117" s="442"/>
      <c r="F117" s="437"/>
      <c r="G117" s="437"/>
      <c r="I117" s="54"/>
      <c r="J117" s="54"/>
      <c r="K117" s="54"/>
      <c r="L117" s="54"/>
    </row>
    <row r="118" spans="1:15" s="47" customFormat="1" x14ac:dyDescent="0.25">
      <c r="A118" s="443" t="s">
        <v>383</v>
      </c>
      <c r="B118" s="47" t="s">
        <v>384</v>
      </c>
      <c r="F118" s="444"/>
      <c r="G118" s="49"/>
      <c r="H118" s="444"/>
      <c r="I118" s="444"/>
      <c r="J118" s="49"/>
      <c r="K118" s="49"/>
      <c r="L118" s="49"/>
    </row>
    <row r="119" spans="1:15" s="47" customFormat="1" x14ac:dyDescent="0.25">
      <c r="A119" s="443"/>
      <c r="E119" s="444"/>
      <c r="F119" s="444"/>
      <c r="G119" s="444" t="s">
        <v>4</v>
      </c>
      <c r="H119" s="444"/>
      <c r="I119" s="444"/>
      <c r="J119" s="49"/>
      <c r="K119" s="49"/>
      <c r="L119" s="49"/>
    </row>
    <row r="120" spans="1:15" s="47" customFormat="1" x14ac:dyDescent="0.25">
      <c r="A120" s="443"/>
      <c r="B120" s="47" t="s">
        <v>382</v>
      </c>
      <c r="E120" s="445"/>
      <c r="F120" s="446"/>
      <c r="G120" s="53"/>
      <c r="H120" s="447"/>
      <c r="I120" s="48"/>
      <c r="J120" s="528"/>
      <c r="K120" s="528"/>
      <c r="L120" s="49"/>
    </row>
    <row r="121" spans="1:15" s="47" customFormat="1" x14ac:dyDescent="0.25">
      <c r="A121" s="443"/>
      <c r="E121" s="445"/>
      <c r="F121" s="446"/>
      <c r="G121" s="53"/>
      <c r="H121" s="447"/>
      <c r="I121" s="48"/>
      <c r="J121" s="528"/>
      <c r="K121" s="528"/>
      <c r="L121" s="49"/>
    </row>
    <row r="122" spans="1:15" s="47" customFormat="1" ht="17.25" customHeight="1" x14ac:dyDescent="0.25">
      <c r="A122" s="443"/>
      <c r="B122" s="448" t="s">
        <v>159</v>
      </c>
      <c r="C122" s="448"/>
      <c r="D122" s="448"/>
      <c r="E122" s="49"/>
      <c r="F122" s="449"/>
      <c r="G122" s="450">
        <f>SUM(G120:G121)</f>
        <v>0</v>
      </c>
      <c r="H122" s="49"/>
      <c r="I122" s="49"/>
      <c r="J122" s="49"/>
      <c r="K122" s="49"/>
      <c r="L122" s="49"/>
    </row>
    <row r="123" spans="1:15" s="47" customFormat="1" x14ac:dyDescent="0.25">
      <c r="A123" s="443"/>
      <c r="I123" s="49"/>
      <c r="J123" s="49"/>
      <c r="K123" s="49"/>
      <c r="L123" s="49"/>
      <c r="M123" s="49"/>
      <c r="N123" s="49"/>
      <c r="O123" s="49"/>
    </row>
    <row r="124" spans="1:15" s="47" customFormat="1" x14ac:dyDescent="0.25">
      <c r="A124" s="443"/>
      <c r="I124" s="49"/>
      <c r="J124" s="49"/>
      <c r="K124" s="49"/>
      <c r="L124" s="49"/>
      <c r="M124" s="49"/>
      <c r="N124" s="49"/>
      <c r="O124" s="49"/>
    </row>
    <row r="125" spans="1:15" s="452" customFormat="1" x14ac:dyDescent="0.25">
      <c r="A125" s="451"/>
      <c r="F125" s="453"/>
      <c r="G125" s="88"/>
      <c r="H125" s="88"/>
    </row>
    <row r="126" spans="1:15" s="452" customFormat="1" x14ac:dyDescent="0.25">
      <c r="A126" s="451" t="s">
        <v>396</v>
      </c>
      <c r="B126" s="451" t="s">
        <v>532</v>
      </c>
      <c r="H126" s="454"/>
    </row>
    <row r="127" spans="1:15" s="452" customFormat="1" x14ac:dyDescent="0.25">
      <c r="A127" s="451"/>
      <c r="E127" s="454" t="s">
        <v>236</v>
      </c>
      <c r="F127" s="454" t="s">
        <v>381</v>
      </c>
      <c r="G127" s="454" t="s">
        <v>238</v>
      </c>
      <c r="H127" s="454"/>
    </row>
    <row r="128" spans="1:15" s="452" customFormat="1" x14ac:dyDescent="0.25">
      <c r="A128" s="451"/>
      <c r="E128" s="455"/>
      <c r="F128" s="456">
        <v>1</v>
      </c>
      <c r="G128" s="457">
        <f t="shared" ref="G128:G130" si="10">E128*F128</f>
        <v>0</v>
      </c>
      <c r="H128" s="458"/>
    </row>
    <row r="129" spans="1:15" s="452" customFormat="1" x14ac:dyDescent="0.25">
      <c r="A129" s="451"/>
      <c r="E129" s="455"/>
      <c r="F129" s="456">
        <v>1</v>
      </c>
      <c r="G129" s="457">
        <f t="shared" si="10"/>
        <v>0</v>
      </c>
      <c r="H129" s="458"/>
    </row>
    <row r="130" spans="1:15" s="452" customFormat="1" x14ac:dyDescent="0.25">
      <c r="A130" s="451"/>
      <c r="E130" s="455"/>
      <c r="F130" s="456">
        <v>1</v>
      </c>
      <c r="G130" s="457">
        <f t="shared" si="10"/>
        <v>0</v>
      </c>
      <c r="H130" s="458"/>
    </row>
    <row r="131" spans="1:15" s="452" customFormat="1" ht="17.25" customHeight="1" x14ac:dyDescent="0.25">
      <c r="A131" s="451"/>
      <c r="B131" s="459" t="s">
        <v>159</v>
      </c>
      <c r="C131" s="459"/>
      <c r="D131" s="459"/>
      <c r="E131" s="88"/>
      <c r="F131" s="460"/>
      <c r="G131" s="461">
        <f>SUM(G128:G130)</f>
        <v>0</v>
      </c>
      <c r="H131" s="88"/>
    </row>
    <row r="132" spans="1:15" s="452" customFormat="1" x14ac:dyDescent="0.25">
      <c r="A132" s="451"/>
      <c r="M132" s="88"/>
      <c r="N132" s="88"/>
      <c r="O132" s="88"/>
    </row>
    <row r="133" spans="1:15" s="452" customFormat="1" x14ac:dyDescent="0.25">
      <c r="A133" s="451"/>
      <c r="B133" s="452" t="s">
        <v>533</v>
      </c>
      <c r="G133" s="88">
        <v>0</v>
      </c>
      <c r="M133" s="88"/>
      <c r="N133" s="88"/>
      <c r="O133" s="88"/>
    </row>
    <row r="134" spans="1:15" s="452" customFormat="1" x14ac:dyDescent="0.25">
      <c r="A134" s="451"/>
      <c r="G134" s="88"/>
      <c r="M134" s="88"/>
      <c r="N134" s="88"/>
      <c r="O134" s="88"/>
    </row>
    <row r="135" spans="1:15" s="452" customFormat="1" x14ac:dyDescent="0.25">
      <c r="A135" s="451"/>
      <c r="B135" s="452" t="s">
        <v>455</v>
      </c>
      <c r="G135" s="88">
        <v>0</v>
      </c>
      <c r="M135" s="88"/>
      <c r="N135" s="88"/>
      <c r="O135" s="88"/>
    </row>
    <row r="136" spans="1:15" s="452" customFormat="1" x14ac:dyDescent="0.25">
      <c r="A136" s="451"/>
      <c r="B136" s="452" t="s">
        <v>456</v>
      </c>
      <c r="G136" s="88">
        <v>0</v>
      </c>
      <c r="M136" s="88"/>
      <c r="N136" s="88"/>
      <c r="O136" s="88"/>
    </row>
    <row r="137" spans="1:15" s="452" customFormat="1" x14ac:dyDescent="0.25">
      <c r="A137" s="451"/>
      <c r="G137" s="88"/>
      <c r="M137" s="88"/>
      <c r="N137" s="88"/>
      <c r="O137" s="88"/>
    </row>
    <row r="138" spans="1:15" s="452" customFormat="1" x14ac:dyDescent="0.25">
      <c r="A138" s="451"/>
      <c r="B138" s="452" t="s">
        <v>452</v>
      </c>
      <c r="G138" s="88">
        <v>0</v>
      </c>
      <c r="I138" s="88"/>
      <c r="J138" s="88"/>
      <c r="K138" s="88"/>
      <c r="L138" s="88"/>
    </row>
    <row r="139" spans="1:15" s="452" customFormat="1" x14ac:dyDescent="0.25">
      <c r="A139" s="451"/>
      <c r="B139" s="452" t="s">
        <v>242</v>
      </c>
      <c r="F139" s="88"/>
      <c r="G139" s="457"/>
      <c r="H139" s="88" t="s">
        <v>105</v>
      </c>
      <c r="I139" s="88"/>
      <c r="J139" s="88"/>
      <c r="K139" s="88"/>
      <c r="L139" s="88"/>
    </row>
    <row r="140" spans="1:15" s="452" customFormat="1" x14ac:dyDescent="0.25">
      <c r="A140" s="451"/>
      <c r="F140" s="88"/>
      <c r="G140" s="462">
        <v>0</v>
      </c>
      <c r="H140" s="88">
        <v>0</v>
      </c>
      <c r="I140" s="454"/>
      <c r="J140" s="88"/>
      <c r="K140" s="88"/>
      <c r="L140" s="88"/>
    </row>
    <row r="141" spans="1:15" s="452" customFormat="1" x14ac:dyDescent="0.25">
      <c r="A141" s="451"/>
      <c r="F141" s="88"/>
      <c r="G141" s="462"/>
      <c r="H141" s="88"/>
      <c r="I141" s="454"/>
      <c r="J141" s="88"/>
      <c r="K141" s="88"/>
      <c r="L141" s="88"/>
    </row>
    <row r="142" spans="1:15" s="452" customFormat="1" x14ac:dyDescent="0.25">
      <c r="A142" s="451"/>
      <c r="B142" s="459"/>
      <c r="C142" s="459"/>
      <c r="D142" s="459"/>
      <c r="F142" s="88" t="s">
        <v>263</v>
      </c>
      <c r="G142" s="463">
        <f>SUM(G140:G141)</f>
        <v>0</v>
      </c>
      <c r="H142" s="464">
        <f>SUM(H140:H141)</f>
        <v>0</v>
      </c>
      <c r="I142" s="88"/>
      <c r="J142" s="465"/>
      <c r="K142" s="465"/>
      <c r="L142" s="88"/>
    </row>
    <row r="143" spans="1:15" s="452" customFormat="1" x14ac:dyDescent="0.25">
      <c r="A143" s="451"/>
      <c r="B143" s="459"/>
      <c r="C143" s="459"/>
      <c r="D143" s="459"/>
      <c r="F143" s="88"/>
      <c r="G143" s="463"/>
      <c r="H143" s="464"/>
      <c r="I143" s="465"/>
      <c r="J143" s="465"/>
      <c r="K143" s="465"/>
      <c r="L143" s="88"/>
    </row>
    <row r="144" spans="1:15" s="452" customFormat="1" x14ac:dyDescent="0.25">
      <c r="A144" s="451"/>
      <c r="B144" s="459"/>
      <c r="C144" s="459"/>
      <c r="D144" s="459"/>
      <c r="F144" s="459" t="s">
        <v>534</v>
      </c>
      <c r="G144" s="466">
        <f>G142-G145</f>
        <v>0</v>
      </c>
      <c r="H144" s="464"/>
      <c r="I144" s="465"/>
      <c r="J144" s="465"/>
      <c r="K144" s="465"/>
      <c r="L144" s="88"/>
    </row>
    <row r="145" spans="1:12" s="452" customFormat="1" x14ac:dyDescent="0.25">
      <c r="A145" s="451"/>
      <c r="C145" s="459"/>
      <c r="D145" s="459"/>
      <c r="F145" s="459" t="s">
        <v>245</v>
      </c>
      <c r="G145" s="467">
        <f>+H142</f>
        <v>0</v>
      </c>
      <c r="H145" s="88"/>
      <c r="I145" s="465"/>
      <c r="J145" s="465"/>
      <c r="K145" s="465"/>
      <c r="L145" s="88"/>
    </row>
    <row r="146" spans="1:12" s="452" customFormat="1" x14ac:dyDescent="0.25">
      <c r="A146" s="451"/>
      <c r="B146" s="452" t="s">
        <v>535</v>
      </c>
      <c r="E146" s="454"/>
      <c r="F146" s="454"/>
      <c r="G146" s="88">
        <v>0</v>
      </c>
      <c r="I146" s="88"/>
      <c r="J146" s="88"/>
      <c r="K146" s="88"/>
      <c r="L146" s="88"/>
    </row>
    <row r="147" spans="1:12" s="452" customFormat="1" x14ac:dyDescent="0.25">
      <c r="A147" s="451"/>
      <c r="B147" s="452" t="s">
        <v>454</v>
      </c>
      <c r="E147" s="468"/>
      <c r="F147" s="457"/>
      <c r="G147" s="88">
        <v>0</v>
      </c>
      <c r="I147" s="88"/>
      <c r="J147" s="88"/>
      <c r="K147" s="88"/>
      <c r="L147" s="88"/>
    </row>
    <row r="148" spans="1:12" s="452" customFormat="1" x14ac:dyDescent="0.25">
      <c r="A148" s="451"/>
      <c r="E148" s="468"/>
      <c r="F148" s="457"/>
      <c r="G148" s="88"/>
      <c r="I148" s="88"/>
      <c r="J148" s="88"/>
      <c r="K148" s="88"/>
      <c r="L148" s="88"/>
    </row>
    <row r="149" spans="1:12" s="452" customFormat="1" x14ac:dyDescent="0.25">
      <c r="A149" s="451"/>
      <c r="B149" s="452" t="s">
        <v>172</v>
      </c>
      <c r="E149" s="468"/>
      <c r="F149" s="457"/>
      <c r="G149" s="88">
        <v>0</v>
      </c>
      <c r="I149" s="88"/>
      <c r="J149" s="88"/>
      <c r="K149" s="88"/>
      <c r="L149" s="88"/>
    </row>
    <row r="150" spans="1:12" s="452" customFormat="1" x14ac:dyDescent="0.25">
      <c r="A150" s="451"/>
      <c r="E150" s="468"/>
      <c r="F150" s="457"/>
      <c r="G150" s="457"/>
      <c r="I150" s="88"/>
      <c r="J150" s="88"/>
      <c r="K150" s="88"/>
      <c r="L150" s="88"/>
    </row>
  </sheetData>
  <mergeCells count="4">
    <mergeCell ref="J3:J4"/>
    <mergeCell ref="K3:K4"/>
    <mergeCell ref="J120:J121"/>
    <mergeCell ref="K120:K12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Feuil1</vt:lpstr>
      <vt:lpstr>Surf </vt:lpstr>
      <vt:lpstr>Estim SO Bat </vt:lpstr>
      <vt:lpstr>Facades</vt:lpstr>
      <vt:lpstr>Toitures</vt:lpstr>
      <vt:lpstr>'Estim SO Bat 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 STOQUERT</dc:creator>
  <cp:lastModifiedBy>Leonard FUCHS</cp:lastModifiedBy>
  <cp:lastPrinted>2023-05-12T06:41:16Z</cp:lastPrinted>
  <dcterms:created xsi:type="dcterms:W3CDTF">2019-04-05T20:48:57Z</dcterms:created>
  <dcterms:modified xsi:type="dcterms:W3CDTF">2026-02-26T10:56:26Z</dcterms:modified>
</cp:coreProperties>
</file>