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6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9289AAFC-92EB-4C2B-9674-3149F3EB40DF}" xr6:coauthVersionLast="47" xr6:coauthVersionMax="47" xr10:uidLastSave="{00000000-0000-0000-0000-000000000000}"/>
  <bookViews>
    <workbookView xWindow="26025" yWindow="6195" windowWidth="26025" windowHeight="19425" xr2:uid="{00000000-000D-0000-FFFF-FFFF00000000}"/>
  </bookViews>
  <sheets>
    <sheet name="Calculs" sheetId="7" r:id="rId1"/>
    <sheet name="Précompte normal" sheetId="16" r:id="rId2"/>
    <sheet name="Précompte pécule" sheetId="14" r:id="rId3"/>
    <sheet name="Précompte prime fin année" sheetId="15" r:id="rId4"/>
    <sheet name="Nouvelle échelle barémique" sheetId="9" r:id="rId5"/>
    <sheet name="Indexation" sheetId="13" state="hidden" r:id="rId6"/>
    <sheet name="Feuil1" sheetId="11" state="hidden" r:id="rId7"/>
    <sheet name="Feuil2" sheetId="12" state="hidden" r:id="rId8"/>
    <sheet name="prime ops" sheetId="2" state="hidden" r:id="rId9"/>
    <sheet name="Simulation" sheetId="3" state="hidden" r:id="rId10"/>
    <sheet name="Barème caporaux" sheetId="5" state="hidden" r:id="rId1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4" i="7" l="1"/>
  <c r="P5" i="7"/>
  <c r="O4" i="7"/>
  <c r="O5" i="7"/>
  <c r="C4" i="7"/>
  <c r="E4" i="7" s="1"/>
  <c r="M4" i="7" s="1"/>
  <c r="I4" i="7"/>
  <c r="C5" i="7"/>
  <c r="E5" i="7" s="1"/>
  <c r="M5" i="7" s="1"/>
  <c r="D5" i="7"/>
  <c r="I5" i="7" s="1"/>
  <c r="L9" i="7"/>
  <c r="F5" i="7" l="1"/>
  <c r="G5" i="7"/>
  <c r="K5" i="7"/>
  <c r="H5" i="7"/>
  <c r="J5" i="7" s="1"/>
  <c r="G4" i="7"/>
  <c r="K4" i="7"/>
  <c r="H4" i="7"/>
  <c r="F4" i="7"/>
  <c r="M3" i="11"/>
  <c r="L3" i="11"/>
  <c r="K3" i="11"/>
  <c r="J3" i="11"/>
  <c r="I3" i="11"/>
  <c r="H3" i="11"/>
  <c r="G3" i="11"/>
  <c r="F3" i="11"/>
  <c r="E3" i="11"/>
  <c r="D3" i="11"/>
  <c r="C3" i="11"/>
  <c r="B3" i="11"/>
  <c r="M2" i="11"/>
  <c r="L2" i="11"/>
  <c r="K2" i="11"/>
  <c r="J2" i="11"/>
  <c r="I2" i="11"/>
  <c r="H2" i="11"/>
  <c r="G2" i="11"/>
  <c r="F2" i="11"/>
  <c r="E2" i="11"/>
  <c r="D2" i="11"/>
  <c r="C2" i="11"/>
  <c r="B2" i="11"/>
  <c r="N2" i="11" l="1"/>
  <c r="L5" i="7"/>
  <c r="N5" i="7" s="1"/>
  <c r="N3" i="11"/>
  <c r="N4" i="11" s="1"/>
  <c r="L4" i="7"/>
  <c r="N4" i="7" s="1"/>
  <c r="J4" i="7"/>
  <c r="R4" i="7"/>
  <c r="S4" i="7" s="1"/>
  <c r="T4" i="7" s="1"/>
  <c r="V4" i="7"/>
  <c r="U4" i="7"/>
  <c r="R5" i="7"/>
  <c r="S5" i="7" s="1"/>
  <c r="T5" i="7" s="1"/>
  <c r="V5" i="7"/>
  <c r="C3" i="12"/>
  <c r="B4" i="12"/>
  <c r="B5" i="12"/>
  <c r="C6" i="12"/>
  <c r="C13" i="12" s="1"/>
  <c r="B6" i="12"/>
  <c r="B13" i="12" s="1"/>
  <c r="C3" i="13"/>
  <c r="C4" i="13" s="1"/>
  <c r="C5" i="13" s="1"/>
  <c r="C6" i="13" s="1"/>
  <c r="C7" i="13" s="1"/>
  <c r="C8" i="13" s="1"/>
  <c r="C9" i="13" s="1"/>
  <c r="C10" i="13" s="1"/>
  <c r="C11" i="13" s="1"/>
  <c r="C12" i="13" s="1"/>
  <c r="C13" i="13" s="1"/>
  <c r="C14" i="13" s="1"/>
  <c r="C15" i="13" s="1"/>
  <c r="C16" i="13" s="1"/>
  <c r="C17" i="13" s="1"/>
  <c r="C18" i="13" s="1"/>
  <c r="C19" i="13" s="1"/>
  <c r="C20" i="13" s="1"/>
  <c r="C21" i="13" s="1"/>
  <c r="C22" i="13" s="1"/>
  <c r="C23" i="13" s="1"/>
  <c r="C24" i="13" s="1"/>
  <c r="C25" i="13" s="1"/>
  <c r="C26" i="13" s="1"/>
  <c r="C27" i="13" s="1"/>
  <c r="C28" i="13" s="1"/>
  <c r="C29" i="13" s="1"/>
  <c r="C30" i="13" s="1"/>
  <c r="C31" i="13" s="1"/>
  <c r="E12" i="3"/>
  <c r="K12" i="3" s="1"/>
  <c r="G12" i="3"/>
  <c r="H12" i="3"/>
  <c r="E11" i="3"/>
  <c r="K11" i="3" s="1"/>
  <c r="G11" i="3"/>
  <c r="H11" i="3"/>
  <c r="E77" i="3"/>
  <c r="F77" i="3" s="1"/>
  <c r="G77" i="3" s="1"/>
  <c r="H77" i="3" s="1"/>
  <c r="I77" i="3" s="1"/>
  <c r="I30" i="3"/>
  <c r="J30" i="3" s="1"/>
  <c r="L30" i="3" s="1"/>
  <c r="M30" i="3" s="1"/>
  <c r="M78" i="3"/>
  <c r="L78" i="3"/>
  <c r="E78" i="3"/>
  <c r="F78" i="3"/>
  <c r="G78" i="3" s="1"/>
  <c r="H78" i="3" s="1"/>
  <c r="I78" i="3" s="1"/>
  <c r="I54" i="3"/>
  <c r="J54" i="3" s="1"/>
  <c r="L54" i="3" s="1"/>
  <c r="M54" i="3" s="1"/>
  <c r="E20" i="3"/>
  <c r="K20" i="3" s="1"/>
  <c r="G20" i="3"/>
  <c r="H20" i="3"/>
  <c r="E19" i="3"/>
  <c r="G19" i="3"/>
  <c r="H19" i="3"/>
  <c r="K19" i="3"/>
  <c r="M77" i="3"/>
  <c r="L77" i="3"/>
  <c r="M76" i="3"/>
  <c r="L76" i="3"/>
  <c r="E10" i="3"/>
  <c r="K10" i="3" s="1"/>
  <c r="G10" i="3"/>
  <c r="H10" i="3"/>
  <c r="E9" i="3"/>
  <c r="K9" i="3" s="1"/>
  <c r="G9" i="3"/>
  <c r="H9" i="3"/>
  <c r="E76" i="3"/>
  <c r="F76" i="3" s="1"/>
  <c r="G76" i="3" s="1"/>
  <c r="H76" i="3" s="1"/>
  <c r="I76" i="3" s="1"/>
  <c r="I55" i="3"/>
  <c r="J55" i="3" s="1"/>
  <c r="L55" i="3" s="1"/>
  <c r="M55" i="3" s="1"/>
  <c r="M75" i="3"/>
  <c r="L75" i="3"/>
  <c r="E6" i="3"/>
  <c r="F6" i="3" s="1"/>
  <c r="G6" i="3"/>
  <c r="H6" i="3"/>
  <c r="E5" i="3"/>
  <c r="K5" i="3" s="1"/>
  <c r="G5" i="3"/>
  <c r="H5" i="3"/>
  <c r="E75" i="3"/>
  <c r="F75" i="3"/>
  <c r="G75" i="3" s="1"/>
  <c r="H75" i="3" s="1"/>
  <c r="I75" i="3" s="1"/>
  <c r="I28" i="3"/>
  <c r="J28" i="3"/>
  <c r="L28" i="3" s="1"/>
  <c r="M28" i="3" s="1"/>
  <c r="M73" i="3"/>
  <c r="L73" i="3"/>
  <c r="E8" i="3"/>
  <c r="F8" i="3" s="1"/>
  <c r="G8" i="3"/>
  <c r="H8" i="3"/>
  <c r="E17" i="3"/>
  <c r="K17" i="3" s="1"/>
  <c r="G17" i="3"/>
  <c r="H17" i="3"/>
  <c r="E73" i="3"/>
  <c r="F73" i="3" s="1"/>
  <c r="G73" i="3" s="1"/>
  <c r="H73" i="3" s="1"/>
  <c r="I73" i="3" s="1"/>
  <c r="I36" i="3"/>
  <c r="J36" i="3"/>
  <c r="L36" i="3"/>
  <c r="M36" i="3" s="1"/>
  <c r="M72" i="3"/>
  <c r="L72" i="3"/>
  <c r="E7" i="3"/>
  <c r="F7" i="3" s="1"/>
  <c r="G7" i="3"/>
  <c r="H7" i="3"/>
  <c r="K7" i="3"/>
  <c r="E14" i="3"/>
  <c r="K14" i="3" s="1"/>
  <c r="K72" i="3" s="1"/>
  <c r="G14" i="3"/>
  <c r="H14" i="3"/>
  <c r="E72" i="3"/>
  <c r="F72" i="3" s="1"/>
  <c r="G72" i="3" s="1"/>
  <c r="H72" i="3" s="1"/>
  <c r="I72" i="3" s="1"/>
  <c r="J72" i="3" s="1"/>
  <c r="I33" i="3"/>
  <c r="J33" i="3" s="1"/>
  <c r="L33" i="3" s="1"/>
  <c r="M33" i="3" s="1"/>
  <c r="E68" i="3"/>
  <c r="F68" i="3"/>
  <c r="G68" i="3"/>
  <c r="H68" i="3"/>
  <c r="I68" i="3"/>
  <c r="J68" i="3" s="1"/>
  <c r="M64" i="3"/>
  <c r="L64" i="3"/>
  <c r="E64" i="3"/>
  <c r="F64" i="3"/>
  <c r="G64" i="3" s="1"/>
  <c r="H64" i="3" s="1"/>
  <c r="I64" i="3" s="1"/>
  <c r="J64" i="3" s="1"/>
  <c r="M63" i="3"/>
  <c r="L63" i="3"/>
  <c r="E63" i="3"/>
  <c r="F63" i="3" s="1"/>
  <c r="G63" i="3" s="1"/>
  <c r="H63" i="3" s="1"/>
  <c r="I63" i="3" s="1"/>
  <c r="J63" i="3" s="1"/>
  <c r="M62" i="3"/>
  <c r="L62" i="3"/>
  <c r="E62" i="3"/>
  <c r="F62" i="3"/>
  <c r="G62" i="3"/>
  <c r="H62" i="3"/>
  <c r="I62" i="3"/>
  <c r="J62" i="3" s="1"/>
  <c r="I53" i="3"/>
  <c r="J53" i="3" s="1"/>
  <c r="L53" i="3" s="1"/>
  <c r="I52" i="3"/>
  <c r="J52" i="3" s="1"/>
  <c r="L52" i="3" s="1"/>
  <c r="I51" i="3"/>
  <c r="J51" i="3" s="1"/>
  <c r="L51" i="3" s="1"/>
  <c r="I50" i="3"/>
  <c r="J50" i="3"/>
  <c r="L50" i="3"/>
  <c r="I48" i="3"/>
  <c r="J48" i="3"/>
  <c r="L48" i="3"/>
  <c r="M48" i="3"/>
  <c r="I47" i="3"/>
  <c r="J47" i="3"/>
  <c r="L47" i="3"/>
  <c r="M47" i="3" s="1"/>
  <c r="I46" i="3"/>
  <c r="J46" i="3" s="1"/>
  <c r="L46" i="3" s="1"/>
  <c r="M46" i="3" s="1"/>
  <c r="I45" i="3"/>
  <c r="J45" i="3" s="1"/>
  <c r="L45" i="3" s="1"/>
  <c r="M45" i="3" s="1"/>
  <c r="I44" i="3"/>
  <c r="J44" i="3" s="1"/>
  <c r="L44" i="3" s="1"/>
  <c r="M44" i="3" s="1"/>
  <c r="I43" i="3"/>
  <c r="J43" i="3"/>
  <c r="L43" i="3"/>
  <c r="M43" i="3"/>
  <c r="I42" i="3"/>
  <c r="J42" i="3"/>
  <c r="L42" i="3"/>
  <c r="M42" i="3" s="1"/>
  <c r="I41" i="3"/>
  <c r="J41" i="3" s="1"/>
  <c r="L41" i="3" s="1"/>
  <c r="M41" i="3" s="1"/>
  <c r="I40" i="3"/>
  <c r="J40" i="3" s="1"/>
  <c r="L40" i="3" s="1"/>
  <c r="M40" i="3" s="1"/>
  <c r="I39" i="3"/>
  <c r="J39" i="3" s="1"/>
  <c r="L39" i="3" s="1"/>
  <c r="M39" i="3" s="1"/>
  <c r="I38" i="3"/>
  <c r="J38" i="3"/>
  <c r="L38" i="3"/>
  <c r="M38" i="3"/>
  <c r="I37" i="3"/>
  <c r="J37" i="3"/>
  <c r="L37" i="3"/>
  <c r="M37" i="3" s="1"/>
  <c r="I35" i="3"/>
  <c r="J35" i="3" s="1"/>
  <c r="L35" i="3" s="1"/>
  <c r="M35" i="3" s="1"/>
  <c r="I34" i="3"/>
  <c r="J34" i="3" s="1"/>
  <c r="L34" i="3" s="1"/>
  <c r="M34" i="3" s="1"/>
  <c r="B33" i="3"/>
  <c r="I32" i="3"/>
  <c r="J32" i="3"/>
  <c r="L32" i="3"/>
  <c r="M32" i="3" s="1"/>
  <c r="B32" i="3"/>
  <c r="I29" i="3"/>
  <c r="J29" i="3"/>
  <c r="L29" i="3"/>
  <c r="I27" i="3"/>
  <c r="J27" i="3"/>
  <c r="L27" i="3" s="1"/>
  <c r="I26" i="3"/>
  <c r="J26" i="3" s="1"/>
  <c r="L26" i="3" s="1"/>
  <c r="E18" i="3"/>
  <c r="G18" i="3"/>
  <c r="H18" i="3"/>
  <c r="K18" i="3"/>
  <c r="E16" i="3"/>
  <c r="G16" i="3"/>
  <c r="H16" i="3"/>
  <c r="K16" i="3"/>
  <c r="F16" i="3"/>
  <c r="E15" i="3"/>
  <c r="G15" i="3"/>
  <c r="H15" i="3"/>
  <c r="K15" i="3"/>
  <c r="F15" i="3"/>
  <c r="F14" i="3"/>
  <c r="E13" i="3"/>
  <c r="K13" i="3" s="1"/>
  <c r="G13" i="3"/>
  <c r="H13" i="3"/>
  <c r="E27" i="2"/>
  <c r="F27" i="2" s="1"/>
  <c r="G27" i="2" s="1"/>
  <c r="H27" i="2" s="1"/>
  <c r="I27" i="2" s="1"/>
  <c r="J27" i="2" s="1"/>
  <c r="H22" i="2"/>
  <c r="G22" i="2"/>
  <c r="K22" i="2" s="1"/>
  <c r="E22" i="2"/>
  <c r="F22" i="2"/>
  <c r="H21" i="2"/>
  <c r="E21" i="2"/>
  <c r="K21" i="2" s="1"/>
  <c r="G21" i="2"/>
  <c r="H20" i="2"/>
  <c r="K20" i="2" s="1"/>
  <c r="E20" i="2"/>
  <c r="G20" i="2"/>
  <c r="F20" i="2"/>
  <c r="H19" i="2"/>
  <c r="G19" i="2"/>
  <c r="E19" i="2"/>
  <c r="F19" i="2"/>
  <c r="K19" i="2"/>
  <c r="H18" i="2"/>
  <c r="G18" i="2"/>
  <c r="E18" i="2"/>
  <c r="K18" i="2" s="1"/>
  <c r="H17" i="2"/>
  <c r="G17" i="2"/>
  <c r="E17" i="2"/>
  <c r="F17" i="2" s="1"/>
  <c r="H16" i="2"/>
  <c r="G16" i="2"/>
  <c r="E16" i="2"/>
  <c r="F16" i="2" s="1"/>
  <c r="H15" i="2"/>
  <c r="G15" i="2"/>
  <c r="E15" i="2"/>
  <c r="F15" i="2" s="1"/>
  <c r="K15" i="2"/>
  <c r="H14" i="2"/>
  <c r="G14" i="2"/>
  <c r="E14" i="2"/>
  <c r="F14" i="2"/>
  <c r="H13" i="2"/>
  <c r="G13" i="2"/>
  <c r="K13" i="2" s="1"/>
  <c r="E13" i="2"/>
  <c r="F13" i="2"/>
  <c r="H12" i="2"/>
  <c r="G12" i="2"/>
  <c r="E12" i="2"/>
  <c r="F12" i="2"/>
  <c r="H11" i="2"/>
  <c r="G11" i="2"/>
  <c r="K11" i="2" s="1"/>
  <c r="E11" i="2"/>
  <c r="F11" i="2"/>
  <c r="H10" i="2"/>
  <c r="G10" i="2"/>
  <c r="E10" i="2"/>
  <c r="K10" i="2" s="1"/>
  <c r="F10" i="2"/>
  <c r="H9" i="2"/>
  <c r="G9" i="2"/>
  <c r="E9" i="2"/>
  <c r="K9" i="2" s="1"/>
  <c r="F9" i="2"/>
  <c r="H8" i="2"/>
  <c r="G8" i="2"/>
  <c r="E8" i="2"/>
  <c r="F8" i="2" s="1"/>
  <c r="H7" i="2"/>
  <c r="G7" i="2"/>
  <c r="E7" i="2"/>
  <c r="K7" i="2" s="1"/>
  <c r="H6" i="2"/>
  <c r="G6" i="2"/>
  <c r="E6" i="2"/>
  <c r="F6" i="2" s="1"/>
  <c r="K6" i="2"/>
  <c r="F18" i="3"/>
  <c r="F20" i="3"/>
  <c r="K14" i="2"/>
  <c r="K12" i="2"/>
  <c r="F5" i="3"/>
  <c r="F19" i="3"/>
  <c r="J75" i="3" l="1"/>
  <c r="K77" i="3"/>
  <c r="J73" i="3"/>
  <c r="J78" i="3"/>
  <c r="K78" i="3"/>
  <c r="J76" i="3"/>
  <c r="J77" i="3"/>
  <c r="K76" i="3"/>
  <c r="K6" i="3"/>
  <c r="K75" i="3" s="1"/>
  <c r="F18" i="2"/>
  <c r="K8" i="3"/>
  <c r="K73" i="3" s="1"/>
  <c r="K16" i="2"/>
  <c r="F7" i="2"/>
  <c r="K8" i="2"/>
  <c r="F9" i="3"/>
  <c r="F17" i="3"/>
  <c r="F10" i="3"/>
  <c r="F21" i="2"/>
  <c r="F11" i="3"/>
  <c r="K17" i="2"/>
  <c r="F12" i="3"/>
  <c r="F13" i="3"/>
  <c r="U5" i="7"/>
  <c r="D13" i="7"/>
  <c r="K18" i="7"/>
  <c r="D14" i="7"/>
  <c r="L15" i="7" l="1"/>
  <c r="G7" i="7" l="1"/>
  <c r="G8" i="7" s="1"/>
  <c r="G9" i="7" s="1"/>
  <c r="G10" i="7" l="1"/>
</calcChain>
</file>

<file path=xl/sharedStrings.xml><?xml version="1.0" encoding="utf-8"?>
<sst xmlns="http://schemas.openxmlformats.org/spreadsheetml/2006/main" count="543" uniqueCount="278">
  <si>
    <t>Barème</t>
  </si>
  <si>
    <t>Index</t>
  </si>
  <si>
    <t>Total</t>
  </si>
  <si>
    <t>Tarif unitaire</t>
  </si>
  <si>
    <t>Echelle</t>
  </si>
  <si>
    <t>D252</t>
  </si>
  <si>
    <t>Anc.pécu</t>
  </si>
  <si>
    <t>Système actuel ( salaire de base )</t>
  </si>
  <si>
    <t>( Prime de garde )</t>
  </si>
  <si>
    <t>prime danger</t>
  </si>
  <si>
    <t>FFT Garde</t>
  </si>
  <si>
    <t>index</t>
  </si>
  <si>
    <t>moy.garde mens</t>
  </si>
  <si>
    <t>équiv.tp</t>
  </si>
  <si>
    <t>prime 5,58</t>
  </si>
  <si>
    <t>prime garde</t>
  </si>
  <si>
    <t>par garde</t>
  </si>
  <si>
    <t>C151</t>
  </si>
  <si>
    <t>D153/D251</t>
  </si>
  <si>
    <t>langue</t>
  </si>
  <si>
    <t>67 Gardes</t>
  </si>
  <si>
    <t>Pécule vacance</t>
  </si>
  <si>
    <t>Fin année</t>
  </si>
  <si>
    <t>Danger</t>
  </si>
  <si>
    <t>Tot annuel</t>
  </si>
  <si>
    <t>bareme</t>
  </si>
  <si>
    <t>tot</t>
  </si>
  <si>
    <t>unitaire</t>
  </si>
  <si>
    <t>majoré de 38%</t>
  </si>
  <si>
    <t>garde 24h</t>
  </si>
  <si>
    <t>67 g/ annuel</t>
  </si>
  <si>
    <t>diff actuel</t>
  </si>
  <si>
    <t>Proposition direction 07/10/19</t>
  </si>
  <si>
    <r>
      <t>unitaire (</t>
    </r>
    <r>
      <rPr>
        <sz val="11"/>
        <color rgb="FFFF0000"/>
        <rFont val="Calibri"/>
        <family val="2"/>
        <scheme val="minor"/>
      </rPr>
      <t>1850h</t>
    </r>
    <r>
      <rPr>
        <sz val="11"/>
        <color theme="1"/>
        <rFont val="Calibri"/>
        <family val="2"/>
        <scheme val="minor"/>
      </rPr>
      <t>)</t>
    </r>
  </si>
  <si>
    <t>Proposition cabinet ( juin 2019 )</t>
  </si>
  <si>
    <t>P. Vac</t>
  </si>
  <si>
    <t>P. Fin année</t>
  </si>
  <si>
    <t>Proposition direction 18/11/19</t>
  </si>
  <si>
    <t>1850 heures</t>
  </si>
  <si>
    <t>Diff annuel</t>
  </si>
  <si>
    <t>D252 (14)</t>
  </si>
  <si>
    <t>D251</t>
  </si>
  <si>
    <t>D252  (20)</t>
  </si>
  <si>
    <t>D151</t>
  </si>
  <si>
    <t>C152</t>
  </si>
  <si>
    <t>D151  (5)</t>
  </si>
  <si>
    <t>D251  (10)</t>
  </si>
  <si>
    <t>Stag</t>
  </si>
  <si>
    <t>Sapeur</t>
  </si>
  <si>
    <t>Sapeur Qualif</t>
  </si>
  <si>
    <t>Caporal</t>
  </si>
  <si>
    <t>SGT</t>
  </si>
  <si>
    <t>SGT MAJ</t>
  </si>
  <si>
    <t>ADJ</t>
  </si>
  <si>
    <t>D153</t>
  </si>
  <si>
    <t>D154</t>
  </si>
  <si>
    <t>C153</t>
  </si>
  <si>
    <t>C252</t>
  </si>
  <si>
    <t>POMPIERS DEMANDE</t>
  </si>
  <si>
    <t>Caporal+12ans</t>
  </si>
  <si>
    <t>D251  (5)</t>
  </si>
  <si>
    <t>C152  (18)</t>
  </si>
  <si>
    <t>POMPIERS PRESENTATION</t>
  </si>
  <si>
    <t>POMPIERS ACTUEL 2010</t>
  </si>
  <si>
    <t>D152</t>
  </si>
  <si>
    <t>SGT MAJOR</t>
  </si>
  <si>
    <t>SGT +3ans</t>
  </si>
  <si>
    <t>Caporal + 12ans</t>
  </si>
  <si>
    <t>C154</t>
  </si>
  <si>
    <t>C251</t>
  </si>
  <si>
    <t>SGT MAJ+6ans</t>
  </si>
  <si>
    <t>ADJ+9ans</t>
  </si>
  <si>
    <t>plus 30 service</t>
  </si>
  <si>
    <t> D153</t>
  </si>
  <si>
    <t>Anc</t>
  </si>
  <si>
    <t>Salaire indexé</t>
  </si>
  <si>
    <t>Tarif horaire</t>
  </si>
  <si>
    <t>Langue</t>
  </si>
  <si>
    <t>Prime OPS</t>
  </si>
  <si>
    <t>Garde 24H</t>
  </si>
  <si>
    <t xml:space="preserve"> </t>
  </si>
  <si>
    <t>Prime de garde nette :</t>
  </si>
  <si>
    <t>Nbre de garde</t>
  </si>
  <si>
    <t>Total brut</t>
  </si>
  <si>
    <t>par heure</t>
  </si>
  <si>
    <t>Total net</t>
  </si>
  <si>
    <t>Nbre de 12h</t>
  </si>
  <si>
    <t>Total net + 12h</t>
  </si>
  <si>
    <t>Garde 12h</t>
  </si>
  <si>
    <t>Prime fin année</t>
  </si>
  <si>
    <t>Pécule vac</t>
  </si>
  <si>
    <t>Méthode de calcul</t>
  </si>
  <si>
    <r>
      <rPr>
        <b/>
        <u/>
        <sz val="12"/>
        <color theme="1"/>
        <rFont val="Calibri"/>
        <family val="2"/>
        <scheme val="minor"/>
      </rPr>
      <t xml:space="preserve">TOTAL </t>
    </r>
    <r>
      <rPr>
        <b/>
        <sz val="12"/>
        <color theme="1"/>
        <rFont val="Calibri"/>
        <family val="2"/>
        <scheme val="minor"/>
      </rPr>
      <t xml:space="preserve">= </t>
    </r>
    <r>
      <rPr>
        <sz val="12"/>
        <color theme="1"/>
        <rFont val="Calibri"/>
        <family val="2"/>
        <scheme val="minor"/>
      </rPr>
      <t>Barème x index</t>
    </r>
  </si>
  <si>
    <r>
      <rPr>
        <b/>
        <u/>
        <sz val="12"/>
        <color theme="1"/>
        <rFont val="Calibri"/>
        <family val="2"/>
        <scheme val="minor"/>
      </rPr>
      <t xml:space="preserve">Tarif unitaire = </t>
    </r>
    <r>
      <rPr>
        <sz val="12"/>
        <color theme="1"/>
        <rFont val="Calibri"/>
        <family val="2"/>
        <scheme val="minor"/>
      </rPr>
      <t>obtenu en divisant le total par 1850 heures.</t>
    </r>
  </si>
  <si>
    <r>
      <rPr>
        <b/>
        <u/>
        <sz val="12"/>
        <color theme="1"/>
        <rFont val="Calibri"/>
        <family val="2"/>
        <scheme val="minor"/>
      </rPr>
      <t>Total annuel =</t>
    </r>
    <r>
      <rPr>
        <sz val="12"/>
        <color theme="1"/>
        <rFont val="Calibri"/>
        <family val="2"/>
        <scheme val="minor"/>
      </rPr>
      <t xml:space="preserve"> obtenu en additionnant le total + pécule vacance + fin d'année + (P.danger x index) + (langue x index)</t>
    </r>
  </si>
  <si>
    <t>Tot. Mensuel</t>
  </si>
  <si>
    <t>Nbre de chèques</t>
  </si>
  <si>
    <t>Salaire net avec</t>
  </si>
  <si>
    <t>chèques-repas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</si>
  <si>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</si>
  <si>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</si>
  <si>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</si>
  <si>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</si>
  <si>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</si>
  <si>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</si>
  <si>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</si>
  <si>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</si>
  <si>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</si>
  <si>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</si>
  <si>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</si>
  <si>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</si>
  <si>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</si>
  <si>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saut d'index</t>
  </si>
  <si>
    <t>ancienneté barémique</t>
  </si>
  <si>
    <t>Année</t>
  </si>
  <si>
    <t>Accident :</t>
  </si>
  <si>
    <t>SIAMU</t>
  </si>
  <si>
    <t>Frais médicaux</t>
  </si>
  <si>
    <t>Frais déplacement</t>
  </si>
  <si>
    <t>sans CR</t>
  </si>
  <si>
    <t>Avec CR</t>
  </si>
  <si>
    <t>Par heure opt-out</t>
  </si>
  <si>
    <t>Total Opt-out</t>
  </si>
  <si>
    <t>Opt-out</t>
  </si>
  <si>
    <r>
      <rPr>
        <b/>
        <u/>
        <sz val="12"/>
        <color theme="1"/>
        <rFont val="Calibri"/>
        <family val="2"/>
        <scheme val="minor"/>
      </rPr>
      <t>Pécule vacance =</t>
    </r>
    <r>
      <rPr>
        <sz val="12"/>
        <color theme="1"/>
        <rFont val="Calibri"/>
        <family val="2"/>
        <scheme val="minor"/>
      </rPr>
      <t xml:space="preserve"> le barème x 92% divisé par 12 mois.</t>
    </r>
    <r>
      <rPr>
        <sz val="12"/>
        <color theme="1"/>
        <rFont val="Calibri"/>
        <family val="2"/>
        <scheme val="minor"/>
      </rPr>
      <t xml:space="preserve"> Basé sur le salaire de </t>
    </r>
    <r>
      <rPr>
        <sz val="12"/>
        <color rgb="FFFF0000"/>
        <rFont val="Calibri (Corps)"/>
      </rPr>
      <t>mars</t>
    </r>
  </si>
  <si>
    <t>Salaire net : brut - 7,5% - 3,55% - précompte professionnel</t>
  </si>
  <si>
    <t>Prime linguistique : 2400 ou 3200 indexé, annuelle</t>
  </si>
  <si>
    <t>Indexation</t>
  </si>
  <si>
    <t>Saut index</t>
  </si>
  <si>
    <t>avance</t>
  </si>
  <si>
    <t>avant</t>
  </si>
  <si>
    <t>complet</t>
  </si>
  <si>
    <t>sans index</t>
  </si>
  <si>
    <r>
      <rPr>
        <b/>
        <u/>
        <sz val="12"/>
        <color theme="1"/>
        <rFont val="Calibri"/>
        <family val="2"/>
        <scheme val="minor"/>
      </rPr>
      <t xml:space="preserve">Fin d'année = </t>
    </r>
    <r>
      <rPr>
        <sz val="12"/>
        <color theme="1"/>
        <rFont val="Calibri (Corps)"/>
      </rPr>
      <t>780,06</t>
    </r>
    <r>
      <rPr>
        <sz val="12"/>
        <color theme="1"/>
        <rFont val="Calibri"/>
        <family val="2"/>
        <scheme val="minor"/>
      </rPr>
      <t xml:space="preserve"> + barème x 3%. Basé sur le salaire de </t>
    </r>
    <r>
      <rPr>
        <sz val="12"/>
        <color rgb="FFFF0000"/>
        <rFont val="Calibri (Corps)"/>
      </rPr>
      <t>octobre</t>
    </r>
  </si>
  <si>
    <t>Nbre enfant à charge</t>
  </si>
  <si>
    <t>&lt;</t>
  </si>
  <si>
    <t>8.845,00</t>
  </si>
  <si>
    <t>A</t>
  </si>
  <si>
    <t>8.845,01</t>
  </si>
  <si>
    <t>11.330,00</t>
  </si>
  <si>
    <t>B</t>
  </si>
  <si>
    <t>11.330,01</t>
  </si>
  <si>
    <t>14.272,00</t>
  </si>
  <si>
    <t>1.189,33</t>
  </si>
  <si>
    <t>C</t>
  </si>
  <si>
    <t>14.272,01</t>
  </si>
  <si>
    <t>14.400,00</t>
  </si>
  <si>
    <t>1.189,34</t>
  </si>
  <si>
    <t>1.200,00</t>
  </si>
  <si>
    <t>D</t>
  </si>
  <si>
    <t>14.400,01</t>
  </si>
  <si>
    <t>17.270,00</t>
  </si>
  <si>
    <t>1.200,01</t>
  </si>
  <si>
    <t>1.439,17</t>
  </si>
  <si>
    <t>E</t>
  </si>
  <si>
    <t>17.270,01</t>
  </si>
  <si>
    <t>17.680,00</t>
  </si>
  <si>
    <t>1.439,18</t>
  </si>
  <si>
    <t>1.473,33</t>
  </si>
  <si>
    <t>F</t>
  </si>
  <si>
    <t>17.680,01</t>
  </si>
  <si>
    <t>19.550,00</t>
  </si>
  <si>
    <t>1.473,34</t>
  </si>
  <si>
    <t>1.629,17</t>
  </si>
  <si>
    <t>G</t>
  </si>
  <si>
    <t>19.550,01</t>
  </si>
  <si>
    <t>21.830,00</t>
  </si>
  <si>
    <t>1.629,18</t>
  </si>
  <si>
    <t>1.819,17</t>
  </si>
  <si>
    <t>H</t>
  </si>
  <si>
    <t>21.830,01</t>
  </si>
  <si>
    <t>23.060,00</t>
  </si>
  <si>
    <t>1.819,18</t>
  </si>
  <si>
    <t>1.921,67</t>
  </si>
  <si>
    <t>I</t>
  </si>
  <si>
    <t>23.060,01</t>
  </si>
  <si>
    <t>23.990,00</t>
  </si>
  <si>
    <t>1.921,68</t>
  </si>
  <si>
    <t>1.999,17</t>
  </si>
  <si>
    <t>J</t>
  </si>
  <si>
    <t>23.990,01</t>
  </si>
  <si>
    <t>26.390,00</t>
  </si>
  <si>
    <t>1.999,18</t>
  </si>
  <si>
    <t>2.199,17</t>
  </si>
  <si>
    <t>K</t>
  </si>
  <si>
    <t>26.390,01</t>
  </si>
  <si>
    <t>28.710,00</t>
  </si>
  <si>
    <t>2.199,18</t>
  </si>
  <si>
    <t>2.392,50</t>
  </si>
  <si>
    <t>28.710,01</t>
  </si>
  <si>
    <t>29.060,00</t>
  </si>
  <si>
    <t>2.392,51</t>
  </si>
  <si>
    <t>2.421,67</t>
  </si>
  <si>
    <t>N</t>
  </si>
  <si>
    <t>29.060,01</t>
  </si>
  <si>
    <t>31.190,00</t>
  </si>
  <si>
    <t>2.421,68</t>
  </si>
  <si>
    <t>2.599,17</t>
  </si>
  <si>
    <t>O</t>
  </si>
  <si>
    <t>31.190,01</t>
  </si>
  <si>
    <t>33.590,00</t>
  </si>
  <si>
    <t>2.599,18</t>
  </si>
  <si>
    <t>2.799,17</t>
  </si>
  <si>
    <t>P</t>
  </si>
  <si>
    <t>33.590,01</t>
  </si>
  <si>
    <t>35.060,00</t>
  </si>
  <si>
    <t>2.799,18</t>
  </si>
  <si>
    <t>2.921,67</t>
  </si>
  <si>
    <t>Q</t>
  </si>
  <si>
    <t>35.060,01</t>
  </si>
  <si>
    <t>38.020,00</t>
  </si>
  <si>
    <t>2.921,68</t>
  </si>
  <si>
    <t>3.168,33</t>
  </si>
  <si>
    <t>R</t>
  </si>
  <si>
    <t>38.020,01</t>
  </si>
  <si>
    <t>41.060,00</t>
  </si>
  <si>
    <t>3.168,34</t>
  </si>
  <si>
    <t>3.421,67</t>
  </si>
  <si>
    <t>S</t>
  </si>
  <si>
    <t>41.060,01</t>
  </si>
  <si>
    <t>47.060,00</t>
  </si>
  <si>
    <t>3.421,68</t>
  </si>
  <si>
    <t>3.921,67</t>
  </si>
  <si>
    <t>T</t>
  </si>
  <si>
    <t>47.060,01</t>
  </si>
  <si>
    <t>49.650,00</t>
  </si>
  <si>
    <t>3.921,68</t>
  </si>
  <si>
    <t>4.137,50</t>
  </si>
  <si>
    <t>U</t>
  </si>
  <si>
    <t>49.650,01</t>
  </si>
  <si>
    <t>53.060,00</t>
  </si>
  <si>
    <t>4.137,51</t>
  </si>
  <si>
    <t>4.421,67</t>
  </si>
  <si>
    <t>V</t>
  </si>
  <si>
    <t>53.060,01</t>
  </si>
  <si>
    <t>59.060,00</t>
  </si>
  <si>
    <t>4.421,68</t>
  </si>
  <si>
    <t>4.921,67</t>
  </si>
  <si>
    <t>W</t>
  </si>
  <si>
    <t>59.060,01</t>
  </si>
  <si>
    <t>65.060,00</t>
  </si>
  <si>
    <t>4.921,68</t>
  </si>
  <si>
    <t>5.421,67</t>
  </si>
  <si>
    <t>X</t>
  </si>
  <si>
    <t>65.060,01</t>
  </si>
  <si>
    <t>71.060,00</t>
  </si>
  <si>
    <t>5.421,68</t>
  </si>
  <si>
    <t>5.921,67</t>
  </si>
  <si>
    <t>Y</t>
  </si>
  <si>
    <t>71.060,01</t>
  </si>
  <si>
    <t>77.060,00</t>
  </si>
  <si>
    <t>5.921,68</t>
  </si>
  <si>
    <t>6.421,67</t>
  </si>
  <si>
    <t>Z</t>
  </si>
  <si>
    <t>77.060,01</t>
  </si>
  <si>
    <t>6.421,68</t>
  </si>
  <si>
    <t>année</t>
  </si>
  <si>
    <t>mois</t>
  </si>
  <si>
    <t>Nombre d’enfants à charge</t>
  </si>
  <si>
    <t>L -M</t>
  </si>
  <si>
    <t>%</t>
  </si>
  <si>
    <t>Retenue AMI</t>
  </si>
  <si>
    <t>Retenue pension</t>
  </si>
  <si>
    <t>annuel</t>
  </si>
  <si>
    <t>mensuel</t>
  </si>
  <si>
    <t>L</t>
  </si>
  <si>
    <t>M-N</t>
  </si>
  <si>
    <r>
      <t>Nombre</t>
    </r>
    <r>
      <rPr>
        <sz val="12"/>
        <color rgb="FF000000"/>
        <rFont val="Helvetica"/>
        <family val="2"/>
      </rPr>
      <t xml:space="preserve"> </t>
    </r>
    <r>
      <rPr>
        <sz val="12"/>
        <color rgb="FF000000"/>
        <rFont val="Arial"/>
        <family val="2"/>
      </rPr>
      <t>d’enfants</t>
    </r>
    <r>
      <rPr>
        <sz val="12"/>
        <color rgb="FF000000"/>
        <rFont val="Helvetica"/>
        <family val="2"/>
      </rPr>
      <t xml:space="preserve"> </t>
    </r>
    <r>
      <rPr>
        <sz val="12"/>
        <color rgb="FF000000"/>
        <rFont val="Arial"/>
        <family val="2"/>
      </rPr>
      <t>à</t>
    </r>
    <r>
      <rPr>
        <sz val="12"/>
        <color rgb="FF000000"/>
        <rFont val="Helvetica"/>
        <family val="2"/>
      </rPr>
      <t xml:space="preserve"> </t>
    </r>
    <r>
      <rPr>
        <sz val="12"/>
        <color rgb="FF000000"/>
        <rFont val="Arial"/>
        <family val="2"/>
      </rPr>
      <t>charge</t>
    </r>
  </si>
  <si>
    <r>
      <rPr>
        <sz val="10"/>
        <color rgb="FFFFFFFF"/>
        <rFont val="Arial"/>
        <family val="2"/>
      </rPr>
      <t>nombre d’enfants à charge*</t>
    </r>
  </si>
  <si>
    <r>
      <rPr>
        <sz val="10"/>
        <color rgb="FFFFFFFF"/>
        <rFont val="Arial"/>
        <family val="2"/>
      </rPr>
      <t>réduction mensuelle</t>
    </r>
  </si>
  <si>
    <r>
      <rPr>
        <sz val="11"/>
        <color rgb="FFFFFFFF"/>
        <rFont val="Arial"/>
        <family val="2"/>
      </rPr>
      <t>revenu imposable (€)</t>
    </r>
  </si>
  <si>
    <t>barème 1</t>
  </si>
  <si>
    <t>barème 2</t>
  </si>
  <si>
    <t>Conjoint</t>
  </si>
  <si>
    <t>Pré Mensuel net</t>
  </si>
  <si>
    <t>Déduire barême</t>
  </si>
  <si>
    <t>Déduire enfant</t>
  </si>
  <si>
    <t>New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</si>
</sst>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 * #,##0.00_)\ &quot;€&quot;_ ;_ * \(#,##0.00\)\ &quot;€&quot;_ ;_ * &quot;-&quot;??_)\ &quot;€&quot;_ ;_ @_ "/>
    <numFmt numFmtId="165" formatCode="#,##0.00\ &quot;€&quot;"/>
    <numFmt numFmtId="166" formatCode="0.0000"/>
    <numFmt numFmtId="167" formatCode="0.00\ \€"/>
    <numFmt numFmtId="168" formatCode="#,##0.00\ \€"/>
  </numFmts>
  <fonts count="3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Times"/>
      <family val="1"/>
    </font>
    <font>
      <sz val="11"/>
      <color rgb="FFFF0000"/>
      <name val="Times"/>
      <family val="1"/>
    </font>
    <font>
      <b/>
      <sz val="12"/>
      <color theme="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 (Corps)"/>
    </font>
    <font>
      <sz val="12"/>
      <color theme="1"/>
      <name val="Calibri (Corps)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color rgb="FF000000"/>
      <name val="Helvetica"/>
      <family val="2"/>
    </font>
    <font>
      <sz val="10"/>
      <name val="Arial"/>
      <family val="2"/>
    </font>
    <font>
      <sz val="10"/>
      <color rgb="FFFFFFFF"/>
      <name val="Arial"/>
      <family val="2"/>
    </font>
    <font>
      <sz val="10"/>
      <color rgb="FF08346D"/>
      <name val="Arial"/>
      <family val="2"/>
    </font>
    <font>
      <sz val="10"/>
      <color rgb="FF1D3661"/>
      <name val="Arial"/>
      <family val="2"/>
    </font>
    <font>
      <sz val="11"/>
      <name val="Arial"/>
      <family val="2"/>
    </font>
    <font>
      <sz val="11"/>
      <color rgb="FFFFFFFF"/>
      <name val="Arial"/>
      <family val="2"/>
    </font>
    <font>
      <sz val="11"/>
      <color rgb="FF00A8E3"/>
      <name val="Arial"/>
      <family val="2"/>
    </font>
    <font>
      <sz val="11"/>
      <color rgb="FF1D366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A7E3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theme="0"/>
      </top>
      <bottom style="medium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rgb="FF00A7E3"/>
      </left>
      <right style="thin">
        <color rgb="FF00A7E3"/>
      </right>
      <top/>
      <bottom style="thin">
        <color rgb="FF00A7E3"/>
      </bottom>
      <diagonal/>
    </border>
    <border>
      <left style="thin">
        <color rgb="FF00A7E3"/>
      </left>
      <right style="thin">
        <color rgb="FF00A7E3"/>
      </right>
      <top style="thin">
        <color rgb="FF00A7E3"/>
      </top>
      <bottom style="thin">
        <color rgb="FF00A7E3"/>
      </bottom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/>
      <diagonal/>
    </border>
    <border>
      <left style="thin">
        <color rgb="FF00A7E3"/>
      </left>
      <right style="thin">
        <color rgb="FF00A7E3"/>
      </right>
      <top style="thin">
        <color rgb="FF00A7E3"/>
      </top>
      <bottom/>
      <diagonal/>
    </border>
  </borders>
  <cellStyleXfs count="41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9" fontId="25" fillId="0" borderId="0" applyFont="0" applyFill="0" applyBorder="0" applyAlignment="0" applyProtection="0"/>
    <xf numFmtId="164" fontId="25" fillId="0" borderId="0" applyFont="0" applyFill="0" applyBorder="0" applyAlignment="0" applyProtection="0"/>
  </cellStyleXfs>
  <cellXfs count="161">
    <xf numFmtId="0" fontId="0" fillId="0" borderId="0" xfId="0"/>
    <xf numFmtId="0" fontId="0" fillId="0" borderId="0" xfId="0" applyFill="1"/>
    <xf numFmtId="0" fontId="10" fillId="0" borderId="1" xfId="0" applyFont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10" fillId="0" borderId="0" xfId="0" applyFont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10" fillId="0" borderId="1" xfId="0" applyFont="1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/>
    <xf numFmtId="0" fontId="0" fillId="4" borderId="0" xfId="0" applyFill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1" xfId="0" applyFill="1" applyBorder="1"/>
    <xf numFmtId="0" fontId="0" fillId="0" borderId="2" xfId="0" applyFill="1" applyBorder="1"/>
    <xf numFmtId="0" fontId="0" fillId="9" borderId="1" xfId="0" applyFill="1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15" fillId="0" borderId="0" xfId="0" applyFont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6" fillId="0" borderId="0" xfId="0" applyFont="1"/>
    <xf numFmtId="0" fontId="17" fillId="0" borderId="0" xfId="0" applyFont="1"/>
    <xf numFmtId="0" fontId="13" fillId="0" borderId="0" xfId="0" applyFont="1"/>
    <xf numFmtId="0" fontId="9" fillId="0" borderId="0" xfId="0" applyFont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5" fontId="9" fillId="0" borderId="10" xfId="0" applyNumberFormat="1" applyFont="1" applyBorder="1" applyAlignment="1">
      <alignment horizontal="center" vertical="center"/>
    </xf>
    <xf numFmtId="165" fontId="9" fillId="0" borderId="11" xfId="0" applyNumberFormat="1" applyFont="1" applyBorder="1" applyAlignment="1">
      <alignment horizontal="center" vertical="center"/>
    </xf>
    <xf numFmtId="165" fontId="9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 vertical="center"/>
    </xf>
    <xf numFmtId="3" fontId="9" fillId="0" borderId="8" xfId="0" applyNumberFormat="1" applyFont="1" applyBorder="1" applyAlignment="1">
      <alignment horizontal="center" vertical="center"/>
    </xf>
    <xf numFmtId="37" fontId="9" fillId="0" borderId="14" xfId="0" applyNumberFormat="1" applyFont="1" applyBorder="1" applyAlignment="1">
      <alignment horizontal="center" vertical="center"/>
    </xf>
    <xf numFmtId="37" fontId="9" fillId="10" borderId="11" xfId="0" applyNumberFormat="1" applyFont="1" applyFill="1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8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164" fontId="9" fillId="0" borderId="19" xfId="0" applyNumberFormat="1" applyFont="1" applyBorder="1" applyAlignment="1">
      <alignment horizontal="center" vertical="center"/>
    </xf>
    <xf numFmtId="165" fontId="9" fillId="2" borderId="21" xfId="0" applyNumberFormat="1" applyFont="1" applyFill="1" applyBorder="1" applyAlignment="1">
      <alignment horizontal="center" vertical="center"/>
    </xf>
    <xf numFmtId="165" fontId="9" fillId="0" borderId="22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2" fillId="12" borderId="7" xfId="0" applyFont="1" applyFill="1" applyBorder="1" applyAlignment="1">
      <alignment horizontal="center" vertical="center"/>
    </xf>
    <xf numFmtId="0" fontId="22" fillId="12" borderId="9" xfId="0" applyFont="1" applyFill="1" applyBorder="1" applyAlignment="1">
      <alignment horizontal="center" vertical="center"/>
    </xf>
    <xf numFmtId="0" fontId="22" fillId="12" borderId="12" xfId="0" applyFont="1" applyFill="1" applyBorder="1" applyAlignment="1">
      <alignment horizontal="center" vertical="center"/>
    </xf>
    <xf numFmtId="0" fontId="22" fillId="12" borderId="15" xfId="0" applyFont="1" applyFill="1" applyBorder="1" applyAlignment="1">
      <alignment horizontal="center" vertical="center"/>
    </xf>
    <xf numFmtId="0" fontId="22" fillId="12" borderId="24" xfId="0" applyFont="1" applyFill="1" applyBorder="1" applyAlignment="1">
      <alignment horizontal="center" vertical="center"/>
    </xf>
    <xf numFmtId="0" fontId="22" fillId="12" borderId="25" xfId="0" applyFont="1" applyFill="1" applyBorder="1" applyAlignment="1">
      <alignment horizontal="center" vertical="center"/>
    </xf>
    <xf numFmtId="164" fontId="9" fillId="0" borderId="18" xfId="0" applyNumberFormat="1" applyFont="1" applyBorder="1" applyAlignment="1">
      <alignment horizontal="right" vertical="center"/>
    </xf>
    <xf numFmtId="164" fontId="18" fillId="10" borderId="17" xfId="0" applyNumberFormat="1" applyFont="1" applyFill="1" applyBorder="1" applyAlignment="1">
      <alignment horizontal="right" vertical="center"/>
    </xf>
    <xf numFmtId="0" fontId="22" fillId="12" borderId="26" xfId="0" applyFont="1" applyFill="1" applyBorder="1" applyAlignment="1">
      <alignment horizontal="center" vertical="center"/>
    </xf>
    <xf numFmtId="0" fontId="8" fillId="2" borderId="27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21" fillId="2" borderId="4" xfId="0" applyFont="1" applyFill="1" applyBorder="1" applyAlignment="1">
      <alignment horizontal="center" vertical="center"/>
    </xf>
    <xf numFmtId="165" fontId="9" fillId="2" borderId="29" xfId="0" applyNumberFormat="1" applyFont="1" applyFill="1" applyBorder="1" applyAlignment="1">
      <alignment horizontal="center" vertical="center"/>
    </xf>
    <xf numFmtId="165" fontId="9" fillId="2" borderId="28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11" borderId="3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37" fontId="9" fillId="13" borderId="14" xfId="0" applyNumberFormat="1" applyFont="1" applyFill="1" applyBorder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64" fontId="10" fillId="0" borderId="0" xfId="0" applyNumberFormat="1" applyFont="1" applyAlignment="1">
      <alignment horizontal="center" vertical="center"/>
    </xf>
    <xf numFmtId="166" fontId="0" fillId="0" borderId="0" xfId="0" applyNumberFormat="1"/>
    <xf numFmtId="166" fontId="9" fillId="0" borderId="1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5" fillId="0" borderId="0" xfId="0" applyFont="1"/>
    <xf numFmtId="166" fontId="5" fillId="0" borderId="0" xfId="0" applyNumberFormat="1" applyFont="1"/>
    <xf numFmtId="17" fontId="5" fillId="0" borderId="0" xfId="0" applyNumberFormat="1" applyFont="1"/>
    <xf numFmtId="17" fontId="4" fillId="0" borderId="0" xfId="0" applyNumberFormat="1" applyFont="1"/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164" fontId="18" fillId="14" borderId="18" xfId="0" applyNumberFormat="1" applyFont="1" applyFill="1" applyBorder="1" applyAlignment="1">
      <alignment horizontal="right" vertical="center"/>
    </xf>
    <xf numFmtId="165" fontId="8" fillId="14" borderId="13" xfId="0" applyNumberFormat="1" applyFont="1" applyFill="1" applyBorder="1" applyAlignment="1">
      <alignment horizontal="center" vertical="center"/>
    </xf>
    <xf numFmtId="165" fontId="8" fillId="14" borderId="11" xfId="0" applyNumberFormat="1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26" fillId="12" borderId="31" xfId="0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28" fillId="0" borderId="1" xfId="0" applyFont="1" applyBorder="1"/>
    <xf numFmtId="0" fontId="28" fillId="0" borderId="32" xfId="0" applyFont="1" applyBorder="1"/>
    <xf numFmtId="0" fontId="28" fillId="0" borderId="8" xfId="0" applyFont="1" applyBorder="1"/>
    <xf numFmtId="0" fontId="28" fillId="0" borderId="9" xfId="0" applyFont="1" applyBorder="1"/>
    <xf numFmtId="0" fontId="28" fillId="0" borderId="33" xfId="0" applyFont="1" applyBorder="1"/>
    <xf numFmtId="0" fontId="28" fillId="0" borderId="12" xfId="0" applyFont="1" applyBorder="1"/>
    <xf numFmtId="0" fontId="28" fillId="0" borderId="10" xfId="0" applyFont="1" applyBorder="1"/>
    <xf numFmtId="0" fontId="28" fillId="0" borderId="11" xfId="0" applyFont="1" applyBorder="1"/>
    <xf numFmtId="164" fontId="9" fillId="14" borderId="15" xfId="0" applyNumberFormat="1" applyFont="1" applyFill="1" applyBorder="1" applyAlignment="1">
      <alignment horizontal="center" vertical="center"/>
    </xf>
    <xf numFmtId="0" fontId="0" fillId="0" borderId="0" xfId="39" applyNumberFormat="1" applyFont="1" applyAlignment="1">
      <alignment horizontal="center" vertical="center"/>
    </xf>
    <xf numFmtId="0" fontId="2" fillId="0" borderId="0" xfId="0" applyFont="1"/>
    <xf numFmtId="1" fontId="32" fillId="0" borderId="34" xfId="0" applyNumberFormat="1" applyFont="1" applyBorder="1" applyAlignment="1">
      <alignment horizontal="center" vertical="top" shrinkToFit="1"/>
    </xf>
    <xf numFmtId="167" fontId="33" fillId="0" borderId="34" xfId="0" applyNumberFormat="1" applyFont="1" applyBorder="1" applyAlignment="1">
      <alignment horizontal="center" vertical="top" shrinkToFit="1"/>
    </xf>
    <xf numFmtId="1" fontId="32" fillId="0" borderId="35" xfId="0" applyNumberFormat="1" applyFont="1" applyBorder="1" applyAlignment="1">
      <alignment horizontal="center" vertical="top" shrinkToFit="1"/>
    </xf>
    <xf numFmtId="167" fontId="33" fillId="0" borderId="35" xfId="0" applyNumberFormat="1" applyFont="1" applyBorder="1" applyAlignment="1">
      <alignment horizontal="center" vertical="top" shrinkToFit="1"/>
    </xf>
    <xf numFmtId="168" fontId="33" fillId="0" borderId="35" xfId="0" applyNumberFormat="1" applyFont="1" applyBorder="1" applyAlignment="1">
      <alignment horizontal="center" vertical="top" shrinkToFit="1"/>
    </xf>
    <xf numFmtId="0" fontId="30" fillId="15" borderId="36" xfId="0" applyFont="1" applyFill="1" applyBorder="1" applyAlignment="1">
      <alignment horizontal="center" vertical="center" wrapText="1"/>
    </xf>
    <xf numFmtId="0" fontId="30" fillId="15" borderId="37" xfId="0" applyFont="1" applyFill="1" applyBorder="1" applyAlignment="1">
      <alignment horizontal="center" vertical="center" wrapText="1"/>
    </xf>
    <xf numFmtId="0" fontId="27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7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8" xfId="0" applyFont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165" fontId="34" fillId="15" borderId="36" xfId="0" applyNumberFormat="1" applyFont="1" applyFill="1" applyBorder="1" applyAlignment="1">
      <alignment horizontal="center" vertical="center" wrapText="1"/>
    </xf>
    <xf numFmtId="165" fontId="36" fillId="0" borderId="34" xfId="0" applyNumberFormat="1" applyFont="1" applyBorder="1" applyAlignment="1">
      <alignment horizontal="center" vertical="top" shrinkToFit="1"/>
    </xf>
    <xf numFmtId="165" fontId="0" fillId="0" borderId="34" xfId="0" applyNumberFormat="1" applyFont="1" applyBorder="1" applyAlignment="1">
      <alignment horizontal="center" wrapText="1"/>
    </xf>
    <xf numFmtId="165" fontId="0" fillId="0" borderId="35" xfId="0" applyNumberFormat="1" applyFont="1" applyBorder="1" applyAlignment="1">
      <alignment horizontal="center" wrapText="1"/>
    </xf>
    <xf numFmtId="165" fontId="36" fillId="0" borderId="35" xfId="0" applyNumberFormat="1" applyFont="1" applyBorder="1" applyAlignment="1">
      <alignment horizontal="center" vertical="top" shrinkToFit="1"/>
    </xf>
    <xf numFmtId="165" fontId="37" fillId="0" borderId="35" xfId="0" applyNumberFormat="1" applyFont="1" applyBorder="1" applyAlignment="1">
      <alignment horizontal="center" vertical="top" shrinkToFit="1"/>
    </xf>
    <xf numFmtId="165" fontId="37" fillId="0" borderId="34" xfId="0" applyNumberFormat="1" applyFont="1" applyBorder="1" applyAlignment="1">
      <alignment horizontal="center" vertical="top" shrinkToFit="1"/>
    </xf>
    <xf numFmtId="165" fontId="36" fillId="0" borderId="39" xfId="0" applyNumberFormat="1" applyFont="1" applyBorder="1" applyAlignment="1">
      <alignment horizontal="center" vertical="top" shrinkToFit="1"/>
    </xf>
    <xf numFmtId="165" fontId="37" fillId="0" borderId="39" xfId="0" applyNumberFormat="1" applyFont="1" applyBorder="1" applyAlignment="1">
      <alignment horizontal="center" vertical="top" shrinkToFit="1"/>
    </xf>
    <xf numFmtId="165" fontId="35" fillId="15" borderId="37" xfId="0" applyNumberFormat="1" applyFont="1" applyFill="1" applyBorder="1" applyAlignment="1">
      <alignment horizontal="center" vertical="center" wrapText="1"/>
    </xf>
    <xf numFmtId="165" fontId="35" fillId="15" borderId="38" xfId="0" applyNumberFormat="1" applyFont="1" applyFill="1" applyBorder="1" applyAlignment="1">
      <alignment horizontal="center" vertical="center" wrapText="1"/>
    </xf>
    <xf numFmtId="10" fontId="28" fillId="2" borderId="0" xfId="0" applyNumberFormat="1" applyFont="1" applyFill="1" applyAlignment="1">
      <alignment horizontal="center" vertical="center"/>
    </xf>
    <xf numFmtId="9" fontId="28" fillId="2" borderId="0" xfId="0" applyNumberFormat="1" applyFont="1" applyFill="1" applyAlignment="1">
      <alignment horizontal="center" vertical="center"/>
    </xf>
    <xf numFmtId="0" fontId="28" fillId="2" borderId="32" xfId="0" applyFont="1" applyFill="1" applyBorder="1" applyAlignment="1">
      <alignment horizontal="center" vertical="center"/>
    </xf>
    <xf numFmtId="0" fontId="28" fillId="2" borderId="1" xfId="0" applyFont="1" applyFill="1" applyBorder="1" applyAlignment="1">
      <alignment horizontal="center" vertical="center"/>
    </xf>
    <xf numFmtId="0" fontId="27" fillId="2" borderId="1" xfId="0" applyFont="1" applyFill="1" applyBorder="1" applyAlignment="1">
      <alignment horizontal="center" vertical="center"/>
    </xf>
    <xf numFmtId="0" fontId="2" fillId="0" borderId="1" xfId="0" applyFont="1" applyBorder="1"/>
    <xf numFmtId="10" fontId="28" fillId="2" borderId="1" xfId="0" applyNumberFormat="1" applyFont="1" applyFill="1" applyBorder="1"/>
    <xf numFmtId="9" fontId="28" fillId="2" borderId="1" xfId="0" applyNumberFormat="1" applyFont="1" applyFill="1" applyBorder="1"/>
    <xf numFmtId="165" fontId="28" fillId="0" borderId="1" xfId="0" applyNumberFormat="1" applyFont="1" applyBorder="1"/>
    <xf numFmtId="165" fontId="28" fillId="0" borderId="1" xfId="0" applyNumberFormat="1" applyFont="1" applyBorder="1" applyAlignment="1">
      <alignment horizontal="center" vertical="center"/>
    </xf>
    <xf numFmtId="0" fontId="28" fillId="2" borderId="1" xfId="0" applyFont="1" applyFill="1" applyBorder="1"/>
    <xf numFmtId="165" fontId="28" fillId="0" borderId="1" xfId="40" applyNumberFormat="1" applyFont="1" applyBorder="1" applyAlignment="1">
      <alignment horizontal="right" vertical="center"/>
    </xf>
    <xf numFmtId="0" fontId="2" fillId="2" borderId="1" xfId="0" applyFont="1" applyFill="1" applyBorder="1"/>
    <xf numFmtId="0" fontId="2" fillId="0" borderId="7" xfId="0" applyFont="1" applyBorder="1"/>
    <xf numFmtId="0" fontId="0" fillId="0" borderId="32" xfId="0" applyBorder="1"/>
    <xf numFmtId="0" fontId="2" fillId="0" borderId="9" xfId="0" applyFont="1" applyBorder="1"/>
    <xf numFmtId="0" fontId="2" fillId="0" borderId="33" xfId="0" applyFont="1" applyBorder="1"/>
    <xf numFmtId="165" fontId="28" fillId="0" borderId="10" xfId="40" applyNumberFormat="1" applyFont="1" applyBorder="1" applyAlignment="1">
      <alignment horizontal="right" vertical="center"/>
    </xf>
    <xf numFmtId="165" fontId="2" fillId="0" borderId="10" xfId="0" applyNumberFormat="1" applyFont="1" applyBorder="1" applyAlignment="1">
      <alignment horizontal="center" vertical="center"/>
    </xf>
    <xf numFmtId="165" fontId="28" fillId="0" borderId="10" xfId="0" applyNumberFormat="1" applyFont="1" applyBorder="1" applyAlignment="1">
      <alignment horizontal="center" vertical="center"/>
    </xf>
    <xf numFmtId="0" fontId="2" fillId="0" borderId="10" xfId="0" applyFont="1" applyBorder="1"/>
    <xf numFmtId="0" fontId="19" fillId="0" borderId="0" xfId="0" applyFont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18" fillId="0" borderId="20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9" fillId="11" borderId="30" xfId="0" applyFont="1" applyFill="1" applyBorder="1" applyAlignment="1">
      <alignment horizontal="center" vertical="center" wrapText="1"/>
    </xf>
    <xf numFmtId="0" fontId="18" fillId="0" borderId="1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41">
    <cellStyle name="Lien hypertexte" xfId="1" builtinId="8" hidden="1"/>
    <cellStyle name="Lien hypertexte" xfId="3" builtinId="8" hidden="1"/>
    <cellStyle name="Lien hypertexte" xfId="27" builtinId="8" hidden="1"/>
    <cellStyle name="Lien hypertexte" xfId="15" builtinId="8" hidden="1"/>
    <cellStyle name="Lien hypertexte" xfId="31" builtinId="8" hidden="1"/>
    <cellStyle name="Lien hypertexte" xfId="11" builtinId="8" hidden="1"/>
    <cellStyle name="Lien hypertexte" xfId="13" builtinId="8" hidden="1"/>
    <cellStyle name="Lien hypertexte" xfId="17" builtinId="8" hidden="1"/>
    <cellStyle name="Lien hypertexte" xfId="7" builtinId="8" hidden="1"/>
    <cellStyle name="Lien hypertexte" xfId="9" builtinId="8" hidden="1"/>
    <cellStyle name="Lien hypertexte" xfId="21" builtinId="8" hidden="1"/>
    <cellStyle name="Lien hypertexte" xfId="23" builtinId="8" hidden="1"/>
    <cellStyle name="Lien hypertexte" xfId="29" builtinId="8" hidden="1"/>
    <cellStyle name="Lien hypertexte" xfId="19" builtinId="8" hidden="1"/>
    <cellStyle name="Lien hypertexte" xfId="33" builtinId="8" hidden="1"/>
    <cellStyle name="Lien hypertexte" xfId="5" builtinId="8" hidden="1"/>
    <cellStyle name="Lien hypertexte" xfId="25" builtinId="8" hidden="1"/>
    <cellStyle name="Lien hypertexte" xfId="35" builtinId="8" hidden="1"/>
    <cellStyle name="Lien hypertexte" xfId="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24" builtinId="9" hidden="1"/>
    <cellStyle name="Lien hypertexte visité" xfId="26" builtinId="9" hidden="1"/>
    <cellStyle name="Lien hypertexte visité" xfId="20" builtinId="9" hidden="1"/>
    <cellStyle name="Lien hypertexte visité" xfId="22" builtinId="9" hidden="1"/>
    <cellStyle name="Lien hypertexte visité" xfId="28" builtinId="9" hidden="1"/>
    <cellStyle name="Lien hypertexte visité" xfId="8" builtinId="9" hidden="1"/>
    <cellStyle name="Lien hypertexte visité" xfId="30" builtinId="9" hidden="1"/>
    <cellStyle name="Lien hypertexte visité" xfId="32" builtinId="9" hidden="1"/>
    <cellStyle name="Lien hypertexte visité" xfId="10" builtinId="9" hidden="1"/>
    <cellStyle name="Lien hypertexte visité" xfId="16" builtinId="9" hidden="1"/>
    <cellStyle name="Lien hypertexte visité" xfId="18" builtinId="9" hidden="1"/>
    <cellStyle name="Lien hypertexte visité" xfId="12" builtinId="9" hidden="1"/>
    <cellStyle name="Lien hypertexte visité" xfId="14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Monétaire" xfId="40" builtinId="4"/>
    <cellStyle name="Normal" xfId="0" builtinId="0"/>
    <cellStyle name="Pourcentage" xfId="39" builtinId="5"/>
  </cellStyles>
  <dxfs count="53">
    <dxf>
      <numFmt numFmtId="165" formatCode="#,##0.00\ &quot;€&quot;"/>
    </dxf>
    <dxf>
      <numFmt numFmtId="165" formatCode="#,##0.00\ &quot;€&quot;"/>
    </dxf>
    <dxf>
      <alignment horizontal="center" vertical="center" textRotation="0" wrapText="1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.000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"/>
        <family val="1"/>
        <scheme val="none"/>
      </font>
    </dxf>
    <dxf>
      <border outline="0">
        <bottom style="thin">
          <color rgb="FF00A7E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A7E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D3661"/>
        <name val="Arial"/>
        <family val="2"/>
        <scheme val="none"/>
      </font>
      <numFmt numFmtId="165" formatCode="#,##0.00\ &quot;€&quot;"/>
      <alignment horizontal="center" vertical="top" textRotation="0" wrapText="0" indent="0" justifyLastLine="0" shrinkToFit="1" readingOrder="0"/>
      <border diagonalUp="0" diagonalDown="0" outline="0">
        <left style="thin">
          <color rgb="FF00A7E3"/>
        </left>
        <right style="thin">
          <color rgb="FF00A7E3"/>
        </right>
        <top style="thin">
          <color rgb="FF00A7E3"/>
        </top>
        <bottom style="thin">
          <color rgb="FF00A7E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D3661"/>
        <name val="Arial"/>
        <family val="2"/>
        <scheme val="none"/>
      </font>
      <numFmt numFmtId="165" formatCode="#,##0.00\ &quot;€&quot;"/>
      <alignment horizontal="center" vertical="top" textRotation="0" wrapText="0" indent="0" justifyLastLine="0" shrinkToFit="1" readingOrder="0"/>
      <border diagonalUp="0" diagonalDown="0" outline="0">
        <left style="thin">
          <color rgb="FF00A7E3"/>
        </left>
        <right style="thin">
          <color rgb="FF00A7E3"/>
        </right>
        <top style="thin">
          <color rgb="FF00A7E3"/>
        </top>
        <bottom style="thin">
          <color rgb="FF00A7E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A8E3"/>
        <name val="Arial"/>
        <family val="2"/>
        <scheme val="none"/>
      </font>
      <numFmt numFmtId="165" formatCode="#,##0.00\ &quot;€&quot;"/>
      <alignment horizontal="center" vertical="top" textRotation="0" wrapText="0" indent="0" justifyLastLine="0" shrinkToFit="1" readingOrder="0"/>
      <border diagonalUp="0" diagonalDown="0" outline="0">
        <left style="thin">
          <color rgb="FF00A7E3"/>
        </left>
        <right style="thin">
          <color rgb="FF00A7E3"/>
        </right>
        <top style="thin">
          <color rgb="FF00A7E3"/>
        </top>
        <bottom style="thin">
          <color rgb="FF00A7E3"/>
        </bottom>
      </border>
    </dxf>
    <dxf>
      <border outline="0">
        <bottom style="thin">
          <color rgb="FF00A7E3"/>
        </bottom>
      </border>
    </dxf>
    <dxf>
      <font>
        <strike val="0"/>
        <outline val="0"/>
        <shadow val="0"/>
        <u val="none"/>
        <sz val="11"/>
      </font>
      <numFmt numFmtId="165" formatCode="#,##0.00\ &quot;€&quot;"/>
      <alignment horizontal="center" textRotation="0" indent="0" justifyLastLine="0" readingOrder="0"/>
    </dxf>
    <dxf>
      <font>
        <strike val="0"/>
        <outline val="0"/>
        <shadow val="0"/>
        <u val="none"/>
        <sz val="11"/>
      </font>
      <numFmt numFmtId="165" formatCode="#,##0.00\ &quot;€&quot;"/>
      <alignment horizontal="center" textRotation="0" indent="0" justifyLastLine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theme="0"/>
        </top>
        <bottom style="medium">
          <color theme="0"/>
        </bottom>
        <vertical/>
        <horizontal style="medium">
          <color theme="0"/>
        </horizontal>
      </border>
    </dxf>
    <dxf>
      <numFmt numFmtId="165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5" formatCode="#,##0.00\ &quot;€&quot;"/>
    </dxf>
    <dxf>
      <numFmt numFmtId="165" formatCode="#,##0.00\ &quot;€&quot;"/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70C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C438B84E-9586-4CEA-868C-40002A42C328}">
      <tableStyleElement type="wholeTable" dxfId="52"/>
      <tableStyleElement type="headerRow" dxfId="51"/>
      <tableStyleElement type="totalRow" dxfId="5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Indexation!$C$1</c:f>
              <c:strCache>
                <c:ptCount val="1"/>
                <c:pt idx="0">
                  <c:v>Index</c:v>
                </c:pt>
              </c:strCache>
            </c:strRef>
          </c:tx>
          <c:spPr>
            <a:ln w="25400" cap="rnd">
              <a:solidFill>
                <a:schemeClr val="lt1"/>
              </a:solidFill>
              <a:round/>
            </a:ln>
            <a:effectLst>
              <a:outerShdw dist="25400" dir="2700000" algn="tl" rotWithShape="0">
                <a:schemeClr val="accent1"/>
              </a:outerShdw>
            </a:effectLst>
          </c:spPr>
          <c:marker>
            <c:symbol val="none"/>
          </c:marker>
          <c:dLbls>
            <c:spPr>
              <a:solidFill>
                <a:schemeClr val="accent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Indexation!$A$2:$B$20</c:f>
              <c:multiLvlStrCache>
                <c:ptCount val="19"/>
                <c:lvl>
                  <c:pt idx="0">
                    <c:v>mai-04</c:v>
                  </c:pt>
                  <c:pt idx="1">
                    <c:v>nov-04</c:v>
                  </c:pt>
                  <c:pt idx="2">
                    <c:v>sept-05</c:v>
                  </c:pt>
                  <c:pt idx="3">
                    <c:v>nov-06</c:v>
                  </c:pt>
                  <c:pt idx="4">
                    <c:v>févr-08</c:v>
                  </c:pt>
                  <c:pt idx="5">
                    <c:v>juin-08</c:v>
                  </c:pt>
                  <c:pt idx="6">
                    <c:v>oct-08</c:v>
                  </c:pt>
                  <c:pt idx="7">
                    <c:v>oct-10</c:v>
                  </c:pt>
                  <c:pt idx="8">
                    <c:v>juin-11</c:v>
                  </c:pt>
                  <c:pt idx="9">
                    <c:v>mars-12</c:v>
                  </c:pt>
                  <c:pt idx="10">
                    <c:v>janv-13</c:v>
                  </c:pt>
                  <c:pt idx="11">
                    <c:v>juil-16</c:v>
                  </c:pt>
                  <c:pt idx="12">
                    <c:v>juil-17</c:v>
                  </c:pt>
                  <c:pt idx="13">
                    <c:v>oct-18</c:v>
                  </c:pt>
                  <c:pt idx="14">
                    <c:v>avr-20</c:v>
                  </c:pt>
                  <c:pt idx="15">
                    <c:v>oct-21</c:v>
                  </c:pt>
                  <c:pt idx="16">
                    <c:v>févr-22</c:v>
                  </c:pt>
                  <c:pt idx="17">
                    <c:v>avr-22</c:v>
                  </c:pt>
                  <c:pt idx="18">
                    <c:v>juin-22</c:v>
                  </c:pt>
                </c:lvl>
                <c:lvl>
                  <c:pt idx="0">
                    <c:v>mars-04</c:v>
                  </c:pt>
                  <c:pt idx="1">
                    <c:v>sept-04</c:v>
                  </c:pt>
                  <c:pt idx="2">
                    <c:v>juil-05</c:v>
                  </c:pt>
                  <c:pt idx="3">
                    <c:v>sept-06</c:v>
                  </c:pt>
                  <c:pt idx="4">
                    <c:v>déc-07</c:v>
                  </c:pt>
                  <c:pt idx="5">
                    <c:v>avr-08</c:v>
                  </c:pt>
                  <c:pt idx="6">
                    <c:v>août-08</c:v>
                  </c:pt>
                  <c:pt idx="7">
                    <c:v>août-10</c:v>
                  </c:pt>
                  <c:pt idx="8">
                    <c:v>avr-11</c:v>
                  </c:pt>
                  <c:pt idx="9">
                    <c:v>janv-12</c:v>
                  </c:pt>
                  <c:pt idx="10">
                    <c:v>nov-12</c:v>
                  </c:pt>
                  <c:pt idx="11">
                    <c:v>mai-16</c:v>
                  </c:pt>
                  <c:pt idx="12">
                    <c:v>mai-17</c:v>
                  </c:pt>
                  <c:pt idx="13">
                    <c:v>août-18</c:v>
                  </c:pt>
                  <c:pt idx="14">
                    <c:v>févr-20</c:v>
                  </c:pt>
                  <c:pt idx="15">
                    <c:v>août-21</c:v>
                  </c:pt>
                  <c:pt idx="16">
                    <c:v>déc-21</c:v>
                  </c:pt>
                  <c:pt idx="17">
                    <c:v>févr-22</c:v>
                  </c:pt>
                  <c:pt idx="18">
                    <c:v>avr-22</c:v>
                  </c:pt>
                </c:lvl>
              </c:multiLvlStrCache>
            </c:multiLvlStrRef>
          </c:cat>
          <c:val>
            <c:numRef>
              <c:f>Indexation!$C$2:$C$20</c:f>
              <c:numCache>
                <c:formatCode>0.0000</c:formatCode>
                <c:ptCount val="19"/>
                <c:pt idx="0">
                  <c:v>1.3194999999999999</c:v>
                </c:pt>
                <c:pt idx="1">
                  <c:v>1.3458899999999998</c:v>
                </c:pt>
                <c:pt idx="2">
                  <c:v>1.3728077999999999</c:v>
                </c:pt>
                <c:pt idx="3">
                  <c:v>1.4002639559999999</c:v>
                </c:pt>
                <c:pt idx="4">
                  <c:v>1.4282692351199999</c:v>
                </c:pt>
                <c:pt idx="5">
                  <c:v>1.4568346198223998</c:v>
                </c:pt>
                <c:pt idx="6">
                  <c:v>1.4859713122188478</c:v>
                </c:pt>
                <c:pt idx="7">
                  <c:v>1.5156907384632248</c:v>
                </c:pt>
                <c:pt idx="8">
                  <c:v>1.5460045532324893</c:v>
                </c:pt>
                <c:pt idx="9">
                  <c:v>1.5769246442971392</c:v>
                </c:pt>
                <c:pt idx="10">
                  <c:v>1.608463137183082</c:v>
                </c:pt>
                <c:pt idx="11">
                  <c:v>1.6406323999267436</c:v>
                </c:pt>
                <c:pt idx="12">
                  <c:v>1.6734450479252785</c:v>
                </c:pt>
                <c:pt idx="13">
                  <c:v>1.7069139488837841</c:v>
                </c:pt>
                <c:pt idx="14">
                  <c:v>1.7410522278614597</c:v>
                </c:pt>
                <c:pt idx="15">
                  <c:v>1.775873272418689</c:v>
                </c:pt>
                <c:pt idx="16">
                  <c:v>1.8113907378670628</c:v>
                </c:pt>
                <c:pt idx="17">
                  <c:v>1.847618552624404</c:v>
                </c:pt>
                <c:pt idx="18">
                  <c:v>1.8844709236768922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BE4-E14D-9028-05FD24BEA5B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gradFill>
                <a:gsLst>
                  <a:gs pos="0">
                    <a:schemeClr val="lt1"/>
                  </a:gs>
                  <a:gs pos="100000">
                    <a:schemeClr val="lt1">
                      <a:alpha val="0"/>
                    </a:schemeClr>
                  </a:gs>
                </a:gsLst>
                <a:lin ang="5400000" scaled="0"/>
              </a:gradFill>
              <a:round/>
            </a:ln>
            <a:effectLst/>
          </c:spPr>
        </c:dropLines>
        <c:smooth val="0"/>
        <c:axId val="1500076815"/>
        <c:axId val="1454211359"/>
      </c:lineChart>
      <c:catAx>
        <c:axId val="15000768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3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4211359"/>
        <c:crosses val="autoZero"/>
        <c:auto val="1"/>
        <c:lblAlgn val="ctr"/>
        <c:lblOffset val="100"/>
        <c:noMultiLvlLbl val="0"/>
      </c:catAx>
      <c:valAx>
        <c:axId val="1454211359"/>
        <c:scaling>
          <c:orientation val="minMax"/>
        </c:scaling>
        <c:delete val="1"/>
        <c:axPos val="l"/>
        <c:numFmt formatCode="0.0000" sourceLinked="1"/>
        <c:majorTickMark val="none"/>
        <c:minorTickMark val="none"/>
        <c:tickLblPos val="nextTo"/>
        <c:crossAx val="15000768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/>
    </a:solidFill>
    <a:ln w="9525" cap="flat" cmpd="sng" algn="ctr">
      <a:solidFill>
        <a:schemeClr val="lt1">
          <a:lumMod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salaire entre 2019 et 2022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1"/>
          <c:order val="0"/>
          <c:tx>
            <c:strRef>
              <c:f>Feuil1!$B$1</c:f>
              <c:strCache>
                <c:ptCount val="1"/>
                <c:pt idx="0">
                  <c:v>janvier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Feuil1!$B$2:$B$3</c:f>
              <c:numCache>
                <c:formatCode>General</c:formatCode>
                <c:ptCount val="2"/>
                <c:pt idx="0">
                  <c:v>3370.95</c:v>
                </c:pt>
                <c:pt idx="1">
                  <c:v>3228.49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D99-CF49-923E-85657710D940}"/>
            </c:ext>
          </c:extLst>
        </c:ser>
        <c:ser>
          <c:idx val="2"/>
          <c:order val="1"/>
          <c:tx>
            <c:strRef>
              <c:f>Feuil1!$C$1</c:f>
              <c:strCache>
                <c:ptCount val="1"/>
                <c:pt idx="0">
                  <c:v>février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Feuil1!$C$2:$C$3</c:f>
              <c:numCache>
                <c:formatCode>General</c:formatCode>
                <c:ptCount val="2"/>
                <c:pt idx="0">
                  <c:v>3033.7400000000002</c:v>
                </c:pt>
                <c:pt idx="1">
                  <c:v>3195.04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D99-CF49-923E-85657710D940}"/>
            </c:ext>
          </c:extLst>
        </c:ser>
        <c:ser>
          <c:idx val="3"/>
          <c:order val="2"/>
          <c:tx>
            <c:strRef>
              <c:f>Feuil1!$D$1</c:f>
              <c:strCache>
                <c:ptCount val="1"/>
                <c:pt idx="0">
                  <c:v>mars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Feuil1!$D$2:$D$3</c:f>
              <c:numCache>
                <c:formatCode>General</c:formatCode>
                <c:ptCount val="2"/>
                <c:pt idx="0">
                  <c:v>2791.8700000000003</c:v>
                </c:pt>
                <c:pt idx="1">
                  <c:v>3276.8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D99-CF49-923E-85657710D940}"/>
            </c:ext>
          </c:extLst>
        </c:ser>
        <c:ser>
          <c:idx val="4"/>
          <c:order val="3"/>
          <c:tx>
            <c:strRef>
              <c:f>Feuil1!$E$1</c:f>
              <c:strCache>
                <c:ptCount val="1"/>
                <c:pt idx="0">
                  <c:v>avril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Feuil1!$E$2:$E$3</c:f>
              <c:numCache>
                <c:formatCode>General</c:formatCode>
                <c:ptCount val="2"/>
                <c:pt idx="0">
                  <c:v>3052.7400000000002</c:v>
                </c:pt>
                <c:pt idx="1">
                  <c:v>3197.2200000000003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D99-CF49-923E-85657710D940}"/>
            </c:ext>
          </c:extLst>
        </c:ser>
        <c:ser>
          <c:idx val="5"/>
          <c:order val="4"/>
          <c:tx>
            <c:strRef>
              <c:f>Feuil1!$F$1</c:f>
              <c:strCache>
                <c:ptCount val="1"/>
                <c:pt idx="0">
                  <c:v>mai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Feuil1!$F$2:$F$3</c:f>
              <c:numCache>
                <c:formatCode>General</c:formatCode>
                <c:ptCount val="2"/>
                <c:pt idx="0">
                  <c:v>2917.4</c:v>
                </c:pt>
                <c:pt idx="1">
                  <c:v>3348.81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D99-CF49-923E-85657710D940}"/>
            </c:ext>
          </c:extLst>
        </c:ser>
        <c:ser>
          <c:idx val="6"/>
          <c:order val="5"/>
          <c:tx>
            <c:strRef>
              <c:f>Feuil1!$G$1</c:f>
              <c:strCache>
                <c:ptCount val="1"/>
                <c:pt idx="0">
                  <c:v>juin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Feuil1!$G$2:$G$3</c:f>
              <c:numCache>
                <c:formatCode>General</c:formatCode>
                <c:ptCount val="2"/>
                <c:pt idx="0">
                  <c:v>3042.9300000000003</c:v>
                </c:pt>
                <c:pt idx="1">
                  <c:v>3186.8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D99-CF49-923E-85657710D940}"/>
            </c:ext>
          </c:extLst>
        </c:ser>
        <c:ser>
          <c:idx val="7"/>
          <c:order val="6"/>
          <c:tx>
            <c:strRef>
              <c:f>Feuil1!$H$1</c:f>
              <c:strCache>
                <c:ptCount val="1"/>
                <c:pt idx="0">
                  <c:v>juillet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Feuil1!$H$2:$H$3</c:f>
              <c:numCache>
                <c:formatCode>General</c:formatCode>
                <c:ptCount val="2"/>
                <c:pt idx="0">
                  <c:v>3353.25</c:v>
                </c:pt>
                <c:pt idx="1">
                  <c:v>3630.0199999999995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BD99-CF49-923E-85657710D940}"/>
            </c:ext>
          </c:extLst>
        </c:ser>
        <c:ser>
          <c:idx val="8"/>
          <c:order val="7"/>
          <c:tx>
            <c:strRef>
              <c:f>Feuil1!$I$1</c:f>
              <c:strCache>
                <c:ptCount val="1"/>
                <c:pt idx="0">
                  <c:v>août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Feuil1!$I$2:$I$3</c:f>
              <c:numCache>
                <c:formatCode>General</c:formatCode>
                <c:ptCount val="2"/>
                <c:pt idx="0">
                  <c:v>2960.69</c:v>
                </c:pt>
                <c:pt idx="1">
                  <c:v>2957.95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BD99-CF49-923E-85657710D940}"/>
            </c:ext>
          </c:extLst>
        </c:ser>
        <c:ser>
          <c:idx val="9"/>
          <c:order val="8"/>
          <c:tx>
            <c:strRef>
              <c:f>Feuil1!$J$1</c:f>
              <c:strCache>
                <c:ptCount val="1"/>
                <c:pt idx="0">
                  <c:v>septembre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Feuil1!$J$2:$J$3</c:f>
              <c:numCache>
                <c:formatCode>General</c:formatCode>
                <c:ptCount val="2"/>
                <c:pt idx="0">
                  <c:v>2832.75</c:v>
                </c:pt>
                <c:pt idx="1">
                  <c:v>3104.93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BD99-CF49-923E-85657710D940}"/>
            </c:ext>
          </c:extLst>
        </c:ser>
        <c:ser>
          <c:idx val="10"/>
          <c:order val="9"/>
          <c:tx>
            <c:strRef>
              <c:f>Feuil1!$K$1</c:f>
              <c:strCache>
                <c:ptCount val="1"/>
                <c:pt idx="0">
                  <c:v>octobre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Feuil1!$K$2:$K$3</c:f>
              <c:numCache>
                <c:formatCode>General</c:formatCode>
                <c:ptCount val="2"/>
                <c:pt idx="0">
                  <c:v>3096.2700000000004</c:v>
                </c:pt>
                <c:pt idx="1">
                  <c:v>2887.1600000000003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D99-CF49-923E-85657710D940}"/>
            </c:ext>
          </c:extLst>
        </c:ser>
        <c:ser>
          <c:idx val="11"/>
          <c:order val="10"/>
          <c:tx>
            <c:strRef>
              <c:f>Feuil1!$L$1</c:f>
              <c:strCache>
                <c:ptCount val="1"/>
                <c:pt idx="0">
                  <c:v>novembre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Feuil1!$L$2:$L$3</c:f>
              <c:numCache>
                <c:formatCode>General</c:formatCode>
                <c:ptCount val="2"/>
                <c:pt idx="0">
                  <c:v>3216.58</c:v>
                </c:pt>
                <c:pt idx="1">
                  <c:v>2726.78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BD99-CF49-923E-85657710D940}"/>
            </c:ext>
          </c:extLst>
        </c:ser>
        <c:ser>
          <c:idx val="12"/>
          <c:order val="11"/>
          <c:tx>
            <c:strRef>
              <c:f>Feuil1!$M$1</c:f>
              <c:strCache>
                <c:ptCount val="1"/>
                <c:pt idx="0">
                  <c:v>décembre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Feuil1!$M$2:$M$3</c:f>
              <c:numCache>
                <c:formatCode>General</c:formatCode>
                <c:ptCount val="2"/>
                <c:pt idx="0">
                  <c:v>5380.0300000000007</c:v>
                </c:pt>
                <c:pt idx="1">
                  <c:v>5662.65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BD99-CF49-923E-85657710D9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79253520"/>
        <c:axId val="1479255152"/>
        <c:axId val="0"/>
      </c:bar3DChart>
      <c:catAx>
        <c:axId val="14792535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479255152"/>
        <c:crosses val="autoZero"/>
        <c:auto val="1"/>
        <c:lblAlgn val="ctr"/>
        <c:lblOffset val="100"/>
        <c:noMultiLvlLbl val="0"/>
      </c:catAx>
      <c:valAx>
        <c:axId val="1479255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9253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5369690940666676"/>
          <c:y val="0.3157702188709462"/>
          <c:w val="0.10990052100018545"/>
          <c:h val="0.5454297344187908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8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spc="3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lt1">
            <a:lumMod val="85000"/>
          </a:schemeClr>
        </a:solidFill>
        <a:round/>
      </a:ln>
    </cs:spPr>
    <cs:defRPr sz="1000" kern="1200"/>
  </cs:chartArea>
  <cs:dataLabel>
    <cs:lnRef idx="0"/>
    <cs:fillRef idx="0">
      <cs:styleClr val="0"/>
    </cs:fillRef>
    <cs:effectRef idx="0"/>
    <cs:fontRef idx="minor">
      <a:schemeClr val="lt1"/>
    </cs:fontRef>
    <cs:spPr>
      <a:solidFill>
        <a:schemeClr val="phClr"/>
      </a:solidFill>
    </cs:spPr>
    <cs:defRPr sz="900" b="1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25400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lt1"/>
            </a:gs>
            <a:gs pos="100000">
              <a:schemeClr val="lt1">
                <a:alpha val="0"/>
              </a:schemeClr>
            </a:gs>
          </a:gsLst>
          <a:lin ang="5400000" scaled="0"/>
        </a:gradFill>
        <a:round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406400</xdr:colOff>
      <xdr:row>2</xdr:row>
      <xdr:rowOff>114300</xdr:rowOff>
    </xdr:from>
    <xdr:to>
      <xdr:col>22</xdr:col>
      <xdr:colOff>444500</xdr:colOff>
      <xdr:row>29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64E8E88-C736-3640-9529-233C8BA570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279400</xdr:colOff>
      <xdr:row>6</xdr:row>
      <xdr:rowOff>76200</xdr:rowOff>
    </xdr:from>
    <xdr:to>
      <xdr:col>14</xdr:col>
      <xdr:colOff>495300</xdr:colOff>
      <xdr:row>37</xdr:row>
      <xdr:rowOff>165100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11FD963-39F6-EC4E-B980-BD5D81436A8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355600</xdr:colOff>
      <xdr:row>13</xdr:row>
      <xdr:rowOff>76200</xdr:rowOff>
    </xdr:from>
    <xdr:to>
      <xdr:col>5</xdr:col>
      <xdr:colOff>0</xdr:colOff>
      <xdr:row>16</xdr:row>
      <xdr:rowOff>50800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6D6763B-266C-CA4B-B814-0BB370B512C1}"/>
            </a:ext>
          </a:extLst>
        </xdr:cNvPr>
        <xdr:cNvSpPr txBox="1"/>
      </xdr:nvSpPr>
      <xdr:spPr>
        <a:xfrm>
          <a:off x="2933700" y="2552700"/>
          <a:ext cx="1117600" cy="546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/>
            <a:t>Augmentation</a:t>
          </a:r>
        </a:p>
        <a:p>
          <a:r>
            <a:rPr lang="fr-FR" sz="1100"/>
            <a:t>barémique</a:t>
          </a:r>
        </a:p>
      </xdr:txBody>
    </xdr:sp>
    <xdr:clientData/>
  </xdr:twoCellAnchor>
  <xdr:twoCellAnchor>
    <xdr:from>
      <xdr:col>8</xdr:col>
      <xdr:colOff>482600</xdr:colOff>
      <xdr:row>14</xdr:row>
      <xdr:rowOff>101600</xdr:rowOff>
    </xdr:from>
    <xdr:to>
      <xdr:col>9</xdr:col>
      <xdr:colOff>800100</xdr:colOff>
      <xdr:row>17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F48074D-02D0-5644-A77C-03CB15FC5B26}"/>
            </a:ext>
          </a:extLst>
        </xdr:cNvPr>
        <xdr:cNvSpPr txBox="1"/>
      </xdr:nvSpPr>
      <xdr:spPr>
        <a:xfrm>
          <a:off x="7302500" y="2768600"/>
          <a:ext cx="1054100" cy="546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/>
            <a:t>Augmentation</a:t>
          </a:r>
        </a:p>
        <a:p>
          <a:r>
            <a:rPr lang="fr-FR" sz="1100"/>
            <a:t>barémique</a:t>
          </a:r>
        </a:p>
      </xdr:txBody>
    </xdr: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0.69593</cdr:x>
      <cdr:y>0.39831</cdr:y>
    </cdr:from>
    <cdr:to>
      <cdr:x>0.71306</cdr:x>
      <cdr:y>0.53178</cdr:y>
    </cdr:to>
    <cdr:cxnSp macro="">
      <cdr:nvCxnSpPr>
        <cdr:cNvPr id="7" name="Connecteur droit avec flèche 6">
          <a:extLst xmlns:a="http://schemas.openxmlformats.org/drawingml/2006/main">
            <a:ext uri="{FF2B5EF4-FFF2-40B4-BE49-F238E27FC236}">
              <a16:creationId xmlns:a16="http://schemas.microsoft.com/office/drawing/2014/main" id="{6CCA0D8D-2AB3-6349-A1D9-B20FB4AF034F}"/>
            </a:ext>
          </a:extLst>
        </cdr:cNvPr>
        <cdr:cNvCxnSpPr/>
      </cdr:nvCxnSpPr>
      <cdr:spPr>
        <a:xfrm xmlns:a="http://schemas.openxmlformats.org/drawingml/2006/main" flipH="1" flipV="1">
          <a:off x="8255000" y="2387600"/>
          <a:ext cx="203200" cy="800100"/>
        </a:xfrm>
        <a:prstGeom xmlns:a="http://schemas.openxmlformats.org/drawingml/2006/main" prst="straightConnector1">
          <a:avLst/>
        </a:prstGeom>
        <a:ln xmlns:a="http://schemas.openxmlformats.org/drawingml/2006/main" w="19050">
          <a:solidFill>
            <a:srgbClr val="FF0000"/>
          </a:solidFill>
          <a:headEnd type="stealth" w="lg" len="lg"/>
          <a:tailEnd type="none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0.23233</cdr:x>
      <cdr:y>0.23093</cdr:y>
    </cdr:from>
    <cdr:to>
      <cdr:x>0.32334</cdr:x>
      <cdr:y>0.27754</cdr:y>
    </cdr:to>
    <cdr:sp macro="" textlink="">
      <cdr:nvSpPr>
        <cdr:cNvPr id="8" name="ZoneTexte 7">
          <a:extLst xmlns:a="http://schemas.openxmlformats.org/drawingml/2006/main">
            <a:ext uri="{FF2B5EF4-FFF2-40B4-BE49-F238E27FC236}">
              <a16:creationId xmlns:a16="http://schemas.microsoft.com/office/drawing/2014/main" id="{0FCD4C0A-EFD1-304E-9074-0BC166441AB6}"/>
            </a:ext>
          </a:extLst>
        </cdr:cNvPr>
        <cdr:cNvSpPr txBox="1"/>
      </cdr:nvSpPr>
      <cdr:spPr>
        <a:xfrm xmlns:a="http://schemas.openxmlformats.org/drawingml/2006/main">
          <a:off x="2755900" y="1384300"/>
          <a:ext cx="1079500" cy="279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0.6167</cdr:x>
      <cdr:y>0.31144</cdr:y>
    </cdr:from>
    <cdr:to>
      <cdr:x>0.63383</cdr:x>
      <cdr:y>0.44492</cdr:y>
    </cdr:to>
    <cdr:cxnSp macro="">
      <cdr:nvCxnSpPr>
        <cdr:cNvPr id="6" name="Connecteur droit avec flèche 5">
          <a:extLst xmlns:a="http://schemas.openxmlformats.org/drawingml/2006/main">
            <a:ext uri="{FF2B5EF4-FFF2-40B4-BE49-F238E27FC236}">
              <a16:creationId xmlns:a16="http://schemas.microsoft.com/office/drawing/2014/main" id="{6CCA0D8D-2AB3-6349-A1D9-B20FB4AF034F}"/>
            </a:ext>
          </a:extLst>
        </cdr:cNvPr>
        <cdr:cNvCxnSpPr/>
      </cdr:nvCxnSpPr>
      <cdr:spPr>
        <a:xfrm xmlns:a="http://schemas.openxmlformats.org/drawingml/2006/main" flipH="1" flipV="1">
          <a:off x="7315200" y="1866900"/>
          <a:ext cx="203200" cy="800100"/>
        </a:xfrm>
        <a:prstGeom xmlns:a="http://schemas.openxmlformats.org/drawingml/2006/main" prst="straightConnector1">
          <a:avLst/>
        </a:prstGeom>
        <a:ln xmlns:a="http://schemas.openxmlformats.org/drawingml/2006/main" w="19050">
          <a:headEnd type="stealth" w="lg" len="lg"/>
          <a:tailEnd type="none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0.2773</cdr:x>
      <cdr:y>0.27754</cdr:y>
    </cdr:from>
    <cdr:to>
      <cdr:x>0.29443</cdr:x>
      <cdr:y>0.41102</cdr:y>
    </cdr:to>
    <cdr:cxnSp macro="">
      <cdr:nvCxnSpPr>
        <cdr:cNvPr id="3" name="Connecteur droit avec flèche 2">
          <a:extLst xmlns:a="http://schemas.openxmlformats.org/drawingml/2006/main">
            <a:ext uri="{FF2B5EF4-FFF2-40B4-BE49-F238E27FC236}">
              <a16:creationId xmlns:a16="http://schemas.microsoft.com/office/drawing/2014/main" id="{CF8B48BC-2383-EB4E-9AF2-1C1BFDD5BE51}"/>
            </a:ext>
          </a:extLst>
        </cdr:cNvPr>
        <cdr:cNvCxnSpPr/>
      </cdr:nvCxnSpPr>
      <cdr:spPr>
        <a:xfrm xmlns:a="http://schemas.openxmlformats.org/drawingml/2006/main" flipH="1" flipV="1">
          <a:off x="3289300" y="1663700"/>
          <a:ext cx="203200" cy="800100"/>
        </a:xfrm>
        <a:prstGeom xmlns:a="http://schemas.openxmlformats.org/drawingml/2006/main" prst="straightConnector1">
          <a:avLst/>
        </a:prstGeom>
        <a:ln xmlns:a="http://schemas.openxmlformats.org/drawingml/2006/main" w="19050">
          <a:headEnd type="stealth" w="lg" len="lg"/>
          <a:tailEnd type="none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0.65739</cdr:x>
      <cdr:y>0.34746</cdr:y>
    </cdr:from>
    <cdr:to>
      <cdr:x>0.73019</cdr:x>
      <cdr:y>0.40254</cdr:y>
    </cdr:to>
    <cdr:sp macro="" textlink="">
      <cdr:nvSpPr>
        <cdr:cNvPr id="9" name="ZoneTexte 2">
          <a:extLst xmlns:a="http://schemas.openxmlformats.org/drawingml/2006/main">
            <a:ext uri="{FF2B5EF4-FFF2-40B4-BE49-F238E27FC236}">
              <a16:creationId xmlns:a16="http://schemas.microsoft.com/office/drawing/2014/main" id="{86D6763B-266C-CA4B-B814-0BB370B512C1}"/>
            </a:ext>
          </a:extLst>
        </cdr:cNvPr>
        <cdr:cNvSpPr txBox="1"/>
      </cdr:nvSpPr>
      <cdr:spPr>
        <a:xfrm xmlns:a="http://schemas.openxmlformats.org/drawingml/2006/main">
          <a:off x="7797800" y="2082800"/>
          <a:ext cx="863600" cy="330200"/>
        </a:xfrm>
        <a:prstGeom xmlns:a="http://schemas.openxmlformats.org/drawingml/2006/main" prst="rect">
          <a:avLst/>
        </a:prstGeom>
        <a:solidFill xmlns:a="http://schemas.openxmlformats.org/drawingml/2006/main">
          <a:schemeClr val="lt1">
            <a:alpha val="0"/>
          </a:schemeClr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 anchorCtr="1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>
              <a:solidFill>
                <a:schemeClr val="dk1"/>
              </a:solidFill>
              <a:effectLst>
                <a:outerShdw sx="1000" sy="1000" algn="ctr" rotWithShape="0">
                  <a:srgbClr val="000000"/>
                </a:outerShdw>
              </a:effectLst>
            </a:rPr>
            <a:t>Indexation</a:t>
          </a: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423EF80-676D-4677-8AE1-6127D01E7CFD}" name="Données" displayName="Données" ref="A3:V5" totalsRowShown="0" headerRowDxfId="2" dataDxfId="49">
  <autoFilter ref="A3:V5" xr:uid="{B6005C38-CFCA-4E05-AB32-F6C88207DE8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2">
    <tableColumn id="1" xr3:uid="{57C2124B-3CED-4241-843D-92E998165E41}" name="Echelle" dataDxfId="48"/>
    <tableColumn id="2" xr3:uid="{EF74FBC5-0AEC-49F1-A507-F75A82B2AE4D}" name="Anc.pécu" dataDxfId="47"/>
    <tableColumn id="3" xr3:uid="{9B2035FE-17A4-410C-8175-2AE03D37A520}" name="Barème" dataDxfId="46">
      <calculatedColumnFormula>INDEX(Barême[],MATCH($B4,Barême[Anc],0),MATCH($A4,Barême[#Headers],0))</calculatedColumnFormula>
    </tableColumn>
    <tableColumn id="4" xr3:uid="{87F81FCA-6D4F-5E4B-A919-1522D8A4F093}" name="Index" dataDxfId="45">
      <calculatedColumnFormula>D3</calculatedColumnFormula>
    </tableColumn>
    <tableColumn id="5" xr3:uid="{2CFCA051-0D98-564C-976E-9A2ADFAEDF55}" name="Salaire indexé" dataDxfId="44">
      <calculatedColumnFormula>C4*D4</calculatedColumnFormula>
    </tableColumn>
    <tableColumn id="6" xr3:uid="{2AE7AEE5-D046-E747-9479-C42C55DB9058}" name="Tarif horaire" dataDxfId="43">
      <calculatedColumnFormula>E4/1850</calculatedColumnFormula>
    </tableColumn>
    <tableColumn id="7" xr3:uid="{2060378A-0D4F-1741-B49A-96C4217ADB54}" name="Pécule vacance" dataDxfId="42">
      <calculatedColumnFormula>E4*92%/12</calculatedColumnFormula>
    </tableColumn>
    <tableColumn id="8" xr3:uid="{4D3AB2D3-CAFB-C143-B700-A6FCB1947ACC}" name="Fin année" dataDxfId="41">
      <calculatedColumnFormula>780.06+(E4*3%)</calculatedColumnFormula>
    </tableColumn>
    <tableColumn id="9" xr3:uid="{0C39EC4A-51CA-0449-A72C-E33EB8AA531E}" name="Langue" dataDxfId="40"/>
    <tableColumn id="10" xr3:uid="{788BF20C-E654-2046-890A-4CD772F6237E}" name="Tot annuel" dataDxfId="39">
      <calculatedColumnFormula>Données[[#This Row],[Salaire indexé]]+Données[[#This Row],[Pécule vacance]]+Données[[#This Row],[Fin année]]+(Données[[#This Row],[Langue]]*12)+((0.37*Données[[#This Row],[Langue]])*12)</calculatedColumnFormula>
    </tableColumn>
    <tableColumn id="16" xr3:uid="{FACCA1B7-4B78-934E-8B3D-B0041C3C04C8}" name="Tot. Mensuel" dataDxfId="38">
      <calculatedColumnFormula>(Données[[#This Row],[Salaire indexé]]/12)+Données[[#This Row],[Langue]]+(Données[[#This Row],[Langue]]*0.37)</calculatedColumnFormula>
    </tableColumn>
    <tableColumn id="20" xr3:uid="{F4D29A4A-C5F5-BF43-B30B-56DA8FDCE0F7}" name="Retenue AMI" dataDxfId="37">
      <calculatedColumnFormula>K4*3.55%</calculatedColumnFormula>
    </tableColumn>
    <tableColumn id="19" xr3:uid="{EF1095CE-5B3F-2544-8C9B-D5695F204E82}" name="Retenue pension" dataDxfId="36">
      <calculatedColumnFormula>(E4/12)*7.5%</calculatedColumnFormula>
    </tableColumn>
    <tableColumn id="17" xr3:uid="{C5F66049-FECE-624D-950D-523ACD20F7BA}" name="Pré Mensuel net" dataDxfId="35">
      <calculatedColumnFormula>Données[[#This Row],[Tot. Mensuel]]-Données[[#This Row],[Retenue AMI]]-Données[[#This Row],[Retenue pension]]</calculatedColumnFormula>
    </tableColumn>
    <tableColumn id="22" xr3:uid="{D8537CB5-AA59-4E20-B17A-79CAEDB66D16}" name="Déduire enfant" dataDxfId="1">
      <calculatedColumnFormula>VLOOKUP(M$13,Enfants[],2,FALSE)</calculatedColumnFormula>
    </tableColumn>
    <tableColumn id="21" xr3:uid="{67928D70-7432-4811-A130-35589C1021F6}" name="Déduire barême" dataDxfId="0">
      <calculatedColumnFormula>INDEX(OFFSET('Précompte normal'!$A:A,0,N$13),MATCH(Données[[#This Row],[Pré Mensuel net]],'Précompte normal'!A:A,1))</calculatedColumnFormula>
    </tableColumn>
    <tableColumn id="11" xr3:uid="{8884BECF-1516-9447-9751-5519E7668D2C}" name=" " dataDxfId="34"/>
    <tableColumn id="12" xr3:uid="{37B19E18-6912-8147-B6BA-7D7C8455A463}" name="Prime OPS" dataDxfId="33">
      <calculatedColumnFormula>F4*0.38</calculatedColumnFormula>
    </tableColumn>
    <tableColumn id="13" xr3:uid="{C9234B7C-144D-F24A-8834-9B1BEA5AD0A2}" name="Garde 24H" dataDxfId="32">
      <calculatedColumnFormula>R4*24</calculatedColumnFormula>
    </tableColumn>
    <tableColumn id="14" xr3:uid="{4CFEA7C5-C633-1346-8AE2-B7CF1F549154}" name="prime 5,58" dataDxfId="31">
      <calculatedColumnFormula>S4*5.58*12</calculatedColumnFormula>
    </tableColumn>
    <tableColumn id="15" xr3:uid="{37216A02-AF7D-D141-A447-309F40806B0B}" name="Garde 12h" dataDxfId="30">
      <calculatedColumnFormula>((10*Données[[#This Row],[Tarif horaire]])*(1-0.5148))+((12*Données[[#This Row],[Prime OPS]])*(1-0.5148))</calculatedColumnFormula>
    </tableColumn>
    <tableColumn id="18" xr3:uid="{B0747712-3559-4E4E-941A-CB5836E30709}" name="Opt-out" dataDxfId="29">
      <calculatedColumnFormula>Données[[#This Row],[Tarif horaire]]*(1-0.5148)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409AEE-B132-9D4E-8CF7-33A071688F78}" name="Précompte" displayName="Précompte" ref="A1:C343" totalsRowShown="0" headerRowDxfId="28" dataDxfId="27" tableBorderDxfId="26">
  <autoFilter ref="A1:C343" xr:uid="{9C2A3A35-9BFF-1441-B6C2-D88D9E64FDB0}">
    <filterColumn colId="0" hiddenButton="1"/>
    <filterColumn colId="1" hiddenButton="1"/>
    <filterColumn colId="2" hiddenButton="1"/>
  </autoFilter>
  <tableColumns count="3">
    <tableColumn id="1" xr3:uid="{394E7B84-33E6-D64F-8BB0-6534E7FFD3C1}" name="revenu imposable (€)" dataDxfId="25"/>
    <tableColumn id="2" xr3:uid="{04E41A7E-3D3F-8946-BB68-535A543ACEF6}" name="barème 1" dataDxfId="24"/>
    <tableColumn id="3" xr3:uid="{C3A3F9A5-A5D7-E44E-8C56-2DF7E15C7F26}" name="barème 2" dataDxfId="23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C5CCDB9-6B09-3848-8691-EFFB0E60C2DE}" name="Enfants" displayName="Enfants" ref="H1:I9" totalsRowShown="0" headerRowDxfId="22" tableBorderDxfId="21">
  <autoFilter ref="H1:I9" xr:uid="{D3CDA062-C6FB-0A4B-9FC1-968AE722C503}">
    <filterColumn colId="0" hiddenButton="1"/>
    <filterColumn colId="1" hiddenButton="1"/>
  </autoFilter>
  <tableColumns count="2">
    <tableColumn id="1" xr3:uid="{7F734F12-B078-C842-B9B9-384A943BFD15}" name="nombre d’enfants à charge*"/>
    <tableColumn id="2" xr3:uid="{728BFAB9-8EC3-E74E-AB8B-EAF910137D85}" name="réduction mensuelle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298207-C929-481A-A403-39708C3FC420}" name="Barême" displayName="Barême" ref="A2:I48" totalsRowShown="0" headerRowDxfId="20" dataDxfId="19">
  <autoFilter ref="A2:I48" xr:uid="{3D39A4AA-E655-44BE-9EC7-2A97704A43F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E745882B-6DFE-48A3-AA59-B813CF1BC831}" name="Anc" dataDxfId="18"/>
    <tableColumn id="2" xr3:uid="{631ADC2E-611E-4383-B9A4-DA6EA827D179}" name="D151" dataDxfId="17"/>
    <tableColumn id="3" xr3:uid="{8DB279B8-9883-41E6-A88B-8788970F004D}" name="D152" dataDxfId="16"/>
    <tableColumn id="4" xr3:uid="{D024C85F-4AFE-4C91-B8DB-769E63F291A5}" name="D251" dataDxfId="15"/>
    <tableColumn id="5" xr3:uid="{CA6B199B-E14D-4B69-9138-720852D3D794}" name="D252" dataDxfId="14"/>
    <tableColumn id="6" xr3:uid="{F800906A-86C1-4727-82A4-4E7F1E49A549}" name="C151" dataDxfId="13"/>
    <tableColumn id="7" xr3:uid="{22709D56-CDA2-4A4C-AA7B-E6F6C2D15948}" name="C152" dataDxfId="12"/>
    <tableColumn id="8" xr3:uid="{A8409370-CA26-4284-A8F4-C82D4AE939ED}" name="C251" dataDxfId="11"/>
    <tableColumn id="9" xr3:uid="{EEBCCE8A-22F1-4ED4-814B-C428FBB4ECF0}" name="C252" dataDxfId="10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A233419-97E5-7A46-9E84-BC4F0D1C4D9B}" name="Tableau4" displayName="Tableau4" ref="A1:C31" totalsRowShown="0" headerRowDxfId="9" dataDxfId="8">
  <autoFilter ref="A1:C31" xr:uid="{C80A9FEF-D62E-D146-8AFC-80BBC8631EEC}"/>
  <tableColumns count="3">
    <tableColumn id="1" xr3:uid="{5DD09822-83ED-804F-8005-2FAC94651D3E}" name="Saut index" dataDxfId="7"/>
    <tableColumn id="2" xr3:uid="{68EB8218-B5BD-B649-82DF-11B5A519A505}" name="Indexation" dataDxfId="6"/>
    <tableColumn id="3" xr3:uid="{A870127D-CDD1-3549-98A5-2A4BCAB19C14}" name="Index" dataDxfId="5">
      <calculatedColumnFormula>(C1*2%)+C1</calculatedColumnFormula>
    </tableColumn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327F00C-5F94-8C42-A3A1-ED5618180553}" name="Tableau16" displayName="Tableau16" ref="A1:O4" totalsRowCount="1" headerRowDxfId="4">
  <autoFilter ref="A1:O3" xr:uid="{6918415B-5976-744B-B5AA-C9B8B77D6A4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E2E96E29-84E4-B442-8312-8D2ECDD77464}" name="Année" totalsRowLabel="Total"/>
    <tableColumn id="2" xr3:uid="{88105837-CBDC-3640-BC52-8A0113CCC4C2}" name="janvier">
      <calculatedColumnFormula>2588.22+640.27</calculatedColumnFormula>
    </tableColumn>
    <tableColumn id="3" xr3:uid="{87E55CC6-4AC2-3D42-B28F-6706A5C78D00}" name="février">
      <calculatedColumnFormula>2590.59+604.45</calculatedColumnFormula>
    </tableColumn>
    <tableColumn id="4" xr3:uid="{8D2D8D90-019A-6E44-B703-3D44B90BA865}" name="mars">
      <calculatedColumnFormula>2592.77+684.03</calculatedColumnFormula>
    </tableColumn>
    <tableColumn id="5" xr3:uid="{4587AEBD-9ABD-454C-8628-A2F7F1B5E62A}" name="avril">
      <calculatedColumnFormula>2592.77+604.45</calculatedColumnFormula>
    </tableColumn>
    <tableColumn id="6" xr3:uid="{76459333-2C69-4844-981A-03C4B7419687}" name="mai">
      <calculatedColumnFormula>2592.77+756.04</calculatedColumnFormula>
    </tableColumn>
    <tableColumn id="7" xr3:uid="{DAAC4C01-B6B2-8A43-B0CD-1ADF2382DF62}" name="juin">
      <calculatedColumnFormula>2592.77+594.03</calculatedColumnFormula>
    </tableColumn>
    <tableColumn id="8" xr3:uid="{09A88DB5-3ECB-0D4A-A10A-2D9F38B1604E}" name="juillet">
      <calculatedColumnFormula>2627.24+1002.78</calculatedColumnFormula>
    </tableColumn>
    <tableColumn id="9" xr3:uid="{277188A7-50FA-884D-848F-BA2642B6DBC4}" name="août">
      <calculatedColumnFormula>2627.24+330.71</calculatedColumnFormula>
    </tableColumn>
    <tableColumn id="10" xr3:uid="{F28AC08D-11EB-204B-A6E4-02D6A35193BE}" name="septembre">
      <calculatedColumnFormula>2627.24+477.69</calculatedColumnFormula>
    </tableColumn>
    <tableColumn id="11" xr3:uid="{69D8DD6F-4204-4B44-AFED-16B7FB8AC55A}" name="octobre">
      <calculatedColumnFormula>2662.28+224.88</calculatedColumnFormula>
    </tableColumn>
    <tableColumn id="12" xr3:uid="{D54279D6-5C25-7A4E-91AB-FB95966DDD65}" name="novembre">
      <calculatedColumnFormula>2689.3+37.48</calculatedColumnFormula>
    </tableColumn>
    <tableColumn id="13" xr3:uid="{C840EBAB-04E5-2043-8C41-7F41B54AC68B}" name="décembre">
      <calculatedColumnFormula>2679.5+884.58+1581.74+516.83</calculatedColumnFormula>
    </tableColumn>
    <tableColumn id="14" xr3:uid="{C2212C2F-3494-1845-9B82-BBC5FCB624CC}" name="Total" totalsRowFunction="custom" dataDxfId="3">
      <calculatedColumnFormula>SUM(B2:M2)</calculatedColumnFormula>
      <totalsRowFormula>N3-N2</totalsRowFormula>
    </tableColumn>
    <tableColumn id="15" xr3:uid="{A40F88CA-1622-9B47-858D-3F05110753A7}" name="Nbre de gard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V55"/>
  <sheetViews>
    <sheetView showGridLines="0" tabSelected="1" workbookViewId="0">
      <selection activeCell="P4" sqref="P4"/>
    </sheetView>
  </sheetViews>
  <sheetFormatPr baseColWidth="10" defaultColWidth="11.42578125" defaultRowHeight="15"/>
  <cols>
    <col min="1" max="1" width="11.85546875" style="33" customWidth="1"/>
    <col min="2" max="2" width="11.7109375" style="33" customWidth="1"/>
    <col min="3" max="3" width="15.42578125" style="33" bestFit="1" customWidth="1"/>
    <col min="4" max="5" width="12.85546875" style="33" bestFit="1" customWidth="1"/>
    <col min="6" max="6" width="13.42578125" style="33" bestFit="1" customWidth="1"/>
    <col min="7" max="7" width="13.85546875" style="33" bestFit="1" customWidth="1"/>
    <col min="8" max="8" width="11.7109375" style="33" customWidth="1"/>
    <col min="9" max="9" width="10.28515625" style="33" customWidth="1"/>
    <col min="10" max="10" width="14.28515625" style="33" bestFit="1" customWidth="1"/>
    <col min="11" max="11" width="15.140625" style="33" bestFit="1" customWidth="1"/>
    <col min="12" max="12" width="11.85546875" style="33" bestFit="1" customWidth="1"/>
    <col min="13" max="13" width="17.28515625" style="33" bestFit="1" customWidth="1"/>
    <col min="14" max="14" width="11.28515625" style="33" bestFit="1" customWidth="1"/>
    <col min="15" max="16" width="11.28515625" style="33" customWidth="1"/>
    <col min="17" max="17" width="1.7109375" style="33" customWidth="1"/>
    <col min="18" max="18" width="10.7109375" style="33" bestFit="1" customWidth="1"/>
    <col min="19" max="19" width="9.7109375" style="33" bestFit="1" customWidth="1"/>
    <col min="20" max="16384" width="11.42578125" style="33"/>
  </cols>
  <sheetData>
    <row r="1" spans="1:22" ht="17.100000000000001" customHeight="1"/>
    <row r="2" spans="1:22" ht="17.100000000000001" customHeight="1" thickBot="1">
      <c r="O2" s="33" t="s">
        <v>277</v>
      </c>
      <c r="P2" s="33" t="s">
        <v>277</v>
      </c>
    </row>
    <row r="3" spans="1:22" s="160" customFormat="1" ht="48" thickBot="1">
      <c r="A3" s="153" t="s">
        <v>4</v>
      </c>
      <c r="B3" s="154" t="s">
        <v>6</v>
      </c>
      <c r="C3" s="154" t="s">
        <v>0</v>
      </c>
      <c r="D3" s="155" t="s">
        <v>1</v>
      </c>
      <c r="E3" s="155" t="s">
        <v>75</v>
      </c>
      <c r="F3" s="155" t="s">
        <v>76</v>
      </c>
      <c r="G3" s="155" t="s">
        <v>21</v>
      </c>
      <c r="H3" s="155" t="s">
        <v>22</v>
      </c>
      <c r="I3" s="155" t="s">
        <v>77</v>
      </c>
      <c r="J3" s="156" t="s">
        <v>24</v>
      </c>
      <c r="K3" s="155" t="s">
        <v>95</v>
      </c>
      <c r="L3" s="156" t="s">
        <v>261</v>
      </c>
      <c r="M3" s="156" t="s">
        <v>262</v>
      </c>
      <c r="N3" s="155" t="s">
        <v>274</v>
      </c>
      <c r="O3" s="156" t="s">
        <v>276</v>
      </c>
      <c r="P3" s="156" t="s">
        <v>275</v>
      </c>
      <c r="Q3" s="158" t="s">
        <v>80</v>
      </c>
      <c r="R3" s="159" t="s">
        <v>78</v>
      </c>
      <c r="S3" s="155" t="s">
        <v>79</v>
      </c>
      <c r="T3" s="155" t="s">
        <v>14</v>
      </c>
      <c r="U3" s="155" t="s">
        <v>88</v>
      </c>
      <c r="V3" s="157" t="s">
        <v>123</v>
      </c>
    </row>
    <row r="4" spans="1:22" ht="17.100000000000001" customHeight="1" thickBot="1">
      <c r="A4" s="62" t="s">
        <v>5</v>
      </c>
      <c r="B4" s="27">
        <v>18</v>
      </c>
      <c r="C4" s="63">
        <f>INDEX(Barême[],MATCH($B4,Barême[Anc],0),MATCH($A4,Barême[#Headers],0))</f>
        <v>26472</v>
      </c>
      <c r="D4" s="27">
        <v>1.8845000000000001</v>
      </c>
      <c r="E4" s="28">
        <f t="shared" ref="E4:E5" si="0">C4*D4</f>
        <v>49886.484000000004</v>
      </c>
      <c r="F4" s="28">
        <f t="shared" ref="F4:F5" si="1">E4/1850</f>
        <v>26.965667027027028</v>
      </c>
      <c r="G4" s="28">
        <f t="shared" ref="G4:G5" si="2">E4*92%/12</f>
        <v>3824.6304400000004</v>
      </c>
      <c r="H4" s="28">
        <f t="shared" ref="H4:H5" si="3">780.06+(E4*3%)</f>
        <v>2276.65452</v>
      </c>
      <c r="I4" s="28">
        <f>200*Données[[#This Row],[Index]]</f>
        <v>376.90000000000003</v>
      </c>
      <c r="J4" s="48">
        <f>Données[[#This Row],[Salaire indexé]]+Données[[#This Row],[Pécule vacance]]+Données[[#This Row],[Fin année]]+(Données[[#This Row],[Langue]]*12)+((0.37*Données[[#This Row],[Langue]])*12)</f>
        <v>62184.004960000006</v>
      </c>
      <c r="K4" s="28">
        <f>(Données[[#This Row],[Salaire indexé]]/12)+Données[[#This Row],[Langue]]+(Données[[#This Row],[Langue]]*0.37)</f>
        <v>4673.5600000000004</v>
      </c>
      <c r="L4" s="48">
        <f t="shared" ref="L4:L5" si="4">K4*3.55%</f>
        <v>165.91138000000001</v>
      </c>
      <c r="M4" s="48">
        <f t="shared" ref="M4:M5" si="5">(E4/12)*7.5%</f>
        <v>311.790525</v>
      </c>
      <c r="N4" s="28">
        <f>Données[[#This Row],[Tot. Mensuel]]-Données[[#This Row],[Retenue AMI]]-Données[[#This Row],[Retenue pension]]</f>
        <v>4195.8580949999996</v>
      </c>
      <c r="O4" s="48">
        <f>VLOOKUP(M$13,Enfants[],2,FALSE)</f>
        <v>39</v>
      </c>
      <c r="P4" s="48">
        <f ca="1">INDEX(OFFSET('Précompte normal'!$A:A,0,N$13),MATCH(Données[[#This Row],[Pré Mensuel net]],'Précompte normal'!A:A,1))</f>
        <v>1363.89</v>
      </c>
      <c r="Q4" s="67"/>
      <c r="R4" s="65">
        <f>F4*0.38</f>
        <v>10.24695347027027</v>
      </c>
      <c r="S4" s="28">
        <f t="shared" ref="S4:S5" si="6">R4*24</f>
        <v>245.92688328648649</v>
      </c>
      <c r="T4" s="28">
        <f t="shared" ref="T4:T5" si="7">S4*5.58*12</f>
        <v>16467.264104863134</v>
      </c>
      <c r="U4" s="28">
        <f>((10*Données[[#This Row],[Tarif horaire]])*(1-0.5148))+((12*Données[[#This Row],[Prime OPS]])*(1-0.5148))</f>
        <v>190.49927830043677</v>
      </c>
      <c r="V4" s="64">
        <f>Données[[#This Row],[Tarif horaire]]*(1-0.5148)</f>
        <v>13.083741641513512</v>
      </c>
    </row>
    <row r="5" spans="1:22" ht="17.100000000000001" customHeight="1" thickBot="1">
      <c r="A5" s="42" t="s">
        <v>5</v>
      </c>
      <c r="B5" s="29">
        <v>18</v>
      </c>
      <c r="C5" s="43">
        <f>INDEX(Barême[],MATCH($B5,Barême[Anc],0),MATCH($A5,Barême[#Headers],0))</f>
        <v>26472</v>
      </c>
      <c r="D5" s="75">
        <f>D4+(D4*2%)</f>
        <v>1.9221900000000001</v>
      </c>
      <c r="E5" s="30">
        <f t="shared" si="0"/>
        <v>50884.213680000001</v>
      </c>
      <c r="F5" s="30">
        <f t="shared" si="1"/>
        <v>27.504980367567569</v>
      </c>
      <c r="G5" s="30">
        <f t="shared" si="2"/>
        <v>3901.1230488000001</v>
      </c>
      <c r="H5" s="30">
        <f t="shared" si="3"/>
        <v>2306.5864104000002</v>
      </c>
      <c r="I5" s="30">
        <f>200*Données[[#This Row],[Index]]</f>
        <v>384.43799999999999</v>
      </c>
      <c r="J5" s="49">
        <f>Données[[#This Row],[Salaire indexé]]+Données[[#This Row],[Pécule vacance]]+Données[[#This Row],[Fin année]]+(Données[[#This Row],[Langue]]*12)+((0.37*Données[[#This Row],[Langue]])*12)</f>
        <v>63412.0838592</v>
      </c>
      <c r="K5" s="30">
        <f>(Données[[#This Row],[Salaire indexé]]/12)+Données[[#This Row],[Langue]]+(Données[[#This Row],[Langue]]*0.37)</f>
        <v>4767.0311999999994</v>
      </c>
      <c r="L5" s="49">
        <f t="shared" si="4"/>
        <v>169.22960759999995</v>
      </c>
      <c r="M5" s="49">
        <f t="shared" si="5"/>
        <v>318.02633549999996</v>
      </c>
      <c r="N5" s="30">
        <f>Données[[#This Row],[Tot. Mensuel]]-Données[[#This Row],[Retenue AMI]]-Données[[#This Row],[Retenue pension]]</f>
        <v>4279.7752568999995</v>
      </c>
      <c r="O5" s="49">
        <f>VLOOKUP(M$13,Enfants[],2,FALSE)</f>
        <v>39</v>
      </c>
      <c r="P5" s="49">
        <f ca="1">INDEX(OFFSET('Précompte normal'!$A:A,0,N$13),MATCH(Données[[#This Row],[Pré Mensuel net]],'Précompte normal'!A:A,1))</f>
        <v>1412.04</v>
      </c>
      <c r="Q5" s="67"/>
      <c r="R5" s="32">
        <f>F5*0.38</f>
        <v>10.451892539675676</v>
      </c>
      <c r="S5" s="30">
        <f t="shared" si="6"/>
        <v>250.84542095221622</v>
      </c>
      <c r="T5" s="30">
        <f t="shared" si="7"/>
        <v>16796.609386960397</v>
      </c>
      <c r="U5" s="30">
        <f>((10*Données[[#This Row],[Tarif horaire]])*(1-0.5148))+((12*Données[[#This Row],[Prime OPS]])*(1-0.5148))</f>
        <v>194.30926386644546</v>
      </c>
      <c r="V5" s="31">
        <f>Données[[#This Row],[Tarif horaire]]*(1-0.5148)</f>
        <v>13.345416474343784</v>
      </c>
    </row>
    <row r="6" spans="1:22" ht="17.100000000000001" customHeight="1" thickBot="1"/>
    <row r="7" spans="1:22" ht="17.100000000000001" customHeight="1" thickBot="1">
      <c r="A7" s="152" t="s">
        <v>81</v>
      </c>
      <c r="B7" s="152"/>
      <c r="C7" s="52" t="s">
        <v>82</v>
      </c>
      <c r="D7" s="35">
        <v>3</v>
      </c>
      <c r="E7" s="26"/>
      <c r="F7" s="52" t="s">
        <v>83</v>
      </c>
      <c r="G7" s="58">
        <f>(D7*S4)+(D8*R4)</f>
        <v>860.74409150270276</v>
      </c>
      <c r="K7" s="55" t="s">
        <v>96</v>
      </c>
      <c r="S7" s="34"/>
    </row>
    <row r="8" spans="1:22" ht="17.100000000000001" customHeight="1" thickBot="1">
      <c r="A8" s="26"/>
      <c r="B8" s="26"/>
      <c r="C8" s="53" t="s">
        <v>84</v>
      </c>
      <c r="D8" s="36">
        <v>12</v>
      </c>
      <c r="E8" s="26"/>
      <c r="F8" s="60" t="s">
        <v>85</v>
      </c>
      <c r="G8" s="83">
        <f>G7*(1-0.535)</f>
        <v>400.24600254875673</v>
      </c>
      <c r="J8" s="56" t="s">
        <v>97</v>
      </c>
      <c r="K8" s="61">
        <v>0</v>
      </c>
      <c r="L8" s="84">
        <v>2823.28</v>
      </c>
    </row>
    <row r="9" spans="1:22" ht="17.100000000000001" customHeight="1" thickBot="1">
      <c r="A9" s="26"/>
      <c r="B9" s="26"/>
      <c r="C9" s="60" t="s">
        <v>121</v>
      </c>
      <c r="D9" s="69">
        <v>0</v>
      </c>
      <c r="E9" s="26"/>
      <c r="F9" s="60" t="s">
        <v>122</v>
      </c>
      <c r="G9" s="83">
        <f>((D9*F4)*(1-0.535)+G8)</f>
        <v>400.24600254875673</v>
      </c>
      <c r="J9" s="57" t="s">
        <v>98</v>
      </c>
      <c r="K9" s="86">
        <v>18</v>
      </c>
      <c r="L9" s="85">
        <f>L8-(K9*1.09)</f>
        <v>2803.6600000000003</v>
      </c>
    </row>
    <row r="10" spans="1:22" ht="17.100000000000001" customHeight="1" thickBot="1">
      <c r="A10" s="26"/>
      <c r="B10" s="26"/>
      <c r="C10" s="54" t="s">
        <v>86</v>
      </c>
      <c r="D10" s="37">
        <v>1</v>
      </c>
      <c r="E10" s="26"/>
      <c r="F10" s="54" t="s">
        <v>87</v>
      </c>
      <c r="G10" s="59">
        <f>G8+(U4*D10)</f>
        <v>590.74528084919348</v>
      </c>
    </row>
    <row r="11" spans="1:22" ht="17.100000000000001" customHeight="1" thickBot="1">
      <c r="A11" s="26"/>
      <c r="B11" s="26"/>
      <c r="C11" s="26"/>
      <c r="D11" s="26"/>
      <c r="E11" s="50"/>
      <c r="F11" s="51"/>
    </row>
    <row r="12" spans="1:22" ht="17.100000000000001" customHeight="1" thickBot="1">
      <c r="A12" s="26"/>
      <c r="B12" s="26"/>
      <c r="C12" s="26"/>
      <c r="D12" s="26"/>
      <c r="E12" s="50"/>
      <c r="F12" s="68"/>
      <c r="M12" s="87" t="s">
        <v>134</v>
      </c>
      <c r="N12" s="87" t="s">
        <v>273</v>
      </c>
    </row>
    <row r="13" spans="1:22" ht="17.100000000000001" customHeight="1" thickBot="1">
      <c r="A13" s="26"/>
      <c r="B13" s="26"/>
      <c r="C13" s="55" t="s">
        <v>89</v>
      </c>
      <c r="D13" s="97">
        <f>H4*(1-0.535)</f>
        <v>1058.6443517999999</v>
      </c>
      <c r="E13" s="47"/>
      <c r="F13" s="66"/>
      <c r="G13" s="70"/>
      <c r="H13" s="44">
        <v>1145.49</v>
      </c>
      <c r="I13" s="33" t="s">
        <v>130</v>
      </c>
      <c r="M13" s="88">
        <v>1</v>
      </c>
      <c r="N13" s="88">
        <v>1</v>
      </c>
    </row>
    <row r="14" spans="1:22" ht="17.100000000000001" customHeight="1" thickBot="1">
      <c r="A14" s="26"/>
      <c r="B14" s="26"/>
      <c r="C14" s="55" t="s">
        <v>90</v>
      </c>
      <c r="D14" s="97">
        <f>G4*(1-0.535)</f>
        <v>1778.4531546000001</v>
      </c>
      <c r="E14" s="46"/>
      <c r="G14" s="44"/>
      <c r="H14" s="44">
        <v>1435.74</v>
      </c>
      <c r="I14" s="33" t="s">
        <v>131</v>
      </c>
    </row>
    <row r="15" spans="1:22" ht="17.100000000000001" customHeight="1">
      <c r="A15" s="26"/>
      <c r="B15" s="26"/>
      <c r="C15" s="26"/>
      <c r="D15" s="26"/>
      <c r="E15" s="26"/>
      <c r="G15" s="44"/>
      <c r="H15" s="33">
        <v>1100.93</v>
      </c>
      <c r="I15" s="33" t="s">
        <v>132</v>
      </c>
      <c r="K15" s="44"/>
      <c r="L15" s="44">
        <f>H4-((H4*0.535)-((H4*0.535)*0.75))</f>
        <v>1972.1519779499999</v>
      </c>
    </row>
    <row r="16" spans="1:22" ht="17.100000000000001" customHeight="1">
      <c r="B16" s="26"/>
      <c r="C16" s="26"/>
      <c r="D16" s="26"/>
      <c r="E16" s="70"/>
      <c r="F16" s="81"/>
    </row>
    <row r="17" spans="1:17" ht="17.100000000000001" customHeight="1">
      <c r="B17" s="40"/>
      <c r="C17" s="40"/>
      <c r="D17" s="73"/>
      <c r="E17" s="40"/>
      <c r="F17" s="40"/>
    </row>
    <row r="18" spans="1:17">
      <c r="B18" s="40"/>
      <c r="C18" s="40"/>
      <c r="D18" s="40"/>
      <c r="E18" s="40"/>
      <c r="F18" s="40"/>
      <c r="I18" s="44"/>
      <c r="J18" s="45"/>
      <c r="K18" s="98">
        <f>E4/12</f>
        <v>4157.2070000000003</v>
      </c>
      <c r="L18" s="45"/>
    </row>
    <row r="19" spans="1:17" ht="15.75">
      <c r="A19" s="38" t="s">
        <v>91</v>
      </c>
      <c r="I19" s="44"/>
      <c r="Q19" s="44"/>
    </row>
    <row r="20" spans="1:17" ht="15.75">
      <c r="A20" s="39"/>
      <c r="G20" s="40"/>
      <c r="I20" s="44"/>
      <c r="Q20" s="44"/>
    </row>
    <row r="21" spans="1:17" ht="15.75">
      <c r="A21" s="41" t="s">
        <v>92</v>
      </c>
      <c r="G21" s="40"/>
      <c r="I21" s="44"/>
    </row>
    <row r="22" spans="1:17" ht="15.75">
      <c r="A22" s="39" t="s">
        <v>93</v>
      </c>
      <c r="I22" s="44"/>
    </row>
    <row r="23" spans="1:17" ht="15.75">
      <c r="A23" s="71" t="s">
        <v>124</v>
      </c>
    </row>
    <row r="24" spans="1:17" ht="15.75">
      <c r="A24" s="82" t="s">
        <v>133</v>
      </c>
      <c r="J24" s="33">
        <v>335.06</v>
      </c>
    </row>
    <row r="25" spans="1:17" ht="15.75">
      <c r="A25" s="39" t="s">
        <v>94</v>
      </c>
    </row>
    <row r="27" spans="1:17">
      <c r="A27" s="72" t="s">
        <v>125</v>
      </c>
    </row>
    <row r="28" spans="1:17">
      <c r="A28" s="72" t="s">
        <v>126</v>
      </c>
    </row>
    <row r="55" spans="3:3">
      <c r="C55" s="76"/>
    </row>
  </sheetData>
  <mergeCells count="1">
    <mergeCell ref="A7:B7"/>
  </mergeCells>
  <phoneticPr fontId="14" type="noConversion"/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96129-F3C9-B94C-91DC-B49026299EDC}">
  <dimension ref="A1:I343"/>
  <sheetViews>
    <sheetView workbookViewId="0"/>
  </sheetViews>
  <sheetFormatPr baseColWidth="10" defaultRowHeight="15"/>
  <cols>
    <col min="1" max="1" width="17.85546875" customWidth="1"/>
    <col min="2" max="3" width="11" customWidth="1"/>
    <col min="8" max="8" width="25" customWidth="1"/>
    <col min="9" max="9" width="45.85546875" bestFit="1" customWidth="1"/>
  </cols>
  <sheetData>
    <row r="1" spans="1:9" ht="28.5">
      <c r="A1" s="120" t="s">
        <v>270</v>
      </c>
      <c r="B1" s="129" t="s">
        <v>271</v>
      </c>
      <c r="C1" s="130" t="s">
        <v>272</v>
      </c>
      <c r="H1" s="105" t="s">
        <v>268</v>
      </c>
      <c r="I1" s="106" t="s">
        <v>269</v>
      </c>
    </row>
    <row r="2" spans="1:9">
      <c r="A2" s="121">
        <v>675</v>
      </c>
      <c r="B2" s="122">
        <v>0</v>
      </c>
      <c r="C2" s="123">
        <v>0</v>
      </c>
      <c r="H2" s="100">
        <v>1</v>
      </c>
      <c r="I2" s="101">
        <v>39</v>
      </c>
    </row>
    <row r="3" spans="1:9">
      <c r="A3" s="124">
        <v>690</v>
      </c>
      <c r="B3" s="123">
        <v>0</v>
      </c>
      <c r="C3" s="123">
        <v>0</v>
      </c>
      <c r="H3" s="102">
        <v>2</v>
      </c>
      <c r="I3" s="103">
        <v>110</v>
      </c>
    </row>
    <row r="4" spans="1:9">
      <c r="A4" s="124">
        <v>705</v>
      </c>
      <c r="B4" s="123">
        <v>0</v>
      </c>
      <c r="C4" s="123">
        <v>0</v>
      </c>
      <c r="H4" s="102">
        <v>3</v>
      </c>
      <c r="I4" s="103">
        <v>291</v>
      </c>
    </row>
    <row r="5" spans="1:9">
      <c r="A5" s="124">
        <v>720</v>
      </c>
      <c r="B5" s="123">
        <v>0</v>
      </c>
      <c r="C5" s="123">
        <v>0</v>
      </c>
      <c r="H5" s="102">
        <v>4</v>
      </c>
      <c r="I5" s="103">
        <v>510</v>
      </c>
    </row>
    <row r="6" spans="1:9">
      <c r="A6" s="124">
        <v>735</v>
      </c>
      <c r="B6" s="123">
        <v>0</v>
      </c>
      <c r="C6" s="123">
        <v>0</v>
      </c>
      <c r="H6" s="102">
        <v>5</v>
      </c>
      <c r="I6" s="103">
        <v>750</v>
      </c>
    </row>
    <row r="7" spans="1:9">
      <c r="A7" s="124">
        <v>750</v>
      </c>
      <c r="B7" s="123">
        <v>0</v>
      </c>
      <c r="C7" s="123">
        <v>0</v>
      </c>
      <c r="H7" s="100">
        <v>6</v>
      </c>
      <c r="I7" s="101">
        <v>991</v>
      </c>
    </row>
    <row r="8" spans="1:9">
      <c r="A8" s="124">
        <v>765</v>
      </c>
      <c r="B8" s="123">
        <v>0</v>
      </c>
      <c r="C8" s="123">
        <v>0</v>
      </c>
      <c r="H8" s="102">
        <v>7</v>
      </c>
      <c r="I8" s="104">
        <v>1232</v>
      </c>
    </row>
    <row r="9" spans="1:9">
      <c r="A9" s="124">
        <v>780</v>
      </c>
      <c r="B9" s="123">
        <v>0</v>
      </c>
      <c r="C9" s="123">
        <v>0</v>
      </c>
      <c r="H9" s="102">
        <v>8</v>
      </c>
      <c r="I9" s="104">
        <v>1498</v>
      </c>
    </row>
    <row r="10" spans="1:9">
      <c r="A10" s="124">
        <v>795</v>
      </c>
      <c r="B10" s="123">
        <v>0</v>
      </c>
      <c r="C10" s="123">
        <v>0</v>
      </c>
    </row>
    <row r="11" spans="1:9">
      <c r="A11" s="124">
        <v>810</v>
      </c>
      <c r="B11" s="123">
        <v>0</v>
      </c>
      <c r="C11" s="123">
        <v>0</v>
      </c>
    </row>
    <row r="12" spans="1:9">
      <c r="A12" s="124">
        <v>825</v>
      </c>
      <c r="B12" s="123">
        <v>0</v>
      </c>
      <c r="C12" s="123">
        <v>0</v>
      </c>
    </row>
    <row r="13" spans="1:9">
      <c r="A13" s="124">
        <v>840</v>
      </c>
      <c r="B13" s="123">
        <v>0</v>
      </c>
      <c r="C13" s="123">
        <v>0</v>
      </c>
    </row>
    <row r="14" spans="1:9">
      <c r="A14" s="124">
        <v>855</v>
      </c>
      <c r="B14" s="123">
        <v>0</v>
      </c>
      <c r="C14" s="123">
        <v>0</v>
      </c>
    </row>
    <row r="15" spans="1:9">
      <c r="A15" s="124">
        <v>870</v>
      </c>
      <c r="B15" s="123">
        <v>0</v>
      </c>
      <c r="C15" s="123">
        <v>0</v>
      </c>
    </row>
    <row r="16" spans="1:9">
      <c r="A16" s="124">
        <v>885</v>
      </c>
      <c r="B16" s="123">
        <v>0</v>
      </c>
      <c r="C16" s="123">
        <v>0</v>
      </c>
    </row>
    <row r="17" spans="1:3">
      <c r="A17" s="124">
        <v>900</v>
      </c>
      <c r="B17" s="123">
        <v>0</v>
      </c>
      <c r="C17" s="123">
        <v>0</v>
      </c>
    </row>
    <row r="18" spans="1:3">
      <c r="A18" s="124">
        <v>915</v>
      </c>
      <c r="B18" s="123">
        <v>0</v>
      </c>
      <c r="C18" s="123">
        <v>0</v>
      </c>
    </row>
    <row r="19" spans="1:3">
      <c r="A19" s="124">
        <v>930</v>
      </c>
      <c r="B19" s="123">
        <v>0</v>
      </c>
      <c r="C19" s="123">
        <v>0</v>
      </c>
    </row>
    <row r="20" spans="1:3">
      <c r="A20" s="124">
        <v>945</v>
      </c>
      <c r="B20" s="123">
        <v>0</v>
      </c>
      <c r="C20" s="123">
        <v>0</v>
      </c>
    </row>
    <row r="21" spans="1:3">
      <c r="A21" s="124">
        <v>960</v>
      </c>
      <c r="B21" s="123">
        <v>0</v>
      </c>
      <c r="C21" s="123">
        <v>0</v>
      </c>
    </row>
    <row r="22" spans="1:3">
      <c r="A22" s="124">
        <v>975</v>
      </c>
      <c r="B22" s="123">
        <v>0</v>
      </c>
      <c r="C22" s="123">
        <v>0</v>
      </c>
    </row>
    <row r="23" spans="1:3">
      <c r="A23" s="124">
        <v>990</v>
      </c>
      <c r="B23" s="125">
        <v>0.13</v>
      </c>
      <c r="C23" s="123">
        <v>0</v>
      </c>
    </row>
    <row r="24" spans="1:3">
      <c r="A24" s="124">
        <v>1005</v>
      </c>
      <c r="B24" s="125">
        <v>2.94</v>
      </c>
      <c r="C24" s="123">
        <v>0</v>
      </c>
    </row>
    <row r="25" spans="1:3">
      <c r="A25" s="124">
        <v>1020</v>
      </c>
      <c r="B25" s="125">
        <v>5.75</v>
      </c>
      <c r="C25" s="123">
        <v>0</v>
      </c>
    </row>
    <row r="26" spans="1:3">
      <c r="A26" s="124">
        <v>1035</v>
      </c>
      <c r="B26" s="125">
        <v>8.56</v>
      </c>
      <c r="C26" s="123">
        <v>0</v>
      </c>
    </row>
    <row r="27" spans="1:3">
      <c r="A27" s="124">
        <v>1050</v>
      </c>
      <c r="B27" s="125">
        <v>11.36</v>
      </c>
      <c r="C27" s="123">
        <v>0</v>
      </c>
    </row>
    <row r="28" spans="1:3">
      <c r="A28" s="124">
        <v>1065</v>
      </c>
      <c r="B28" s="125">
        <v>14.17</v>
      </c>
      <c r="C28" s="123">
        <v>0</v>
      </c>
    </row>
    <row r="29" spans="1:3">
      <c r="A29" s="124">
        <v>1080</v>
      </c>
      <c r="B29" s="125">
        <v>16.98</v>
      </c>
      <c r="C29" s="123">
        <v>0</v>
      </c>
    </row>
    <row r="30" spans="1:3">
      <c r="A30" s="124">
        <v>1095</v>
      </c>
      <c r="B30" s="125">
        <v>19.79</v>
      </c>
      <c r="C30" s="123">
        <v>0</v>
      </c>
    </row>
    <row r="31" spans="1:3">
      <c r="A31" s="124">
        <v>1110</v>
      </c>
      <c r="B31" s="125">
        <v>22.6</v>
      </c>
      <c r="C31" s="123">
        <v>0</v>
      </c>
    </row>
    <row r="32" spans="1:3">
      <c r="A32" s="124">
        <v>1125</v>
      </c>
      <c r="B32" s="125">
        <v>25.41</v>
      </c>
      <c r="C32" s="123">
        <v>0</v>
      </c>
    </row>
    <row r="33" spans="1:3">
      <c r="A33" s="124">
        <v>1140</v>
      </c>
      <c r="B33" s="125">
        <v>28.22</v>
      </c>
      <c r="C33" s="123">
        <v>0</v>
      </c>
    </row>
    <row r="34" spans="1:3">
      <c r="A34" s="124">
        <v>1155</v>
      </c>
      <c r="B34" s="125">
        <v>31.03</v>
      </c>
      <c r="C34" s="123">
        <v>0</v>
      </c>
    </row>
    <row r="35" spans="1:3">
      <c r="A35" s="124">
        <v>1170</v>
      </c>
      <c r="B35" s="125">
        <v>33.83</v>
      </c>
      <c r="C35" s="123">
        <v>0</v>
      </c>
    </row>
    <row r="36" spans="1:3">
      <c r="A36" s="124">
        <v>1185</v>
      </c>
      <c r="B36" s="125">
        <v>36.64</v>
      </c>
      <c r="C36" s="123">
        <v>0</v>
      </c>
    </row>
    <row r="37" spans="1:3">
      <c r="A37" s="124">
        <v>1200</v>
      </c>
      <c r="B37" s="125">
        <v>39.450000000000003</v>
      </c>
      <c r="C37" s="123">
        <v>0</v>
      </c>
    </row>
    <row r="38" spans="1:3">
      <c r="A38" s="124">
        <v>1215</v>
      </c>
      <c r="B38" s="125">
        <v>42.26</v>
      </c>
      <c r="C38" s="123">
        <v>0</v>
      </c>
    </row>
    <row r="39" spans="1:3">
      <c r="A39" s="121">
        <v>1230</v>
      </c>
      <c r="B39" s="126">
        <v>45.07</v>
      </c>
      <c r="C39" s="123">
        <v>0</v>
      </c>
    </row>
    <row r="40" spans="1:3">
      <c r="A40" s="124">
        <v>1245</v>
      </c>
      <c r="B40" s="125">
        <v>47.88</v>
      </c>
      <c r="C40" s="123">
        <v>0</v>
      </c>
    </row>
    <row r="41" spans="1:3">
      <c r="A41" s="124">
        <v>1260</v>
      </c>
      <c r="B41" s="125">
        <v>50.69</v>
      </c>
      <c r="C41" s="123">
        <v>0</v>
      </c>
    </row>
    <row r="42" spans="1:3">
      <c r="A42" s="124">
        <v>1275</v>
      </c>
      <c r="B42" s="125">
        <v>53.5</v>
      </c>
      <c r="C42" s="123">
        <v>0</v>
      </c>
    </row>
    <row r="43" spans="1:3">
      <c r="A43" s="124">
        <v>1290</v>
      </c>
      <c r="B43" s="125">
        <v>56.3</v>
      </c>
      <c r="C43" s="123">
        <v>0</v>
      </c>
    </row>
    <row r="44" spans="1:3">
      <c r="A44" s="124">
        <v>1305</v>
      </c>
      <c r="B44" s="125">
        <v>59.11</v>
      </c>
      <c r="C44" s="123">
        <v>0</v>
      </c>
    </row>
    <row r="45" spans="1:3">
      <c r="A45" s="124">
        <v>1320</v>
      </c>
      <c r="B45" s="125">
        <v>61.92</v>
      </c>
      <c r="C45" s="123">
        <v>0</v>
      </c>
    </row>
    <row r="46" spans="1:3">
      <c r="A46" s="124">
        <v>1335</v>
      </c>
      <c r="B46" s="125">
        <v>64.73</v>
      </c>
      <c r="C46" s="123">
        <v>0</v>
      </c>
    </row>
    <row r="47" spans="1:3">
      <c r="A47" s="124">
        <v>1350</v>
      </c>
      <c r="B47" s="125">
        <v>67.540000000000006</v>
      </c>
      <c r="C47" s="123">
        <v>0</v>
      </c>
    </row>
    <row r="48" spans="1:3">
      <c r="A48" s="124">
        <v>1365</v>
      </c>
      <c r="B48" s="125">
        <v>70.349999999999994</v>
      </c>
      <c r="C48" s="123">
        <v>0</v>
      </c>
    </row>
    <row r="49" spans="1:3">
      <c r="A49" s="124">
        <v>1380</v>
      </c>
      <c r="B49" s="125">
        <v>73.16</v>
      </c>
      <c r="C49" s="123">
        <v>0</v>
      </c>
    </row>
    <row r="50" spans="1:3">
      <c r="A50" s="124">
        <v>1395</v>
      </c>
      <c r="B50" s="125">
        <v>75.97</v>
      </c>
      <c r="C50" s="123">
        <v>0</v>
      </c>
    </row>
    <row r="51" spans="1:3">
      <c r="A51" s="124">
        <v>1410</v>
      </c>
      <c r="B51" s="125">
        <v>79.8</v>
      </c>
      <c r="C51" s="123">
        <v>0</v>
      </c>
    </row>
    <row r="52" spans="1:3">
      <c r="A52" s="124">
        <v>1425</v>
      </c>
      <c r="B52" s="125">
        <v>83.81</v>
      </c>
      <c r="C52" s="123">
        <v>0</v>
      </c>
    </row>
    <row r="53" spans="1:3">
      <c r="A53" s="124">
        <v>1440</v>
      </c>
      <c r="B53" s="125">
        <v>87.82</v>
      </c>
      <c r="C53" s="123">
        <v>0</v>
      </c>
    </row>
    <row r="54" spans="1:3">
      <c r="A54" s="124">
        <v>1455</v>
      </c>
      <c r="B54" s="125">
        <v>91.84</v>
      </c>
      <c r="C54" s="123">
        <v>0</v>
      </c>
    </row>
    <row r="55" spans="1:3">
      <c r="A55" s="124">
        <v>1470</v>
      </c>
      <c r="B55" s="125">
        <v>95.85</v>
      </c>
      <c r="C55" s="123">
        <v>0</v>
      </c>
    </row>
    <row r="56" spans="1:3">
      <c r="A56" s="124">
        <v>1485</v>
      </c>
      <c r="B56" s="125">
        <v>99.86</v>
      </c>
      <c r="C56" s="123">
        <v>0</v>
      </c>
    </row>
    <row r="57" spans="1:3">
      <c r="A57" s="124">
        <v>1500</v>
      </c>
      <c r="B57" s="125">
        <v>103.87</v>
      </c>
      <c r="C57" s="123">
        <v>0</v>
      </c>
    </row>
    <row r="58" spans="1:3">
      <c r="A58" s="124">
        <v>1515</v>
      </c>
      <c r="B58" s="125">
        <v>107.89</v>
      </c>
      <c r="C58" s="123">
        <v>0</v>
      </c>
    </row>
    <row r="59" spans="1:3">
      <c r="A59" s="124">
        <v>1530</v>
      </c>
      <c r="B59" s="125">
        <v>111.9</v>
      </c>
      <c r="C59" s="123">
        <v>0</v>
      </c>
    </row>
    <row r="60" spans="1:3">
      <c r="A60" s="124">
        <v>1545</v>
      </c>
      <c r="B60" s="125">
        <v>115.91</v>
      </c>
      <c r="C60" s="123">
        <v>0</v>
      </c>
    </row>
    <row r="61" spans="1:3">
      <c r="A61" s="124">
        <v>1560</v>
      </c>
      <c r="B61" s="125">
        <v>119.92</v>
      </c>
      <c r="C61" s="123">
        <v>0</v>
      </c>
    </row>
    <row r="62" spans="1:3">
      <c r="A62" s="124">
        <v>1575</v>
      </c>
      <c r="B62" s="125">
        <v>124.07</v>
      </c>
      <c r="C62" s="123">
        <v>0</v>
      </c>
    </row>
    <row r="63" spans="1:3">
      <c r="A63" s="124">
        <v>1590</v>
      </c>
      <c r="B63" s="125">
        <v>130.49</v>
      </c>
      <c r="C63" s="123">
        <v>0</v>
      </c>
    </row>
    <row r="64" spans="1:3">
      <c r="A64" s="124">
        <v>1605</v>
      </c>
      <c r="B64" s="125">
        <v>136.91</v>
      </c>
      <c r="C64" s="123">
        <v>0</v>
      </c>
    </row>
    <row r="65" spans="1:3">
      <c r="A65" s="124">
        <v>1620</v>
      </c>
      <c r="B65" s="125">
        <v>143.33000000000001</v>
      </c>
      <c r="C65" s="123">
        <v>0</v>
      </c>
    </row>
    <row r="66" spans="1:3">
      <c r="A66" s="124">
        <v>1635</v>
      </c>
      <c r="B66" s="125">
        <v>149.75</v>
      </c>
      <c r="C66" s="123">
        <v>0</v>
      </c>
    </row>
    <row r="67" spans="1:3">
      <c r="A67" s="124">
        <v>1650</v>
      </c>
      <c r="B67" s="125">
        <v>156.16999999999999</v>
      </c>
      <c r="C67" s="123">
        <v>0</v>
      </c>
    </row>
    <row r="68" spans="1:3">
      <c r="A68" s="124">
        <v>1665</v>
      </c>
      <c r="B68" s="125">
        <v>162.59</v>
      </c>
      <c r="C68" s="123">
        <v>0</v>
      </c>
    </row>
    <row r="69" spans="1:3">
      <c r="A69" s="124">
        <v>1680</v>
      </c>
      <c r="B69" s="125">
        <v>169.01</v>
      </c>
      <c r="C69" s="123">
        <v>0</v>
      </c>
    </row>
    <row r="70" spans="1:3">
      <c r="A70" s="124">
        <v>1695</v>
      </c>
      <c r="B70" s="125">
        <v>175.43</v>
      </c>
      <c r="C70" s="123">
        <v>0</v>
      </c>
    </row>
    <row r="71" spans="1:3">
      <c r="A71" s="124">
        <v>1710</v>
      </c>
      <c r="B71" s="125">
        <v>181.85</v>
      </c>
      <c r="C71" s="123">
        <v>0</v>
      </c>
    </row>
    <row r="72" spans="1:3">
      <c r="A72" s="124">
        <v>1725</v>
      </c>
      <c r="B72" s="125">
        <v>188.27</v>
      </c>
      <c r="C72" s="123">
        <v>0</v>
      </c>
    </row>
    <row r="73" spans="1:3">
      <c r="A73" s="124">
        <v>1740</v>
      </c>
      <c r="B73" s="125">
        <v>194.69</v>
      </c>
      <c r="C73" s="123">
        <v>0</v>
      </c>
    </row>
    <row r="74" spans="1:3">
      <c r="A74" s="124">
        <v>1755</v>
      </c>
      <c r="B74" s="125">
        <v>201.11</v>
      </c>
      <c r="C74" s="123">
        <v>0</v>
      </c>
    </row>
    <row r="75" spans="1:3">
      <c r="A75" s="124">
        <v>1770</v>
      </c>
      <c r="B75" s="125">
        <v>207.53</v>
      </c>
      <c r="C75" s="123">
        <v>0</v>
      </c>
    </row>
    <row r="76" spans="1:3">
      <c r="A76" s="121">
        <v>1785</v>
      </c>
      <c r="B76" s="126">
        <v>213.95</v>
      </c>
      <c r="C76" s="123">
        <v>0</v>
      </c>
    </row>
    <row r="77" spans="1:3">
      <c r="A77" s="124">
        <v>1800</v>
      </c>
      <c r="B77" s="125">
        <v>220.37</v>
      </c>
      <c r="C77" s="123">
        <v>0</v>
      </c>
    </row>
    <row r="78" spans="1:3">
      <c r="A78" s="124">
        <v>1815</v>
      </c>
      <c r="B78" s="125">
        <v>226.79</v>
      </c>
      <c r="C78" s="125">
        <v>2.89</v>
      </c>
    </row>
    <row r="79" spans="1:3">
      <c r="A79" s="124">
        <v>1830</v>
      </c>
      <c r="B79" s="125">
        <v>233.21</v>
      </c>
      <c r="C79" s="125">
        <v>6.9</v>
      </c>
    </row>
    <row r="80" spans="1:3">
      <c r="A80" s="124">
        <v>1845</v>
      </c>
      <c r="B80" s="125">
        <v>239.63</v>
      </c>
      <c r="C80" s="125">
        <v>10.92</v>
      </c>
    </row>
    <row r="81" spans="1:3">
      <c r="A81" s="124">
        <v>1860</v>
      </c>
      <c r="B81" s="125">
        <v>246.05</v>
      </c>
      <c r="C81" s="125">
        <v>14.93</v>
      </c>
    </row>
    <row r="82" spans="1:3">
      <c r="A82" s="124">
        <v>1875</v>
      </c>
      <c r="B82" s="125">
        <v>252.47</v>
      </c>
      <c r="C82" s="125">
        <v>18.940000000000001</v>
      </c>
    </row>
    <row r="83" spans="1:3">
      <c r="A83" s="124">
        <v>1890</v>
      </c>
      <c r="B83" s="125">
        <v>258.89</v>
      </c>
      <c r="C83" s="125">
        <v>22.95</v>
      </c>
    </row>
    <row r="84" spans="1:3">
      <c r="A84" s="124">
        <v>1905</v>
      </c>
      <c r="B84" s="125">
        <v>265.31</v>
      </c>
      <c r="C84" s="125">
        <v>26.97</v>
      </c>
    </row>
    <row r="85" spans="1:3">
      <c r="A85" s="124">
        <v>1920</v>
      </c>
      <c r="B85" s="125">
        <v>271.73</v>
      </c>
      <c r="C85" s="125">
        <v>30.98</v>
      </c>
    </row>
    <row r="86" spans="1:3">
      <c r="A86" s="124">
        <v>1935</v>
      </c>
      <c r="B86" s="125">
        <v>278.14999999999998</v>
      </c>
      <c r="C86" s="125">
        <v>34.99</v>
      </c>
    </row>
    <row r="87" spans="1:3">
      <c r="A87" s="124">
        <v>1950</v>
      </c>
      <c r="B87" s="125">
        <v>284.57</v>
      </c>
      <c r="C87" s="125">
        <v>39</v>
      </c>
    </row>
    <row r="88" spans="1:3">
      <c r="A88" s="124">
        <v>1965</v>
      </c>
      <c r="B88" s="125">
        <v>290.99</v>
      </c>
      <c r="C88" s="125">
        <v>43.02</v>
      </c>
    </row>
    <row r="89" spans="1:3">
      <c r="A89" s="124">
        <v>1980</v>
      </c>
      <c r="B89" s="125">
        <v>297.41000000000003</v>
      </c>
      <c r="C89" s="125">
        <v>47.03</v>
      </c>
    </row>
    <row r="90" spans="1:3">
      <c r="A90" s="124">
        <v>1995</v>
      </c>
      <c r="B90" s="125">
        <v>303.83</v>
      </c>
      <c r="C90" s="125">
        <v>51.04</v>
      </c>
    </row>
    <row r="91" spans="1:3">
      <c r="A91" s="124">
        <v>2010</v>
      </c>
      <c r="B91" s="125">
        <v>310.25</v>
      </c>
      <c r="C91" s="125">
        <v>55.05</v>
      </c>
    </row>
    <row r="92" spans="1:3">
      <c r="A92" s="124">
        <v>2025</v>
      </c>
      <c r="B92" s="125">
        <v>316.67</v>
      </c>
      <c r="C92" s="125">
        <v>59.07</v>
      </c>
    </row>
    <row r="93" spans="1:3">
      <c r="A93" s="124">
        <v>2040</v>
      </c>
      <c r="B93" s="125">
        <v>323.08999999999997</v>
      </c>
      <c r="C93" s="125">
        <v>63.08</v>
      </c>
    </row>
    <row r="94" spans="1:3">
      <c r="A94" s="124">
        <v>2055</v>
      </c>
      <c r="B94" s="125">
        <v>329.51</v>
      </c>
      <c r="C94" s="125">
        <v>67.09</v>
      </c>
    </row>
    <row r="95" spans="1:3">
      <c r="A95" s="124">
        <v>2070</v>
      </c>
      <c r="B95" s="125">
        <v>335.93</v>
      </c>
      <c r="C95" s="125">
        <v>71.2</v>
      </c>
    </row>
    <row r="96" spans="1:3">
      <c r="A96" s="124">
        <v>2085</v>
      </c>
      <c r="B96" s="125">
        <v>342.35</v>
      </c>
      <c r="C96" s="125">
        <v>76.900000000000006</v>
      </c>
    </row>
    <row r="97" spans="1:3">
      <c r="A97" s="124">
        <v>2100</v>
      </c>
      <c r="B97" s="125">
        <v>348.77</v>
      </c>
      <c r="C97" s="125">
        <v>82.59</v>
      </c>
    </row>
    <row r="98" spans="1:3">
      <c r="A98" s="124">
        <v>2115</v>
      </c>
      <c r="B98" s="125">
        <v>355.19</v>
      </c>
      <c r="C98" s="125">
        <v>88.29</v>
      </c>
    </row>
    <row r="99" spans="1:3">
      <c r="A99" s="124">
        <v>2130</v>
      </c>
      <c r="B99" s="125">
        <v>361.61</v>
      </c>
      <c r="C99" s="125">
        <v>93.99</v>
      </c>
    </row>
    <row r="100" spans="1:3">
      <c r="A100" s="124">
        <v>2145</v>
      </c>
      <c r="B100" s="125">
        <v>368.83</v>
      </c>
      <c r="C100" s="125">
        <v>99.69</v>
      </c>
    </row>
    <row r="101" spans="1:3">
      <c r="A101" s="124">
        <v>2160</v>
      </c>
      <c r="B101" s="125">
        <v>376.06</v>
      </c>
      <c r="C101" s="125">
        <v>105.38</v>
      </c>
    </row>
    <row r="102" spans="1:3">
      <c r="A102" s="124">
        <v>2175</v>
      </c>
      <c r="B102" s="125">
        <v>383.28</v>
      </c>
      <c r="C102" s="125">
        <v>111.08</v>
      </c>
    </row>
    <row r="103" spans="1:3">
      <c r="A103" s="124">
        <v>2190</v>
      </c>
      <c r="B103" s="125">
        <v>390.5</v>
      </c>
      <c r="C103" s="125">
        <v>116.78</v>
      </c>
    </row>
    <row r="104" spans="1:3">
      <c r="A104" s="124">
        <v>2205</v>
      </c>
      <c r="B104" s="125">
        <v>397.72</v>
      </c>
      <c r="C104" s="125">
        <v>122.48</v>
      </c>
    </row>
    <row r="105" spans="1:3">
      <c r="A105" s="124">
        <v>2220</v>
      </c>
      <c r="B105" s="125">
        <v>404.95</v>
      </c>
      <c r="C105" s="125">
        <v>128.18</v>
      </c>
    </row>
    <row r="106" spans="1:3">
      <c r="A106" s="124">
        <v>2235</v>
      </c>
      <c r="B106" s="125">
        <v>412.17</v>
      </c>
      <c r="C106" s="125">
        <v>133.87</v>
      </c>
    </row>
    <row r="107" spans="1:3">
      <c r="A107" s="124">
        <v>2250</v>
      </c>
      <c r="B107" s="125">
        <v>419.39</v>
      </c>
      <c r="C107" s="125">
        <v>139.57</v>
      </c>
    </row>
    <row r="108" spans="1:3">
      <c r="A108" s="124">
        <v>2265</v>
      </c>
      <c r="B108" s="125">
        <v>426.61</v>
      </c>
      <c r="C108" s="125">
        <v>145.27000000000001</v>
      </c>
    </row>
    <row r="109" spans="1:3">
      <c r="A109" s="124">
        <v>2280</v>
      </c>
      <c r="B109" s="125">
        <v>433.84</v>
      </c>
      <c r="C109" s="125">
        <v>150.97</v>
      </c>
    </row>
    <row r="110" spans="1:3">
      <c r="A110" s="124">
        <v>2295</v>
      </c>
      <c r="B110" s="125">
        <v>441.06</v>
      </c>
      <c r="C110" s="125">
        <v>156.66999999999999</v>
      </c>
    </row>
    <row r="111" spans="1:3">
      <c r="A111" s="124">
        <v>2310</v>
      </c>
      <c r="B111" s="125">
        <v>448.28</v>
      </c>
      <c r="C111" s="125">
        <v>162.36000000000001</v>
      </c>
    </row>
    <row r="112" spans="1:3">
      <c r="A112" s="124">
        <v>2325</v>
      </c>
      <c r="B112" s="125">
        <v>455.5</v>
      </c>
      <c r="C112" s="125">
        <v>168.06</v>
      </c>
    </row>
    <row r="113" spans="1:3">
      <c r="A113" s="124">
        <v>2340</v>
      </c>
      <c r="B113" s="125">
        <v>462.73</v>
      </c>
      <c r="C113" s="125">
        <v>173.76</v>
      </c>
    </row>
    <row r="114" spans="1:3">
      <c r="A114" s="124">
        <v>2355</v>
      </c>
      <c r="B114" s="125">
        <v>469.95</v>
      </c>
      <c r="C114" s="125">
        <v>179.46</v>
      </c>
    </row>
    <row r="115" spans="1:3">
      <c r="A115" s="124">
        <v>2370</v>
      </c>
      <c r="B115" s="125">
        <v>477.17</v>
      </c>
      <c r="C115" s="125">
        <v>185.15</v>
      </c>
    </row>
    <row r="116" spans="1:3">
      <c r="A116" s="124">
        <v>2385</v>
      </c>
      <c r="B116" s="125">
        <v>484.39</v>
      </c>
      <c r="C116" s="125">
        <v>190.85</v>
      </c>
    </row>
    <row r="117" spans="1:3">
      <c r="A117" s="124">
        <v>2400</v>
      </c>
      <c r="B117" s="125">
        <v>491.62</v>
      </c>
      <c r="C117" s="125">
        <v>196.55</v>
      </c>
    </row>
    <row r="118" spans="1:3">
      <c r="A118" s="124">
        <v>2415</v>
      </c>
      <c r="B118" s="125">
        <v>498.84</v>
      </c>
      <c r="C118" s="125">
        <v>202.25</v>
      </c>
    </row>
    <row r="119" spans="1:3">
      <c r="A119" s="121">
        <v>2430</v>
      </c>
      <c r="B119" s="126">
        <v>506.06</v>
      </c>
      <c r="C119" s="126">
        <v>207.94</v>
      </c>
    </row>
    <row r="120" spans="1:3">
      <c r="A120" s="124">
        <v>2445</v>
      </c>
      <c r="B120" s="125">
        <v>513.28</v>
      </c>
      <c r="C120" s="125">
        <v>213.64</v>
      </c>
    </row>
    <row r="121" spans="1:3">
      <c r="A121" s="124">
        <v>2460</v>
      </c>
      <c r="B121" s="125">
        <v>520.51</v>
      </c>
      <c r="C121" s="125">
        <v>219.34</v>
      </c>
    </row>
    <row r="122" spans="1:3">
      <c r="A122" s="124">
        <v>2475</v>
      </c>
      <c r="B122" s="125">
        <v>527.73</v>
      </c>
      <c r="C122" s="125">
        <v>225.04</v>
      </c>
    </row>
    <row r="123" spans="1:3">
      <c r="A123" s="124">
        <v>2490</v>
      </c>
      <c r="B123" s="125">
        <v>534.95000000000005</v>
      </c>
      <c r="C123" s="125">
        <v>230.74</v>
      </c>
    </row>
    <row r="124" spans="1:3">
      <c r="A124" s="124">
        <v>2505</v>
      </c>
      <c r="B124" s="125">
        <v>542.16999999999996</v>
      </c>
      <c r="C124" s="125">
        <v>236.43</v>
      </c>
    </row>
    <row r="125" spans="1:3">
      <c r="A125" s="124">
        <v>2520</v>
      </c>
      <c r="B125" s="125">
        <v>549.4</v>
      </c>
      <c r="C125" s="125">
        <v>242.13</v>
      </c>
    </row>
    <row r="126" spans="1:3">
      <c r="A126" s="124">
        <v>2535</v>
      </c>
      <c r="B126" s="125">
        <v>556.62</v>
      </c>
      <c r="C126" s="125">
        <v>247.83</v>
      </c>
    </row>
    <row r="127" spans="1:3">
      <c r="A127" s="124">
        <v>2550</v>
      </c>
      <c r="B127" s="125">
        <v>563.84</v>
      </c>
      <c r="C127" s="125">
        <v>253.53</v>
      </c>
    </row>
    <row r="128" spans="1:3">
      <c r="A128" s="124">
        <v>2565</v>
      </c>
      <c r="B128" s="125">
        <v>571.05999999999995</v>
      </c>
      <c r="C128" s="125">
        <v>259.22000000000003</v>
      </c>
    </row>
    <row r="129" spans="1:3">
      <c r="A129" s="124">
        <v>2580</v>
      </c>
      <c r="B129" s="125">
        <v>578.29</v>
      </c>
      <c r="C129" s="125">
        <v>264.92</v>
      </c>
    </row>
    <row r="130" spans="1:3">
      <c r="A130" s="124">
        <v>2595</v>
      </c>
      <c r="B130" s="125">
        <v>585.51</v>
      </c>
      <c r="C130" s="125">
        <v>270.62</v>
      </c>
    </row>
    <row r="131" spans="1:3">
      <c r="A131" s="124">
        <v>2610</v>
      </c>
      <c r="B131" s="125">
        <v>592.73</v>
      </c>
      <c r="C131" s="125">
        <v>276.32</v>
      </c>
    </row>
    <row r="132" spans="1:3">
      <c r="A132" s="124">
        <v>2625</v>
      </c>
      <c r="B132" s="125">
        <v>599.95000000000005</v>
      </c>
      <c r="C132" s="125">
        <v>282.02</v>
      </c>
    </row>
    <row r="133" spans="1:3">
      <c r="A133" s="124">
        <v>2640</v>
      </c>
      <c r="B133" s="125">
        <v>607.17999999999995</v>
      </c>
      <c r="C133" s="125">
        <v>287.70999999999998</v>
      </c>
    </row>
    <row r="134" spans="1:3">
      <c r="A134" s="124">
        <v>2655</v>
      </c>
      <c r="B134" s="125">
        <v>614.4</v>
      </c>
      <c r="C134" s="125">
        <v>293.41000000000003</v>
      </c>
    </row>
    <row r="135" spans="1:3">
      <c r="A135" s="124">
        <v>2670</v>
      </c>
      <c r="B135" s="125">
        <v>621.62</v>
      </c>
      <c r="C135" s="125">
        <v>299.11</v>
      </c>
    </row>
    <row r="136" spans="1:3">
      <c r="A136" s="124">
        <v>2685</v>
      </c>
      <c r="B136" s="125">
        <v>628.84</v>
      </c>
      <c r="C136" s="125">
        <v>304.81</v>
      </c>
    </row>
    <row r="137" spans="1:3">
      <c r="A137" s="124">
        <v>2700</v>
      </c>
      <c r="B137" s="125">
        <v>636.07000000000005</v>
      </c>
      <c r="C137" s="125">
        <v>310.5</v>
      </c>
    </row>
    <row r="138" spans="1:3">
      <c r="A138" s="124">
        <v>2715</v>
      </c>
      <c r="B138" s="125">
        <v>643.29</v>
      </c>
      <c r="C138" s="125">
        <v>316.2</v>
      </c>
    </row>
    <row r="139" spans="1:3">
      <c r="A139" s="124">
        <v>2730</v>
      </c>
      <c r="B139" s="125">
        <v>650.51</v>
      </c>
      <c r="C139" s="125">
        <v>321.89999999999998</v>
      </c>
    </row>
    <row r="140" spans="1:3">
      <c r="A140" s="124">
        <v>2745</v>
      </c>
      <c r="B140" s="125">
        <v>657.73</v>
      </c>
      <c r="C140" s="125">
        <v>327.60000000000002</v>
      </c>
    </row>
    <row r="141" spans="1:3">
      <c r="A141" s="124">
        <v>2760</v>
      </c>
      <c r="B141" s="125">
        <v>664.96</v>
      </c>
      <c r="C141" s="125">
        <v>333.29</v>
      </c>
    </row>
    <row r="142" spans="1:3">
      <c r="A142" s="124">
        <v>2775</v>
      </c>
      <c r="B142" s="125">
        <v>672.18</v>
      </c>
      <c r="C142" s="125">
        <v>338.99</v>
      </c>
    </row>
    <row r="143" spans="1:3">
      <c r="A143" s="124">
        <v>2790</v>
      </c>
      <c r="B143" s="125">
        <v>679.4</v>
      </c>
      <c r="C143" s="125">
        <v>344.69</v>
      </c>
    </row>
    <row r="144" spans="1:3">
      <c r="A144" s="124">
        <v>2805</v>
      </c>
      <c r="B144" s="125">
        <v>686.62</v>
      </c>
      <c r="C144" s="125">
        <v>350.39</v>
      </c>
    </row>
    <row r="145" spans="1:3">
      <c r="A145" s="124">
        <v>2820</v>
      </c>
      <c r="B145" s="125">
        <v>693.85</v>
      </c>
      <c r="C145" s="125">
        <v>356.09</v>
      </c>
    </row>
    <row r="146" spans="1:3">
      <c r="A146" s="124">
        <v>2835</v>
      </c>
      <c r="B146" s="125">
        <v>701.07</v>
      </c>
      <c r="C146" s="125">
        <v>361.78</v>
      </c>
    </row>
    <row r="147" spans="1:3">
      <c r="A147" s="124">
        <v>2850</v>
      </c>
      <c r="B147" s="125">
        <v>708.29</v>
      </c>
      <c r="C147" s="125">
        <v>367.48</v>
      </c>
    </row>
    <row r="148" spans="1:3">
      <c r="A148" s="124">
        <v>2865</v>
      </c>
      <c r="B148" s="125">
        <v>715.51</v>
      </c>
      <c r="C148" s="125">
        <v>373.25</v>
      </c>
    </row>
    <row r="149" spans="1:3">
      <c r="A149" s="124">
        <v>2880</v>
      </c>
      <c r="B149" s="125">
        <v>722.74</v>
      </c>
      <c r="C149" s="125">
        <v>379.51</v>
      </c>
    </row>
    <row r="150" spans="1:3">
      <c r="A150" s="124">
        <v>2895</v>
      </c>
      <c r="B150" s="125">
        <v>729.96</v>
      </c>
      <c r="C150" s="125">
        <v>385.77</v>
      </c>
    </row>
    <row r="151" spans="1:3">
      <c r="A151" s="124">
        <v>2910</v>
      </c>
      <c r="B151" s="125">
        <v>737.18</v>
      </c>
      <c r="C151" s="125">
        <v>392.02</v>
      </c>
    </row>
    <row r="152" spans="1:3">
      <c r="A152" s="124">
        <v>2925</v>
      </c>
      <c r="B152" s="125">
        <v>744.4</v>
      </c>
      <c r="C152" s="125">
        <v>398.28</v>
      </c>
    </row>
    <row r="153" spans="1:3">
      <c r="A153" s="124">
        <v>2940</v>
      </c>
      <c r="B153" s="125">
        <v>751.63</v>
      </c>
      <c r="C153" s="125">
        <v>404.54</v>
      </c>
    </row>
    <row r="154" spans="1:3">
      <c r="A154" s="124">
        <v>2955</v>
      </c>
      <c r="B154" s="125">
        <v>758.85</v>
      </c>
      <c r="C154" s="125">
        <v>410.8</v>
      </c>
    </row>
    <row r="155" spans="1:3">
      <c r="A155" s="124">
        <v>2970</v>
      </c>
      <c r="B155" s="125">
        <v>766.07</v>
      </c>
      <c r="C155" s="125">
        <v>417.06</v>
      </c>
    </row>
    <row r="156" spans="1:3">
      <c r="A156" s="124">
        <v>2985</v>
      </c>
      <c r="B156" s="125">
        <v>773.29</v>
      </c>
      <c r="C156" s="125">
        <v>423.32</v>
      </c>
    </row>
    <row r="157" spans="1:3">
      <c r="A157" s="124">
        <v>3000</v>
      </c>
      <c r="B157" s="125">
        <v>780.52</v>
      </c>
      <c r="C157" s="125">
        <v>429.58</v>
      </c>
    </row>
    <row r="158" spans="1:3">
      <c r="A158" s="124">
        <v>3015</v>
      </c>
      <c r="B158" s="125">
        <v>787.74</v>
      </c>
      <c r="C158" s="125">
        <v>435.84</v>
      </c>
    </row>
    <row r="159" spans="1:3">
      <c r="A159" s="124">
        <v>3030</v>
      </c>
      <c r="B159" s="125">
        <v>794.96</v>
      </c>
      <c r="C159" s="125">
        <v>442.1</v>
      </c>
    </row>
    <row r="160" spans="1:3">
      <c r="A160" s="124">
        <v>3045</v>
      </c>
      <c r="B160" s="125">
        <v>802.18</v>
      </c>
      <c r="C160" s="125">
        <v>448.36</v>
      </c>
    </row>
    <row r="161" spans="1:3">
      <c r="A161" s="124">
        <v>3060</v>
      </c>
      <c r="B161" s="125">
        <v>809.41</v>
      </c>
      <c r="C161" s="125">
        <v>454.62</v>
      </c>
    </row>
    <row r="162" spans="1:3">
      <c r="A162" s="121">
        <v>3075</v>
      </c>
      <c r="B162" s="126">
        <v>816.63</v>
      </c>
      <c r="C162" s="126">
        <v>460.88</v>
      </c>
    </row>
    <row r="163" spans="1:3">
      <c r="A163" s="124">
        <v>3090</v>
      </c>
      <c r="B163" s="125">
        <v>823.85</v>
      </c>
      <c r="C163" s="125">
        <v>467.14</v>
      </c>
    </row>
    <row r="164" spans="1:3">
      <c r="A164" s="124">
        <v>3105</v>
      </c>
      <c r="B164" s="125">
        <v>831.07</v>
      </c>
      <c r="C164" s="125">
        <v>473.4</v>
      </c>
    </row>
    <row r="165" spans="1:3">
      <c r="A165" s="124">
        <v>3120</v>
      </c>
      <c r="B165" s="125">
        <v>838.3</v>
      </c>
      <c r="C165" s="125">
        <v>479.66</v>
      </c>
    </row>
    <row r="166" spans="1:3">
      <c r="A166" s="124">
        <v>3135</v>
      </c>
      <c r="B166" s="125">
        <v>845.52</v>
      </c>
      <c r="C166" s="125">
        <v>485.92</v>
      </c>
    </row>
    <row r="167" spans="1:3">
      <c r="A167" s="124">
        <v>3150</v>
      </c>
      <c r="B167" s="125">
        <v>852.74</v>
      </c>
      <c r="C167" s="125">
        <v>492.18</v>
      </c>
    </row>
    <row r="168" spans="1:3">
      <c r="A168" s="124">
        <v>3165</v>
      </c>
      <c r="B168" s="125">
        <v>859.96</v>
      </c>
      <c r="C168" s="125">
        <v>498.44</v>
      </c>
    </row>
    <row r="169" spans="1:3">
      <c r="A169" s="124">
        <v>3180</v>
      </c>
      <c r="B169" s="125">
        <v>867.19</v>
      </c>
      <c r="C169" s="125">
        <v>504.7</v>
      </c>
    </row>
    <row r="170" spans="1:3">
      <c r="A170" s="124">
        <v>3195</v>
      </c>
      <c r="B170" s="125">
        <v>874.41</v>
      </c>
      <c r="C170" s="125">
        <v>510.96</v>
      </c>
    </row>
    <row r="171" spans="1:3">
      <c r="A171" s="124">
        <v>3210</v>
      </c>
      <c r="B171" s="125">
        <v>881.63</v>
      </c>
      <c r="C171" s="125">
        <v>517.21</v>
      </c>
    </row>
    <row r="172" spans="1:3">
      <c r="A172" s="124">
        <v>3225</v>
      </c>
      <c r="B172" s="125">
        <v>888.85</v>
      </c>
      <c r="C172" s="125">
        <v>523.47</v>
      </c>
    </row>
    <row r="173" spans="1:3">
      <c r="A173" s="124">
        <v>3240</v>
      </c>
      <c r="B173" s="125">
        <v>896.08</v>
      </c>
      <c r="C173" s="125">
        <v>529.73</v>
      </c>
    </row>
    <row r="174" spans="1:3">
      <c r="A174" s="124">
        <v>3255</v>
      </c>
      <c r="B174" s="125">
        <v>903.3</v>
      </c>
      <c r="C174" s="125">
        <v>535.99</v>
      </c>
    </row>
    <row r="175" spans="1:3">
      <c r="A175" s="124">
        <v>3270</v>
      </c>
      <c r="B175" s="125">
        <v>910.52</v>
      </c>
      <c r="C175" s="125">
        <v>542.25</v>
      </c>
    </row>
    <row r="176" spans="1:3">
      <c r="A176" s="124">
        <v>3285</v>
      </c>
      <c r="B176" s="125">
        <v>917.74</v>
      </c>
      <c r="C176" s="125">
        <v>548.51</v>
      </c>
    </row>
    <row r="177" spans="1:3">
      <c r="A177" s="124">
        <v>3300</v>
      </c>
      <c r="B177" s="125">
        <v>924.97</v>
      </c>
      <c r="C177" s="125">
        <v>554.77</v>
      </c>
    </row>
    <row r="178" spans="1:3">
      <c r="A178" s="124">
        <v>3315</v>
      </c>
      <c r="B178" s="125">
        <v>932.19</v>
      </c>
      <c r="C178" s="125">
        <v>561.03</v>
      </c>
    </row>
    <row r="179" spans="1:3">
      <c r="A179" s="124">
        <v>3330</v>
      </c>
      <c r="B179" s="125">
        <v>939.41</v>
      </c>
      <c r="C179" s="125">
        <v>567.29</v>
      </c>
    </row>
    <row r="180" spans="1:3">
      <c r="A180" s="124">
        <v>3345</v>
      </c>
      <c r="B180" s="125">
        <v>946.63</v>
      </c>
      <c r="C180" s="125">
        <v>573.54999999999995</v>
      </c>
    </row>
    <row r="181" spans="1:3">
      <c r="A181" s="124">
        <v>3360</v>
      </c>
      <c r="B181" s="125">
        <v>953.86</v>
      </c>
      <c r="C181" s="125">
        <v>579.80999999999995</v>
      </c>
    </row>
    <row r="182" spans="1:3">
      <c r="A182" s="124">
        <v>3375</v>
      </c>
      <c r="B182" s="125">
        <v>961.08</v>
      </c>
      <c r="C182" s="125">
        <v>586.07000000000005</v>
      </c>
    </row>
    <row r="183" spans="1:3">
      <c r="A183" s="124">
        <v>3390</v>
      </c>
      <c r="B183" s="125">
        <v>968.3</v>
      </c>
      <c r="C183" s="125">
        <v>592.33000000000004</v>
      </c>
    </row>
    <row r="184" spans="1:3">
      <c r="A184" s="124">
        <v>3405</v>
      </c>
      <c r="B184" s="125">
        <v>975.52</v>
      </c>
      <c r="C184" s="125">
        <v>598.59</v>
      </c>
    </row>
    <row r="185" spans="1:3">
      <c r="A185" s="124">
        <v>3420</v>
      </c>
      <c r="B185" s="125">
        <v>982.75</v>
      </c>
      <c r="C185" s="125">
        <v>604.85</v>
      </c>
    </row>
    <row r="186" spans="1:3">
      <c r="A186" s="124">
        <v>3435</v>
      </c>
      <c r="B186" s="125">
        <v>989.97</v>
      </c>
      <c r="C186" s="125">
        <v>611.11</v>
      </c>
    </row>
    <row r="187" spans="1:3">
      <c r="A187" s="124">
        <v>3450</v>
      </c>
      <c r="B187" s="125">
        <v>997.19</v>
      </c>
      <c r="C187" s="125">
        <v>617.37</v>
      </c>
    </row>
    <row r="188" spans="1:3">
      <c r="A188" s="124">
        <v>3465</v>
      </c>
      <c r="B188" s="125">
        <v>1004.41</v>
      </c>
      <c r="C188" s="125">
        <v>623.63</v>
      </c>
    </row>
    <row r="189" spans="1:3">
      <c r="A189" s="124">
        <v>3480</v>
      </c>
      <c r="B189" s="125">
        <v>1011.64</v>
      </c>
      <c r="C189" s="125">
        <v>629.89</v>
      </c>
    </row>
    <row r="190" spans="1:3">
      <c r="A190" s="124">
        <v>3495</v>
      </c>
      <c r="B190" s="125">
        <v>1018.86</v>
      </c>
      <c r="C190" s="125">
        <v>636.15</v>
      </c>
    </row>
    <row r="191" spans="1:3">
      <c r="A191" s="124">
        <v>3510</v>
      </c>
      <c r="B191" s="125">
        <v>1026.08</v>
      </c>
      <c r="C191" s="125">
        <v>642.4</v>
      </c>
    </row>
    <row r="192" spans="1:3">
      <c r="A192" s="124">
        <v>3525</v>
      </c>
      <c r="B192" s="125">
        <v>1033.3</v>
      </c>
      <c r="C192" s="125">
        <v>648.66</v>
      </c>
    </row>
    <row r="193" spans="1:3">
      <c r="A193" s="124">
        <v>3540</v>
      </c>
      <c r="B193" s="125">
        <v>1040.53</v>
      </c>
      <c r="C193" s="125">
        <v>654.91999999999996</v>
      </c>
    </row>
    <row r="194" spans="1:3">
      <c r="A194" s="124">
        <v>3555</v>
      </c>
      <c r="B194" s="125">
        <v>1047.75</v>
      </c>
      <c r="C194" s="125">
        <v>661.18</v>
      </c>
    </row>
    <row r="195" spans="1:3">
      <c r="A195" s="124">
        <v>3570</v>
      </c>
      <c r="B195" s="125">
        <v>1054.97</v>
      </c>
      <c r="C195" s="125">
        <v>667.44</v>
      </c>
    </row>
    <row r="196" spans="1:3">
      <c r="A196" s="124">
        <v>3585</v>
      </c>
      <c r="B196" s="125">
        <v>1062.19</v>
      </c>
      <c r="C196" s="125">
        <v>673.7</v>
      </c>
    </row>
    <row r="197" spans="1:3">
      <c r="A197" s="124">
        <v>3600</v>
      </c>
      <c r="B197" s="125">
        <v>1069.42</v>
      </c>
      <c r="C197" s="125">
        <v>680.34</v>
      </c>
    </row>
    <row r="198" spans="1:3">
      <c r="A198" s="124">
        <v>3615</v>
      </c>
      <c r="B198" s="125">
        <v>1076.6400000000001</v>
      </c>
      <c r="C198" s="125">
        <v>687.56</v>
      </c>
    </row>
    <row r="199" spans="1:3">
      <c r="A199" s="124">
        <v>3630</v>
      </c>
      <c r="B199" s="125">
        <v>1083.8599999999999</v>
      </c>
      <c r="C199" s="125">
        <v>694.78</v>
      </c>
    </row>
    <row r="200" spans="1:3">
      <c r="A200" s="124">
        <v>3645</v>
      </c>
      <c r="B200" s="125">
        <v>1091.08</v>
      </c>
      <c r="C200" s="125">
        <v>702</v>
      </c>
    </row>
    <row r="201" spans="1:3">
      <c r="A201" s="124">
        <v>3660</v>
      </c>
      <c r="B201" s="125">
        <v>1098.31</v>
      </c>
      <c r="C201" s="125">
        <v>709.23</v>
      </c>
    </row>
    <row r="202" spans="1:3">
      <c r="A202" s="124">
        <v>3675</v>
      </c>
      <c r="B202" s="125">
        <v>1105.53</v>
      </c>
      <c r="C202" s="125">
        <v>716.45</v>
      </c>
    </row>
    <row r="203" spans="1:3">
      <c r="A203" s="124">
        <v>3690</v>
      </c>
      <c r="B203" s="125">
        <v>1112.75</v>
      </c>
      <c r="C203" s="125">
        <v>723.67</v>
      </c>
    </row>
    <row r="204" spans="1:3">
      <c r="A204" s="124">
        <v>3705</v>
      </c>
      <c r="B204" s="125">
        <v>1119.97</v>
      </c>
      <c r="C204" s="125">
        <v>730.89</v>
      </c>
    </row>
    <row r="205" spans="1:3">
      <c r="A205" s="121">
        <v>3720</v>
      </c>
      <c r="B205" s="126">
        <v>1127.2</v>
      </c>
      <c r="C205" s="126">
        <v>738.12</v>
      </c>
    </row>
    <row r="206" spans="1:3">
      <c r="A206" s="124">
        <v>3735</v>
      </c>
      <c r="B206" s="125">
        <v>1134.42</v>
      </c>
      <c r="C206" s="125">
        <v>745.34</v>
      </c>
    </row>
    <row r="207" spans="1:3">
      <c r="A207" s="124">
        <v>3750</v>
      </c>
      <c r="B207" s="125">
        <v>1141.6400000000001</v>
      </c>
      <c r="C207" s="125">
        <v>752.56</v>
      </c>
    </row>
    <row r="208" spans="1:3">
      <c r="A208" s="124">
        <v>3765</v>
      </c>
      <c r="B208" s="125">
        <v>1148.8599999999999</v>
      </c>
      <c r="C208" s="125">
        <v>759.78</v>
      </c>
    </row>
    <row r="209" spans="1:3">
      <c r="A209" s="124">
        <v>3780</v>
      </c>
      <c r="B209" s="125">
        <v>1156.0899999999999</v>
      </c>
      <c r="C209" s="125">
        <v>767.01</v>
      </c>
    </row>
    <row r="210" spans="1:3">
      <c r="A210" s="124">
        <v>3795</v>
      </c>
      <c r="B210" s="125">
        <v>1163.31</v>
      </c>
      <c r="C210" s="125">
        <v>774.23</v>
      </c>
    </row>
    <row r="211" spans="1:3">
      <c r="A211" s="124">
        <v>3810</v>
      </c>
      <c r="B211" s="125">
        <v>1170.53</v>
      </c>
      <c r="C211" s="125">
        <v>781.45</v>
      </c>
    </row>
    <row r="212" spans="1:3">
      <c r="A212" s="124">
        <v>3825</v>
      </c>
      <c r="B212" s="125">
        <v>1177.75</v>
      </c>
      <c r="C212" s="125">
        <v>788.67</v>
      </c>
    </row>
    <row r="213" spans="1:3">
      <c r="A213" s="124">
        <v>3840</v>
      </c>
      <c r="B213" s="125">
        <v>1184.98</v>
      </c>
      <c r="C213" s="125">
        <v>795.9</v>
      </c>
    </row>
    <row r="214" spans="1:3">
      <c r="A214" s="124">
        <v>3855</v>
      </c>
      <c r="B214" s="125">
        <v>1192.2</v>
      </c>
      <c r="C214" s="125">
        <v>803.12</v>
      </c>
    </row>
    <row r="215" spans="1:3">
      <c r="A215" s="124">
        <v>3870</v>
      </c>
      <c r="B215" s="125">
        <v>1199.42</v>
      </c>
      <c r="C215" s="125">
        <v>810.34</v>
      </c>
    </row>
    <row r="216" spans="1:3">
      <c r="A216" s="124">
        <v>3885</v>
      </c>
      <c r="B216" s="125">
        <v>1206.6400000000001</v>
      </c>
      <c r="C216" s="125">
        <v>817.56</v>
      </c>
    </row>
    <row r="217" spans="1:3">
      <c r="A217" s="124">
        <v>3900</v>
      </c>
      <c r="B217" s="125">
        <v>1213.8699999999999</v>
      </c>
      <c r="C217" s="125">
        <v>824.79</v>
      </c>
    </row>
    <row r="218" spans="1:3">
      <c r="A218" s="124">
        <v>3915</v>
      </c>
      <c r="B218" s="125">
        <v>1221.0899999999999</v>
      </c>
      <c r="C218" s="125">
        <v>832.01</v>
      </c>
    </row>
    <row r="219" spans="1:3">
      <c r="A219" s="124">
        <v>3930</v>
      </c>
      <c r="B219" s="125">
        <v>1228.31</v>
      </c>
      <c r="C219" s="125">
        <v>839.23</v>
      </c>
    </row>
    <row r="220" spans="1:3">
      <c r="A220" s="124">
        <v>3945</v>
      </c>
      <c r="B220" s="125">
        <v>1235.53</v>
      </c>
      <c r="C220" s="125">
        <v>846.45</v>
      </c>
    </row>
    <row r="221" spans="1:3">
      <c r="A221" s="124">
        <v>3960</v>
      </c>
      <c r="B221" s="125">
        <v>1243.51</v>
      </c>
      <c r="C221" s="125">
        <v>853.68</v>
      </c>
    </row>
    <row r="222" spans="1:3">
      <c r="A222" s="124">
        <v>3975</v>
      </c>
      <c r="B222" s="125">
        <v>1251.54</v>
      </c>
      <c r="C222" s="125">
        <v>860.9</v>
      </c>
    </row>
    <row r="223" spans="1:3">
      <c r="A223" s="124">
        <v>3990</v>
      </c>
      <c r="B223" s="125">
        <v>1259.56</v>
      </c>
      <c r="C223" s="125">
        <v>868.12</v>
      </c>
    </row>
    <row r="224" spans="1:3">
      <c r="A224" s="124">
        <v>4005</v>
      </c>
      <c r="B224" s="125">
        <v>1267.5899999999999</v>
      </c>
      <c r="C224" s="125">
        <v>875.34</v>
      </c>
    </row>
    <row r="225" spans="1:3">
      <c r="A225" s="124">
        <v>4020</v>
      </c>
      <c r="B225" s="125">
        <v>1275.6099999999999</v>
      </c>
      <c r="C225" s="125">
        <v>882.57</v>
      </c>
    </row>
    <row r="226" spans="1:3">
      <c r="A226" s="124">
        <v>4035</v>
      </c>
      <c r="B226" s="125">
        <v>1283.6400000000001</v>
      </c>
      <c r="C226" s="125">
        <v>889.79</v>
      </c>
    </row>
    <row r="227" spans="1:3">
      <c r="A227" s="124">
        <v>4050</v>
      </c>
      <c r="B227" s="125">
        <v>1291.6600000000001</v>
      </c>
      <c r="C227" s="125">
        <v>897.01</v>
      </c>
    </row>
    <row r="228" spans="1:3">
      <c r="A228" s="124">
        <v>4065</v>
      </c>
      <c r="B228" s="125">
        <v>1299.69</v>
      </c>
      <c r="C228" s="125">
        <v>904.23</v>
      </c>
    </row>
    <row r="229" spans="1:3">
      <c r="A229" s="124">
        <v>4080</v>
      </c>
      <c r="B229" s="125">
        <v>1307.71</v>
      </c>
      <c r="C229" s="125">
        <v>911.46</v>
      </c>
    </row>
    <row r="230" spans="1:3">
      <c r="A230" s="124">
        <v>4095</v>
      </c>
      <c r="B230" s="125">
        <v>1315.74</v>
      </c>
      <c r="C230" s="125">
        <v>918.68</v>
      </c>
    </row>
    <row r="231" spans="1:3">
      <c r="A231" s="124">
        <v>4110</v>
      </c>
      <c r="B231" s="125">
        <v>1323.76</v>
      </c>
      <c r="C231" s="125">
        <v>925.9</v>
      </c>
    </row>
    <row r="232" spans="1:3">
      <c r="A232" s="124">
        <v>4125</v>
      </c>
      <c r="B232" s="125">
        <v>1331.79</v>
      </c>
      <c r="C232" s="125">
        <v>933.12</v>
      </c>
    </row>
    <row r="233" spans="1:3">
      <c r="A233" s="124">
        <v>4140</v>
      </c>
      <c r="B233" s="125">
        <v>1339.81</v>
      </c>
      <c r="C233" s="125">
        <v>940.35</v>
      </c>
    </row>
    <row r="234" spans="1:3">
      <c r="A234" s="124">
        <v>4155</v>
      </c>
      <c r="B234" s="125">
        <v>1347.84</v>
      </c>
      <c r="C234" s="125">
        <v>947.57</v>
      </c>
    </row>
    <row r="235" spans="1:3">
      <c r="A235" s="124">
        <v>4170</v>
      </c>
      <c r="B235" s="125">
        <v>1355.86</v>
      </c>
      <c r="C235" s="125">
        <v>954.79</v>
      </c>
    </row>
    <row r="236" spans="1:3">
      <c r="A236" s="124">
        <v>4185</v>
      </c>
      <c r="B236" s="125">
        <v>1363.89</v>
      </c>
      <c r="C236" s="125">
        <v>962.01</v>
      </c>
    </row>
    <row r="237" spans="1:3">
      <c r="A237" s="124">
        <v>4200</v>
      </c>
      <c r="B237" s="125">
        <v>1371.91</v>
      </c>
      <c r="C237" s="125">
        <v>969.24</v>
      </c>
    </row>
    <row r="238" spans="1:3">
      <c r="A238" s="124">
        <v>4215</v>
      </c>
      <c r="B238" s="125">
        <v>1379.94</v>
      </c>
      <c r="C238" s="125">
        <v>976.46</v>
      </c>
    </row>
    <row r="239" spans="1:3">
      <c r="A239" s="124">
        <v>4230</v>
      </c>
      <c r="B239" s="125">
        <v>1387.96</v>
      </c>
      <c r="C239" s="125">
        <v>983.68</v>
      </c>
    </row>
    <row r="240" spans="1:3">
      <c r="A240" s="124">
        <v>4245</v>
      </c>
      <c r="B240" s="125">
        <v>1395.99</v>
      </c>
      <c r="C240" s="125">
        <v>990.9</v>
      </c>
    </row>
    <row r="241" spans="1:3">
      <c r="A241" s="124">
        <v>4260</v>
      </c>
      <c r="B241" s="125">
        <v>1404.01</v>
      </c>
      <c r="C241" s="125">
        <v>998.13</v>
      </c>
    </row>
    <row r="242" spans="1:3">
      <c r="A242" s="124">
        <v>4275</v>
      </c>
      <c r="B242" s="125">
        <v>1412.04</v>
      </c>
      <c r="C242" s="125">
        <v>1005.35</v>
      </c>
    </row>
    <row r="243" spans="1:3">
      <c r="A243" s="124">
        <v>4290</v>
      </c>
      <c r="B243" s="125">
        <v>1420.06</v>
      </c>
      <c r="C243" s="125">
        <v>1012.57</v>
      </c>
    </row>
    <row r="244" spans="1:3">
      <c r="A244" s="124">
        <v>4305</v>
      </c>
      <c r="B244" s="125">
        <v>1428.09</v>
      </c>
      <c r="C244" s="125">
        <v>1019.79</v>
      </c>
    </row>
    <row r="245" spans="1:3">
      <c r="A245" s="124">
        <v>4320</v>
      </c>
      <c r="B245" s="125">
        <v>1436.11</v>
      </c>
      <c r="C245" s="125">
        <v>1027.02</v>
      </c>
    </row>
    <row r="246" spans="1:3">
      <c r="A246" s="124">
        <v>4335</v>
      </c>
      <c r="B246" s="125">
        <v>1444.14</v>
      </c>
      <c r="C246" s="125">
        <v>1034.24</v>
      </c>
    </row>
    <row r="247" spans="1:3">
      <c r="A247" s="124">
        <v>4350</v>
      </c>
      <c r="B247" s="125">
        <v>1452.16</v>
      </c>
      <c r="C247" s="125">
        <v>1041.46</v>
      </c>
    </row>
    <row r="248" spans="1:3">
      <c r="A248" s="121">
        <v>4365</v>
      </c>
      <c r="B248" s="126">
        <v>1460.19</v>
      </c>
      <c r="C248" s="126">
        <v>1048.68</v>
      </c>
    </row>
    <row r="249" spans="1:3">
      <c r="A249" s="124">
        <v>4380</v>
      </c>
      <c r="B249" s="125">
        <v>1468.21</v>
      </c>
      <c r="C249" s="125">
        <v>1055.9100000000001</v>
      </c>
    </row>
    <row r="250" spans="1:3">
      <c r="A250" s="124">
        <v>4395</v>
      </c>
      <c r="B250" s="125">
        <v>1476.24</v>
      </c>
      <c r="C250" s="125">
        <v>1063.1300000000001</v>
      </c>
    </row>
    <row r="251" spans="1:3">
      <c r="A251" s="124">
        <v>4410</v>
      </c>
      <c r="B251" s="125">
        <v>1484.26</v>
      </c>
      <c r="C251" s="125">
        <v>1070.3499999999999</v>
      </c>
    </row>
    <row r="252" spans="1:3">
      <c r="A252" s="124">
        <v>4425</v>
      </c>
      <c r="B252" s="125">
        <v>1492.29</v>
      </c>
      <c r="C252" s="125">
        <v>1077.57</v>
      </c>
    </row>
    <row r="253" spans="1:3">
      <c r="A253" s="124">
        <v>4440</v>
      </c>
      <c r="B253" s="125">
        <v>1500.31</v>
      </c>
      <c r="C253" s="125">
        <v>1084.8</v>
      </c>
    </row>
    <row r="254" spans="1:3">
      <c r="A254" s="124">
        <v>4455</v>
      </c>
      <c r="B254" s="125">
        <v>1508.34</v>
      </c>
      <c r="C254" s="125">
        <v>1092.02</v>
      </c>
    </row>
    <row r="255" spans="1:3">
      <c r="A255" s="124">
        <v>4470</v>
      </c>
      <c r="B255" s="125">
        <v>1516.36</v>
      </c>
      <c r="C255" s="125">
        <v>1099.24</v>
      </c>
    </row>
    <row r="256" spans="1:3">
      <c r="A256" s="124">
        <v>4485</v>
      </c>
      <c r="B256" s="125">
        <v>1524.39</v>
      </c>
      <c r="C256" s="125">
        <v>1106.46</v>
      </c>
    </row>
    <row r="257" spans="1:3">
      <c r="A257" s="124">
        <v>4500</v>
      </c>
      <c r="B257" s="125">
        <v>1532.41</v>
      </c>
      <c r="C257" s="125">
        <v>1113.69</v>
      </c>
    </row>
    <row r="258" spans="1:3">
      <c r="A258" s="124">
        <v>4515</v>
      </c>
      <c r="B258" s="125">
        <v>1540.44</v>
      </c>
      <c r="C258" s="125">
        <v>1120.9100000000001</v>
      </c>
    </row>
    <row r="259" spans="1:3">
      <c r="A259" s="124">
        <v>4530</v>
      </c>
      <c r="B259" s="125">
        <v>1548.46</v>
      </c>
      <c r="C259" s="125">
        <v>1128.1300000000001</v>
      </c>
    </row>
    <row r="260" spans="1:3">
      <c r="A260" s="124">
        <v>4545</v>
      </c>
      <c r="B260" s="125">
        <v>1556.49</v>
      </c>
      <c r="C260" s="125">
        <v>1135.3499999999999</v>
      </c>
    </row>
    <row r="261" spans="1:3">
      <c r="A261" s="124">
        <v>4560</v>
      </c>
      <c r="B261" s="125">
        <v>1564.51</v>
      </c>
      <c r="C261" s="125">
        <v>1142.58</v>
      </c>
    </row>
    <row r="262" spans="1:3">
      <c r="A262" s="124">
        <v>4575</v>
      </c>
      <c r="B262" s="125">
        <v>1572.54</v>
      </c>
      <c r="C262" s="125">
        <v>1149.8</v>
      </c>
    </row>
    <row r="263" spans="1:3">
      <c r="A263" s="124">
        <v>4590</v>
      </c>
      <c r="B263" s="125">
        <v>1580.56</v>
      </c>
      <c r="C263" s="125">
        <v>1157.02</v>
      </c>
    </row>
    <row r="264" spans="1:3">
      <c r="A264" s="124">
        <v>4605</v>
      </c>
      <c r="B264" s="125">
        <v>1588.59</v>
      </c>
      <c r="C264" s="125">
        <v>1164.24</v>
      </c>
    </row>
    <row r="265" spans="1:3">
      <c r="A265" s="124">
        <v>4620</v>
      </c>
      <c r="B265" s="125">
        <v>1596.61</v>
      </c>
      <c r="C265" s="125">
        <v>1171.47</v>
      </c>
    </row>
    <row r="266" spans="1:3">
      <c r="A266" s="124">
        <v>4635</v>
      </c>
      <c r="B266" s="125">
        <v>1604.64</v>
      </c>
      <c r="C266" s="125">
        <v>1178.69</v>
      </c>
    </row>
    <row r="267" spans="1:3">
      <c r="A267" s="124">
        <v>4650</v>
      </c>
      <c r="B267" s="125">
        <v>1612.66</v>
      </c>
      <c r="C267" s="125">
        <v>1185.9100000000001</v>
      </c>
    </row>
    <row r="268" spans="1:3">
      <c r="A268" s="124">
        <v>4665</v>
      </c>
      <c r="B268" s="125">
        <v>1620.69</v>
      </c>
      <c r="C268" s="125">
        <v>1193.1300000000001</v>
      </c>
    </row>
    <row r="269" spans="1:3">
      <c r="A269" s="124">
        <v>4680</v>
      </c>
      <c r="B269" s="125">
        <v>1628.71</v>
      </c>
      <c r="C269" s="125">
        <v>1200.3599999999999</v>
      </c>
    </row>
    <row r="270" spans="1:3">
      <c r="A270" s="124">
        <v>4695</v>
      </c>
      <c r="B270" s="125">
        <v>1636.74</v>
      </c>
      <c r="C270" s="125">
        <v>1207.58</v>
      </c>
    </row>
    <row r="271" spans="1:3">
      <c r="A271" s="124">
        <v>4710</v>
      </c>
      <c r="B271" s="125">
        <v>1644.76</v>
      </c>
      <c r="C271" s="125">
        <v>1214.8</v>
      </c>
    </row>
    <row r="272" spans="1:3">
      <c r="A272" s="124">
        <v>4725</v>
      </c>
      <c r="B272" s="125">
        <v>1652.79</v>
      </c>
      <c r="C272" s="125">
        <v>1222.02</v>
      </c>
    </row>
    <row r="273" spans="1:3">
      <c r="A273" s="124">
        <v>4740</v>
      </c>
      <c r="B273" s="125">
        <v>1660.81</v>
      </c>
      <c r="C273" s="125">
        <v>1229.25</v>
      </c>
    </row>
    <row r="274" spans="1:3">
      <c r="A274" s="124">
        <v>4755</v>
      </c>
      <c r="B274" s="125">
        <v>1668.84</v>
      </c>
      <c r="C274" s="125">
        <v>1236.47</v>
      </c>
    </row>
    <row r="275" spans="1:3">
      <c r="A275" s="124">
        <v>4770</v>
      </c>
      <c r="B275" s="125">
        <v>1676.86</v>
      </c>
      <c r="C275" s="125">
        <v>1243.69</v>
      </c>
    </row>
    <row r="276" spans="1:3">
      <c r="A276" s="124">
        <v>4785</v>
      </c>
      <c r="B276" s="125">
        <v>1684.89</v>
      </c>
      <c r="C276" s="125">
        <v>1250.9100000000001</v>
      </c>
    </row>
    <row r="277" spans="1:3">
      <c r="A277" s="124">
        <v>4800</v>
      </c>
      <c r="B277" s="125">
        <v>1692.91</v>
      </c>
      <c r="C277" s="125">
        <v>1258.1400000000001</v>
      </c>
    </row>
    <row r="278" spans="1:3">
      <c r="A278" s="124">
        <v>4815</v>
      </c>
      <c r="B278" s="125">
        <v>1700.94</v>
      </c>
      <c r="C278" s="125">
        <v>1265.3599999999999</v>
      </c>
    </row>
    <row r="279" spans="1:3">
      <c r="A279" s="124">
        <v>4830</v>
      </c>
      <c r="B279" s="125">
        <v>1708.96</v>
      </c>
      <c r="C279" s="125">
        <v>1272.58</v>
      </c>
    </row>
    <row r="280" spans="1:3">
      <c r="A280" s="124">
        <v>4845</v>
      </c>
      <c r="B280" s="125">
        <v>1716.99</v>
      </c>
      <c r="C280" s="125">
        <v>1279.8</v>
      </c>
    </row>
    <row r="281" spans="1:3">
      <c r="A281" s="124">
        <v>4860</v>
      </c>
      <c r="B281" s="125">
        <v>1725.01</v>
      </c>
      <c r="C281" s="125">
        <v>1287.03</v>
      </c>
    </row>
    <row r="282" spans="1:3">
      <c r="A282" s="124">
        <v>4875</v>
      </c>
      <c r="B282" s="125">
        <v>1733.04</v>
      </c>
      <c r="C282" s="125">
        <v>1294.25</v>
      </c>
    </row>
    <row r="283" spans="1:3">
      <c r="A283" s="124">
        <v>4890</v>
      </c>
      <c r="B283" s="125">
        <v>1741.06</v>
      </c>
      <c r="C283" s="125">
        <v>1301.47</v>
      </c>
    </row>
    <row r="284" spans="1:3">
      <c r="A284" s="124">
        <v>4905</v>
      </c>
      <c r="B284" s="125">
        <v>1749.09</v>
      </c>
      <c r="C284" s="125">
        <v>1309.05</v>
      </c>
    </row>
    <row r="285" spans="1:3">
      <c r="A285" s="124">
        <v>4920</v>
      </c>
      <c r="B285" s="125">
        <v>1757.11</v>
      </c>
      <c r="C285" s="125">
        <v>1317.08</v>
      </c>
    </row>
    <row r="286" spans="1:3">
      <c r="A286" s="124">
        <v>4935</v>
      </c>
      <c r="B286" s="125">
        <v>1765.14</v>
      </c>
      <c r="C286" s="125">
        <v>1325.1</v>
      </c>
    </row>
    <row r="287" spans="1:3">
      <c r="A287" s="124">
        <v>4950</v>
      </c>
      <c r="B287" s="125">
        <v>1773.16</v>
      </c>
      <c r="C287" s="125">
        <v>1333.13</v>
      </c>
    </row>
    <row r="288" spans="1:3">
      <c r="A288" s="124">
        <v>4965</v>
      </c>
      <c r="B288" s="125">
        <v>1781.19</v>
      </c>
      <c r="C288" s="125">
        <v>1314.15</v>
      </c>
    </row>
    <row r="289" spans="1:3">
      <c r="A289" s="124">
        <v>4980</v>
      </c>
      <c r="B289" s="125">
        <v>1789.21</v>
      </c>
      <c r="C289" s="125">
        <v>1349.18</v>
      </c>
    </row>
    <row r="290" spans="1:3">
      <c r="A290" s="124">
        <v>4995</v>
      </c>
      <c r="B290" s="125">
        <v>1797.24</v>
      </c>
      <c r="C290" s="125">
        <v>1357.2</v>
      </c>
    </row>
    <row r="291" spans="1:3">
      <c r="A291" s="121">
        <v>5010</v>
      </c>
      <c r="B291" s="126">
        <v>1805.26</v>
      </c>
      <c r="C291" s="126">
        <v>1365.23</v>
      </c>
    </row>
    <row r="292" spans="1:3">
      <c r="A292" s="124">
        <v>5025</v>
      </c>
      <c r="B292" s="125">
        <v>1813.29</v>
      </c>
      <c r="C292" s="125">
        <v>1373.25</v>
      </c>
    </row>
    <row r="293" spans="1:3">
      <c r="A293" s="124">
        <v>5040</v>
      </c>
      <c r="B293" s="125">
        <v>1821.31</v>
      </c>
      <c r="C293" s="125">
        <v>1381.28</v>
      </c>
    </row>
    <row r="294" spans="1:3">
      <c r="A294" s="124">
        <v>5055</v>
      </c>
      <c r="B294" s="125">
        <v>1829.34</v>
      </c>
      <c r="C294" s="125">
        <v>1389.3</v>
      </c>
    </row>
    <row r="295" spans="1:3">
      <c r="A295" s="124">
        <v>5070</v>
      </c>
      <c r="B295" s="125">
        <v>1837.36</v>
      </c>
      <c r="C295" s="125">
        <v>1397.33</v>
      </c>
    </row>
    <row r="296" spans="1:3">
      <c r="A296" s="124">
        <v>5085</v>
      </c>
      <c r="B296" s="125">
        <v>1845.39</v>
      </c>
      <c r="C296" s="125">
        <v>1405.35</v>
      </c>
    </row>
    <row r="297" spans="1:3">
      <c r="A297" s="124">
        <v>5100</v>
      </c>
      <c r="B297" s="125">
        <v>1853.41</v>
      </c>
      <c r="C297" s="125">
        <v>1413.38</v>
      </c>
    </row>
    <row r="298" spans="1:3">
      <c r="A298" s="124">
        <v>5115</v>
      </c>
      <c r="B298" s="125">
        <v>1861.44</v>
      </c>
      <c r="C298" s="125">
        <v>1421.4</v>
      </c>
    </row>
    <row r="299" spans="1:3">
      <c r="A299" s="124">
        <v>5130</v>
      </c>
      <c r="B299" s="125">
        <v>1869.46</v>
      </c>
      <c r="C299" s="125">
        <v>1429.43</v>
      </c>
    </row>
    <row r="300" spans="1:3">
      <c r="A300" s="124">
        <v>5145</v>
      </c>
      <c r="B300" s="125">
        <v>1877.49</v>
      </c>
      <c r="C300" s="125">
        <v>1437.45</v>
      </c>
    </row>
    <row r="301" spans="1:3">
      <c r="A301" s="124">
        <v>5160</v>
      </c>
      <c r="B301" s="125">
        <v>1885.51</v>
      </c>
      <c r="C301" s="125">
        <v>1445.48</v>
      </c>
    </row>
    <row r="302" spans="1:3">
      <c r="A302" s="124">
        <v>5175</v>
      </c>
      <c r="B302" s="125">
        <v>1893.54</v>
      </c>
      <c r="C302" s="125">
        <v>1453.5</v>
      </c>
    </row>
    <row r="303" spans="1:3">
      <c r="A303" s="124">
        <v>5190</v>
      </c>
      <c r="B303" s="125">
        <v>1901.56</v>
      </c>
      <c r="C303" s="125">
        <v>1461.53</v>
      </c>
    </row>
    <row r="304" spans="1:3">
      <c r="A304" s="124">
        <v>5205</v>
      </c>
      <c r="B304" s="125">
        <v>1909.59</v>
      </c>
      <c r="C304" s="125">
        <v>1469.55</v>
      </c>
    </row>
    <row r="305" spans="1:3">
      <c r="A305" s="124">
        <v>5220</v>
      </c>
      <c r="B305" s="125">
        <v>1917.61</v>
      </c>
      <c r="C305" s="125">
        <v>1477.58</v>
      </c>
    </row>
    <row r="306" spans="1:3">
      <c r="A306" s="124">
        <v>5235</v>
      </c>
      <c r="B306" s="125">
        <v>1925.64</v>
      </c>
      <c r="C306" s="125">
        <v>1485.6</v>
      </c>
    </row>
    <row r="307" spans="1:3">
      <c r="A307" s="124">
        <v>5250</v>
      </c>
      <c r="B307" s="125">
        <v>1933.66</v>
      </c>
      <c r="C307" s="125">
        <v>1493.63</v>
      </c>
    </row>
    <row r="308" spans="1:3">
      <c r="A308" s="124">
        <v>5265</v>
      </c>
      <c r="B308" s="125">
        <v>1941.69</v>
      </c>
      <c r="C308" s="125">
        <v>1501.65</v>
      </c>
    </row>
    <row r="309" spans="1:3">
      <c r="A309" s="124">
        <v>5280</v>
      </c>
      <c r="B309" s="125">
        <v>1949.71</v>
      </c>
      <c r="C309" s="125">
        <v>1509.68</v>
      </c>
    </row>
    <row r="310" spans="1:3">
      <c r="A310" s="124">
        <v>5295</v>
      </c>
      <c r="B310" s="125">
        <v>1957.74</v>
      </c>
      <c r="C310" s="125">
        <v>1517.7</v>
      </c>
    </row>
    <row r="311" spans="1:3">
      <c r="A311" s="124">
        <v>5310</v>
      </c>
      <c r="B311" s="125">
        <v>1965.76</v>
      </c>
      <c r="C311" s="125">
        <v>1525.73</v>
      </c>
    </row>
    <row r="312" spans="1:3">
      <c r="A312" s="124">
        <v>5325</v>
      </c>
      <c r="B312" s="125">
        <v>1973.79</v>
      </c>
      <c r="C312" s="125">
        <v>1533.75</v>
      </c>
    </row>
    <row r="313" spans="1:3">
      <c r="A313" s="124">
        <v>5340</v>
      </c>
      <c r="B313" s="125">
        <v>1981.81</v>
      </c>
      <c r="C313" s="125">
        <v>1541.78</v>
      </c>
    </row>
    <row r="314" spans="1:3">
      <c r="A314" s="124">
        <v>5355</v>
      </c>
      <c r="B314" s="125">
        <v>1989.84</v>
      </c>
      <c r="C314" s="125">
        <v>1549.8</v>
      </c>
    </row>
    <row r="315" spans="1:3">
      <c r="A315" s="124">
        <v>5370</v>
      </c>
      <c r="B315" s="125">
        <v>1997.86</v>
      </c>
      <c r="C315" s="125">
        <v>1557.83</v>
      </c>
    </row>
    <row r="316" spans="1:3">
      <c r="A316" s="124">
        <v>5385</v>
      </c>
      <c r="B316" s="125">
        <v>2005.89</v>
      </c>
      <c r="C316" s="125">
        <v>1565.85</v>
      </c>
    </row>
    <row r="317" spans="1:3">
      <c r="A317" s="124">
        <v>5400</v>
      </c>
      <c r="B317" s="125">
        <v>2013.91</v>
      </c>
      <c r="C317" s="125">
        <v>1573.88</v>
      </c>
    </row>
    <row r="318" spans="1:3">
      <c r="A318" s="124">
        <v>5415</v>
      </c>
      <c r="B318" s="125">
        <v>2021.94</v>
      </c>
      <c r="C318" s="125">
        <v>1581.9</v>
      </c>
    </row>
    <row r="319" spans="1:3">
      <c r="A319" s="124">
        <v>5430</v>
      </c>
      <c r="B319" s="125">
        <v>2029.96</v>
      </c>
      <c r="C319" s="125">
        <v>1589.93</v>
      </c>
    </row>
    <row r="320" spans="1:3">
      <c r="A320" s="124">
        <v>5445</v>
      </c>
      <c r="B320" s="125">
        <v>2037.99</v>
      </c>
      <c r="C320" s="125">
        <v>1597.95</v>
      </c>
    </row>
    <row r="321" spans="1:3">
      <c r="A321" s="124">
        <v>5460</v>
      </c>
      <c r="B321" s="125">
        <v>2046.01</v>
      </c>
      <c r="C321" s="125">
        <v>1605.98</v>
      </c>
    </row>
    <row r="322" spans="1:3">
      <c r="A322" s="124">
        <v>5475</v>
      </c>
      <c r="B322" s="125">
        <v>2054.04</v>
      </c>
      <c r="C322" s="125">
        <v>1614</v>
      </c>
    </row>
    <row r="323" spans="1:3">
      <c r="A323" s="124">
        <v>5490</v>
      </c>
      <c r="B323" s="125">
        <v>2062.06</v>
      </c>
      <c r="C323" s="125">
        <v>1622.03</v>
      </c>
    </row>
    <row r="324" spans="1:3">
      <c r="A324" s="124">
        <v>5505</v>
      </c>
      <c r="B324" s="125">
        <v>2070.09</v>
      </c>
      <c r="C324" s="125">
        <v>1630.05</v>
      </c>
    </row>
    <row r="325" spans="1:3">
      <c r="A325" s="124">
        <v>5520</v>
      </c>
      <c r="B325" s="125">
        <v>2078.11</v>
      </c>
      <c r="C325" s="125">
        <v>1638.08</v>
      </c>
    </row>
    <row r="326" spans="1:3">
      <c r="A326" s="124">
        <v>5535</v>
      </c>
      <c r="B326" s="125">
        <v>2086.14</v>
      </c>
      <c r="C326" s="125">
        <v>1646.1</v>
      </c>
    </row>
    <row r="327" spans="1:3">
      <c r="A327" s="124">
        <v>5550</v>
      </c>
      <c r="B327" s="125">
        <v>2094.16</v>
      </c>
      <c r="C327" s="125">
        <v>1654.13</v>
      </c>
    </row>
    <row r="328" spans="1:3">
      <c r="A328" s="124">
        <v>5565</v>
      </c>
      <c r="B328" s="125">
        <v>2102.19</v>
      </c>
      <c r="C328" s="125">
        <v>1662.15</v>
      </c>
    </row>
    <row r="329" spans="1:3">
      <c r="A329" s="124">
        <v>5580</v>
      </c>
      <c r="B329" s="125">
        <v>2110.21</v>
      </c>
      <c r="C329" s="125">
        <v>1670.18</v>
      </c>
    </row>
    <row r="330" spans="1:3">
      <c r="A330" s="124">
        <v>5595</v>
      </c>
      <c r="B330" s="125">
        <v>2118.2399999999998</v>
      </c>
      <c r="C330" s="125">
        <v>1678.2</v>
      </c>
    </row>
    <row r="331" spans="1:3">
      <c r="A331" s="124">
        <v>5610</v>
      </c>
      <c r="B331" s="125">
        <v>2126.2600000000002</v>
      </c>
      <c r="C331" s="125">
        <v>1686.23</v>
      </c>
    </row>
    <row r="332" spans="1:3">
      <c r="A332" s="124">
        <v>5625</v>
      </c>
      <c r="B332" s="125">
        <v>2134.29</v>
      </c>
      <c r="C332" s="125">
        <v>1694.25</v>
      </c>
    </row>
    <row r="333" spans="1:3">
      <c r="A333" s="124">
        <v>5640</v>
      </c>
      <c r="B333" s="125">
        <v>2142.31</v>
      </c>
      <c r="C333" s="125">
        <v>1702.28</v>
      </c>
    </row>
    <row r="334" spans="1:3">
      <c r="A334" s="121">
        <v>5655</v>
      </c>
      <c r="B334" s="126">
        <v>2150.34</v>
      </c>
      <c r="C334" s="126">
        <v>1710.3</v>
      </c>
    </row>
    <row r="335" spans="1:3">
      <c r="A335" s="124">
        <v>5670</v>
      </c>
      <c r="B335" s="125">
        <v>2158.36</v>
      </c>
      <c r="C335" s="125">
        <v>1718.33</v>
      </c>
    </row>
    <row r="336" spans="1:3">
      <c r="A336" s="124">
        <v>5685</v>
      </c>
      <c r="B336" s="125">
        <v>2166.39</v>
      </c>
      <c r="C336" s="125">
        <v>1726.35</v>
      </c>
    </row>
    <row r="337" spans="1:3">
      <c r="A337" s="124">
        <v>5700</v>
      </c>
      <c r="B337" s="125">
        <v>2174.41</v>
      </c>
      <c r="C337" s="125">
        <v>1734.38</v>
      </c>
    </row>
    <row r="338" spans="1:3">
      <c r="A338" s="124">
        <v>5715</v>
      </c>
      <c r="B338" s="125">
        <v>2182.44</v>
      </c>
      <c r="C338" s="125">
        <v>1742.4</v>
      </c>
    </row>
    <row r="339" spans="1:3">
      <c r="A339" s="121">
        <v>5730</v>
      </c>
      <c r="B339" s="126">
        <v>2190.46</v>
      </c>
      <c r="C339" s="126">
        <v>1750.43</v>
      </c>
    </row>
    <row r="340" spans="1:3">
      <c r="A340" s="124">
        <v>5745</v>
      </c>
      <c r="B340" s="125">
        <v>2198.4899999999998</v>
      </c>
      <c r="C340" s="125">
        <v>1758.45</v>
      </c>
    </row>
    <row r="341" spans="1:3">
      <c r="A341" s="124">
        <v>5760</v>
      </c>
      <c r="B341" s="125">
        <v>2206.5100000000002</v>
      </c>
      <c r="C341" s="125">
        <v>1766.48</v>
      </c>
    </row>
    <row r="342" spans="1:3">
      <c r="A342" s="124">
        <v>5775</v>
      </c>
      <c r="B342" s="125">
        <v>2214.54</v>
      </c>
      <c r="C342" s="125">
        <v>1774.5</v>
      </c>
    </row>
    <row r="343" spans="1:3">
      <c r="A343" s="127">
        <v>5790</v>
      </c>
      <c r="B343" s="128">
        <v>2222.56</v>
      </c>
      <c r="C343" s="128">
        <v>1782.53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55D7E-4339-9A4D-9E4F-440446F18F81}">
  <dimension ref="A1:R28"/>
  <sheetViews>
    <sheetView workbookViewId="0">
      <selection activeCell="K17" sqref="K17:K18"/>
    </sheetView>
  </sheetViews>
  <sheetFormatPr baseColWidth="10" defaultColWidth="10.85546875" defaultRowHeight="15"/>
  <cols>
    <col min="1" max="16384" width="10.85546875" style="107"/>
  </cols>
  <sheetData>
    <row r="1" spans="1:18">
      <c r="C1" s="108" t="s">
        <v>258</v>
      </c>
      <c r="F1" s="108">
        <v>0</v>
      </c>
      <c r="G1" s="108">
        <v>1</v>
      </c>
      <c r="H1" s="108">
        <v>2</v>
      </c>
      <c r="I1" s="108">
        <v>3</v>
      </c>
      <c r="J1" s="108">
        <v>4</v>
      </c>
      <c r="K1" s="108">
        <v>5</v>
      </c>
      <c r="L1" s="108">
        <v>6</v>
      </c>
      <c r="M1" s="108">
        <v>7</v>
      </c>
      <c r="N1" s="108">
        <v>8</v>
      </c>
      <c r="O1" s="108">
        <v>9</v>
      </c>
      <c r="P1" s="108">
        <v>10</v>
      </c>
      <c r="Q1" s="108">
        <v>11</v>
      </c>
      <c r="R1" s="108">
        <v>12</v>
      </c>
    </row>
    <row r="2" spans="1:18" ht="15.75" thickBot="1">
      <c r="B2" s="108" t="s">
        <v>256</v>
      </c>
      <c r="C2" s="108" t="s">
        <v>256</v>
      </c>
      <c r="D2" s="107" t="s">
        <v>257</v>
      </c>
      <c r="E2" s="107" t="s">
        <v>257</v>
      </c>
      <c r="F2" s="107" t="s">
        <v>260</v>
      </c>
      <c r="G2" s="131">
        <v>7.4999999999999997E-2</v>
      </c>
      <c r="H2" s="132">
        <v>0.2</v>
      </c>
      <c r="I2" s="132">
        <v>0.35</v>
      </c>
      <c r="J2" s="132">
        <v>0.55000000000000004</v>
      </c>
      <c r="K2" s="132">
        <v>0.75</v>
      </c>
    </row>
    <row r="3" spans="1:18">
      <c r="A3" s="109" t="s">
        <v>135</v>
      </c>
      <c r="B3" s="110">
        <v>0.01</v>
      </c>
      <c r="C3" s="110" t="s">
        <v>136</v>
      </c>
      <c r="D3" s="110">
        <v>0.01</v>
      </c>
      <c r="E3" s="110">
        <v>737.08</v>
      </c>
      <c r="F3" s="110">
        <v>0</v>
      </c>
      <c r="G3" s="133">
        <v>0</v>
      </c>
      <c r="H3" s="133">
        <v>0</v>
      </c>
      <c r="I3" s="133">
        <v>0</v>
      </c>
      <c r="J3" s="133">
        <v>0</v>
      </c>
      <c r="K3" s="133">
        <v>0</v>
      </c>
      <c r="L3" s="110">
        <v>0</v>
      </c>
      <c r="M3" s="110">
        <v>0</v>
      </c>
      <c r="N3" s="110">
        <v>0</v>
      </c>
      <c r="O3" s="110">
        <v>0</v>
      </c>
      <c r="P3" s="110">
        <v>0</v>
      </c>
      <c r="Q3" s="110">
        <v>0</v>
      </c>
      <c r="R3" s="111">
        <v>0</v>
      </c>
    </row>
    <row r="4" spans="1:18">
      <c r="A4" s="112" t="s">
        <v>137</v>
      </c>
      <c r="B4" s="113" t="s">
        <v>138</v>
      </c>
      <c r="C4" s="113" t="s">
        <v>139</v>
      </c>
      <c r="D4" s="113">
        <v>737.09</v>
      </c>
      <c r="E4" s="113">
        <v>944.17</v>
      </c>
      <c r="F4" s="113">
        <v>19.170000000000002</v>
      </c>
      <c r="G4" s="134">
        <v>86.7</v>
      </c>
      <c r="H4" s="134">
        <v>141.13999999999999</v>
      </c>
      <c r="I4" s="134">
        <v>227.08</v>
      </c>
      <c r="J4" s="134">
        <v>322.93</v>
      </c>
      <c r="K4" s="134">
        <v>418.78</v>
      </c>
      <c r="L4" s="113">
        <v>514.63</v>
      </c>
      <c r="M4" s="113">
        <v>610.48</v>
      </c>
      <c r="N4" s="113">
        <v>706.33</v>
      </c>
      <c r="O4" s="113">
        <v>802.18</v>
      </c>
      <c r="P4" s="113">
        <v>898.03</v>
      </c>
      <c r="Q4" s="113">
        <v>993.88</v>
      </c>
      <c r="R4" s="114">
        <v>1089.73</v>
      </c>
    </row>
    <row r="5" spans="1:18">
      <c r="A5" s="112" t="s">
        <v>140</v>
      </c>
      <c r="B5" s="113" t="s">
        <v>141</v>
      </c>
      <c r="C5" s="113" t="s">
        <v>142</v>
      </c>
      <c r="D5" s="113">
        <v>944.18</v>
      </c>
      <c r="E5" s="113" t="s">
        <v>143</v>
      </c>
      <c r="F5" s="113">
        <v>21.2</v>
      </c>
      <c r="G5" s="134">
        <v>51.98</v>
      </c>
      <c r="H5" s="134">
        <v>112.18</v>
      </c>
      <c r="I5" s="134">
        <v>207.23</v>
      </c>
      <c r="J5" s="134">
        <v>313.23</v>
      </c>
      <c r="K5" s="134">
        <v>419.23</v>
      </c>
      <c r="L5" s="113">
        <v>525.23</v>
      </c>
      <c r="M5" s="113">
        <v>631.23</v>
      </c>
      <c r="N5" s="113">
        <v>737.23</v>
      </c>
      <c r="O5" s="113">
        <v>843.23</v>
      </c>
      <c r="P5" s="113">
        <v>949.23</v>
      </c>
      <c r="Q5" s="113">
        <v>1055.23</v>
      </c>
      <c r="R5" s="114">
        <v>1161.23</v>
      </c>
    </row>
    <row r="6" spans="1:18">
      <c r="A6" s="112" t="s">
        <v>144</v>
      </c>
      <c r="B6" s="113" t="s">
        <v>145</v>
      </c>
      <c r="C6" s="113" t="s">
        <v>146</v>
      </c>
      <c r="D6" s="113" t="s">
        <v>147</v>
      </c>
      <c r="E6" s="113" t="s">
        <v>148</v>
      </c>
      <c r="F6" s="113">
        <v>21.2</v>
      </c>
      <c r="G6" s="134">
        <v>0</v>
      </c>
      <c r="H6" s="134">
        <v>60.21</v>
      </c>
      <c r="I6" s="134">
        <v>155.25</v>
      </c>
      <c r="J6" s="134">
        <v>261.25</v>
      </c>
      <c r="K6" s="134">
        <v>367.25</v>
      </c>
      <c r="L6" s="113">
        <v>473.25</v>
      </c>
      <c r="M6" s="113">
        <v>579.25</v>
      </c>
      <c r="N6" s="113">
        <v>685.25</v>
      </c>
      <c r="O6" s="113">
        <v>791.25</v>
      </c>
      <c r="P6" s="113">
        <v>897.25</v>
      </c>
      <c r="Q6" s="113">
        <v>1003.25</v>
      </c>
      <c r="R6" s="114">
        <v>1109.25</v>
      </c>
    </row>
    <row r="7" spans="1:18">
      <c r="A7" s="112" t="s">
        <v>149</v>
      </c>
      <c r="B7" s="113" t="s">
        <v>150</v>
      </c>
      <c r="C7" s="113" t="s">
        <v>151</v>
      </c>
      <c r="D7" s="113" t="s">
        <v>152</v>
      </c>
      <c r="E7" s="113" t="s">
        <v>153</v>
      </c>
      <c r="F7" s="113">
        <v>26.25</v>
      </c>
      <c r="G7" s="135"/>
      <c r="H7" s="134">
        <v>71.75</v>
      </c>
      <c r="I7" s="134">
        <v>189.44</v>
      </c>
      <c r="J7" s="134">
        <v>320.69</v>
      </c>
      <c r="K7" s="134">
        <v>451.94</v>
      </c>
      <c r="L7" s="113">
        <v>583.19000000000005</v>
      </c>
      <c r="M7" s="113">
        <v>714.44</v>
      </c>
      <c r="N7" s="113">
        <v>845.69</v>
      </c>
      <c r="O7" s="113">
        <v>976.94</v>
      </c>
      <c r="P7" s="113">
        <v>1108.19</v>
      </c>
      <c r="Q7" s="113">
        <v>1239.44</v>
      </c>
      <c r="R7" s="114">
        <v>1370.69</v>
      </c>
    </row>
    <row r="8" spans="1:18">
      <c r="A8" s="112" t="s">
        <v>154</v>
      </c>
      <c r="B8" s="113" t="s">
        <v>155</v>
      </c>
      <c r="C8" s="113" t="s">
        <v>156</v>
      </c>
      <c r="D8" s="113" t="s">
        <v>157</v>
      </c>
      <c r="E8" s="113" t="s">
        <v>158</v>
      </c>
      <c r="F8" s="113">
        <v>31.3</v>
      </c>
      <c r="G8" s="135"/>
      <c r="H8" s="134">
        <v>10.69</v>
      </c>
      <c r="I8" s="134">
        <v>151.02000000000001</v>
      </c>
      <c r="J8" s="134">
        <v>307.52</v>
      </c>
      <c r="K8" s="134">
        <v>464.02</v>
      </c>
      <c r="L8" s="113">
        <v>620.52</v>
      </c>
      <c r="M8" s="113">
        <v>777.02</v>
      </c>
      <c r="N8" s="113">
        <v>933.52</v>
      </c>
      <c r="O8" s="113">
        <v>1090.02</v>
      </c>
      <c r="P8" s="113">
        <v>1246.52</v>
      </c>
      <c r="Q8" s="113">
        <v>1403.02</v>
      </c>
      <c r="R8" s="114">
        <v>1559.52</v>
      </c>
    </row>
    <row r="9" spans="1:18">
      <c r="A9" s="112" t="s">
        <v>159</v>
      </c>
      <c r="B9" s="113" t="s">
        <v>160</v>
      </c>
      <c r="C9" s="113" t="s">
        <v>161</v>
      </c>
      <c r="D9" s="113" t="s">
        <v>162</v>
      </c>
      <c r="E9" s="113" t="s">
        <v>163</v>
      </c>
      <c r="F9" s="113">
        <v>31.3</v>
      </c>
      <c r="G9" s="135"/>
      <c r="H9" s="134">
        <v>0</v>
      </c>
      <c r="I9" s="134">
        <v>140.33000000000001</v>
      </c>
      <c r="J9" s="134">
        <v>296.83</v>
      </c>
      <c r="K9" s="134">
        <v>453.33</v>
      </c>
      <c r="L9" s="113">
        <v>609.83000000000004</v>
      </c>
      <c r="M9" s="113">
        <v>766.33</v>
      </c>
      <c r="N9" s="113">
        <v>922.83</v>
      </c>
      <c r="O9" s="113">
        <v>1079.33</v>
      </c>
      <c r="P9" s="113">
        <v>1235.83</v>
      </c>
      <c r="Q9" s="113">
        <v>1392.33</v>
      </c>
      <c r="R9" s="114">
        <v>1548.83</v>
      </c>
    </row>
    <row r="10" spans="1:18">
      <c r="A10" s="112" t="s">
        <v>164</v>
      </c>
      <c r="B10" s="113" t="s">
        <v>165</v>
      </c>
      <c r="C10" s="113" t="s">
        <v>166</v>
      </c>
      <c r="D10" s="113" t="s">
        <v>167</v>
      </c>
      <c r="E10" s="113" t="s">
        <v>168</v>
      </c>
      <c r="F10" s="113">
        <v>34.33</v>
      </c>
      <c r="G10" s="135"/>
      <c r="H10" s="135"/>
      <c r="I10" s="134">
        <v>100.42</v>
      </c>
      <c r="J10" s="134">
        <v>272.07</v>
      </c>
      <c r="K10" s="134">
        <v>443.72</v>
      </c>
      <c r="L10" s="113">
        <v>615.37</v>
      </c>
      <c r="M10" s="113">
        <v>787.02</v>
      </c>
      <c r="N10" s="113">
        <v>958.67</v>
      </c>
      <c r="O10" s="113">
        <v>1130.32</v>
      </c>
      <c r="P10" s="113">
        <v>1301.97</v>
      </c>
      <c r="Q10" s="113">
        <v>1473.62</v>
      </c>
      <c r="R10" s="114">
        <v>1645.27</v>
      </c>
    </row>
    <row r="11" spans="1:18">
      <c r="A11" s="112" t="s">
        <v>169</v>
      </c>
      <c r="B11" s="113" t="s">
        <v>170</v>
      </c>
      <c r="C11" s="113" t="s">
        <v>171</v>
      </c>
      <c r="D11" s="113" t="s">
        <v>172</v>
      </c>
      <c r="E11" s="113" t="s">
        <v>173</v>
      </c>
      <c r="F11" s="113">
        <v>36.340000000000003</v>
      </c>
      <c r="G11" s="135"/>
      <c r="H11" s="135"/>
      <c r="I11" s="134">
        <v>37.25</v>
      </c>
      <c r="J11" s="134">
        <v>218.95</v>
      </c>
      <c r="K11" s="134">
        <v>400.65</v>
      </c>
      <c r="L11" s="113">
        <v>582.35</v>
      </c>
      <c r="M11" s="113">
        <v>764.05</v>
      </c>
      <c r="N11" s="113">
        <v>945.75</v>
      </c>
      <c r="O11" s="113">
        <v>1127.45</v>
      </c>
      <c r="P11" s="113">
        <v>1309.1500000000001</v>
      </c>
      <c r="Q11" s="113">
        <v>1490.85</v>
      </c>
      <c r="R11" s="114">
        <v>1672.55</v>
      </c>
    </row>
    <row r="12" spans="1:18">
      <c r="A12" s="112" t="s">
        <v>174</v>
      </c>
      <c r="B12" s="113" t="s">
        <v>175</v>
      </c>
      <c r="C12" s="113" t="s">
        <v>176</v>
      </c>
      <c r="D12" s="113" t="s">
        <v>177</v>
      </c>
      <c r="E12" s="113" t="s">
        <v>178</v>
      </c>
      <c r="F12" s="113">
        <v>36.340000000000003</v>
      </c>
      <c r="G12" s="135"/>
      <c r="H12" s="135"/>
      <c r="I12" s="134">
        <v>0</v>
      </c>
      <c r="J12" s="134">
        <v>181.7</v>
      </c>
      <c r="K12" s="134">
        <v>363.4</v>
      </c>
      <c r="L12" s="113">
        <v>545.1</v>
      </c>
      <c r="M12" s="113">
        <v>726.8</v>
      </c>
      <c r="N12" s="113">
        <v>908.5</v>
      </c>
      <c r="O12" s="113">
        <v>1090.2</v>
      </c>
      <c r="P12" s="113">
        <v>1271.9000000000001</v>
      </c>
      <c r="Q12" s="113">
        <v>1453.6</v>
      </c>
      <c r="R12" s="114">
        <v>1635.3</v>
      </c>
    </row>
    <row r="13" spans="1:18">
      <c r="A13" s="112" t="s">
        <v>179</v>
      </c>
      <c r="B13" s="113" t="s">
        <v>180</v>
      </c>
      <c r="C13" s="113" t="s">
        <v>181</v>
      </c>
      <c r="D13" s="113" t="s">
        <v>182</v>
      </c>
      <c r="E13" s="113" t="s">
        <v>183</v>
      </c>
      <c r="F13" s="113">
        <v>36.340000000000003</v>
      </c>
      <c r="G13" s="115"/>
      <c r="H13" s="115"/>
      <c r="I13" s="135"/>
      <c r="J13" s="134">
        <v>153.54</v>
      </c>
      <c r="K13" s="134">
        <v>335.24</v>
      </c>
      <c r="L13" s="113">
        <v>516.94000000000005</v>
      </c>
      <c r="M13" s="113">
        <v>698.64</v>
      </c>
      <c r="N13" s="113">
        <v>880.34</v>
      </c>
      <c r="O13" s="113">
        <v>1062.04</v>
      </c>
      <c r="P13" s="113">
        <v>1243.74</v>
      </c>
      <c r="Q13" s="113">
        <v>1425.44</v>
      </c>
      <c r="R13" s="114">
        <v>1607.14</v>
      </c>
    </row>
    <row r="14" spans="1:18">
      <c r="A14" s="112" t="s">
        <v>184</v>
      </c>
      <c r="B14" s="113" t="s">
        <v>185</v>
      </c>
      <c r="C14" s="113" t="s">
        <v>186</v>
      </c>
      <c r="D14" s="113" t="s">
        <v>187</v>
      </c>
      <c r="E14" s="113" t="s">
        <v>188</v>
      </c>
      <c r="F14" s="113">
        <v>39.369999999999997</v>
      </c>
      <c r="G14" s="115"/>
      <c r="H14" s="115"/>
      <c r="I14" s="135"/>
      <c r="J14" s="134">
        <v>87.6</v>
      </c>
      <c r="K14" s="134">
        <v>284.45</v>
      </c>
      <c r="L14" s="113">
        <v>481.3</v>
      </c>
      <c r="M14" s="113">
        <v>678.15</v>
      </c>
      <c r="N14" s="113">
        <v>875</v>
      </c>
      <c r="O14" s="113">
        <v>1071.8499999999999</v>
      </c>
      <c r="P14" s="113">
        <v>1268.7</v>
      </c>
      <c r="Q14" s="113">
        <v>1465.55</v>
      </c>
      <c r="R14" s="114">
        <v>1662.4</v>
      </c>
    </row>
    <row r="15" spans="1:18">
      <c r="A15" s="112" t="s">
        <v>259</v>
      </c>
      <c r="B15" s="113" t="s">
        <v>189</v>
      </c>
      <c r="C15" s="113" t="s">
        <v>190</v>
      </c>
      <c r="D15" s="113" t="s">
        <v>191</v>
      </c>
      <c r="E15" s="113" t="s">
        <v>192</v>
      </c>
      <c r="F15" s="113">
        <v>42.39</v>
      </c>
      <c r="G15" s="115"/>
      <c r="H15" s="115"/>
      <c r="I15" s="135"/>
      <c r="J15" s="134">
        <v>12.36</v>
      </c>
      <c r="K15" s="134">
        <v>224.31</v>
      </c>
      <c r="L15" s="113">
        <v>436.26</v>
      </c>
      <c r="M15" s="113">
        <v>648.21</v>
      </c>
      <c r="N15" s="113">
        <v>860.16</v>
      </c>
      <c r="O15" s="113">
        <v>1072.1099999999999</v>
      </c>
      <c r="P15" s="113">
        <v>1284.06</v>
      </c>
      <c r="Q15" s="113">
        <v>1496.01</v>
      </c>
      <c r="R15" s="114">
        <v>1707.96</v>
      </c>
    </row>
    <row r="16" spans="1:18">
      <c r="A16" s="112" t="s">
        <v>193</v>
      </c>
      <c r="B16" s="113" t="s">
        <v>194</v>
      </c>
      <c r="C16" s="113" t="s">
        <v>195</v>
      </c>
      <c r="D16" s="113" t="s">
        <v>196</v>
      </c>
      <c r="E16" s="113" t="s">
        <v>197</v>
      </c>
      <c r="F16" s="113">
        <v>42.39</v>
      </c>
      <c r="G16" s="115"/>
      <c r="H16" s="115"/>
      <c r="I16" s="115"/>
      <c r="J16" s="134">
        <v>0</v>
      </c>
      <c r="K16" s="134">
        <v>211.95</v>
      </c>
      <c r="L16" s="113">
        <v>423.9</v>
      </c>
      <c r="M16" s="113">
        <v>635.85</v>
      </c>
      <c r="N16" s="113">
        <v>847.8</v>
      </c>
      <c r="O16" s="113">
        <v>1059.75</v>
      </c>
      <c r="P16" s="113">
        <v>1271.7</v>
      </c>
      <c r="Q16" s="113">
        <v>1483.65</v>
      </c>
      <c r="R16" s="114">
        <v>1695.6</v>
      </c>
    </row>
    <row r="17" spans="1:18">
      <c r="A17" s="112" t="s">
        <v>198</v>
      </c>
      <c r="B17" s="113" t="s">
        <v>199</v>
      </c>
      <c r="C17" s="113" t="s">
        <v>200</v>
      </c>
      <c r="D17" s="113" t="s">
        <v>201</v>
      </c>
      <c r="E17" s="113" t="s">
        <v>202</v>
      </c>
      <c r="F17" s="113">
        <v>42.39</v>
      </c>
      <c r="G17" s="115"/>
      <c r="H17" s="115"/>
      <c r="I17" s="115"/>
      <c r="J17" s="115"/>
      <c r="K17" s="113">
        <v>136.71</v>
      </c>
      <c r="L17" s="113">
        <v>348.66</v>
      </c>
      <c r="M17" s="113">
        <v>560.61</v>
      </c>
      <c r="N17" s="113">
        <v>772.56</v>
      </c>
      <c r="O17" s="113">
        <v>984.51</v>
      </c>
      <c r="P17" s="113">
        <v>1196.46</v>
      </c>
      <c r="Q17" s="113">
        <v>1408.41</v>
      </c>
      <c r="R17" s="114">
        <v>1620.36</v>
      </c>
    </row>
    <row r="18" spans="1:18">
      <c r="A18" s="112" t="s">
        <v>203</v>
      </c>
      <c r="B18" s="113" t="s">
        <v>204</v>
      </c>
      <c r="C18" s="113" t="s">
        <v>205</v>
      </c>
      <c r="D18" s="113" t="s">
        <v>206</v>
      </c>
      <c r="E18" s="113" t="s">
        <v>207</v>
      </c>
      <c r="F18" s="113">
        <v>42.39</v>
      </c>
      <c r="G18" s="115"/>
      <c r="H18" s="115"/>
      <c r="I18" s="115"/>
      <c r="J18" s="115"/>
      <c r="K18" s="113">
        <v>0</v>
      </c>
      <c r="L18" s="113">
        <v>263.88</v>
      </c>
      <c r="M18" s="113">
        <v>475.83</v>
      </c>
      <c r="N18" s="113">
        <v>687.78</v>
      </c>
      <c r="O18" s="113">
        <v>899.73</v>
      </c>
      <c r="P18" s="113">
        <v>1111.68</v>
      </c>
      <c r="Q18" s="113">
        <v>1323.63</v>
      </c>
      <c r="R18" s="114">
        <v>1535.58</v>
      </c>
    </row>
    <row r="19" spans="1:18">
      <c r="A19" s="112" t="s">
        <v>208</v>
      </c>
      <c r="B19" s="113" t="s">
        <v>209</v>
      </c>
      <c r="C19" s="113" t="s">
        <v>210</v>
      </c>
      <c r="D19" s="113" t="s">
        <v>211</v>
      </c>
      <c r="E19" s="113" t="s">
        <v>212</v>
      </c>
      <c r="F19" s="113">
        <v>42.39</v>
      </c>
      <c r="G19" s="115"/>
      <c r="H19" s="115"/>
      <c r="I19" s="115"/>
      <c r="J19" s="115"/>
      <c r="K19" s="115"/>
      <c r="L19" s="113">
        <v>211.95</v>
      </c>
      <c r="M19" s="113">
        <v>423.9</v>
      </c>
      <c r="N19" s="113">
        <v>635.85</v>
      </c>
      <c r="O19" s="113">
        <v>847.8</v>
      </c>
      <c r="P19" s="113">
        <v>1059.75</v>
      </c>
      <c r="Q19" s="113">
        <v>1271.7</v>
      </c>
      <c r="R19" s="114">
        <v>1483.65</v>
      </c>
    </row>
    <row r="20" spans="1:18">
      <c r="A20" s="112" t="s">
        <v>213</v>
      </c>
      <c r="B20" s="113" t="s">
        <v>214</v>
      </c>
      <c r="C20" s="113" t="s">
        <v>215</v>
      </c>
      <c r="D20" s="113" t="s">
        <v>216</v>
      </c>
      <c r="E20" s="113" t="s">
        <v>217</v>
      </c>
      <c r="F20" s="113">
        <v>47.44</v>
      </c>
      <c r="G20" s="115"/>
      <c r="H20" s="115"/>
      <c r="I20" s="115"/>
      <c r="J20" s="115"/>
      <c r="K20" s="115"/>
      <c r="L20" s="113">
        <v>120.18</v>
      </c>
      <c r="M20" s="113">
        <v>357.38</v>
      </c>
      <c r="N20" s="113">
        <v>594.58000000000004</v>
      </c>
      <c r="O20" s="113">
        <v>831.78</v>
      </c>
      <c r="P20" s="113">
        <v>1068.98</v>
      </c>
      <c r="Q20" s="113">
        <v>1306.18</v>
      </c>
      <c r="R20" s="114">
        <v>1543.38</v>
      </c>
    </row>
    <row r="21" spans="1:18">
      <c r="A21" s="112" t="s">
        <v>218</v>
      </c>
      <c r="B21" s="113" t="s">
        <v>219</v>
      </c>
      <c r="C21" s="113" t="s">
        <v>220</v>
      </c>
      <c r="D21" s="113" t="s">
        <v>221</v>
      </c>
      <c r="E21" s="113" t="s">
        <v>222</v>
      </c>
      <c r="F21" s="113">
        <v>47.44</v>
      </c>
      <c r="G21" s="115"/>
      <c r="H21" s="115"/>
      <c r="I21" s="115"/>
      <c r="J21" s="115"/>
      <c r="K21" s="115"/>
      <c r="L21" s="113">
        <v>0</v>
      </c>
      <c r="M21" s="113">
        <v>237.2</v>
      </c>
      <c r="N21" s="113">
        <v>474.4</v>
      </c>
      <c r="O21" s="113">
        <v>711.6</v>
      </c>
      <c r="P21" s="113">
        <v>948.8</v>
      </c>
      <c r="Q21" s="113">
        <v>1186</v>
      </c>
      <c r="R21" s="114">
        <v>1423.2</v>
      </c>
    </row>
    <row r="22" spans="1:18">
      <c r="A22" s="112" t="s">
        <v>223</v>
      </c>
      <c r="B22" s="113" t="s">
        <v>224</v>
      </c>
      <c r="C22" s="113" t="s">
        <v>225</v>
      </c>
      <c r="D22" s="113" t="s">
        <v>226</v>
      </c>
      <c r="E22" s="113" t="s">
        <v>227</v>
      </c>
      <c r="F22" s="113">
        <v>47.44</v>
      </c>
      <c r="G22" s="115"/>
      <c r="H22" s="115"/>
      <c r="I22" s="115"/>
      <c r="J22" s="115"/>
      <c r="K22" s="115"/>
      <c r="L22" s="115"/>
      <c r="M22" s="113">
        <v>0</v>
      </c>
      <c r="N22" s="113">
        <v>237.2</v>
      </c>
      <c r="O22" s="113">
        <v>474.4</v>
      </c>
      <c r="P22" s="113">
        <v>711.6</v>
      </c>
      <c r="Q22" s="113">
        <v>948.8</v>
      </c>
      <c r="R22" s="114">
        <v>1186</v>
      </c>
    </row>
    <row r="23" spans="1:18">
      <c r="A23" s="112" t="s">
        <v>228</v>
      </c>
      <c r="B23" s="113" t="s">
        <v>229</v>
      </c>
      <c r="C23" s="113" t="s">
        <v>230</v>
      </c>
      <c r="D23" s="113" t="s">
        <v>231</v>
      </c>
      <c r="E23" s="113" t="s">
        <v>232</v>
      </c>
      <c r="F23" s="113">
        <v>53.5</v>
      </c>
      <c r="G23" s="115"/>
      <c r="H23" s="115"/>
      <c r="I23" s="115"/>
      <c r="J23" s="115"/>
      <c r="K23" s="115"/>
      <c r="L23" s="115"/>
      <c r="M23" s="115"/>
      <c r="N23" s="113">
        <v>152.03</v>
      </c>
      <c r="O23" s="113">
        <v>419.53</v>
      </c>
      <c r="P23" s="113">
        <v>687.03</v>
      </c>
      <c r="Q23" s="113">
        <v>954.53</v>
      </c>
      <c r="R23" s="114">
        <v>1222.03</v>
      </c>
    </row>
    <row r="24" spans="1:18">
      <c r="A24" s="112" t="s">
        <v>233</v>
      </c>
      <c r="B24" s="113" t="s">
        <v>234</v>
      </c>
      <c r="C24" s="113" t="s">
        <v>235</v>
      </c>
      <c r="D24" s="113" t="s">
        <v>236</v>
      </c>
      <c r="E24" s="113" t="s">
        <v>237</v>
      </c>
      <c r="F24" s="113">
        <v>53.5</v>
      </c>
      <c r="G24" s="115"/>
      <c r="H24" s="115"/>
      <c r="I24" s="115"/>
      <c r="J24" s="115"/>
      <c r="K24" s="115"/>
      <c r="L24" s="115"/>
      <c r="M24" s="115"/>
      <c r="N24" s="113">
        <v>0</v>
      </c>
      <c r="O24" s="113">
        <v>267.5</v>
      </c>
      <c r="P24" s="113">
        <v>535</v>
      </c>
      <c r="Q24" s="113">
        <v>802.5</v>
      </c>
      <c r="R24" s="114">
        <v>1070</v>
      </c>
    </row>
    <row r="25" spans="1:18">
      <c r="A25" s="112" t="s">
        <v>238</v>
      </c>
      <c r="B25" s="113" t="s">
        <v>239</v>
      </c>
      <c r="C25" s="113" t="s">
        <v>240</v>
      </c>
      <c r="D25" s="113" t="s">
        <v>241</v>
      </c>
      <c r="E25" s="113" t="s">
        <v>242</v>
      </c>
      <c r="F25" s="113">
        <v>53.5</v>
      </c>
      <c r="G25" s="115"/>
      <c r="H25" s="115"/>
      <c r="I25" s="115"/>
      <c r="J25" s="115"/>
      <c r="K25" s="115"/>
      <c r="L25" s="115"/>
      <c r="M25" s="115"/>
      <c r="N25" s="115"/>
      <c r="O25" s="113">
        <v>0</v>
      </c>
      <c r="P25" s="113">
        <v>267.5</v>
      </c>
      <c r="Q25" s="113">
        <v>535</v>
      </c>
      <c r="R25" s="114">
        <v>802.5</v>
      </c>
    </row>
    <row r="26" spans="1:18">
      <c r="A26" s="112" t="s">
        <v>243</v>
      </c>
      <c r="B26" s="113" t="s">
        <v>244</v>
      </c>
      <c r="C26" s="113" t="s">
        <v>245</v>
      </c>
      <c r="D26" s="113" t="s">
        <v>246</v>
      </c>
      <c r="E26" s="113" t="s">
        <v>247</v>
      </c>
      <c r="F26" s="113">
        <v>53.5</v>
      </c>
      <c r="G26" s="115"/>
      <c r="H26" s="115"/>
      <c r="I26" s="115"/>
      <c r="J26" s="115"/>
      <c r="K26" s="115"/>
      <c r="L26" s="115"/>
      <c r="M26" s="115"/>
      <c r="N26" s="115"/>
      <c r="O26" s="115"/>
      <c r="P26" s="113">
        <v>0</v>
      </c>
      <c r="Q26" s="113">
        <v>267.5</v>
      </c>
      <c r="R26" s="114">
        <v>535</v>
      </c>
    </row>
    <row r="27" spans="1:18">
      <c r="A27" s="112" t="s">
        <v>248</v>
      </c>
      <c r="B27" s="113" t="s">
        <v>249</v>
      </c>
      <c r="C27" s="113" t="s">
        <v>250</v>
      </c>
      <c r="D27" s="113" t="s">
        <v>251</v>
      </c>
      <c r="E27" s="113" t="s">
        <v>252</v>
      </c>
      <c r="F27" s="113">
        <v>53.5</v>
      </c>
      <c r="G27" s="115"/>
      <c r="H27" s="115"/>
      <c r="I27" s="115"/>
      <c r="J27" s="115"/>
      <c r="K27" s="115"/>
      <c r="L27" s="115"/>
      <c r="M27" s="115"/>
      <c r="N27" s="115"/>
      <c r="O27" s="115"/>
      <c r="P27" s="115"/>
      <c r="Q27" s="113">
        <v>0</v>
      </c>
      <c r="R27" s="114">
        <v>267.5</v>
      </c>
    </row>
    <row r="28" spans="1:18" ht="15.75" thickBot="1">
      <c r="A28" s="116" t="s">
        <v>253</v>
      </c>
      <c r="B28" s="117" t="s">
        <v>254</v>
      </c>
      <c r="C28" s="118"/>
      <c r="D28" s="117" t="s">
        <v>255</v>
      </c>
      <c r="E28" s="118"/>
      <c r="F28" s="117">
        <v>53.5</v>
      </c>
      <c r="G28" s="118"/>
      <c r="H28" s="118"/>
      <c r="I28" s="118"/>
      <c r="J28" s="118"/>
      <c r="K28" s="118"/>
      <c r="L28" s="118"/>
      <c r="M28" s="118"/>
      <c r="N28" s="118"/>
      <c r="O28" s="118"/>
      <c r="P28" s="118"/>
      <c r="Q28" s="118"/>
      <c r="R28" s="119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9E4B1-8A5E-CD45-BB72-B10C3746F78A}">
  <dimension ref="A1:S28"/>
  <sheetViews>
    <sheetView workbookViewId="0">
      <selection activeCell="D19" sqref="D19"/>
    </sheetView>
  </sheetViews>
  <sheetFormatPr baseColWidth="10" defaultRowHeight="15"/>
  <cols>
    <col min="2" max="2" width="26" bestFit="1" customWidth="1"/>
  </cols>
  <sheetData>
    <row r="1" spans="1:19" ht="15.75">
      <c r="A1" s="144"/>
      <c r="B1" s="90" t="s">
        <v>267</v>
      </c>
      <c r="C1" s="90"/>
      <c r="D1" s="145"/>
      <c r="E1" s="145"/>
      <c r="F1" s="145"/>
      <c r="G1" s="90">
        <v>1</v>
      </c>
      <c r="H1" s="90">
        <v>2</v>
      </c>
      <c r="I1" s="90">
        <v>3</v>
      </c>
      <c r="J1" s="90">
        <v>4</v>
      </c>
      <c r="K1" s="90">
        <v>5</v>
      </c>
      <c r="L1" s="90">
        <v>6</v>
      </c>
      <c r="M1" s="90">
        <v>7</v>
      </c>
      <c r="N1" s="90">
        <v>8</v>
      </c>
      <c r="O1" s="90">
        <v>9</v>
      </c>
      <c r="P1" s="90">
        <v>10</v>
      </c>
      <c r="Q1" s="90">
        <v>11</v>
      </c>
      <c r="R1" s="91">
        <v>12</v>
      </c>
      <c r="S1" s="99"/>
    </row>
    <row r="2" spans="1:19" ht="15.75">
      <c r="A2" s="146"/>
      <c r="B2" s="89" t="s">
        <v>263</v>
      </c>
      <c r="C2" s="89" t="s">
        <v>263</v>
      </c>
      <c r="D2" s="136" t="s">
        <v>264</v>
      </c>
      <c r="E2" s="3" t="s">
        <v>264</v>
      </c>
      <c r="F2" s="3"/>
      <c r="G2" s="137">
        <v>7.4999999999999997E-2</v>
      </c>
      <c r="H2" s="138">
        <v>0.2</v>
      </c>
      <c r="I2" s="138">
        <v>0.35</v>
      </c>
      <c r="J2" s="138">
        <v>0.55000000000000004</v>
      </c>
      <c r="K2" s="138">
        <v>0.75</v>
      </c>
      <c r="L2" s="136"/>
      <c r="M2" s="136"/>
      <c r="N2" s="136"/>
      <c r="O2" s="136"/>
      <c r="P2" s="136"/>
      <c r="Q2" s="136"/>
      <c r="R2" s="147"/>
      <c r="S2" s="99"/>
    </row>
    <row r="3" spans="1:19" ht="15.75">
      <c r="A3" s="92" t="s">
        <v>135</v>
      </c>
      <c r="B3" s="139">
        <v>0.01</v>
      </c>
      <c r="C3" s="140" t="s">
        <v>136</v>
      </c>
      <c r="D3" s="140">
        <v>0.01</v>
      </c>
      <c r="E3" s="140">
        <v>737.08</v>
      </c>
      <c r="F3" s="89">
        <v>0</v>
      </c>
      <c r="G3" s="141">
        <v>0</v>
      </c>
      <c r="H3" s="141">
        <v>0</v>
      </c>
      <c r="I3" s="141">
        <v>0</v>
      </c>
      <c r="J3" s="141">
        <v>0</v>
      </c>
      <c r="K3" s="141">
        <v>0</v>
      </c>
      <c r="L3" s="89">
        <v>0</v>
      </c>
      <c r="M3" s="89">
        <v>0</v>
      </c>
      <c r="N3" s="89">
        <v>0</v>
      </c>
      <c r="O3" s="89">
        <v>0</v>
      </c>
      <c r="P3" s="89">
        <v>0</v>
      </c>
      <c r="Q3" s="89">
        <v>0</v>
      </c>
      <c r="R3" s="93">
        <v>0</v>
      </c>
    </row>
    <row r="4" spans="1:19" ht="15.75">
      <c r="A4" s="92" t="s">
        <v>137</v>
      </c>
      <c r="B4" s="142" t="s">
        <v>138</v>
      </c>
      <c r="C4" s="140" t="s">
        <v>139</v>
      </c>
      <c r="D4" s="140">
        <v>737.09</v>
      </c>
      <c r="E4" s="140">
        <v>944.17</v>
      </c>
      <c r="F4" s="89">
        <v>23.22</v>
      </c>
      <c r="G4" s="141">
        <v>105.01</v>
      </c>
      <c r="H4" s="141">
        <v>170.96</v>
      </c>
      <c r="I4" s="141">
        <v>275.06</v>
      </c>
      <c r="J4" s="141">
        <v>391.16</v>
      </c>
      <c r="K4" s="141">
        <v>507.26</v>
      </c>
      <c r="L4" s="89">
        <v>623.36</v>
      </c>
      <c r="M4" s="89">
        <v>739.46</v>
      </c>
      <c r="N4" s="89">
        <v>855.56</v>
      </c>
      <c r="O4" s="89">
        <v>971.66</v>
      </c>
      <c r="P4" s="89">
        <v>1087.76</v>
      </c>
      <c r="Q4" s="89">
        <v>1203.8599999999999</v>
      </c>
      <c r="R4" s="93">
        <v>1319.96</v>
      </c>
    </row>
    <row r="5" spans="1:19" ht="15.75">
      <c r="A5" s="92" t="s">
        <v>140</v>
      </c>
      <c r="B5" s="142" t="s">
        <v>141</v>
      </c>
      <c r="C5" s="140" t="s">
        <v>142</v>
      </c>
      <c r="D5" s="140">
        <v>944.18</v>
      </c>
      <c r="E5" s="140" t="s">
        <v>143</v>
      </c>
      <c r="F5" s="89">
        <v>25.23</v>
      </c>
      <c r="G5" s="141">
        <v>61.86</v>
      </c>
      <c r="H5" s="141">
        <v>133.51</v>
      </c>
      <c r="I5" s="141">
        <v>246.62</v>
      </c>
      <c r="J5" s="141">
        <v>372.77</v>
      </c>
      <c r="K5" s="141">
        <v>498.92</v>
      </c>
      <c r="L5" s="89">
        <v>625.07000000000005</v>
      </c>
      <c r="M5" s="89">
        <v>751.22</v>
      </c>
      <c r="N5" s="89">
        <v>877.37</v>
      </c>
      <c r="O5" s="89">
        <v>1003.52</v>
      </c>
      <c r="P5" s="89">
        <v>1129.67</v>
      </c>
      <c r="Q5" s="89">
        <v>1255.82</v>
      </c>
      <c r="R5" s="93">
        <v>1381.97</v>
      </c>
    </row>
    <row r="6" spans="1:19" ht="15.75">
      <c r="A6" s="92" t="s">
        <v>144</v>
      </c>
      <c r="B6" s="142" t="s">
        <v>145</v>
      </c>
      <c r="C6" s="140" t="s">
        <v>146</v>
      </c>
      <c r="D6" s="140" t="s">
        <v>147</v>
      </c>
      <c r="E6" s="140" t="s">
        <v>148</v>
      </c>
      <c r="F6" s="89">
        <v>25.23</v>
      </c>
      <c r="G6" s="141">
        <v>0</v>
      </c>
      <c r="H6" s="141">
        <v>71.650000000000006</v>
      </c>
      <c r="I6" s="141">
        <v>184.77</v>
      </c>
      <c r="J6" s="141">
        <v>310.92</v>
      </c>
      <c r="K6" s="141">
        <v>437.07</v>
      </c>
      <c r="L6" s="89">
        <v>563.22</v>
      </c>
      <c r="M6" s="89">
        <v>689.37</v>
      </c>
      <c r="N6" s="89">
        <v>815.52</v>
      </c>
      <c r="O6" s="89">
        <v>941.67</v>
      </c>
      <c r="P6" s="89">
        <v>1067.82</v>
      </c>
      <c r="Q6" s="89">
        <v>1193.97</v>
      </c>
      <c r="R6" s="93">
        <v>1320.12</v>
      </c>
    </row>
    <row r="7" spans="1:19" ht="15.75">
      <c r="A7" s="92" t="s">
        <v>149</v>
      </c>
      <c r="B7" s="142" t="s">
        <v>150</v>
      </c>
      <c r="C7" s="140" t="s">
        <v>151</v>
      </c>
      <c r="D7" s="140" t="s">
        <v>152</v>
      </c>
      <c r="E7" s="140" t="s">
        <v>153</v>
      </c>
      <c r="F7" s="89">
        <v>30.28</v>
      </c>
      <c r="G7" s="143"/>
      <c r="H7" s="141">
        <v>82.77</v>
      </c>
      <c r="I7" s="141">
        <v>218.52</v>
      </c>
      <c r="J7" s="141">
        <v>369.92</v>
      </c>
      <c r="K7" s="141">
        <v>521.32000000000005</v>
      </c>
      <c r="L7" s="89">
        <v>672.72</v>
      </c>
      <c r="M7" s="89">
        <v>824.12</v>
      </c>
      <c r="N7" s="89">
        <v>975.52</v>
      </c>
      <c r="O7" s="89">
        <v>1126.92</v>
      </c>
      <c r="P7" s="89">
        <v>1278.32</v>
      </c>
      <c r="Q7" s="89">
        <v>1429.72</v>
      </c>
      <c r="R7" s="93">
        <v>1581.12</v>
      </c>
    </row>
    <row r="8" spans="1:19" ht="15.75">
      <c r="A8" s="92" t="s">
        <v>154</v>
      </c>
      <c r="B8" s="142" t="s">
        <v>155</v>
      </c>
      <c r="C8" s="140" t="s">
        <v>156</v>
      </c>
      <c r="D8" s="140" t="s">
        <v>157</v>
      </c>
      <c r="E8" s="140" t="s">
        <v>158</v>
      </c>
      <c r="F8" s="89">
        <v>35.33</v>
      </c>
      <c r="G8" s="143"/>
      <c r="H8" s="141">
        <v>12.07</v>
      </c>
      <c r="I8" s="141">
        <v>170.47</v>
      </c>
      <c r="J8" s="141">
        <v>347.12</v>
      </c>
      <c r="K8" s="141">
        <v>523.77</v>
      </c>
      <c r="L8" s="89">
        <v>700.42</v>
      </c>
      <c r="M8" s="89">
        <v>877.07</v>
      </c>
      <c r="N8" s="89">
        <v>1053.72</v>
      </c>
      <c r="O8" s="89">
        <v>1230.3699999999999</v>
      </c>
      <c r="P8" s="89">
        <v>1407.02</v>
      </c>
      <c r="Q8" s="89">
        <v>1583.67</v>
      </c>
      <c r="R8" s="93">
        <v>1760.32</v>
      </c>
    </row>
    <row r="9" spans="1:19" ht="15.75">
      <c r="A9" s="92" t="s">
        <v>159</v>
      </c>
      <c r="B9" s="142" t="s">
        <v>160</v>
      </c>
      <c r="C9" s="140" t="s">
        <v>161</v>
      </c>
      <c r="D9" s="140" t="s">
        <v>162</v>
      </c>
      <c r="E9" s="140" t="s">
        <v>163</v>
      </c>
      <c r="F9" s="89">
        <v>35.33</v>
      </c>
      <c r="G9" s="143"/>
      <c r="H9" s="141">
        <v>0</v>
      </c>
      <c r="I9" s="141">
        <v>158.4</v>
      </c>
      <c r="J9" s="141">
        <v>335.05</v>
      </c>
      <c r="K9" s="141">
        <v>511.7</v>
      </c>
      <c r="L9" s="89">
        <v>688.35</v>
      </c>
      <c r="M9" s="89">
        <v>865</v>
      </c>
      <c r="N9" s="89">
        <v>1041.6500000000001</v>
      </c>
      <c r="O9" s="89">
        <v>1218.3</v>
      </c>
      <c r="P9" s="89">
        <v>1394.95</v>
      </c>
      <c r="Q9" s="89">
        <v>1571.6</v>
      </c>
      <c r="R9" s="93">
        <v>1748.25</v>
      </c>
    </row>
    <row r="10" spans="1:19" ht="15.75">
      <c r="A10" s="92" t="s">
        <v>164</v>
      </c>
      <c r="B10" s="142" t="s">
        <v>165</v>
      </c>
      <c r="C10" s="140" t="s">
        <v>166</v>
      </c>
      <c r="D10" s="140" t="s">
        <v>167</v>
      </c>
      <c r="E10" s="140" t="s">
        <v>168</v>
      </c>
      <c r="F10" s="89">
        <v>38.36</v>
      </c>
      <c r="G10" s="143"/>
      <c r="H10" s="143"/>
      <c r="I10" s="141">
        <v>112.2</v>
      </c>
      <c r="J10" s="141">
        <v>304</v>
      </c>
      <c r="K10" s="141">
        <v>495.8</v>
      </c>
      <c r="L10" s="89">
        <v>687.6</v>
      </c>
      <c r="M10" s="89">
        <v>879.4</v>
      </c>
      <c r="N10" s="89">
        <v>1071.2</v>
      </c>
      <c r="O10" s="89">
        <v>1263</v>
      </c>
      <c r="P10" s="89">
        <v>1454.8</v>
      </c>
      <c r="Q10" s="89">
        <v>1646.6</v>
      </c>
      <c r="R10" s="93">
        <v>1838.4</v>
      </c>
    </row>
    <row r="11" spans="1:19" ht="15.75">
      <c r="A11" s="92" t="s">
        <v>169</v>
      </c>
      <c r="B11" s="142" t="s">
        <v>170</v>
      </c>
      <c r="C11" s="140" t="s">
        <v>171</v>
      </c>
      <c r="D11" s="140" t="s">
        <v>172</v>
      </c>
      <c r="E11" s="140" t="s">
        <v>173</v>
      </c>
      <c r="F11" s="89">
        <v>40.380000000000003</v>
      </c>
      <c r="G11" s="143"/>
      <c r="H11" s="143"/>
      <c r="I11" s="141">
        <v>41.39</v>
      </c>
      <c r="J11" s="141">
        <v>243.29</v>
      </c>
      <c r="K11" s="141">
        <v>445.19</v>
      </c>
      <c r="L11" s="89">
        <v>647.09</v>
      </c>
      <c r="M11" s="89">
        <v>848.99</v>
      </c>
      <c r="N11" s="89">
        <v>1050.8900000000001</v>
      </c>
      <c r="O11" s="89">
        <v>1252.79</v>
      </c>
      <c r="P11" s="89">
        <v>1454.69</v>
      </c>
      <c r="Q11" s="89">
        <v>1656.59</v>
      </c>
      <c r="R11" s="93">
        <v>1858.49</v>
      </c>
    </row>
    <row r="12" spans="1:19" ht="15.75">
      <c r="A12" s="92" t="s">
        <v>174</v>
      </c>
      <c r="B12" s="142" t="s">
        <v>175</v>
      </c>
      <c r="C12" s="140" t="s">
        <v>176</v>
      </c>
      <c r="D12" s="140" t="s">
        <v>177</v>
      </c>
      <c r="E12" s="140" t="s">
        <v>178</v>
      </c>
      <c r="F12" s="89">
        <v>40.380000000000003</v>
      </c>
      <c r="G12" s="143"/>
      <c r="H12" s="143"/>
      <c r="I12" s="141">
        <v>0</v>
      </c>
      <c r="J12" s="141">
        <v>201.9</v>
      </c>
      <c r="K12" s="141">
        <v>403.8</v>
      </c>
      <c r="L12" s="89">
        <v>605.70000000000005</v>
      </c>
      <c r="M12" s="89">
        <v>807.6</v>
      </c>
      <c r="N12" s="89">
        <v>1009.5</v>
      </c>
      <c r="O12" s="89">
        <v>1211.4000000000001</v>
      </c>
      <c r="P12" s="89">
        <v>1413.3</v>
      </c>
      <c r="Q12" s="89">
        <v>1615.2</v>
      </c>
      <c r="R12" s="93">
        <v>1817.1</v>
      </c>
    </row>
    <row r="13" spans="1:19" ht="15.75">
      <c r="A13" s="92" t="s">
        <v>179</v>
      </c>
      <c r="B13" s="142" t="s">
        <v>180</v>
      </c>
      <c r="C13" s="140" t="s">
        <v>181</v>
      </c>
      <c r="D13" s="140" t="s">
        <v>182</v>
      </c>
      <c r="E13" s="140" t="s">
        <v>183</v>
      </c>
      <c r="F13" s="89">
        <v>40.380000000000003</v>
      </c>
      <c r="G13" s="136"/>
      <c r="H13" s="136"/>
      <c r="I13" s="143"/>
      <c r="J13" s="141">
        <v>170.61</v>
      </c>
      <c r="K13" s="141">
        <v>372.51</v>
      </c>
      <c r="L13" s="89">
        <v>574.41</v>
      </c>
      <c r="M13" s="89">
        <v>776.31</v>
      </c>
      <c r="N13" s="89">
        <v>978.21</v>
      </c>
      <c r="O13" s="89">
        <v>1180.1099999999999</v>
      </c>
      <c r="P13" s="89">
        <v>1382.01</v>
      </c>
      <c r="Q13" s="89">
        <v>1583.91</v>
      </c>
      <c r="R13" s="93">
        <v>1785.81</v>
      </c>
    </row>
    <row r="14" spans="1:19" ht="15.75">
      <c r="A14" s="92" t="s">
        <v>184</v>
      </c>
      <c r="B14" s="142" t="s">
        <v>185</v>
      </c>
      <c r="C14" s="140" t="s">
        <v>186</v>
      </c>
      <c r="D14" s="140" t="s">
        <v>187</v>
      </c>
      <c r="E14" s="140" t="s">
        <v>188</v>
      </c>
      <c r="F14" s="89">
        <v>43.41</v>
      </c>
      <c r="G14" s="136"/>
      <c r="H14" s="136"/>
      <c r="I14" s="143"/>
      <c r="J14" s="141">
        <v>96.59</v>
      </c>
      <c r="K14" s="141">
        <v>313.64</v>
      </c>
      <c r="L14" s="89">
        <v>530.69000000000005</v>
      </c>
      <c r="M14" s="89">
        <v>747.74</v>
      </c>
      <c r="N14" s="89">
        <v>964.79</v>
      </c>
      <c r="O14" s="89">
        <v>1181.8399999999999</v>
      </c>
      <c r="P14" s="89">
        <v>1398.89</v>
      </c>
      <c r="Q14" s="89">
        <v>1615.94</v>
      </c>
      <c r="R14" s="93">
        <v>1832.99</v>
      </c>
    </row>
    <row r="15" spans="1:19" ht="15.75">
      <c r="A15" s="92" t="s">
        <v>265</v>
      </c>
      <c r="B15" s="142" t="s">
        <v>189</v>
      </c>
      <c r="C15" s="140" t="s">
        <v>190</v>
      </c>
      <c r="D15" s="140" t="s">
        <v>191</v>
      </c>
      <c r="E15" s="140" t="s">
        <v>192</v>
      </c>
      <c r="F15" s="89">
        <v>46.44</v>
      </c>
      <c r="G15" s="136"/>
      <c r="H15" s="136"/>
      <c r="I15" s="143"/>
      <c r="J15" s="141">
        <v>13.55</v>
      </c>
      <c r="K15" s="141">
        <v>245.75</v>
      </c>
      <c r="L15" s="89">
        <v>477.95</v>
      </c>
      <c r="M15" s="89">
        <v>710.15</v>
      </c>
      <c r="N15" s="89">
        <v>942.35</v>
      </c>
      <c r="O15" s="89">
        <v>1174.55</v>
      </c>
      <c r="P15" s="89">
        <v>1406.75</v>
      </c>
      <c r="Q15" s="89">
        <v>1638.95</v>
      </c>
      <c r="R15" s="93">
        <v>1871.15</v>
      </c>
    </row>
    <row r="16" spans="1:19" ht="15.75">
      <c r="A16" s="92" t="s">
        <v>266</v>
      </c>
      <c r="B16" s="142" t="s">
        <v>194</v>
      </c>
      <c r="C16" s="140" t="s">
        <v>195</v>
      </c>
      <c r="D16" s="140" t="s">
        <v>196</v>
      </c>
      <c r="E16" s="140" t="s">
        <v>197</v>
      </c>
      <c r="F16" s="89">
        <v>46.44</v>
      </c>
      <c r="G16" s="136"/>
      <c r="H16" s="136"/>
      <c r="I16" s="136"/>
      <c r="J16" s="141">
        <v>0</v>
      </c>
      <c r="K16" s="141">
        <v>232.2</v>
      </c>
      <c r="L16" s="89">
        <v>464.4</v>
      </c>
      <c r="M16" s="89">
        <v>696.6</v>
      </c>
      <c r="N16" s="89">
        <v>928.8</v>
      </c>
      <c r="O16" s="89">
        <v>1161</v>
      </c>
      <c r="P16" s="89">
        <v>1393.2</v>
      </c>
      <c r="Q16" s="89">
        <v>1625.4</v>
      </c>
      <c r="R16" s="93">
        <v>1857.6</v>
      </c>
    </row>
    <row r="17" spans="1:18" ht="15.75">
      <c r="A17" s="92" t="s">
        <v>198</v>
      </c>
      <c r="B17" s="142" t="s">
        <v>199</v>
      </c>
      <c r="C17" s="140" t="s">
        <v>200</v>
      </c>
      <c r="D17" s="140" t="s">
        <v>201</v>
      </c>
      <c r="E17" s="140" t="s">
        <v>202</v>
      </c>
      <c r="F17" s="89">
        <v>46.44</v>
      </c>
      <c r="G17" s="136"/>
      <c r="H17" s="136"/>
      <c r="I17" s="136"/>
      <c r="J17" s="136"/>
      <c r="K17" s="141">
        <v>149.77000000000001</v>
      </c>
      <c r="L17" s="89">
        <v>381.97</v>
      </c>
      <c r="M17" s="89">
        <v>614.16999999999996</v>
      </c>
      <c r="N17" s="89">
        <v>846.37</v>
      </c>
      <c r="O17" s="89">
        <v>1078.57</v>
      </c>
      <c r="P17" s="89">
        <v>1310.77</v>
      </c>
      <c r="Q17" s="89">
        <v>1542.97</v>
      </c>
      <c r="R17" s="93">
        <v>1775.17</v>
      </c>
    </row>
    <row r="18" spans="1:18" ht="15.75">
      <c r="A18" s="92" t="s">
        <v>203</v>
      </c>
      <c r="B18" s="142" t="s">
        <v>204</v>
      </c>
      <c r="C18" s="140" t="s">
        <v>205</v>
      </c>
      <c r="D18" s="140" t="s">
        <v>206</v>
      </c>
      <c r="E18" s="140" t="s">
        <v>207</v>
      </c>
      <c r="F18" s="89">
        <v>46.44</v>
      </c>
      <c r="G18" s="136"/>
      <c r="H18" s="136"/>
      <c r="I18" s="136"/>
      <c r="J18" s="136"/>
      <c r="K18" s="141">
        <v>56.89</v>
      </c>
      <c r="L18" s="89">
        <v>289.08999999999997</v>
      </c>
      <c r="M18" s="89">
        <v>521.29</v>
      </c>
      <c r="N18" s="89">
        <v>753.49</v>
      </c>
      <c r="O18" s="89">
        <v>985.69</v>
      </c>
      <c r="P18" s="89">
        <v>1217.8900000000001</v>
      </c>
      <c r="Q18" s="89">
        <v>1450.09</v>
      </c>
      <c r="R18" s="93">
        <v>1682.29</v>
      </c>
    </row>
    <row r="19" spans="1:18" ht="15.75">
      <c r="A19" s="92" t="s">
        <v>208</v>
      </c>
      <c r="B19" s="142" t="s">
        <v>209</v>
      </c>
      <c r="C19" s="140" t="s">
        <v>210</v>
      </c>
      <c r="D19" s="140" t="s">
        <v>211</v>
      </c>
      <c r="E19" s="140" t="s">
        <v>212</v>
      </c>
      <c r="F19" s="89">
        <v>46.44</v>
      </c>
      <c r="G19" s="136"/>
      <c r="H19" s="136"/>
      <c r="I19" s="136"/>
      <c r="J19" s="136"/>
      <c r="K19" s="141">
        <v>0</v>
      </c>
      <c r="L19" s="89">
        <v>232.2</v>
      </c>
      <c r="M19" s="89">
        <v>464.4</v>
      </c>
      <c r="N19" s="89">
        <v>696.6</v>
      </c>
      <c r="O19" s="89">
        <v>928.8</v>
      </c>
      <c r="P19" s="89">
        <v>1161</v>
      </c>
      <c r="Q19" s="89">
        <v>1393.2</v>
      </c>
      <c r="R19" s="93">
        <v>1625.4</v>
      </c>
    </row>
    <row r="20" spans="1:18" ht="15.75">
      <c r="A20" s="92" t="s">
        <v>213</v>
      </c>
      <c r="B20" s="142" t="s">
        <v>214</v>
      </c>
      <c r="C20" s="140" t="s">
        <v>215</v>
      </c>
      <c r="D20" s="140" t="s">
        <v>216</v>
      </c>
      <c r="E20" s="140" t="s">
        <v>217</v>
      </c>
      <c r="F20" s="89">
        <v>51.48</v>
      </c>
      <c r="G20" s="136"/>
      <c r="H20" s="136"/>
      <c r="I20" s="136"/>
      <c r="J20" s="136"/>
      <c r="K20" s="136"/>
      <c r="L20" s="89">
        <v>130.41999999999999</v>
      </c>
      <c r="M20" s="89">
        <v>387.82</v>
      </c>
      <c r="N20" s="89">
        <v>645.22</v>
      </c>
      <c r="O20" s="89">
        <v>902.62</v>
      </c>
      <c r="P20" s="89">
        <v>1160.02</v>
      </c>
      <c r="Q20" s="89">
        <v>1417.42</v>
      </c>
      <c r="R20" s="93">
        <v>1674.82</v>
      </c>
    </row>
    <row r="21" spans="1:18" ht="15.75">
      <c r="A21" s="92" t="s">
        <v>218</v>
      </c>
      <c r="B21" s="142" t="s">
        <v>219</v>
      </c>
      <c r="C21" s="140" t="s">
        <v>220</v>
      </c>
      <c r="D21" s="140" t="s">
        <v>221</v>
      </c>
      <c r="E21" s="140" t="s">
        <v>222</v>
      </c>
      <c r="F21" s="89">
        <v>51.48</v>
      </c>
      <c r="G21" s="136"/>
      <c r="H21" s="136"/>
      <c r="I21" s="136"/>
      <c r="J21" s="136"/>
      <c r="K21" s="136"/>
      <c r="L21" s="89">
        <v>0</v>
      </c>
      <c r="M21" s="89">
        <v>257.39999999999998</v>
      </c>
      <c r="N21" s="89">
        <v>514.79999999999995</v>
      </c>
      <c r="O21" s="89">
        <v>772.2</v>
      </c>
      <c r="P21" s="89">
        <v>1029.5999999999999</v>
      </c>
      <c r="Q21" s="89">
        <v>1287</v>
      </c>
      <c r="R21" s="93">
        <v>1544.4</v>
      </c>
    </row>
    <row r="22" spans="1:18" ht="15.75">
      <c r="A22" s="92" t="s">
        <v>223</v>
      </c>
      <c r="B22" s="142" t="s">
        <v>224</v>
      </c>
      <c r="C22" s="140" t="s">
        <v>225</v>
      </c>
      <c r="D22" s="140" t="s">
        <v>226</v>
      </c>
      <c r="E22" s="140" t="s">
        <v>227</v>
      </c>
      <c r="F22" s="89">
        <v>51.48</v>
      </c>
      <c r="G22" s="136"/>
      <c r="H22" s="136"/>
      <c r="I22" s="136"/>
      <c r="J22" s="136"/>
      <c r="K22" s="136"/>
      <c r="L22" s="136"/>
      <c r="M22" s="89">
        <v>0</v>
      </c>
      <c r="N22" s="89">
        <v>257.39999999999998</v>
      </c>
      <c r="O22" s="89">
        <v>514.79999999999995</v>
      </c>
      <c r="P22" s="89">
        <v>772.2</v>
      </c>
      <c r="Q22" s="89">
        <v>1029.5999999999999</v>
      </c>
      <c r="R22" s="93">
        <v>1287</v>
      </c>
    </row>
    <row r="23" spans="1:18" ht="15.75">
      <c r="A23" s="92" t="s">
        <v>228</v>
      </c>
      <c r="B23" s="142" t="s">
        <v>229</v>
      </c>
      <c r="C23" s="140" t="s">
        <v>230</v>
      </c>
      <c r="D23" s="140" t="s">
        <v>231</v>
      </c>
      <c r="E23" s="140" t="s">
        <v>232</v>
      </c>
      <c r="F23" s="89">
        <v>53.5</v>
      </c>
      <c r="G23" s="136"/>
      <c r="H23" s="136"/>
      <c r="I23" s="136"/>
      <c r="J23" s="136"/>
      <c r="K23" s="136"/>
      <c r="L23" s="136"/>
      <c r="M23" s="136"/>
      <c r="N23" s="89">
        <v>152.03</v>
      </c>
      <c r="O23" s="89">
        <v>419.53</v>
      </c>
      <c r="P23" s="89">
        <v>687.03</v>
      </c>
      <c r="Q23" s="89">
        <v>954.53</v>
      </c>
      <c r="R23" s="93">
        <v>1222.03</v>
      </c>
    </row>
    <row r="24" spans="1:18" ht="15.75">
      <c r="A24" s="92" t="s">
        <v>233</v>
      </c>
      <c r="B24" s="142" t="s">
        <v>234</v>
      </c>
      <c r="C24" s="140" t="s">
        <v>235</v>
      </c>
      <c r="D24" s="140" t="s">
        <v>236</v>
      </c>
      <c r="E24" s="140" t="s">
        <v>237</v>
      </c>
      <c r="F24" s="89">
        <v>53.5</v>
      </c>
      <c r="G24" s="136"/>
      <c r="H24" s="136"/>
      <c r="I24" s="136"/>
      <c r="J24" s="136"/>
      <c r="K24" s="136"/>
      <c r="L24" s="136"/>
      <c r="M24" s="136"/>
      <c r="N24" s="89">
        <v>0</v>
      </c>
      <c r="O24" s="89">
        <v>267.5</v>
      </c>
      <c r="P24" s="89">
        <v>535</v>
      </c>
      <c r="Q24" s="89">
        <v>802.5</v>
      </c>
      <c r="R24" s="93">
        <v>1070</v>
      </c>
    </row>
    <row r="25" spans="1:18" ht="15.75">
      <c r="A25" s="92" t="s">
        <v>238</v>
      </c>
      <c r="B25" s="142" t="s">
        <v>239</v>
      </c>
      <c r="C25" s="140" t="s">
        <v>240</v>
      </c>
      <c r="D25" s="140" t="s">
        <v>241</v>
      </c>
      <c r="E25" s="140" t="s">
        <v>242</v>
      </c>
      <c r="F25" s="89">
        <v>53.5</v>
      </c>
      <c r="G25" s="136"/>
      <c r="H25" s="136"/>
      <c r="I25" s="136"/>
      <c r="J25" s="136"/>
      <c r="K25" s="136"/>
      <c r="L25" s="136"/>
      <c r="M25" s="136"/>
      <c r="N25" s="136"/>
      <c r="O25" s="89">
        <v>0</v>
      </c>
      <c r="P25" s="89">
        <v>267.5</v>
      </c>
      <c r="Q25" s="89">
        <v>535</v>
      </c>
      <c r="R25" s="93">
        <v>802.5</v>
      </c>
    </row>
    <row r="26" spans="1:18" ht="15.75">
      <c r="A26" s="92" t="s">
        <v>243</v>
      </c>
      <c r="B26" s="142" t="s">
        <v>244</v>
      </c>
      <c r="C26" s="140" t="s">
        <v>245</v>
      </c>
      <c r="D26" s="140" t="s">
        <v>246</v>
      </c>
      <c r="E26" s="140" t="s">
        <v>247</v>
      </c>
      <c r="F26" s="89">
        <v>53.5</v>
      </c>
      <c r="G26" s="136"/>
      <c r="H26" s="136"/>
      <c r="I26" s="136"/>
      <c r="J26" s="136"/>
      <c r="K26" s="136"/>
      <c r="L26" s="136"/>
      <c r="M26" s="136"/>
      <c r="N26" s="136"/>
      <c r="O26" s="136"/>
      <c r="P26" s="89">
        <v>0</v>
      </c>
      <c r="Q26" s="89">
        <v>267.5</v>
      </c>
      <c r="R26" s="93">
        <v>535</v>
      </c>
    </row>
    <row r="27" spans="1:18" ht="15.75">
      <c r="A27" s="92" t="s">
        <v>248</v>
      </c>
      <c r="B27" s="142" t="s">
        <v>249</v>
      </c>
      <c r="C27" s="140" t="s">
        <v>250</v>
      </c>
      <c r="D27" s="140" t="s">
        <v>251</v>
      </c>
      <c r="E27" s="140" t="s">
        <v>252</v>
      </c>
      <c r="F27" s="89">
        <v>53.5</v>
      </c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89">
        <v>0</v>
      </c>
      <c r="R27" s="93">
        <v>267.5</v>
      </c>
    </row>
    <row r="28" spans="1:18" ht="16.5" thickBot="1">
      <c r="A28" s="94" t="s">
        <v>253</v>
      </c>
      <c r="B28" s="148" t="s">
        <v>254</v>
      </c>
      <c r="C28" s="149"/>
      <c r="D28" s="150" t="s">
        <v>255</v>
      </c>
      <c r="E28" s="149"/>
      <c r="F28" s="95">
        <v>53.5</v>
      </c>
      <c r="G28" s="151"/>
      <c r="H28" s="151"/>
      <c r="I28" s="151"/>
      <c r="J28" s="151"/>
      <c r="K28" s="151"/>
      <c r="L28" s="151"/>
      <c r="M28" s="151"/>
      <c r="N28" s="151"/>
      <c r="O28" s="151"/>
      <c r="P28" s="151"/>
      <c r="Q28" s="151"/>
      <c r="R28" s="9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630624-BD0B-5C45-AE79-BDAF41606E1F}">
  <dimension ref="A1:I48"/>
  <sheetViews>
    <sheetView showGridLines="0" workbookViewId="0">
      <selection activeCell="E2" sqref="E2"/>
    </sheetView>
  </sheetViews>
  <sheetFormatPr baseColWidth="10" defaultColWidth="10.85546875" defaultRowHeight="15"/>
  <cols>
    <col min="5" max="5" width="10.85546875" style="25"/>
  </cols>
  <sheetData>
    <row r="1" spans="1:9">
      <c r="A1" s="23"/>
      <c r="B1" s="23"/>
      <c r="C1" s="23"/>
      <c r="D1" s="23" t="s">
        <v>73</v>
      </c>
      <c r="E1" s="24" t="s">
        <v>55</v>
      </c>
      <c r="F1" s="23"/>
      <c r="G1" s="23"/>
      <c r="H1" s="23" t="s">
        <v>56</v>
      </c>
      <c r="I1" s="23"/>
    </row>
    <row r="2" spans="1:9">
      <c r="A2" s="23" t="s">
        <v>74</v>
      </c>
      <c r="B2" s="23" t="s">
        <v>43</v>
      </c>
      <c r="C2" s="23" t="s">
        <v>64</v>
      </c>
      <c r="D2" s="23" t="s">
        <v>41</v>
      </c>
      <c r="E2" s="24" t="s">
        <v>5</v>
      </c>
      <c r="F2" s="23" t="s">
        <v>17</v>
      </c>
      <c r="G2" s="23" t="s">
        <v>44</v>
      </c>
      <c r="H2" s="23" t="s">
        <v>69</v>
      </c>
      <c r="I2" s="23" t="s">
        <v>57</v>
      </c>
    </row>
    <row r="3" spans="1:9">
      <c r="A3" s="23">
        <v>0</v>
      </c>
      <c r="B3" s="23">
        <v>17127</v>
      </c>
      <c r="C3" s="23">
        <v>17714</v>
      </c>
      <c r="D3" s="23">
        <v>18351</v>
      </c>
      <c r="E3" s="24">
        <v>18912</v>
      </c>
      <c r="F3" s="23">
        <v>19695</v>
      </c>
      <c r="G3" s="23">
        <v>20332</v>
      </c>
      <c r="H3" s="23">
        <v>21144</v>
      </c>
      <c r="I3" s="23">
        <v>23788</v>
      </c>
    </row>
    <row r="4" spans="1:9">
      <c r="A4" s="23">
        <v>1</v>
      </c>
      <c r="B4" s="23">
        <v>17357</v>
      </c>
      <c r="C4" s="23">
        <v>18110</v>
      </c>
      <c r="D4" s="23">
        <v>18938</v>
      </c>
      <c r="E4" s="24">
        <v>19474</v>
      </c>
      <c r="F4" s="23">
        <v>20257</v>
      </c>
      <c r="G4" s="23">
        <v>20958</v>
      </c>
      <c r="H4" s="23">
        <v>22534</v>
      </c>
      <c r="I4" s="23">
        <v>24987</v>
      </c>
    </row>
    <row r="5" spans="1:9">
      <c r="A5" s="23">
        <v>2</v>
      </c>
      <c r="B5" s="23">
        <v>17587</v>
      </c>
      <c r="C5" s="23">
        <v>18506</v>
      </c>
      <c r="D5" s="23">
        <v>19525</v>
      </c>
      <c r="E5" s="24">
        <v>20036</v>
      </c>
      <c r="F5" s="23">
        <v>20819</v>
      </c>
      <c r="G5" s="23">
        <v>21584</v>
      </c>
      <c r="H5" s="23">
        <v>23924</v>
      </c>
      <c r="I5" s="23">
        <v>26186</v>
      </c>
    </row>
    <row r="6" spans="1:9">
      <c r="A6" s="23">
        <v>3</v>
      </c>
      <c r="B6" s="23">
        <v>17587</v>
      </c>
      <c r="C6" s="23">
        <v>18506</v>
      </c>
      <c r="D6" s="23">
        <v>19525</v>
      </c>
      <c r="E6" s="24">
        <v>20036</v>
      </c>
      <c r="F6" s="23">
        <v>20819</v>
      </c>
      <c r="G6" s="23">
        <v>21584</v>
      </c>
      <c r="H6" s="23">
        <v>23924</v>
      </c>
      <c r="I6" s="23">
        <v>26186</v>
      </c>
    </row>
    <row r="7" spans="1:9">
      <c r="A7" s="23">
        <v>4</v>
      </c>
      <c r="B7" s="23">
        <v>18481</v>
      </c>
      <c r="C7" s="23">
        <v>19400</v>
      </c>
      <c r="D7" s="23">
        <v>20419</v>
      </c>
      <c r="E7" s="24">
        <v>20930</v>
      </c>
      <c r="F7" s="23">
        <v>21713</v>
      </c>
      <c r="G7" s="23">
        <v>22478</v>
      </c>
      <c r="H7" s="23">
        <v>24818</v>
      </c>
      <c r="I7" s="23">
        <v>27080</v>
      </c>
    </row>
    <row r="8" spans="1:9">
      <c r="A8" s="23">
        <v>5</v>
      </c>
      <c r="B8" s="23">
        <v>18481</v>
      </c>
      <c r="C8" s="23">
        <v>19400</v>
      </c>
      <c r="D8" s="23">
        <v>20419</v>
      </c>
      <c r="E8" s="24">
        <v>20930</v>
      </c>
      <c r="F8" s="23">
        <v>21713</v>
      </c>
      <c r="G8" s="23">
        <v>22478</v>
      </c>
      <c r="H8" s="23">
        <v>24818</v>
      </c>
      <c r="I8" s="23">
        <v>27080</v>
      </c>
    </row>
    <row r="9" spans="1:9">
      <c r="A9" s="23">
        <v>6</v>
      </c>
      <c r="B9" s="23">
        <v>19375</v>
      </c>
      <c r="C9" s="23">
        <v>20294</v>
      </c>
      <c r="D9" s="23">
        <v>21313</v>
      </c>
      <c r="E9" s="24">
        <v>21824</v>
      </c>
      <c r="F9" s="23">
        <v>22607</v>
      </c>
      <c r="G9" s="23">
        <v>23372</v>
      </c>
      <c r="H9" s="23">
        <v>25712</v>
      </c>
      <c r="I9" s="23">
        <v>27974</v>
      </c>
    </row>
    <row r="10" spans="1:9">
      <c r="A10" s="23">
        <v>7</v>
      </c>
      <c r="B10" s="23">
        <v>19375</v>
      </c>
      <c r="C10" s="23">
        <v>20294</v>
      </c>
      <c r="D10" s="23">
        <v>21313</v>
      </c>
      <c r="E10" s="24">
        <v>21824</v>
      </c>
      <c r="F10" s="23">
        <v>22607</v>
      </c>
      <c r="G10" s="23">
        <v>23372</v>
      </c>
      <c r="H10" s="23">
        <v>25712</v>
      </c>
      <c r="I10" s="23">
        <v>27974</v>
      </c>
    </row>
    <row r="11" spans="1:9">
      <c r="A11" s="23">
        <v>8</v>
      </c>
      <c r="B11" s="23">
        <v>20269</v>
      </c>
      <c r="C11" s="23">
        <v>21188</v>
      </c>
      <c r="D11" s="23">
        <v>22207</v>
      </c>
      <c r="E11" s="24">
        <v>22718</v>
      </c>
      <c r="F11" s="23">
        <v>23501</v>
      </c>
      <c r="G11" s="23">
        <v>24266</v>
      </c>
      <c r="H11" s="23">
        <v>26606</v>
      </c>
      <c r="I11" s="23">
        <v>28868</v>
      </c>
    </row>
    <row r="12" spans="1:9">
      <c r="A12" s="23">
        <v>9</v>
      </c>
      <c r="B12" s="23">
        <v>20269</v>
      </c>
      <c r="C12" s="23">
        <v>21188</v>
      </c>
      <c r="D12" s="23">
        <v>22207</v>
      </c>
      <c r="E12" s="24">
        <v>22718</v>
      </c>
      <c r="F12" s="23">
        <v>23501</v>
      </c>
      <c r="G12" s="23">
        <v>24266</v>
      </c>
      <c r="H12" s="23">
        <v>26606</v>
      </c>
      <c r="I12" s="23">
        <v>28868</v>
      </c>
    </row>
    <row r="13" spans="1:9">
      <c r="A13" s="23">
        <v>10</v>
      </c>
      <c r="B13" s="23">
        <v>21163</v>
      </c>
      <c r="C13" s="23">
        <v>22082</v>
      </c>
      <c r="D13" s="23">
        <v>23101</v>
      </c>
      <c r="E13" s="24">
        <v>23612</v>
      </c>
      <c r="F13" s="23">
        <v>24395</v>
      </c>
      <c r="G13" s="23">
        <v>25160</v>
      </c>
      <c r="H13" s="23">
        <v>27500</v>
      </c>
      <c r="I13" s="23">
        <v>29762</v>
      </c>
    </row>
    <row r="14" spans="1:9">
      <c r="A14" s="23">
        <v>11</v>
      </c>
      <c r="B14" s="23">
        <v>21163</v>
      </c>
      <c r="C14" s="23">
        <v>22082</v>
      </c>
      <c r="D14" s="23">
        <v>23101</v>
      </c>
      <c r="E14" s="24">
        <v>23612</v>
      </c>
      <c r="F14" s="23">
        <v>24395</v>
      </c>
      <c r="G14" s="23">
        <v>25160</v>
      </c>
      <c r="H14" s="23">
        <v>27500</v>
      </c>
      <c r="I14" s="23">
        <v>29762</v>
      </c>
    </row>
    <row r="15" spans="1:9">
      <c r="A15" s="23">
        <v>12</v>
      </c>
      <c r="B15" s="23">
        <v>22057</v>
      </c>
      <c r="C15" s="23">
        <v>22976</v>
      </c>
      <c r="D15" s="23">
        <v>23995</v>
      </c>
      <c r="E15" s="24">
        <v>24506</v>
      </c>
      <c r="F15" s="23">
        <v>25289</v>
      </c>
      <c r="G15" s="23">
        <v>26054</v>
      </c>
      <c r="H15" s="23">
        <v>28394</v>
      </c>
      <c r="I15" s="23">
        <v>30656</v>
      </c>
    </row>
    <row r="16" spans="1:9">
      <c r="A16" s="23">
        <v>13</v>
      </c>
      <c r="B16" s="23">
        <v>22057</v>
      </c>
      <c r="C16" s="23">
        <v>22976</v>
      </c>
      <c r="D16" s="23">
        <v>23995</v>
      </c>
      <c r="E16" s="24">
        <v>24506</v>
      </c>
      <c r="F16" s="23">
        <v>25289</v>
      </c>
      <c r="G16" s="23">
        <v>26054</v>
      </c>
      <c r="H16" s="23">
        <v>28394</v>
      </c>
      <c r="I16" s="23">
        <v>30656</v>
      </c>
    </row>
    <row r="17" spans="1:9">
      <c r="A17" s="23">
        <v>14</v>
      </c>
      <c r="B17" s="23">
        <v>22951</v>
      </c>
      <c r="C17" s="23">
        <v>23870</v>
      </c>
      <c r="D17" s="23">
        <v>24889</v>
      </c>
      <c r="E17" s="24">
        <v>25400</v>
      </c>
      <c r="F17" s="23">
        <v>26183</v>
      </c>
      <c r="G17" s="23">
        <v>26948</v>
      </c>
      <c r="H17" s="23">
        <v>29288</v>
      </c>
      <c r="I17" s="23">
        <v>31550</v>
      </c>
    </row>
    <row r="18" spans="1:9">
      <c r="A18" s="23">
        <v>15</v>
      </c>
      <c r="B18" s="23">
        <v>22951</v>
      </c>
      <c r="C18" s="23">
        <v>23870</v>
      </c>
      <c r="D18" s="23">
        <v>24889</v>
      </c>
      <c r="E18" s="24">
        <v>25400</v>
      </c>
      <c r="F18" s="23">
        <v>26183</v>
      </c>
      <c r="G18" s="23">
        <v>26948</v>
      </c>
      <c r="H18" s="23">
        <v>29288</v>
      </c>
      <c r="I18" s="23">
        <v>31550</v>
      </c>
    </row>
    <row r="19" spans="1:9">
      <c r="A19" s="23">
        <v>16</v>
      </c>
      <c r="B19" s="23">
        <v>23487</v>
      </c>
      <c r="C19" s="23">
        <v>24406</v>
      </c>
      <c r="D19" s="23">
        <v>25425</v>
      </c>
      <c r="E19" s="24">
        <v>25936</v>
      </c>
      <c r="F19" s="23">
        <v>26719</v>
      </c>
      <c r="G19" s="23">
        <v>27484</v>
      </c>
      <c r="H19" s="23">
        <v>29824</v>
      </c>
      <c r="I19" s="23">
        <v>32086</v>
      </c>
    </row>
    <row r="20" spans="1:9">
      <c r="A20" s="23">
        <v>17</v>
      </c>
      <c r="B20" s="23">
        <v>23487</v>
      </c>
      <c r="C20" s="23">
        <v>24406</v>
      </c>
      <c r="D20" s="23">
        <v>25425</v>
      </c>
      <c r="E20" s="24">
        <v>25936</v>
      </c>
      <c r="F20" s="23">
        <v>26719</v>
      </c>
      <c r="G20" s="23">
        <v>27484</v>
      </c>
      <c r="H20" s="23">
        <v>29824</v>
      </c>
      <c r="I20" s="23">
        <v>32086</v>
      </c>
    </row>
    <row r="21" spans="1:9">
      <c r="A21" s="23">
        <v>18</v>
      </c>
      <c r="B21" s="23">
        <v>24023</v>
      </c>
      <c r="C21" s="23">
        <v>24942</v>
      </c>
      <c r="D21" s="23">
        <v>25961</v>
      </c>
      <c r="E21" s="24">
        <v>26472</v>
      </c>
      <c r="F21" s="23">
        <v>27255</v>
      </c>
      <c r="G21" s="23">
        <v>28020</v>
      </c>
      <c r="H21" s="23">
        <v>30360</v>
      </c>
      <c r="I21" s="23">
        <v>32622</v>
      </c>
    </row>
    <row r="22" spans="1:9">
      <c r="A22" s="23">
        <v>19</v>
      </c>
      <c r="B22" s="23">
        <v>24023</v>
      </c>
      <c r="C22" s="23">
        <v>24942</v>
      </c>
      <c r="D22" s="23">
        <v>25961</v>
      </c>
      <c r="E22" s="24">
        <v>26472</v>
      </c>
      <c r="F22" s="23">
        <v>27255</v>
      </c>
      <c r="G22" s="23">
        <v>28020</v>
      </c>
      <c r="H22" s="23">
        <v>30360</v>
      </c>
      <c r="I22" s="23">
        <v>32622</v>
      </c>
    </row>
    <row r="23" spans="1:9">
      <c r="A23" s="23">
        <v>20</v>
      </c>
      <c r="B23" s="23">
        <v>24559</v>
      </c>
      <c r="C23" s="23">
        <v>25478</v>
      </c>
      <c r="D23" s="23">
        <v>26497</v>
      </c>
      <c r="E23" s="24">
        <v>27008</v>
      </c>
      <c r="F23" s="23">
        <v>27791</v>
      </c>
      <c r="G23" s="23">
        <v>28556</v>
      </c>
      <c r="H23" s="23">
        <v>30896</v>
      </c>
      <c r="I23" s="23">
        <v>33158</v>
      </c>
    </row>
    <row r="24" spans="1:9">
      <c r="A24" s="23">
        <v>21</v>
      </c>
      <c r="B24" s="23">
        <v>24559</v>
      </c>
      <c r="C24" s="23">
        <v>25478</v>
      </c>
      <c r="D24" s="23">
        <v>26497</v>
      </c>
      <c r="E24" s="24">
        <v>27008</v>
      </c>
      <c r="F24" s="23">
        <v>27791</v>
      </c>
      <c r="G24" s="23">
        <v>28556</v>
      </c>
      <c r="H24" s="23">
        <v>30896</v>
      </c>
      <c r="I24" s="23">
        <v>33158</v>
      </c>
    </row>
    <row r="25" spans="1:9">
      <c r="A25" s="23">
        <v>22</v>
      </c>
      <c r="B25" s="23">
        <v>25095</v>
      </c>
      <c r="C25" s="23">
        <v>26014</v>
      </c>
      <c r="D25" s="23">
        <v>27033</v>
      </c>
      <c r="E25" s="24">
        <v>27544</v>
      </c>
      <c r="F25" s="23">
        <v>28327</v>
      </c>
      <c r="G25" s="23">
        <v>29092</v>
      </c>
      <c r="H25" s="23">
        <v>31432</v>
      </c>
      <c r="I25" s="23">
        <v>33694</v>
      </c>
    </row>
    <row r="26" spans="1:9">
      <c r="A26" s="23">
        <v>23</v>
      </c>
      <c r="B26" s="23">
        <v>25095</v>
      </c>
      <c r="C26" s="23">
        <v>26014</v>
      </c>
      <c r="D26" s="23">
        <v>27033</v>
      </c>
      <c r="E26" s="24">
        <v>27544</v>
      </c>
      <c r="F26" s="23">
        <v>28327</v>
      </c>
      <c r="G26" s="23">
        <v>29092</v>
      </c>
      <c r="H26" s="23">
        <v>31432</v>
      </c>
      <c r="I26" s="23">
        <v>33694</v>
      </c>
    </row>
    <row r="27" spans="1:9">
      <c r="A27" s="23">
        <v>24</v>
      </c>
      <c r="B27" s="23">
        <v>25631</v>
      </c>
      <c r="C27" s="23">
        <v>26550</v>
      </c>
      <c r="D27" s="23">
        <v>27569</v>
      </c>
      <c r="E27" s="24">
        <v>28080</v>
      </c>
      <c r="F27" s="23">
        <v>28863</v>
      </c>
      <c r="G27" s="23">
        <v>29628</v>
      </c>
      <c r="H27" s="23">
        <v>31968</v>
      </c>
      <c r="I27" s="23">
        <v>34230</v>
      </c>
    </row>
    <row r="28" spans="1:9">
      <c r="A28" s="23">
        <v>25</v>
      </c>
      <c r="B28" s="23">
        <v>25631</v>
      </c>
      <c r="C28" s="23">
        <v>26550</v>
      </c>
      <c r="D28" s="23">
        <v>27569</v>
      </c>
      <c r="E28" s="24">
        <v>28080</v>
      </c>
      <c r="F28" s="23">
        <v>28863</v>
      </c>
      <c r="G28" s="23">
        <v>29628</v>
      </c>
      <c r="H28" s="23">
        <v>31968</v>
      </c>
      <c r="I28" s="23">
        <v>34230</v>
      </c>
    </row>
    <row r="29" spans="1:9">
      <c r="A29" s="23">
        <v>26</v>
      </c>
      <c r="B29" s="23">
        <v>26167</v>
      </c>
      <c r="C29" s="23">
        <v>27086</v>
      </c>
      <c r="D29" s="23">
        <v>28105</v>
      </c>
      <c r="E29" s="24">
        <v>28616</v>
      </c>
      <c r="F29" s="23">
        <v>29399</v>
      </c>
      <c r="G29" s="23">
        <v>30164</v>
      </c>
      <c r="H29" s="23">
        <v>32504</v>
      </c>
      <c r="I29" s="23">
        <v>34766</v>
      </c>
    </row>
    <row r="30" spans="1:9">
      <c r="A30" s="23">
        <v>27</v>
      </c>
      <c r="B30" s="23">
        <v>26167</v>
      </c>
      <c r="C30" s="23">
        <v>27086</v>
      </c>
      <c r="D30" s="23">
        <v>28105</v>
      </c>
      <c r="E30" s="24">
        <v>28616</v>
      </c>
      <c r="F30" s="23">
        <v>29399</v>
      </c>
      <c r="G30" s="23">
        <v>30164</v>
      </c>
      <c r="H30" s="23">
        <v>32504</v>
      </c>
      <c r="I30" s="23">
        <v>34766</v>
      </c>
    </row>
    <row r="31" spans="1:9">
      <c r="A31" s="23">
        <v>28</v>
      </c>
      <c r="B31" s="23">
        <v>26703</v>
      </c>
      <c r="C31" s="23">
        <v>27622</v>
      </c>
      <c r="D31" s="23">
        <v>28641</v>
      </c>
      <c r="E31" s="24">
        <v>29152</v>
      </c>
      <c r="F31" s="23">
        <v>29935</v>
      </c>
      <c r="G31" s="23">
        <v>30700</v>
      </c>
      <c r="H31" s="23">
        <v>33040</v>
      </c>
      <c r="I31" s="23">
        <v>35302</v>
      </c>
    </row>
    <row r="32" spans="1:9">
      <c r="A32" s="23">
        <v>29</v>
      </c>
      <c r="B32" s="23">
        <v>26703</v>
      </c>
      <c r="C32" s="23">
        <v>27622</v>
      </c>
      <c r="D32" s="23">
        <v>28641</v>
      </c>
      <c r="E32" s="24">
        <v>29152</v>
      </c>
      <c r="F32" s="23">
        <v>29935</v>
      </c>
      <c r="G32" s="23">
        <v>30700</v>
      </c>
      <c r="H32" s="23">
        <v>33040</v>
      </c>
      <c r="I32" s="23">
        <v>35302</v>
      </c>
    </row>
    <row r="33" spans="1:9">
      <c r="A33" s="23">
        <v>30</v>
      </c>
      <c r="B33" s="23">
        <v>27239</v>
      </c>
      <c r="C33" s="23">
        <v>28158</v>
      </c>
      <c r="D33" s="23">
        <v>29177</v>
      </c>
      <c r="E33" s="24">
        <v>29688</v>
      </c>
      <c r="F33" s="23">
        <v>30471</v>
      </c>
      <c r="G33" s="23">
        <v>31236</v>
      </c>
      <c r="H33" s="23">
        <v>33576</v>
      </c>
      <c r="I33" s="23">
        <v>35838</v>
      </c>
    </row>
    <row r="34" spans="1:9">
      <c r="A34" s="23">
        <v>31</v>
      </c>
      <c r="B34" s="23">
        <v>27239</v>
      </c>
      <c r="C34" s="23">
        <v>28158</v>
      </c>
      <c r="D34" s="23">
        <v>29177</v>
      </c>
      <c r="E34" s="24">
        <v>29688</v>
      </c>
      <c r="F34" s="23">
        <v>30471</v>
      </c>
      <c r="G34" s="23">
        <v>31236</v>
      </c>
      <c r="H34" s="23">
        <v>33576</v>
      </c>
      <c r="I34" s="23">
        <v>35838</v>
      </c>
    </row>
    <row r="35" spans="1:9">
      <c r="A35" s="23">
        <v>32</v>
      </c>
      <c r="B35" s="23">
        <v>27775</v>
      </c>
      <c r="C35" s="23">
        <v>28694</v>
      </c>
      <c r="D35" s="23">
        <v>29713</v>
      </c>
      <c r="E35" s="24">
        <v>30224</v>
      </c>
      <c r="F35" s="23">
        <v>31007</v>
      </c>
      <c r="G35" s="23">
        <v>31772</v>
      </c>
      <c r="H35" s="23">
        <v>34112</v>
      </c>
      <c r="I35" s="23">
        <v>36374</v>
      </c>
    </row>
    <row r="36" spans="1:9">
      <c r="A36" s="23">
        <v>33</v>
      </c>
      <c r="B36" s="23">
        <v>27775</v>
      </c>
      <c r="C36" s="23">
        <v>28694</v>
      </c>
      <c r="D36" s="23">
        <v>29713</v>
      </c>
      <c r="E36" s="24">
        <v>30224</v>
      </c>
      <c r="F36" s="23">
        <v>31007</v>
      </c>
      <c r="G36" s="23">
        <v>31772</v>
      </c>
      <c r="H36" s="23">
        <v>34112</v>
      </c>
      <c r="I36" s="23">
        <v>36374</v>
      </c>
    </row>
    <row r="37" spans="1:9">
      <c r="A37" s="23">
        <v>34</v>
      </c>
      <c r="B37" s="23">
        <v>28311</v>
      </c>
      <c r="C37" s="23">
        <v>29230</v>
      </c>
      <c r="D37" s="23">
        <v>30249</v>
      </c>
      <c r="E37" s="24">
        <v>30760</v>
      </c>
      <c r="F37" s="23">
        <v>31543</v>
      </c>
      <c r="G37" s="23">
        <v>32308</v>
      </c>
      <c r="H37" s="23">
        <v>34648</v>
      </c>
      <c r="I37" s="23">
        <v>36910</v>
      </c>
    </row>
    <row r="38" spans="1:9">
      <c r="A38" s="23">
        <v>35</v>
      </c>
      <c r="B38" s="23">
        <v>28311</v>
      </c>
      <c r="C38" s="23">
        <v>29230</v>
      </c>
      <c r="D38" s="23">
        <v>30249</v>
      </c>
      <c r="E38" s="24">
        <v>30760</v>
      </c>
      <c r="F38" s="23">
        <v>31543</v>
      </c>
      <c r="G38" s="23">
        <v>32308</v>
      </c>
      <c r="H38" s="23">
        <v>34648</v>
      </c>
      <c r="I38" s="23">
        <v>36910</v>
      </c>
    </row>
    <row r="39" spans="1:9">
      <c r="A39" s="23">
        <v>36</v>
      </c>
      <c r="B39" s="23">
        <v>28847</v>
      </c>
      <c r="C39" s="23">
        <v>29766</v>
      </c>
      <c r="D39" s="23">
        <v>30785</v>
      </c>
      <c r="E39" s="24">
        <v>31296</v>
      </c>
      <c r="F39" s="23">
        <v>32079</v>
      </c>
      <c r="G39" s="23">
        <v>32844</v>
      </c>
      <c r="H39" s="23">
        <v>35184</v>
      </c>
      <c r="I39" s="23">
        <v>37446</v>
      </c>
    </row>
    <row r="40" spans="1:9">
      <c r="A40" s="23">
        <v>37</v>
      </c>
      <c r="B40" s="23">
        <v>28847</v>
      </c>
      <c r="C40" s="23">
        <v>29766</v>
      </c>
      <c r="D40" s="23">
        <v>30785</v>
      </c>
      <c r="E40" s="24">
        <v>31296</v>
      </c>
      <c r="F40" s="23">
        <v>32079</v>
      </c>
      <c r="G40" s="23">
        <v>32844</v>
      </c>
      <c r="H40" s="23">
        <v>35184</v>
      </c>
      <c r="I40" s="23">
        <v>37446</v>
      </c>
    </row>
    <row r="41" spans="1:9">
      <c r="A41" s="23">
        <v>38</v>
      </c>
      <c r="B41" s="23">
        <v>29383</v>
      </c>
      <c r="C41" s="23">
        <v>30302</v>
      </c>
      <c r="D41" s="23">
        <v>31321</v>
      </c>
      <c r="E41" s="24">
        <v>31832</v>
      </c>
      <c r="F41" s="23">
        <v>32615</v>
      </c>
      <c r="G41" s="23">
        <v>33380</v>
      </c>
      <c r="H41" s="23">
        <v>35720</v>
      </c>
      <c r="I41" s="23">
        <v>37982</v>
      </c>
    </row>
    <row r="42" spans="1:9">
      <c r="A42" s="23">
        <v>39</v>
      </c>
      <c r="B42" s="23">
        <v>29383</v>
      </c>
      <c r="C42" s="23">
        <v>30302</v>
      </c>
      <c r="D42" s="23">
        <v>31321</v>
      </c>
      <c r="E42" s="24">
        <v>31832</v>
      </c>
      <c r="F42" s="23">
        <v>32615</v>
      </c>
      <c r="G42" s="23">
        <v>33380</v>
      </c>
      <c r="H42" s="23">
        <v>35720</v>
      </c>
      <c r="I42" s="23">
        <v>37982</v>
      </c>
    </row>
    <row r="43" spans="1:9">
      <c r="A43" s="23">
        <v>40</v>
      </c>
      <c r="B43" s="23">
        <v>29919</v>
      </c>
      <c r="C43" s="23">
        <v>30838</v>
      </c>
      <c r="D43" s="23">
        <v>31857</v>
      </c>
      <c r="E43" s="24">
        <v>32368</v>
      </c>
      <c r="F43" s="23">
        <v>33151</v>
      </c>
      <c r="G43" s="23">
        <v>33916</v>
      </c>
      <c r="H43" s="23">
        <v>36256</v>
      </c>
      <c r="I43" s="23">
        <v>38518</v>
      </c>
    </row>
    <row r="44" spans="1:9">
      <c r="A44" s="23">
        <v>41</v>
      </c>
      <c r="B44" s="23">
        <v>29919</v>
      </c>
      <c r="C44" s="23">
        <v>30838</v>
      </c>
      <c r="D44" s="23">
        <v>31857</v>
      </c>
      <c r="E44" s="24">
        <v>32368</v>
      </c>
      <c r="F44" s="23">
        <v>33151</v>
      </c>
      <c r="G44" s="23">
        <v>33916</v>
      </c>
      <c r="H44" s="23">
        <v>36256</v>
      </c>
      <c r="I44" s="23">
        <v>38518</v>
      </c>
    </row>
    <row r="45" spans="1:9">
      <c r="A45" s="23">
        <v>42</v>
      </c>
      <c r="B45" s="23">
        <v>30455</v>
      </c>
      <c r="C45" s="23">
        <v>31374</v>
      </c>
      <c r="D45" s="23">
        <v>32393</v>
      </c>
      <c r="E45" s="24">
        <v>32904</v>
      </c>
      <c r="F45" s="23">
        <v>33687</v>
      </c>
      <c r="G45" s="23">
        <v>34452</v>
      </c>
      <c r="H45" s="23">
        <v>36792</v>
      </c>
      <c r="I45" s="23">
        <v>39054</v>
      </c>
    </row>
    <row r="46" spans="1:9">
      <c r="A46" s="23">
        <v>43</v>
      </c>
      <c r="B46" s="23">
        <v>30455</v>
      </c>
      <c r="C46" s="23">
        <v>31374</v>
      </c>
      <c r="D46" s="23">
        <v>32393</v>
      </c>
      <c r="E46" s="24">
        <v>32904</v>
      </c>
      <c r="F46" s="23">
        <v>33687</v>
      </c>
      <c r="G46" s="23">
        <v>34452</v>
      </c>
      <c r="H46" s="23">
        <v>36792</v>
      </c>
      <c r="I46" s="23">
        <v>39054</v>
      </c>
    </row>
    <row r="47" spans="1:9">
      <c r="A47" s="23">
        <v>44</v>
      </c>
      <c r="B47" s="23">
        <v>30991</v>
      </c>
      <c r="C47" s="23">
        <v>31910</v>
      </c>
      <c r="D47" s="23">
        <v>32929</v>
      </c>
      <c r="E47" s="24">
        <v>33440</v>
      </c>
      <c r="F47" s="23">
        <v>34223</v>
      </c>
      <c r="G47" s="23">
        <v>34988</v>
      </c>
      <c r="H47" s="23">
        <v>37328</v>
      </c>
      <c r="I47" s="23">
        <v>39590</v>
      </c>
    </row>
    <row r="48" spans="1:9">
      <c r="A48" s="23">
        <v>45</v>
      </c>
      <c r="B48" s="23">
        <v>30991</v>
      </c>
      <c r="C48" s="23">
        <v>31910</v>
      </c>
      <c r="D48" s="23">
        <v>32929</v>
      </c>
      <c r="E48" s="24">
        <v>33440</v>
      </c>
      <c r="F48" s="23">
        <v>34223</v>
      </c>
      <c r="G48" s="23">
        <v>34988</v>
      </c>
      <c r="H48" s="23">
        <v>37328</v>
      </c>
      <c r="I48" s="23">
        <v>39590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3FFCC6-D9BB-9942-A71E-E6F68BE9D932}">
  <dimension ref="A1:C31"/>
  <sheetViews>
    <sheetView workbookViewId="0">
      <selection activeCell="C21" sqref="C21"/>
    </sheetView>
  </sheetViews>
  <sheetFormatPr baseColWidth="10" defaultColWidth="10.85546875" defaultRowHeight="15"/>
  <cols>
    <col min="1" max="2" width="12.28515625" bestFit="1" customWidth="1"/>
    <col min="3" max="3" width="8.140625" style="74" bestFit="1" customWidth="1"/>
  </cols>
  <sheetData>
    <row r="1" spans="1:3" ht="15.75">
      <c r="A1" s="77" t="s">
        <v>128</v>
      </c>
      <c r="B1" s="77" t="s">
        <v>127</v>
      </c>
      <c r="C1" s="78" t="s">
        <v>1</v>
      </c>
    </row>
    <row r="2" spans="1:3" ht="15.75">
      <c r="A2" s="79">
        <v>38077</v>
      </c>
      <c r="B2" s="79">
        <v>38108</v>
      </c>
      <c r="C2" s="78">
        <v>1.3194999999999999</v>
      </c>
    </row>
    <row r="3" spans="1:3" ht="15.75">
      <c r="A3" s="79">
        <v>38260</v>
      </c>
      <c r="B3" s="79">
        <v>38292</v>
      </c>
      <c r="C3" s="78">
        <f>(C2*2%)+C2</f>
        <v>1.3458899999999998</v>
      </c>
    </row>
    <row r="4" spans="1:3" ht="15.75">
      <c r="A4" s="79">
        <v>38564</v>
      </c>
      <c r="B4" s="79">
        <v>38596</v>
      </c>
      <c r="C4" s="78">
        <f>(C3*2%)+C3</f>
        <v>1.3728077999999999</v>
      </c>
    </row>
    <row r="5" spans="1:3" ht="15.75">
      <c r="A5" s="79">
        <v>38990</v>
      </c>
      <c r="B5" s="79">
        <v>39022</v>
      </c>
      <c r="C5" s="78">
        <f t="shared" ref="C5:C31" si="0">(C4*2%)+C4</f>
        <v>1.4002639559999999</v>
      </c>
    </row>
    <row r="6" spans="1:3" ht="15.75">
      <c r="A6" s="79">
        <v>39447</v>
      </c>
      <c r="B6" s="79">
        <v>39479</v>
      </c>
      <c r="C6" s="78">
        <f t="shared" si="0"/>
        <v>1.4282692351199999</v>
      </c>
    </row>
    <row r="7" spans="1:3" ht="15.75">
      <c r="A7" s="79">
        <v>39568</v>
      </c>
      <c r="B7" s="79">
        <v>39600</v>
      </c>
      <c r="C7" s="78">
        <f t="shared" si="0"/>
        <v>1.4568346198223998</v>
      </c>
    </row>
    <row r="8" spans="1:3" ht="15.75">
      <c r="A8" s="79">
        <v>39691</v>
      </c>
      <c r="B8" s="79">
        <v>39722</v>
      </c>
      <c r="C8" s="78">
        <f t="shared" si="0"/>
        <v>1.4859713122188478</v>
      </c>
    </row>
    <row r="9" spans="1:3" ht="15.75">
      <c r="A9" s="79">
        <v>40421</v>
      </c>
      <c r="B9" s="79">
        <v>40452</v>
      </c>
      <c r="C9" s="78">
        <f t="shared" si="0"/>
        <v>1.5156907384632248</v>
      </c>
    </row>
    <row r="10" spans="1:3" ht="15.75">
      <c r="A10" s="79">
        <v>40663</v>
      </c>
      <c r="B10" s="79">
        <v>40695</v>
      </c>
      <c r="C10" s="78">
        <f t="shared" si="0"/>
        <v>1.5460045532324893</v>
      </c>
    </row>
    <row r="11" spans="1:3" ht="15.75">
      <c r="A11" s="79">
        <v>40939</v>
      </c>
      <c r="B11" s="79">
        <v>40969</v>
      </c>
      <c r="C11" s="78">
        <f t="shared" si="0"/>
        <v>1.5769246442971392</v>
      </c>
    </row>
    <row r="12" spans="1:3" ht="15.75">
      <c r="A12" s="79">
        <v>41243</v>
      </c>
      <c r="B12" s="79">
        <v>41275</v>
      </c>
      <c r="C12" s="78">
        <f t="shared" si="0"/>
        <v>1.608463137183082</v>
      </c>
    </row>
    <row r="13" spans="1:3" ht="15.75">
      <c r="A13" s="79">
        <v>42521</v>
      </c>
      <c r="B13" s="79">
        <v>42552</v>
      </c>
      <c r="C13" s="78">
        <f t="shared" si="0"/>
        <v>1.6406323999267436</v>
      </c>
    </row>
    <row r="14" spans="1:3" ht="15.75">
      <c r="A14" s="79">
        <v>42886</v>
      </c>
      <c r="B14" s="79">
        <v>42917</v>
      </c>
      <c r="C14" s="78">
        <f t="shared" si="0"/>
        <v>1.6734450479252785</v>
      </c>
    </row>
    <row r="15" spans="1:3" ht="15.75">
      <c r="A15" s="79">
        <v>43343</v>
      </c>
      <c r="B15" s="79">
        <v>43374</v>
      </c>
      <c r="C15" s="78">
        <f t="shared" si="0"/>
        <v>1.7069139488837841</v>
      </c>
    </row>
    <row r="16" spans="1:3" ht="15.75">
      <c r="A16" s="79">
        <v>43890</v>
      </c>
      <c r="B16" s="79">
        <v>43922</v>
      </c>
      <c r="C16" s="78">
        <f t="shared" si="0"/>
        <v>1.7410522278614597</v>
      </c>
    </row>
    <row r="17" spans="1:3" ht="15.75">
      <c r="A17" s="79">
        <v>44439</v>
      </c>
      <c r="B17" s="79">
        <v>44470</v>
      </c>
      <c r="C17" s="78">
        <f t="shared" si="0"/>
        <v>1.775873272418689</v>
      </c>
    </row>
    <row r="18" spans="1:3" ht="15.75">
      <c r="A18" s="79">
        <v>44561</v>
      </c>
      <c r="B18" s="79">
        <v>44593</v>
      </c>
      <c r="C18" s="78">
        <f t="shared" si="0"/>
        <v>1.8113907378670628</v>
      </c>
    </row>
    <row r="19" spans="1:3" ht="15.75">
      <c r="A19" s="79">
        <v>44620</v>
      </c>
      <c r="B19" s="79">
        <v>44652</v>
      </c>
      <c r="C19" s="78">
        <f t="shared" si="0"/>
        <v>1.847618552624404</v>
      </c>
    </row>
    <row r="20" spans="1:3" ht="15.75">
      <c r="A20" s="79">
        <v>44652</v>
      </c>
      <c r="B20" s="79">
        <v>44713</v>
      </c>
      <c r="C20" s="78">
        <f>(C19*2%)+C19-0.0001</f>
        <v>1.8844709236768922</v>
      </c>
    </row>
    <row r="21" spans="1:3" ht="15.75">
      <c r="A21" s="80"/>
      <c r="B21" s="77"/>
      <c r="C21" s="78">
        <f t="shared" si="0"/>
        <v>1.9221603421504301</v>
      </c>
    </row>
    <row r="22" spans="1:3" ht="15.75">
      <c r="A22" s="77"/>
      <c r="B22" s="77"/>
      <c r="C22" s="78">
        <f t="shared" si="0"/>
        <v>1.9606035489934386</v>
      </c>
    </row>
    <row r="23" spans="1:3" ht="15.75">
      <c r="A23" s="77"/>
      <c r="B23" s="77"/>
      <c r="C23" s="78">
        <f t="shared" si="0"/>
        <v>1.9998156199733073</v>
      </c>
    </row>
    <row r="24" spans="1:3" ht="15.75">
      <c r="A24" s="77"/>
      <c r="B24" s="77"/>
      <c r="C24" s="78">
        <f t="shared" si="0"/>
        <v>2.0398119323727735</v>
      </c>
    </row>
    <row r="25" spans="1:3" ht="15.75">
      <c r="A25" s="77"/>
      <c r="B25" s="77"/>
      <c r="C25" s="78">
        <f t="shared" si="0"/>
        <v>2.0806081710202289</v>
      </c>
    </row>
    <row r="26" spans="1:3" ht="15.75">
      <c r="A26" s="77"/>
      <c r="B26" s="77"/>
      <c r="C26" s="78">
        <f t="shared" si="0"/>
        <v>2.1222203344406334</v>
      </c>
    </row>
    <row r="27" spans="1:3" ht="15.75">
      <c r="A27" s="77"/>
      <c r="B27" s="77"/>
      <c r="C27" s="78">
        <f t="shared" si="0"/>
        <v>2.164664741129446</v>
      </c>
    </row>
    <row r="28" spans="1:3" ht="15.75">
      <c r="A28" s="77"/>
      <c r="B28" s="77"/>
      <c r="C28" s="78">
        <f t="shared" si="0"/>
        <v>2.2079580359520348</v>
      </c>
    </row>
    <row r="29" spans="1:3" ht="15.75">
      <c r="A29" s="77"/>
      <c r="B29" s="77"/>
      <c r="C29" s="78">
        <f t="shared" si="0"/>
        <v>2.2521171966710756</v>
      </c>
    </row>
    <row r="30" spans="1:3" ht="15.75">
      <c r="A30" s="77"/>
      <c r="B30" s="77"/>
      <c r="C30" s="78">
        <f t="shared" si="0"/>
        <v>2.2971595406044969</v>
      </c>
    </row>
    <row r="31" spans="1:3" ht="15.75">
      <c r="A31" s="77"/>
      <c r="B31" s="77"/>
      <c r="C31" s="78">
        <f t="shared" si="0"/>
        <v>2.3431027314165869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55E412-3F74-EA4A-ABCA-A95EB62EC175}">
  <dimension ref="A1:O5"/>
  <sheetViews>
    <sheetView workbookViewId="0">
      <selection activeCell="P12" sqref="P12"/>
    </sheetView>
  </sheetViews>
  <sheetFormatPr baseColWidth="10" defaultColWidth="10.85546875" defaultRowHeight="15"/>
  <cols>
    <col min="1" max="1" width="11.140625" bestFit="1" customWidth="1"/>
    <col min="2" max="2" width="11.42578125" bestFit="1" customWidth="1"/>
    <col min="3" max="3" width="11.140625" bestFit="1" customWidth="1"/>
    <col min="4" max="4" width="9.85546875" bestFit="1" customWidth="1"/>
    <col min="5" max="5" width="9.42578125" bestFit="1" customWidth="1"/>
    <col min="6" max="6" width="9" bestFit="1" customWidth="1"/>
    <col min="7" max="7" width="9.140625" bestFit="1" customWidth="1"/>
    <col min="8" max="8" width="18.140625" bestFit="1" customWidth="1"/>
    <col min="9" max="9" width="9.7109375" bestFit="1" customWidth="1"/>
    <col min="10" max="10" width="14.7109375" bestFit="1" customWidth="1"/>
    <col min="11" max="11" width="12.28515625" bestFit="1" customWidth="1"/>
    <col min="12" max="12" width="14.140625" bestFit="1" customWidth="1"/>
    <col min="13" max="13" width="13.85546875" bestFit="1" customWidth="1"/>
    <col min="14" max="14" width="10" bestFit="1" customWidth="1"/>
    <col min="15" max="15" width="17" bestFit="1" customWidth="1"/>
  </cols>
  <sheetData>
    <row r="1" spans="1:15" s="33" customFormat="1">
      <c r="A1" s="33" t="s">
        <v>114</v>
      </c>
      <c r="B1" s="33" t="s">
        <v>99</v>
      </c>
      <c r="C1" s="33" t="s">
        <v>100</v>
      </c>
      <c r="D1" s="33" t="s">
        <v>101</v>
      </c>
      <c r="E1" s="33" t="s">
        <v>102</v>
      </c>
      <c r="F1" s="33" t="s">
        <v>103</v>
      </c>
      <c r="G1" s="33" t="s">
        <v>104</v>
      </c>
      <c r="H1" s="33" t="s">
        <v>105</v>
      </c>
      <c r="I1" s="33" t="s">
        <v>106</v>
      </c>
      <c r="J1" s="33" t="s">
        <v>107</v>
      </c>
      <c r="K1" s="33" t="s">
        <v>108</v>
      </c>
      <c r="L1" s="33" t="s">
        <v>109</v>
      </c>
      <c r="M1" s="33" t="s">
        <v>110</v>
      </c>
      <c r="N1" s="33" t="s">
        <v>2</v>
      </c>
      <c r="O1" s="33" t="s">
        <v>82</v>
      </c>
    </row>
    <row r="2" spans="1:15">
      <c r="A2">
        <v>2019</v>
      </c>
      <c r="B2">
        <f>2378.98+991.97</f>
        <v>3370.95</v>
      </c>
      <c r="C2">
        <f>2415.28+618.46</f>
        <v>3033.7400000000002</v>
      </c>
      <c r="D2">
        <f>376.59+2415.28</f>
        <v>2791.8700000000003</v>
      </c>
      <c r="E2">
        <f>2425.09+627.65</f>
        <v>3052.7400000000002</v>
      </c>
      <c r="F2">
        <f>2415.28+502.12</f>
        <v>2917.4</v>
      </c>
      <c r="G2">
        <f>2415.28+627.65</f>
        <v>3042.9300000000003</v>
      </c>
      <c r="H2">
        <f>2457.64+895.61</f>
        <v>3353.25</v>
      </c>
      <c r="I2">
        <f>2448.92+511.77</f>
        <v>2960.69</v>
      </c>
      <c r="J2">
        <f>2448.92+383.83</f>
        <v>2832.75</v>
      </c>
      <c r="K2">
        <f>2456.55+639.72</f>
        <v>3096.2700000000004</v>
      </c>
      <c r="L2">
        <f>2448.92+767.66</f>
        <v>3216.58</v>
      </c>
      <c r="M2">
        <f>2446.61+801.48+1492.22+639.72</f>
        <v>5380.0300000000007</v>
      </c>
      <c r="N2">
        <f t="shared" ref="N2:N3" si="0">SUM(B2:M2)</f>
        <v>39049.199999999997</v>
      </c>
      <c r="O2">
        <v>57</v>
      </c>
    </row>
    <row r="3" spans="1:15">
      <c r="A3">
        <v>2021</v>
      </c>
      <c r="B3">
        <f>2588.22+640.27</f>
        <v>3228.49</v>
      </c>
      <c r="C3">
        <f>2590.59+604.45</f>
        <v>3195.04</v>
      </c>
      <c r="D3">
        <f>2592.77+684.03</f>
        <v>3276.8</v>
      </c>
      <c r="E3">
        <f>2592.77+604.45</f>
        <v>3197.2200000000003</v>
      </c>
      <c r="F3">
        <f>2592.77+756.04</f>
        <v>3348.81</v>
      </c>
      <c r="G3">
        <f>2592.77+594.03</f>
        <v>3186.8</v>
      </c>
      <c r="H3">
        <f>2627.24+1002.78</f>
        <v>3630.0199999999995</v>
      </c>
      <c r="I3">
        <f>2627.24+330.71</f>
        <v>2957.95</v>
      </c>
      <c r="J3">
        <f>2627.24+477.69</f>
        <v>3104.93</v>
      </c>
      <c r="K3">
        <f>2662.28+224.88</f>
        <v>2887.1600000000003</v>
      </c>
      <c r="L3">
        <f>2689.3+37.48</f>
        <v>2726.78</v>
      </c>
      <c r="M3">
        <f>2679.5+884.58+1581.74+516.83</f>
        <v>5662.65</v>
      </c>
      <c r="N3">
        <f t="shared" si="0"/>
        <v>40402.65</v>
      </c>
      <c r="O3">
        <v>57</v>
      </c>
    </row>
    <row r="4" spans="1:15">
      <c r="A4" t="s">
        <v>2</v>
      </c>
      <c r="N4">
        <f>N3-N2</f>
        <v>1353.4500000000044</v>
      </c>
    </row>
    <row r="5" spans="1:15">
      <c r="H5" t="s">
        <v>113</v>
      </c>
      <c r="L5" t="s">
        <v>112</v>
      </c>
    </row>
  </sheetData>
  <phoneticPr fontId="14" type="noConversion"/>
  <pageMargins left="0.7" right="0.7" top="0.75" bottom="0.75" header="0.3" footer="0.3"/>
  <pageSetup paperSize="9" orientation="landscape" horizontalDpi="0" verticalDpi="0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05B8D1-4A0C-B74F-8435-645FD27526B4}">
  <dimension ref="A1:C13"/>
  <sheetViews>
    <sheetView workbookViewId="0">
      <selection activeCell="C14" sqref="C14"/>
    </sheetView>
  </sheetViews>
  <sheetFormatPr baseColWidth="10" defaultColWidth="10.85546875" defaultRowHeight="15"/>
  <cols>
    <col min="1" max="1" width="14.85546875" bestFit="1" customWidth="1"/>
  </cols>
  <sheetData>
    <row r="1" spans="1:3">
      <c r="A1" t="s">
        <v>115</v>
      </c>
    </row>
    <row r="2" spans="1:3">
      <c r="B2" t="s">
        <v>119</v>
      </c>
      <c r="C2" t="s">
        <v>120</v>
      </c>
    </row>
    <row r="3" spans="1:3">
      <c r="A3" t="s">
        <v>116</v>
      </c>
      <c r="B3">
        <v>1543.32</v>
      </c>
      <c r="C3">
        <f>B3+310.95</f>
        <v>1854.27</v>
      </c>
    </row>
    <row r="4" spans="1:3">
      <c r="A4" t="s">
        <v>118</v>
      </c>
      <c r="B4">
        <f>17.5+17.3+16.7</f>
        <v>51.5</v>
      </c>
    </row>
    <row r="5" spans="1:3">
      <c r="A5" t="s">
        <v>117</v>
      </c>
      <c r="B5">
        <f>7.71+13.43+40.07+13.74+13.74+13.74+13.74+(10*19.75)+(8*16.01)</f>
        <v>441.75</v>
      </c>
    </row>
    <row r="6" spans="1:3">
      <c r="B6">
        <f>SUM(B3:B5)</f>
        <v>2036.57</v>
      </c>
      <c r="C6">
        <f>SUM(C3,B4,B5)</f>
        <v>2347.52</v>
      </c>
    </row>
    <row r="7" spans="1:3">
      <c r="A7" t="s">
        <v>129</v>
      </c>
      <c r="B7">
        <v>1500</v>
      </c>
    </row>
    <row r="13" spans="1:3">
      <c r="A13" t="s">
        <v>111</v>
      </c>
      <c r="B13">
        <f>SUM(B7:B12)-B6</f>
        <v>-536.56999999999994</v>
      </c>
      <c r="C13">
        <f>SUM(B7:B12)-C6</f>
        <v>-847.52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27"/>
  <sheetViews>
    <sheetView workbookViewId="0">
      <selection activeCell="C25" sqref="C25:J27"/>
    </sheetView>
  </sheetViews>
  <sheetFormatPr baseColWidth="10" defaultColWidth="10.85546875" defaultRowHeight="15"/>
  <cols>
    <col min="7" max="7" width="13.85546875" customWidth="1"/>
  </cols>
  <sheetData>
    <row r="1" spans="1:11">
      <c r="A1" t="s">
        <v>7</v>
      </c>
    </row>
    <row r="3" spans="1:11">
      <c r="A3" s="2" t="s">
        <v>4</v>
      </c>
      <c r="B3" s="2" t="s">
        <v>6</v>
      </c>
      <c r="C3" s="2" t="s">
        <v>0</v>
      </c>
      <c r="D3" s="2" t="s">
        <v>1</v>
      </c>
      <c r="E3" s="2" t="s">
        <v>2</v>
      </c>
      <c r="F3" s="2" t="s">
        <v>3</v>
      </c>
      <c r="G3" s="8" t="s">
        <v>21</v>
      </c>
      <c r="H3" s="8" t="s">
        <v>22</v>
      </c>
      <c r="I3" s="8" t="s">
        <v>23</v>
      </c>
      <c r="J3" s="8" t="s">
        <v>19</v>
      </c>
      <c r="K3" s="8" t="s">
        <v>24</v>
      </c>
    </row>
    <row r="4" spans="1:11">
      <c r="A4" s="5"/>
      <c r="B4" s="5"/>
      <c r="C4" s="5"/>
      <c r="D4" s="5"/>
      <c r="E4" s="5"/>
      <c r="F4" s="5"/>
    </row>
    <row r="5" spans="1:11">
      <c r="A5" s="5"/>
      <c r="B5" s="5"/>
      <c r="C5" s="5"/>
      <c r="D5" s="5"/>
      <c r="E5" s="5"/>
      <c r="F5" s="5"/>
    </row>
    <row r="6" spans="1:11">
      <c r="A6" s="7" t="s">
        <v>5</v>
      </c>
      <c r="B6" s="7">
        <v>12</v>
      </c>
      <c r="C6" s="7">
        <v>24515</v>
      </c>
      <c r="D6" s="7">
        <v>1.7069000000000001</v>
      </c>
      <c r="E6" s="7">
        <f t="shared" ref="E6:E22" si="0">C6*D6</f>
        <v>41844.6535</v>
      </c>
      <c r="F6" s="7">
        <f t="shared" ref="F6:F22" si="1">E6/1850</f>
        <v>22.61873162162162</v>
      </c>
      <c r="G6" s="7">
        <f>C6*92%/12</f>
        <v>1879.4833333333333</v>
      </c>
      <c r="H6" s="7">
        <f>335.06+C6*2.5%</f>
        <v>947.93499999999995</v>
      </c>
      <c r="I6" s="7"/>
      <c r="J6" s="7">
        <v>1000</v>
      </c>
      <c r="K6" s="7">
        <f t="shared" ref="K6:K7" si="2">(I6*D6)+(J6*D6)+E6+G6+H6+M36</f>
        <v>46378.971833333329</v>
      </c>
    </row>
    <row r="7" spans="1:11">
      <c r="A7" s="6" t="s">
        <v>5</v>
      </c>
      <c r="B7" s="6">
        <v>14</v>
      </c>
      <c r="C7" s="6">
        <v>25392</v>
      </c>
      <c r="D7" s="6">
        <v>1.7069000000000001</v>
      </c>
      <c r="E7" s="6">
        <f t="shared" si="0"/>
        <v>43341.604800000001</v>
      </c>
      <c r="F7" s="6">
        <f t="shared" si="1"/>
        <v>23.427894486486487</v>
      </c>
      <c r="G7" s="6">
        <f>C7*92%/12</f>
        <v>1946.72</v>
      </c>
      <c r="H7" s="6">
        <f>335.06+C7*2.5%</f>
        <v>969.86000000000013</v>
      </c>
      <c r="I7" s="6"/>
      <c r="J7" s="6">
        <v>1000</v>
      </c>
      <c r="K7" s="6">
        <f t="shared" si="2"/>
        <v>47965.084800000004</v>
      </c>
    </row>
    <row r="8" spans="1:11">
      <c r="A8" s="7" t="s">
        <v>5</v>
      </c>
      <c r="B8" s="7">
        <v>16</v>
      </c>
      <c r="C8" s="7">
        <v>24118</v>
      </c>
      <c r="D8" s="7">
        <v>1.7069000000000001</v>
      </c>
      <c r="E8" s="7">
        <f t="shared" si="0"/>
        <v>41167.014200000005</v>
      </c>
      <c r="F8" s="7">
        <f t="shared" si="1"/>
        <v>22.252440108108111</v>
      </c>
      <c r="G8" s="7">
        <f t="shared" ref="G8:G22" si="3">C8*92%/12</f>
        <v>1849.0466666666669</v>
      </c>
      <c r="H8" s="7">
        <f t="shared" ref="H8:H22" si="4">335.06+C8*2.5%</f>
        <v>938.01</v>
      </c>
      <c r="I8" s="7"/>
      <c r="J8" s="7">
        <v>1000</v>
      </c>
      <c r="K8" s="7">
        <f>(I8*D8)+(J8*D8)+E8+G8+H8+M38</f>
        <v>45660.970866666677</v>
      </c>
    </row>
    <row r="9" spans="1:11">
      <c r="A9" s="7" t="s">
        <v>5</v>
      </c>
      <c r="B9" s="7">
        <v>18</v>
      </c>
      <c r="C9" s="7">
        <v>24644</v>
      </c>
      <c r="D9" s="7">
        <v>1.7069000000000001</v>
      </c>
      <c r="E9" s="7">
        <f t="shared" si="0"/>
        <v>42064.8436</v>
      </c>
      <c r="F9" s="7">
        <f t="shared" si="1"/>
        <v>22.737753297297296</v>
      </c>
      <c r="G9" s="7">
        <f t="shared" si="3"/>
        <v>1889.3733333333332</v>
      </c>
      <c r="H9" s="7">
        <f t="shared" si="4"/>
        <v>951.16000000000008</v>
      </c>
      <c r="I9" s="7"/>
      <c r="J9" s="7">
        <v>1000</v>
      </c>
      <c r="K9" s="7">
        <f>(I9*D9)+(J9*D9)+E9+G9+H9+M39</f>
        <v>46612.276933333342</v>
      </c>
    </row>
    <row r="10" spans="1:11">
      <c r="A10" s="7" t="s">
        <v>5</v>
      </c>
      <c r="B10" s="7">
        <v>20</v>
      </c>
      <c r="C10" s="7">
        <v>25170</v>
      </c>
      <c r="D10" s="7">
        <v>1.7069000000000001</v>
      </c>
      <c r="E10" s="7">
        <f t="shared" si="0"/>
        <v>42962.673000000003</v>
      </c>
      <c r="F10" s="7">
        <f t="shared" si="1"/>
        <v>23.223066486486488</v>
      </c>
      <c r="G10" s="7">
        <f t="shared" si="3"/>
        <v>1929.7</v>
      </c>
      <c r="H10" s="7">
        <f t="shared" si="4"/>
        <v>964.31</v>
      </c>
      <c r="I10" s="7"/>
      <c r="J10" s="7">
        <v>1000</v>
      </c>
      <c r="K10" s="7">
        <f t="shared" ref="K10:K22" si="5">(I10*D10)+(J10*D10)+E10+G10+H10+M40</f>
        <v>47563.582999999999</v>
      </c>
    </row>
    <row r="11" spans="1:11">
      <c r="A11" s="7" t="s">
        <v>5</v>
      </c>
      <c r="B11" s="7">
        <v>22</v>
      </c>
      <c r="C11" s="7">
        <v>25696</v>
      </c>
      <c r="D11" s="7">
        <v>1.7069000000000001</v>
      </c>
      <c r="E11" s="7">
        <f t="shared" si="0"/>
        <v>43860.502400000005</v>
      </c>
      <c r="F11" s="7">
        <f t="shared" si="1"/>
        <v>23.70837967567568</v>
      </c>
      <c r="G11" s="7">
        <f t="shared" si="3"/>
        <v>1970.0266666666666</v>
      </c>
      <c r="H11" s="7">
        <f t="shared" si="4"/>
        <v>977.46</v>
      </c>
      <c r="I11" s="7"/>
      <c r="J11" s="7">
        <v>1000</v>
      </c>
      <c r="K11" s="7">
        <f t="shared" si="5"/>
        <v>48514.88906666667</v>
      </c>
    </row>
    <row r="12" spans="1:11">
      <c r="A12" s="7" t="s">
        <v>5</v>
      </c>
      <c r="B12" s="7">
        <v>24</v>
      </c>
      <c r="C12" s="7">
        <v>26222</v>
      </c>
      <c r="D12" s="7">
        <v>1.7069000000000001</v>
      </c>
      <c r="E12" s="7">
        <f t="shared" si="0"/>
        <v>44758.3318</v>
      </c>
      <c r="F12" s="7">
        <f t="shared" si="1"/>
        <v>24.193692864864865</v>
      </c>
      <c r="G12" s="7">
        <f t="shared" si="3"/>
        <v>2010.3533333333335</v>
      </c>
      <c r="H12" s="7">
        <f t="shared" si="4"/>
        <v>990.61000000000013</v>
      </c>
      <c r="I12" s="7"/>
      <c r="J12" s="7">
        <v>1000</v>
      </c>
      <c r="K12" s="7">
        <f t="shared" si="5"/>
        <v>49466.195133333335</v>
      </c>
    </row>
    <row r="13" spans="1:11">
      <c r="A13" s="7" t="s">
        <v>5</v>
      </c>
      <c r="B13" s="7">
        <v>26</v>
      </c>
      <c r="C13" s="7">
        <v>26748</v>
      </c>
      <c r="D13" s="7">
        <v>1.7069000000000001</v>
      </c>
      <c r="E13" s="7">
        <f t="shared" si="0"/>
        <v>45656.161200000002</v>
      </c>
      <c r="F13" s="7">
        <f t="shared" si="1"/>
        <v>24.679006054054057</v>
      </c>
      <c r="G13" s="7">
        <f t="shared" si="3"/>
        <v>2050.6799999999998</v>
      </c>
      <c r="H13" s="7">
        <f t="shared" si="4"/>
        <v>1003.76</v>
      </c>
      <c r="I13" s="7"/>
      <c r="J13" s="7">
        <v>1000</v>
      </c>
      <c r="K13" s="7">
        <f t="shared" si="5"/>
        <v>50417.501200000006</v>
      </c>
    </row>
    <row r="14" spans="1:11">
      <c r="A14" s="7" t="s">
        <v>5</v>
      </c>
      <c r="B14" s="7">
        <v>28</v>
      </c>
      <c r="C14" s="7">
        <v>27274</v>
      </c>
      <c r="D14" s="7">
        <v>1.7069000000000001</v>
      </c>
      <c r="E14" s="7">
        <f t="shared" si="0"/>
        <v>46553.990600000005</v>
      </c>
      <c r="F14" s="7">
        <f t="shared" si="1"/>
        <v>25.164319243243245</v>
      </c>
      <c r="G14" s="7">
        <f t="shared" si="3"/>
        <v>2091.0066666666667</v>
      </c>
      <c r="H14" s="7">
        <f t="shared" si="4"/>
        <v>1016.9100000000001</v>
      </c>
      <c r="I14" s="7"/>
      <c r="J14" s="7">
        <v>1000</v>
      </c>
      <c r="K14" s="7">
        <f t="shared" si="5"/>
        <v>51368.807266666678</v>
      </c>
    </row>
    <row r="15" spans="1:11">
      <c r="A15" s="7" t="s">
        <v>5</v>
      </c>
      <c r="B15" s="7">
        <v>30</v>
      </c>
      <c r="C15" s="7">
        <v>27800</v>
      </c>
      <c r="D15" s="7">
        <v>1.7069000000000001</v>
      </c>
      <c r="E15" s="7">
        <f t="shared" si="0"/>
        <v>47451.82</v>
      </c>
      <c r="F15" s="7">
        <f t="shared" si="1"/>
        <v>25.649632432432433</v>
      </c>
      <c r="G15" s="7">
        <f t="shared" si="3"/>
        <v>2131.3333333333335</v>
      </c>
      <c r="H15" s="7">
        <f t="shared" si="4"/>
        <v>1030.06</v>
      </c>
      <c r="I15" s="7"/>
      <c r="J15" s="7">
        <v>1000</v>
      </c>
      <c r="K15" s="7">
        <f t="shared" si="5"/>
        <v>52320.113333333335</v>
      </c>
    </row>
    <row r="16" spans="1:11">
      <c r="A16" s="7" t="s">
        <v>5</v>
      </c>
      <c r="B16" s="7">
        <v>32</v>
      </c>
      <c r="C16" s="7">
        <v>28326</v>
      </c>
      <c r="D16" s="7">
        <v>1.7069000000000001</v>
      </c>
      <c r="E16" s="7">
        <f t="shared" si="0"/>
        <v>48349.649400000002</v>
      </c>
      <c r="F16" s="7">
        <f t="shared" si="1"/>
        <v>26.134945621621622</v>
      </c>
      <c r="G16" s="7">
        <f t="shared" si="3"/>
        <v>2171.6600000000003</v>
      </c>
      <c r="H16" s="7">
        <f t="shared" si="4"/>
        <v>1043.21</v>
      </c>
      <c r="I16" s="7"/>
      <c r="J16" s="7">
        <v>1000</v>
      </c>
      <c r="K16" s="7">
        <f t="shared" si="5"/>
        <v>53271.419400000006</v>
      </c>
    </row>
    <row r="17" spans="1:11">
      <c r="A17" s="7" t="s">
        <v>5</v>
      </c>
      <c r="B17" s="7">
        <v>34</v>
      </c>
      <c r="C17" s="7">
        <v>28852</v>
      </c>
      <c r="D17" s="7">
        <v>1.7069000000000001</v>
      </c>
      <c r="E17" s="7">
        <f t="shared" si="0"/>
        <v>49247.478800000004</v>
      </c>
      <c r="F17" s="7">
        <f t="shared" si="1"/>
        <v>26.620258810810814</v>
      </c>
      <c r="G17" s="7">
        <f t="shared" si="3"/>
        <v>2211.9866666666667</v>
      </c>
      <c r="H17" s="7">
        <f t="shared" si="4"/>
        <v>1056.3600000000001</v>
      </c>
      <c r="I17" s="7"/>
      <c r="J17" s="7">
        <v>1000</v>
      </c>
      <c r="K17" s="7">
        <f t="shared" si="5"/>
        <v>54222.72546666667</v>
      </c>
    </row>
    <row r="18" spans="1:11">
      <c r="A18" s="7" t="s">
        <v>5</v>
      </c>
      <c r="B18" s="7">
        <v>36</v>
      </c>
      <c r="C18" s="7">
        <v>29378</v>
      </c>
      <c r="D18" s="7">
        <v>1.7069000000000001</v>
      </c>
      <c r="E18" s="7">
        <f t="shared" si="0"/>
        <v>50145.308199999999</v>
      </c>
      <c r="F18" s="7">
        <f t="shared" si="1"/>
        <v>27.105571999999999</v>
      </c>
      <c r="G18" s="7">
        <f t="shared" si="3"/>
        <v>2252.3133333333335</v>
      </c>
      <c r="H18" s="7">
        <f t="shared" si="4"/>
        <v>1069.51</v>
      </c>
      <c r="I18" s="7"/>
      <c r="J18" s="7">
        <v>1000</v>
      </c>
      <c r="K18" s="7">
        <f t="shared" si="5"/>
        <v>55174.031533333335</v>
      </c>
    </row>
    <row r="19" spans="1:11">
      <c r="A19" s="7" t="s">
        <v>5</v>
      </c>
      <c r="B19" s="7">
        <v>38</v>
      </c>
      <c r="C19" s="7">
        <v>29904</v>
      </c>
      <c r="D19" s="7">
        <v>1.7069000000000001</v>
      </c>
      <c r="E19" s="7">
        <f t="shared" si="0"/>
        <v>51043.137600000002</v>
      </c>
      <c r="F19" s="7">
        <f t="shared" si="1"/>
        <v>27.590885189189191</v>
      </c>
      <c r="G19" s="7">
        <f t="shared" si="3"/>
        <v>2292.64</v>
      </c>
      <c r="H19" s="7">
        <f t="shared" si="4"/>
        <v>1082.6600000000001</v>
      </c>
      <c r="I19" s="7"/>
      <c r="J19" s="7">
        <v>1000</v>
      </c>
      <c r="K19" s="7">
        <f t="shared" si="5"/>
        <v>56125.337600000006</v>
      </c>
    </row>
    <row r="20" spans="1:11">
      <c r="A20" s="7" t="s">
        <v>5</v>
      </c>
      <c r="B20" s="7">
        <v>40</v>
      </c>
      <c r="C20" s="7">
        <v>30430</v>
      </c>
      <c r="D20" s="7">
        <v>1.7069000000000001</v>
      </c>
      <c r="E20" s="7">
        <f t="shared" si="0"/>
        <v>51940.967000000004</v>
      </c>
      <c r="F20" s="7">
        <f t="shared" si="1"/>
        <v>28.076198378378379</v>
      </c>
      <c r="G20" s="7">
        <f t="shared" si="3"/>
        <v>2332.9666666666667</v>
      </c>
      <c r="H20" s="7">
        <f t="shared" si="4"/>
        <v>1095.81</v>
      </c>
      <c r="I20" s="7"/>
      <c r="J20" s="7">
        <v>1000</v>
      </c>
      <c r="K20" s="7">
        <f t="shared" si="5"/>
        <v>57076.64366666667</v>
      </c>
    </row>
    <row r="21" spans="1:11">
      <c r="A21" s="7" t="s">
        <v>5</v>
      </c>
      <c r="B21" s="7">
        <v>42</v>
      </c>
      <c r="C21" s="7">
        <v>30956</v>
      </c>
      <c r="D21" s="7">
        <v>1.7069000000000001</v>
      </c>
      <c r="E21" s="7">
        <f t="shared" si="0"/>
        <v>52838.796399999999</v>
      </c>
      <c r="F21" s="7">
        <f t="shared" si="1"/>
        <v>28.561511567567567</v>
      </c>
      <c r="G21" s="7">
        <f t="shared" si="3"/>
        <v>2373.2933333333335</v>
      </c>
      <c r="H21" s="7">
        <f t="shared" si="4"/>
        <v>1108.96</v>
      </c>
      <c r="I21" s="7"/>
      <c r="J21" s="7">
        <v>1000</v>
      </c>
      <c r="K21" s="7">
        <f t="shared" si="5"/>
        <v>58027.949733333335</v>
      </c>
    </row>
    <row r="22" spans="1:11">
      <c r="A22" s="7" t="s">
        <v>5</v>
      </c>
      <c r="B22" s="7">
        <v>44</v>
      </c>
      <c r="C22" s="7">
        <v>31482</v>
      </c>
      <c r="D22" s="7">
        <v>1.7069000000000001</v>
      </c>
      <c r="E22" s="7">
        <f t="shared" si="0"/>
        <v>53736.625800000002</v>
      </c>
      <c r="F22" s="7">
        <f t="shared" si="1"/>
        <v>29.046824756756756</v>
      </c>
      <c r="G22" s="7">
        <f t="shared" si="3"/>
        <v>2413.6200000000003</v>
      </c>
      <c r="H22" s="7">
        <f t="shared" si="4"/>
        <v>1122.1100000000001</v>
      </c>
      <c r="I22" s="7"/>
      <c r="J22" s="7">
        <v>1000</v>
      </c>
      <c r="K22" s="7">
        <f t="shared" si="5"/>
        <v>58979.255800000006</v>
      </c>
    </row>
    <row r="25" spans="1:11">
      <c r="C25" t="s">
        <v>25</v>
      </c>
      <c r="D25" t="s">
        <v>11</v>
      </c>
      <c r="E25" t="s">
        <v>26</v>
      </c>
      <c r="F25" t="s">
        <v>27</v>
      </c>
      <c r="G25" t="s">
        <v>28</v>
      </c>
      <c r="H25" t="s">
        <v>29</v>
      </c>
      <c r="I25" t="s">
        <v>30</v>
      </c>
      <c r="J25" t="s">
        <v>31</v>
      </c>
    </row>
    <row r="27" spans="1:11">
      <c r="C27" s="11">
        <v>23592</v>
      </c>
      <c r="D27">
        <v>1.7069000000000001</v>
      </c>
      <c r="E27">
        <f>C27*D27</f>
        <v>40269.184800000003</v>
      </c>
      <c r="F27">
        <f>E27/1850</f>
        <v>21.767126918918919</v>
      </c>
      <c r="G27">
        <f>F27*0.38</f>
        <v>8.2715082291891893</v>
      </c>
      <c r="H27">
        <f>G27*24</f>
        <v>198.51619750054056</v>
      </c>
      <c r="I27">
        <f>H27*67</f>
        <v>13300.585232536218</v>
      </c>
      <c r="J27">
        <f>16447.1069-I27</f>
        <v>3146.5216674637813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78"/>
  <sheetViews>
    <sheetView workbookViewId="0">
      <selection activeCell="A19" sqref="A19"/>
    </sheetView>
  </sheetViews>
  <sheetFormatPr baseColWidth="10" defaultColWidth="10.85546875" defaultRowHeight="15"/>
  <cols>
    <col min="4" max="4" width="12.85546875" customWidth="1"/>
    <col min="6" max="6" width="18.85546875" customWidth="1"/>
    <col min="7" max="7" width="15" customWidth="1"/>
    <col min="8" max="8" width="11.140625" customWidth="1"/>
  </cols>
  <sheetData>
    <row r="1" spans="1:19">
      <c r="A1" t="s">
        <v>7</v>
      </c>
    </row>
    <row r="3" spans="1:19">
      <c r="A3" s="2" t="s">
        <v>4</v>
      </c>
      <c r="B3" s="2" t="s">
        <v>6</v>
      </c>
      <c r="C3" s="2" t="s">
        <v>0</v>
      </c>
      <c r="D3" s="2" t="s">
        <v>1</v>
      </c>
      <c r="E3" s="2" t="s">
        <v>2</v>
      </c>
      <c r="F3" s="2" t="s">
        <v>3</v>
      </c>
      <c r="G3" s="8" t="s">
        <v>21</v>
      </c>
      <c r="H3" s="8" t="s">
        <v>22</v>
      </c>
      <c r="I3" s="8" t="s">
        <v>23</v>
      </c>
      <c r="J3" s="8" t="s">
        <v>19</v>
      </c>
      <c r="K3" s="8" t="s">
        <v>24</v>
      </c>
    </row>
    <row r="4" spans="1:19">
      <c r="A4" s="5"/>
      <c r="B4" s="5"/>
      <c r="C4" s="5"/>
      <c r="D4" s="5"/>
      <c r="E4" s="5"/>
      <c r="F4" s="5"/>
    </row>
    <row r="5" spans="1:19">
      <c r="A5" s="10" t="s">
        <v>41</v>
      </c>
      <c r="B5" s="10">
        <v>5</v>
      </c>
      <c r="C5" s="10">
        <v>18706</v>
      </c>
      <c r="D5" s="10">
        <v>1.7069000000000001</v>
      </c>
      <c r="E5" s="10">
        <f t="shared" ref="E5:E20" si="0">C5*D5</f>
        <v>31929.271400000001</v>
      </c>
      <c r="F5" s="10">
        <f t="shared" ref="F5:F20" si="1">E5/1850</f>
        <v>17.259065621621623</v>
      </c>
      <c r="G5" s="10">
        <f t="shared" ref="G5:G14" si="2">C5*92%/12</f>
        <v>1434.1266666666668</v>
      </c>
      <c r="H5" s="10">
        <f t="shared" ref="H5:H14" si="3">335.06+C5*2.5%</f>
        <v>802.71</v>
      </c>
      <c r="I5" s="10">
        <v>1365</v>
      </c>
      <c r="J5" s="10">
        <v>0</v>
      </c>
      <c r="K5" s="10">
        <f>(I5*D5)+(J5*D5)+E5+G5+H5</f>
        <v>36496.026566666667</v>
      </c>
    </row>
    <row r="6" spans="1:19">
      <c r="A6" s="10" t="s">
        <v>41</v>
      </c>
      <c r="B6" s="10">
        <v>5</v>
      </c>
      <c r="C6" s="10">
        <v>20930</v>
      </c>
      <c r="D6" s="10">
        <v>1.7069000000000001</v>
      </c>
      <c r="E6" s="10">
        <f t="shared" si="0"/>
        <v>35725.417000000001</v>
      </c>
      <c r="F6" s="10">
        <f t="shared" si="1"/>
        <v>19.311036216216216</v>
      </c>
      <c r="G6" s="10">
        <f t="shared" si="2"/>
        <v>1604.6333333333334</v>
      </c>
      <c r="H6" s="10">
        <f t="shared" si="3"/>
        <v>858.31</v>
      </c>
      <c r="I6" s="10">
        <v>0</v>
      </c>
      <c r="J6" s="10">
        <v>0</v>
      </c>
      <c r="K6" s="10">
        <f>(I6*D6)+(J6*D6)+E6+G6+H6</f>
        <v>38188.36033333333</v>
      </c>
    </row>
    <row r="7" spans="1:19">
      <c r="A7" s="10" t="s">
        <v>5</v>
      </c>
      <c r="B7" s="10">
        <v>14</v>
      </c>
      <c r="C7" s="10">
        <v>26183</v>
      </c>
      <c r="D7" s="10">
        <v>1.7069000000000001</v>
      </c>
      <c r="E7" s="10">
        <f t="shared" si="0"/>
        <v>44691.762699999999</v>
      </c>
      <c r="F7" s="10">
        <f t="shared" si="1"/>
        <v>24.157709567567569</v>
      </c>
      <c r="G7" s="10">
        <f t="shared" si="2"/>
        <v>2007.3633333333335</v>
      </c>
      <c r="H7" s="10">
        <f t="shared" si="3"/>
        <v>989.63499999999999</v>
      </c>
      <c r="I7" s="10">
        <v>0</v>
      </c>
      <c r="J7" s="10">
        <v>0</v>
      </c>
      <c r="K7" s="10">
        <f>(I7*D7)+(J7*D7)+E7+G7+H7</f>
        <v>47688.761033333336</v>
      </c>
    </row>
    <row r="8" spans="1:19">
      <c r="A8" s="10" t="s">
        <v>5</v>
      </c>
      <c r="B8" s="10">
        <v>20</v>
      </c>
      <c r="C8" s="10">
        <v>27791</v>
      </c>
      <c r="D8" s="10">
        <v>1.7069000000000001</v>
      </c>
      <c r="E8" s="10">
        <f t="shared" si="0"/>
        <v>47436.457900000001</v>
      </c>
      <c r="F8" s="10">
        <f t="shared" si="1"/>
        <v>25.641328594594594</v>
      </c>
      <c r="G8" s="10">
        <f t="shared" si="2"/>
        <v>2130.6433333333334</v>
      </c>
      <c r="H8" s="10">
        <f t="shared" si="3"/>
        <v>1029.835</v>
      </c>
      <c r="I8" s="10">
        <v>0</v>
      </c>
      <c r="J8" s="10">
        <v>3288</v>
      </c>
      <c r="K8" s="10">
        <f t="shared" ref="K8:K14" si="4">E8+G8+H8+(I8*D8)+(J8*D8)</f>
        <v>56209.223433333333</v>
      </c>
    </row>
    <row r="9" spans="1:19">
      <c r="A9" s="10" t="s">
        <v>43</v>
      </c>
      <c r="B9" s="10">
        <v>5</v>
      </c>
      <c r="C9" s="10">
        <v>16804</v>
      </c>
      <c r="D9" s="10">
        <v>1.7069000000000001</v>
      </c>
      <c r="E9" s="10">
        <f t="shared" si="0"/>
        <v>28682.747600000002</v>
      </c>
      <c r="F9" s="10">
        <f t="shared" si="1"/>
        <v>15.504187891891894</v>
      </c>
      <c r="G9" s="10">
        <f t="shared" si="2"/>
        <v>1288.3066666666666</v>
      </c>
      <c r="H9" s="10">
        <f t="shared" si="3"/>
        <v>755.16000000000008</v>
      </c>
      <c r="I9" s="10">
        <v>1365</v>
      </c>
      <c r="J9" s="10">
        <v>0</v>
      </c>
      <c r="K9" s="10">
        <f t="shared" si="4"/>
        <v>33056.132766666669</v>
      </c>
    </row>
    <row r="10" spans="1:19">
      <c r="A10" s="10" t="s">
        <v>43</v>
      </c>
      <c r="B10" s="10">
        <v>5</v>
      </c>
      <c r="C10" s="10">
        <v>19400</v>
      </c>
      <c r="D10" s="10">
        <v>1.7069000000000001</v>
      </c>
      <c r="E10" s="10">
        <f t="shared" si="0"/>
        <v>33113.86</v>
      </c>
      <c r="F10" s="10">
        <f t="shared" si="1"/>
        <v>17.899383783783783</v>
      </c>
      <c r="G10" s="10">
        <f t="shared" si="2"/>
        <v>1487.3333333333333</v>
      </c>
      <c r="H10" s="10">
        <f t="shared" si="3"/>
        <v>820.06</v>
      </c>
      <c r="I10" s="10">
        <v>0</v>
      </c>
      <c r="J10" s="10">
        <v>0</v>
      </c>
      <c r="K10" s="10">
        <f t="shared" si="4"/>
        <v>35421.253333333334</v>
      </c>
    </row>
    <row r="11" spans="1:19">
      <c r="A11" s="10" t="s">
        <v>41</v>
      </c>
      <c r="B11" s="10">
        <v>10</v>
      </c>
      <c r="C11" s="10">
        <v>21337</v>
      </c>
      <c r="D11" s="10">
        <v>1.7069000000000001</v>
      </c>
      <c r="E11" s="10">
        <f t="shared" si="0"/>
        <v>36420.1253</v>
      </c>
      <c r="F11" s="10">
        <f t="shared" si="1"/>
        <v>19.686554216216216</v>
      </c>
      <c r="G11" s="10">
        <f t="shared" si="2"/>
        <v>1635.8366666666668</v>
      </c>
      <c r="H11" s="10">
        <f t="shared" si="3"/>
        <v>868.48500000000013</v>
      </c>
      <c r="I11" s="10">
        <v>1365</v>
      </c>
      <c r="J11" s="10">
        <v>0</v>
      </c>
      <c r="K11" s="10">
        <f t="shared" si="4"/>
        <v>41254.36546666667</v>
      </c>
    </row>
    <row r="12" spans="1:19">
      <c r="A12" s="10" t="s">
        <v>41</v>
      </c>
      <c r="B12" s="10">
        <v>10</v>
      </c>
      <c r="C12" s="10">
        <v>23612</v>
      </c>
      <c r="D12" s="10">
        <v>1.7069000000000001</v>
      </c>
      <c r="E12" s="10">
        <f t="shared" si="0"/>
        <v>40303.322800000002</v>
      </c>
      <c r="F12" s="10">
        <f t="shared" si="1"/>
        <v>21.785579891891892</v>
      </c>
      <c r="G12" s="10">
        <f t="shared" si="2"/>
        <v>1810.2533333333333</v>
      </c>
      <c r="H12" s="10">
        <f t="shared" si="3"/>
        <v>925.36000000000013</v>
      </c>
      <c r="I12" s="10">
        <v>0</v>
      </c>
      <c r="J12" s="10">
        <v>0</v>
      </c>
      <c r="K12" s="10">
        <f t="shared" si="4"/>
        <v>43038.936133333336</v>
      </c>
    </row>
    <row r="13" spans="1:19">
      <c r="A13" s="7" t="s">
        <v>5</v>
      </c>
      <c r="B13" s="7">
        <v>12</v>
      </c>
      <c r="C13" s="7">
        <v>22715</v>
      </c>
      <c r="D13" s="7">
        <v>1.7069000000000001</v>
      </c>
      <c r="E13" s="7">
        <f t="shared" si="0"/>
        <v>38772.233500000002</v>
      </c>
      <c r="F13" s="7">
        <f t="shared" si="1"/>
        <v>20.957964054054056</v>
      </c>
      <c r="G13" s="7">
        <f t="shared" si="2"/>
        <v>1741.4833333333333</v>
      </c>
      <c r="H13" s="7">
        <f t="shared" si="3"/>
        <v>902.93499999999995</v>
      </c>
      <c r="I13" s="7">
        <v>1365</v>
      </c>
      <c r="J13" s="7">
        <v>1000</v>
      </c>
      <c r="K13" s="15">
        <f t="shared" si="4"/>
        <v>45453.470333333331</v>
      </c>
      <c r="L13" s="16"/>
      <c r="M13" s="9"/>
      <c r="N13" s="9"/>
      <c r="O13" s="9"/>
      <c r="P13" s="9"/>
      <c r="Q13" s="9"/>
      <c r="R13" s="9"/>
      <c r="S13" s="9"/>
    </row>
    <row r="14" spans="1:19">
      <c r="A14" s="6" t="s">
        <v>5</v>
      </c>
      <c r="B14" s="6">
        <v>14</v>
      </c>
      <c r="C14" s="6">
        <v>23592</v>
      </c>
      <c r="D14" s="6">
        <v>1.7069000000000001</v>
      </c>
      <c r="E14" s="6">
        <f t="shared" si="0"/>
        <v>40269.184800000003</v>
      </c>
      <c r="F14" s="6">
        <f t="shared" si="1"/>
        <v>21.767126918918919</v>
      </c>
      <c r="G14" s="6">
        <f t="shared" si="2"/>
        <v>1808.72</v>
      </c>
      <c r="H14" s="6">
        <f t="shared" si="3"/>
        <v>924.86000000000013</v>
      </c>
      <c r="I14" s="6">
        <v>1365</v>
      </c>
      <c r="J14" s="6">
        <v>0</v>
      </c>
      <c r="K14" s="6">
        <f t="shared" si="4"/>
        <v>45332.683300000004</v>
      </c>
      <c r="L14" s="16"/>
      <c r="M14" s="9"/>
      <c r="N14" s="9"/>
      <c r="O14" s="9"/>
      <c r="P14" s="9"/>
      <c r="Q14" s="9"/>
      <c r="R14" s="9"/>
      <c r="S14" s="9"/>
    </row>
    <row r="15" spans="1:19">
      <c r="A15" s="7" t="s">
        <v>5</v>
      </c>
      <c r="B15" s="7">
        <v>16</v>
      </c>
      <c r="C15" s="7">
        <v>24118</v>
      </c>
      <c r="D15" s="7">
        <v>1.7069000000000001</v>
      </c>
      <c r="E15" s="7">
        <f t="shared" si="0"/>
        <v>41167.014200000005</v>
      </c>
      <c r="F15" s="7">
        <f t="shared" si="1"/>
        <v>22.252440108108111</v>
      </c>
      <c r="G15" s="7">
        <f t="shared" ref="G15:G20" si="5">C15*92%/12</f>
        <v>1849.0466666666669</v>
      </c>
      <c r="H15" s="7">
        <f t="shared" ref="H15:H20" si="6">335.06+C15*2.5%</f>
        <v>938.01</v>
      </c>
      <c r="I15" s="7">
        <v>1365</v>
      </c>
      <c r="J15" s="7">
        <v>1000</v>
      </c>
      <c r="K15" s="15">
        <f t="shared" ref="K15:K20" si="7">E15+G15+H15+(I15*D15)+(J15*D15)</f>
        <v>47990.889366666677</v>
      </c>
      <c r="L15" s="16"/>
      <c r="M15" s="9"/>
      <c r="N15" s="9"/>
      <c r="O15" s="9"/>
      <c r="P15" s="9"/>
      <c r="Q15" s="9"/>
      <c r="R15" s="9"/>
      <c r="S15" s="9"/>
    </row>
    <row r="16" spans="1:19">
      <c r="A16" s="7" t="s">
        <v>5</v>
      </c>
      <c r="B16" s="7">
        <v>18</v>
      </c>
      <c r="C16" s="7">
        <v>24644</v>
      </c>
      <c r="D16" s="7">
        <v>1.7069000000000001</v>
      </c>
      <c r="E16" s="7">
        <f t="shared" si="0"/>
        <v>42064.8436</v>
      </c>
      <c r="F16" s="7">
        <f t="shared" si="1"/>
        <v>22.737753297297296</v>
      </c>
      <c r="G16" s="7">
        <f t="shared" si="5"/>
        <v>1889.3733333333332</v>
      </c>
      <c r="H16" s="7">
        <f t="shared" si="6"/>
        <v>951.16000000000008</v>
      </c>
      <c r="I16" s="7">
        <v>1365</v>
      </c>
      <c r="J16" s="7">
        <v>1000</v>
      </c>
      <c r="K16" s="15">
        <f t="shared" si="7"/>
        <v>48942.195433333341</v>
      </c>
      <c r="L16" s="16"/>
      <c r="M16" s="9"/>
      <c r="N16" s="9"/>
      <c r="O16" s="9"/>
      <c r="P16" s="9"/>
      <c r="Q16" s="9"/>
      <c r="R16" s="9"/>
      <c r="S16" s="9"/>
    </row>
    <row r="17" spans="1:19">
      <c r="A17" s="7" t="s">
        <v>5</v>
      </c>
      <c r="B17" s="7">
        <v>20</v>
      </c>
      <c r="C17" s="7">
        <v>25170</v>
      </c>
      <c r="D17" s="7">
        <v>1.7069000000000001</v>
      </c>
      <c r="E17" s="7">
        <f t="shared" si="0"/>
        <v>42962.673000000003</v>
      </c>
      <c r="F17" s="7">
        <f t="shared" si="1"/>
        <v>23.223066486486488</v>
      </c>
      <c r="G17" s="7">
        <f t="shared" si="5"/>
        <v>1929.7</v>
      </c>
      <c r="H17" s="7">
        <f t="shared" si="6"/>
        <v>964.31</v>
      </c>
      <c r="I17" s="7">
        <v>1365</v>
      </c>
      <c r="J17" s="7">
        <v>2400</v>
      </c>
      <c r="K17" s="15">
        <f t="shared" si="7"/>
        <v>52283.161499999995</v>
      </c>
      <c r="L17" s="16"/>
      <c r="M17" s="9"/>
      <c r="N17" s="9"/>
      <c r="O17" s="9"/>
      <c r="P17" s="9"/>
      <c r="Q17" s="9"/>
      <c r="R17" s="9"/>
      <c r="S17" s="9"/>
    </row>
    <row r="18" spans="1:19">
      <c r="A18" s="7" t="s">
        <v>5</v>
      </c>
      <c r="B18" s="7">
        <v>22</v>
      </c>
      <c r="C18" s="7">
        <v>25696</v>
      </c>
      <c r="D18" s="7">
        <v>1.7069000000000001</v>
      </c>
      <c r="E18" s="7">
        <f t="shared" si="0"/>
        <v>43860.502400000005</v>
      </c>
      <c r="F18" s="7">
        <f t="shared" si="1"/>
        <v>23.70837967567568</v>
      </c>
      <c r="G18" s="7">
        <f t="shared" si="5"/>
        <v>1970.0266666666666</v>
      </c>
      <c r="H18" s="7">
        <f t="shared" si="6"/>
        <v>977.46</v>
      </c>
      <c r="I18" s="7">
        <v>1365</v>
      </c>
      <c r="J18" s="7">
        <v>1000</v>
      </c>
      <c r="K18" s="15">
        <f t="shared" si="7"/>
        <v>50844.80756666667</v>
      </c>
      <c r="L18" s="1"/>
      <c r="M18" s="1"/>
      <c r="N18" s="1"/>
      <c r="O18" s="1"/>
      <c r="P18" s="1"/>
      <c r="Q18" s="1"/>
      <c r="R18" s="1"/>
      <c r="S18" s="1"/>
    </row>
    <row r="19" spans="1:19">
      <c r="A19" s="7" t="s">
        <v>17</v>
      </c>
      <c r="B19" s="7">
        <v>18</v>
      </c>
      <c r="C19" s="7">
        <v>25412</v>
      </c>
      <c r="D19" s="7">
        <v>1.7069000000000001</v>
      </c>
      <c r="E19" s="7">
        <f t="shared" si="0"/>
        <v>43375.7428</v>
      </c>
      <c r="F19" s="7">
        <f t="shared" si="1"/>
        <v>23.44634745945946</v>
      </c>
      <c r="G19" s="7">
        <f t="shared" si="5"/>
        <v>1948.2533333333333</v>
      </c>
      <c r="H19" s="7">
        <f t="shared" si="6"/>
        <v>970.36000000000013</v>
      </c>
      <c r="I19" s="7">
        <v>1365</v>
      </c>
      <c r="J19" s="7">
        <v>0</v>
      </c>
      <c r="K19" s="15">
        <f t="shared" si="7"/>
        <v>48624.274633333334</v>
      </c>
    </row>
    <row r="20" spans="1:19">
      <c r="A20" s="7" t="s">
        <v>44</v>
      </c>
      <c r="B20" s="7">
        <v>18</v>
      </c>
      <c r="C20" s="7">
        <v>28020</v>
      </c>
      <c r="D20" s="7">
        <v>1.7069000000000001</v>
      </c>
      <c r="E20" s="7">
        <f t="shared" si="0"/>
        <v>47827.338000000003</v>
      </c>
      <c r="F20" s="7">
        <f t="shared" si="1"/>
        <v>25.852615135135135</v>
      </c>
      <c r="G20" s="7">
        <f t="shared" si="5"/>
        <v>2148.2000000000003</v>
      </c>
      <c r="H20" s="7">
        <f t="shared" si="6"/>
        <v>1035.56</v>
      </c>
      <c r="I20" s="7"/>
      <c r="J20" s="7">
        <v>0</v>
      </c>
      <c r="K20" s="15">
        <f t="shared" si="7"/>
        <v>51011.097999999998</v>
      </c>
      <c r="L20" s="9"/>
      <c r="M20" s="9"/>
      <c r="N20" s="9"/>
      <c r="O20" s="9"/>
      <c r="P20" s="9"/>
      <c r="Q20" s="9"/>
    </row>
    <row r="21" spans="1:19">
      <c r="A21" s="1"/>
      <c r="B21" s="1"/>
      <c r="C21" s="1"/>
      <c r="D21" s="1"/>
      <c r="E21" s="1"/>
      <c r="F21" s="1"/>
    </row>
    <row r="22" spans="1:19">
      <c r="A22" t="s">
        <v>8</v>
      </c>
    </row>
    <row r="24" spans="1:19">
      <c r="A24" s="2" t="s">
        <v>4</v>
      </c>
      <c r="B24" s="2" t="s">
        <v>6</v>
      </c>
      <c r="C24" s="2" t="s">
        <v>0</v>
      </c>
      <c r="D24" s="2" t="s">
        <v>9</v>
      </c>
      <c r="E24" s="2" t="s">
        <v>19</v>
      </c>
      <c r="F24" s="2" t="s">
        <v>10</v>
      </c>
      <c r="G24" s="2" t="s">
        <v>12</v>
      </c>
      <c r="H24" s="2" t="s">
        <v>13</v>
      </c>
      <c r="I24" s="2" t="s">
        <v>14</v>
      </c>
      <c r="J24" s="2" t="s">
        <v>15</v>
      </c>
      <c r="K24" s="2" t="s">
        <v>11</v>
      </c>
      <c r="L24" s="2" t="s">
        <v>16</v>
      </c>
      <c r="M24" s="8" t="s">
        <v>20</v>
      </c>
    </row>
    <row r="26" spans="1:19">
      <c r="A26" s="3"/>
      <c r="B26" s="3"/>
      <c r="C26" s="3"/>
      <c r="D26" s="3">
        <v>1365</v>
      </c>
      <c r="E26" s="3"/>
      <c r="F26" s="3">
        <v>10.25</v>
      </c>
      <c r="G26" s="3">
        <v>5.58</v>
      </c>
      <c r="H26" s="3">
        <v>1850</v>
      </c>
      <c r="I26" s="3">
        <f t="shared" ref="I26:I30" si="8">(C26+D26+E26)*F26*G26/H26</f>
        <v>42.200635135135137</v>
      </c>
      <c r="J26" s="3">
        <f t="shared" ref="J26:J30" si="9">I26/5.58</f>
        <v>7.5628378378378383</v>
      </c>
      <c r="K26" s="3">
        <v>1.7069000000000001</v>
      </c>
      <c r="L26" s="3">
        <f t="shared" ref="L26:L30" si="10">J26*K26</f>
        <v>12.909007905405407</v>
      </c>
      <c r="M26" s="3"/>
    </row>
    <row r="27" spans="1:19">
      <c r="A27" s="3"/>
      <c r="B27" s="3"/>
      <c r="C27" s="3"/>
      <c r="D27" s="3">
        <v>1365</v>
      </c>
      <c r="E27" s="3"/>
      <c r="F27" s="3">
        <v>10.25</v>
      </c>
      <c r="G27" s="3">
        <v>5.58</v>
      </c>
      <c r="H27" s="3">
        <v>1850</v>
      </c>
      <c r="I27" s="3">
        <f t="shared" si="8"/>
        <v>42.200635135135137</v>
      </c>
      <c r="J27" s="3">
        <f t="shared" si="9"/>
        <v>7.5628378378378383</v>
      </c>
      <c r="K27" s="3">
        <v>1.7069000000000001</v>
      </c>
      <c r="L27" s="3">
        <f t="shared" si="10"/>
        <v>12.909007905405407</v>
      </c>
      <c r="M27" s="3"/>
    </row>
    <row r="28" spans="1:19">
      <c r="A28" s="4" t="s">
        <v>18</v>
      </c>
      <c r="B28" s="4">
        <v>5</v>
      </c>
      <c r="C28" s="4">
        <v>18706</v>
      </c>
      <c r="D28" s="4">
        <v>1365</v>
      </c>
      <c r="E28" s="4"/>
      <c r="F28" s="4">
        <v>10.25</v>
      </c>
      <c r="G28" s="4">
        <v>5.58</v>
      </c>
      <c r="H28" s="4">
        <v>1850</v>
      </c>
      <c r="I28" s="4">
        <f t="shared" si="8"/>
        <v>620.51937567567563</v>
      </c>
      <c r="J28" s="4">
        <f t="shared" si="9"/>
        <v>111.20418918918918</v>
      </c>
      <c r="K28" s="4">
        <v>1.7069000000000001</v>
      </c>
      <c r="L28" s="4">
        <f t="shared" si="10"/>
        <v>189.81443052702701</v>
      </c>
      <c r="M28" s="4">
        <f>L28*67</f>
        <v>12717.56684531081</v>
      </c>
    </row>
    <row r="29" spans="1:19">
      <c r="A29" s="4" t="s">
        <v>18</v>
      </c>
      <c r="B29" s="4">
        <v>8</v>
      </c>
      <c r="C29" s="4">
        <v>20460</v>
      </c>
      <c r="D29" s="4">
        <v>1365</v>
      </c>
      <c r="E29" s="4"/>
      <c r="F29" s="4">
        <v>10.25</v>
      </c>
      <c r="G29" s="4">
        <v>5.58</v>
      </c>
      <c r="H29" s="4">
        <v>1850</v>
      </c>
      <c r="I29" s="4">
        <f t="shared" si="8"/>
        <v>674.74641891891895</v>
      </c>
      <c r="J29" s="4">
        <f t="shared" si="9"/>
        <v>120.92229729729731</v>
      </c>
      <c r="K29" s="4">
        <v>1.7069000000000001</v>
      </c>
      <c r="L29" s="4">
        <f t="shared" si="10"/>
        <v>206.40226925675677</v>
      </c>
      <c r="M29" s="4"/>
    </row>
    <row r="30" spans="1:19">
      <c r="A30" s="4" t="s">
        <v>18</v>
      </c>
      <c r="B30" s="4">
        <v>10</v>
      </c>
      <c r="C30" s="4">
        <v>21337</v>
      </c>
      <c r="D30" s="4">
        <v>1365</v>
      </c>
      <c r="E30" s="4"/>
      <c r="F30" s="4">
        <v>10.25</v>
      </c>
      <c r="G30" s="4">
        <v>5.58</v>
      </c>
      <c r="H30" s="4">
        <v>1850</v>
      </c>
      <c r="I30" s="4">
        <f t="shared" si="8"/>
        <v>701.85994054054061</v>
      </c>
      <c r="J30" s="4">
        <f t="shared" si="9"/>
        <v>125.78135135135136</v>
      </c>
      <c r="K30" s="4">
        <v>1.7069000000000001</v>
      </c>
      <c r="L30" s="4">
        <f t="shared" si="10"/>
        <v>214.69618862162164</v>
      </c>
      <c r="M30" s="4">
        <f>L30*67</f>
        <v>14384.644637648651</v>
      </c>
    </row>
    <row r="32" spans="1:19">
      <c r="A32" s="7" t="s">
        <v>5</v>
      </c>
      <c r="B32" s="7">
        <f>B13</f>
        <v>12</v>
      </c>
      <c r="C32" s="7">
        <v>22715</v>
      </c>
      <c r="D32" s="7">
        <v>1365</v>
      </c>
      <c r="E32" s="7">
        <v>1000</v>
      </c>
      <c r="F32" s="7">
        <v>10.25</v>
      </c>
      <c r="G32" s="7">
        <v>5.58</v>
      </c>
      <c r="H32" s="7">
        <v>1850</v>
      </c>
      <c r="I32" s="7">
        <f t="shared" ref="I32:I48" si="11">(C32+D32+E32)*F32*G32/H32</f>
        <v>775.37870270270275</v>
      </c>
      <c r="J32" s="7">
        <f t="shared" ref="J32:J48" si="12">I32/5.58</f>
        <v>138.95675675675676</v>
      </c>
      <c r="K32" s="7">
        <v>1.7069000000000001</v>
      </c>
      <c r="L32" s="7">
        <f t="shared" ref="L32:L48" si="13">J32*K32</f>
        <v>237.18528810810813</v>
      </c>
      <c r="M32" s="7">
        <f>L32*67</f>
        <v>15891.414303243244</v>
      </c>
    </row>
    <row r="33" spans="1:13">
      <c r="A33" s="6" t="s">
        <v>5</v>
      </c>
      <c r="B33" s="6">
        <f>B14</f>
        <v>14</v>
      </c>
      <c r="C33" s="6">
        <v>23592</v>
      </c>
      <c r="D33" s="6">
        <v>1365</v>
      </c>
      <c r="E33" s="6">
        <v>0</v>
      </c>
      <c r="F33" s="6">
        <v>10.25</v>
      </c>
      <c r="G33" s="6">
        <v>5.58</v>
      </c>
      <c r="H33" s="6">
        <v>1850</v>
      </c>
      <c r="I33" s="6">
        <f t="shared" si="11"/>
        <v>771.57600810810811</v>
      </c>
      <c r="J33" s="6">
        <f t="shared" si="12"/>
        <v>138.27527027027028</v>
      </c>
      <c r="K33" s="6">
        <v>1.7069000000000001</v>
      </c>
      <c r="L33" s="6">
        <f t="shared" si="13"/>
        <v>236.02205882432435</v>
      </c>
      <c r="M33" s="6">
        <f>L33*67</f>
        <v>15813.477941229732</v>
      </c>
    </row>
    <row r="34" spans="1:13">
      <c r="A34" s="7" t="s">
        <v>5</v>
      </c>
      <c r="B34" s="7">
        <v>16</v>
      </c>
      <c r="C34" s="7">
        <v>24118</v>
      </c>
      <c r="D34" s="7">
        <v>1365</v>
      </c>
      <c r="E34" s="7">
        <v>1000</v>
      </c>
      <c r="F34" s="7">
        <v>10.25</v>
      </c>
      <c r="G34" s="7">
        <v>5.58</v>
      </c>
      <c r="H34" s="7">
        <v>1850</v>
      </c>
      <c r="I34" s="7">
        <f t="shared" si="11"/>
        <v>818.75415405405408</v>
      </c>
      <c r="J34" s="7">
        <f t="shared" si="12"/>
        <v>146.73013513513513</v>
      </c>
      <c r="K34" s="7">
        <v>1.7069000000000001</v>
      </c>
      <c r="L34" s="7">
        <f t="shared" si="13"/>
        <v>250.45366766216216</v>
      </c>
      <c r="M34" s="7">
        <f t="shared" ref="M34:M48" si="14">L34*67</f>
        <v>16780.395733364865</v>
      </c>
    </row>
    <row r="35" spans="1:13">
      <c r="A35" s="7" t="s">
        <v>5</v>
      </c>
      <c r="B35" s="7">
        <v>18</v>
      </c>
      <c r="C35" s="7">
        <v>24644</v>
      </c>
      <c r="D35" s="7">
        <v>1365</v>
      </c>
      <c r="E35" s="7">
        <v>1000</v>
      </c>
      <c r="F35" s="7">
        <v>10.25</v>
      </c>
      <c r="G35" s="7">
        <v>5.58</v>
      </c>
      <c r="H35" s="7">
        <v>1850</v>
      </c>
      <c r="I35" s="7">
        <f t="shared" si="11"/>
        <v>835.01608378378387</v>
      </c>
      <c r="J35" s="7">
        <f t="shared" si="12"/>
        <v>149.64445945945948</v>
      </c>
      <c r="K35" s="7">
        <v>1.7069000000000001</v>
      </c>
      <c r="L35" s="7">
        <f t="shared" si="13"/>
        <v>255.42812785135141</v>
      </c>
      <c r="M35" s="7">
        <f t="shared" si="14"/>
        <v>17113.684566040545</v>
      </c>
    </row>
    <row r="36" spans="1:13">
      <c r="A36" s="7" t="s">
        <v>5</v>
      </c>
      <c r="B36" s="7">
        <v>20</v>
      </c>
      <c r="C36" s="7">
        <v>25170</v>
      </c>
      <c r="D36" s="7">
        <v>1365</v>
      </c>
      <c r="E36" s="7">
        <v>2400</v>
      </c>
      <c r="F36" s="7">
        <v>10.25</v>
      </c>
      <c r="G36" s="7">
        <v>5.58</v>
      </c>
      <c r="H36" s="7">
        <v>1850</v>
      </c>
      <c r="I36" s="7">
        <f t="shared" si="11"/>
        <v>894.56071621621618</v>
      </c>
      <c r="J36" s="7">
        <f t="shared" si="12"/>
        <v>160.31554054054052</v>
      </c>
      <c r="K36" s="7">
        <v>1.7069000000000001</v>
      </c>
      <c r="L36" s="7">
        <f t="shared" si="13"/>
        <v>273.64259614864864</v>
      </c>
      <c r="M36" s="7">
        <f t="shared" si="14"/>
        <v>18334.053941959457</v>
      </c>
    </row>
    <row r="37" spans="1:13">
      <c r="A37" s="7" t="s">
        <v>5</v>
      </c>
      <c r="B37" s="7">
        <v>22</v>
      </c>
      <c r="C37" s="7">
        <v>25696</v>
      </c>
      <c r="D37" s="7">
        <v>1365</v>
      </c>
      <c r="E37" s="7">
        <v>1000</v>
      </c>
      <c r="F37" s="7">
        <v>10.25</v>
      </c>
      <c r="G37" s="7">
        <v>5.58</v>
      </c>
      <c r="H37" s="7">
        <v>1850</v>
      </c>
      <c r="I37" s="7">
        <f t="shared" si="11"/>
        <v>867.53994324324321</v>
      </c>
      <c r="J37" s="7">
        <f t="shared" si="12"/>
        <v>155.47310810810811</v>
      </c>
      <c r="K37" s="7">
        <v>1.7069000000000001</v>
      </c>
      <c r="L37" s="7">
        <f t="shared" si="13"/>
        <v>265.37704822972972</v>
      </c>
      <c r="M37" s="7">
        <f t="shared" si="14"/>
        <v>17780.262231391891</v>
      </c>
    </row>
    <row r="38" spans="1:13">
      <c r="A38" s="7" t="s">
        <v>5</v>
      </c>
      <c r="B38" s="7">
        <v>24</v>
      </c>
      <c r="C38" s="7">
        <v>26222</v>
      </c>
      <c r="D38" s="7">
        <v>1365</v>
      </c>
      <c r="E38" s="7">
        <v>1000</v>
      </c>
      <c r="F38" s="7">
        <v>10.25</v>
      </c>
      <c r="G38" s="7">
        <v>5.58</v>
      </c>
      <c r="H38" s="7">
        <v>1850</v>
      </c>
      <c r="I38" s="7">
        <f t="shared" si="11"/>
        <v>883.801872972973</v>
      </c>
      <c r="J38" s="7">
        <f t="shared" si="12"/>
        <v>158.38743243243243</v>
      </c>
      <c r="K38" s="7">
        <v>1.7069000000000001</v>
      </c>
      <c r="L38" s="7">
        <f t="shared" si="13"/>
        <v>270.35150841891891</v>
      </c>
      <c r="M38" s="7">
        <f t="shared" si="14"/>
        <v>18113.551064067567</v>
      </c>
    </row>
    <row r="39" spans="1:13">
      <c r="A39" s="7" t="s">
        <v>5</v>
      </c>
      <c r="B39" s="7">
        <v>26</v>
      </c>
      <c r="C39" s="7">
        <v>26748</v>
      </c>
      <c r="D39" s="7">
        <v>1365</v>
      </c>
      <c r="E39" s="7">
        <v>1000</v>
      </c>
      <c r="F39" s="7">
        <v>10.25</v>
      </c>
      <c r="G39" s="7">
        <v>5.58</v>
      </c>
      <c r="H39" s="7">
        <v>1850</v>
      </c>
      <c r="I39" s="7">
        <f t="shared" si="11"/>
        <v>900.06380270270267</v>
      </c>
      <c r="J39" s="7">
        <f t="shared" si="12"/>
        <v>161.30175675675676</v>
      </c>
      <c r="K39" s="7">
        <v>1.7069000000000001</v>
      </c>
      <c r="L39" s="7">
        <f t="shared" si="13"/>
        <v>275.3259686081081</v>
      </c>
      <c r="M39" s="7">
        <f t="shared" si="14"/>
        <v>18446.839896743244</v>
      </c>
    </row>
    <row r="40" spans="1:13">
      <c r="A40" s="7" t="s">
        <v>5</v>
      </c>
      <c r="B40" s="7">
        <v>28</v>
      </c>
      <c r="C40" s="7">
        <v>27274</v>
      </c>
      <c r="D40" s="7">
        <v>1365</v>
      </c>
      <c r="E40" s="7">
        <v>1000</v>
      </c>
      <c r="F40" s="7">
        <v>10.25</v>
      </c>
      <c r="G40" s="7">
        <v>5.58</v>
      </c>
      <c r="H40" s="7">
        <v>1850</v>
      </c>
      <c r="I40" s="7">
        <f t="shared" si="11"/>
        <v>916.32573243243246</v>
      </c>
      <c r="J40" s="7">
        <f t="shared" si="12"/>
        <v>164.21608108108109</v>
      </c>
      <c r="K40" s="7">
        <v>1.7069000000000001</v>
      </c>
      <c r="L40" s="7">
        <f t="shared" si="13"/>
        <v>280.30042879729734</v>
      </c>
      <c r="M40" s="7">
        <f t="shared" si="14"/>
        <v>18780.128729418921</v>
      </c>
    </row>
    <row r="41" spans="1:13">
      <c r="A41" s="7" t="s">
        <v>5</v>
      </c>
      <c r="B41" s="7">
        <v>30</v>
      </c>
      <c r="C41" s="7">
        <v>27800</v>
      </c>
      <c r="D41" s="7">
        <v>1365</v>
      </c>
      <c r="E41" s="7">
        <v>1000</v>
      </c>
      <c r="F41" s="7">
        <v>10.25</v>
      </c>
      <c r="G41" s="7">
        <v>5.58</v>
      </c>
      <c r="H41" s="7">
        <v>1850</v>
      </c>
      <c r="I41" s="7">
        <f t="shared" si="11"/>
        <v>932.58766216216213</v>
      </c>
      <c r="J41" s="7">
        <f t="shared" si="12"/>
        <v>167.13040540540541</v>
      </c>
      <c r="K41" s="7">
        <v>1.7069000000000001</v>
      </c>
      <c r="L41" s="7">
        <f t="shared" si="13"/>
        <v>285.27488898648653</v>
      </c>
      <c r="M41" s="7">
        <f t="shared" si="14"/>
        <v>19113.417562094597</v>
      </c>
    </row>
    <row r="42" spans="1:13">
      <c r="A42" s="7" t="s">
        <v>5</v>
      </c>
      <c r="B42" s="7">
        <v>32</v>
      </c>
      <c r="C42" s="7">
        <v>28326</v>
      </c>
      <c r="D42" s="7">
        <v>1365</v>
      </c>
      <c r="E42" s="7">
        <v>1000</v>
      </c>
      <c r="F42" s="7">
        <v>10.25</v>
      </c>
      <c r="G42" s="7">
        <v>5.58</v>
      </c>
      <c r="H42" s="7">
        <v>1850</v>
      </c>
      <c r="I42" s="7">
        <f t="shared" si="11"/>
        <v>948.84959189189192</v>
      </c>
      <c r="J42" s="7">
        <f t="shared" si="12"/>
        <v>170.04472972972974</v>
      </c>
      <c r="K42" s="7">
        <v>1.7069000000000001</v>
      </c>
      <c r="L42" s="7">
        <f t="shared" si="13"/>
        <v>290.24934917567572</v>
      </c>
      <c r="M42" s="7">
        <f t="shared" si="14"/>
        <v>19446.706394770274</v>
      </c>
    </row>
    <row r="43" spans="1:13">
      <c r="A43" s="7" t="s">
        <v>5</v>
      </c>
      <c r="B43" s="7">
        <v>34</v>
      </c>
      <c r="C43" s="7">
        <v>28852</v>
      </c>
      <c r="D43" s="7">
        <v>1365</v>
      </c>
      <c r="E43" s="7">
        <v>1000</v>
      </c>
      <c r="F43" s="7">
        <v>10.25</v>
      </c>
      <c r="G43" s="7">
        <v>5.58</v>
      </c>
      <c r="H43" s="7">
        <v>1850</v>
      </c>
      <c r="I43" s="7">
        <f t="shared" si="11"/>
        <v>965.11152162162159</v>
      </c>
      <c r="J43" s="7">
        <f t="shared" si="12"/>
        <v>172.95905405405404</v>
      </c>
      <c r="K43" s="7">
        <v>1.7069000000000001</v>
      </c>
      <c r="L43" s="7">
        <f t="shared" si="13"/>
        <v>295.22380936486485</v>
      </c>
      <c r="M43" s="7">
        <f t="shared" si="14"/>
        <v>19779.995227445947</v>
      </c>
    </row>
    <row r="44" spans="1:13">
      <c r="A44" s="7" t="s">
        <v>5</v>
      </c>
      <c r="B44" s="7">
        <v>36</v>
      </c>
      <c r="C44" s="7">
        <v>29378</v>
      </c>
      <c r="D44" s="7">
        <v>1365</v>
      </c>
      <c r="E44" s="7">
        <v>1000</v>
      </c>
      <c r="F44" s="7">
        <v>10.25</v>
      </c>
      <c r="G44" s="7">
        <v>5.58</v>
      </c>
      <c r="H44" s="7">
        <v>1850</v>
      </c>
      <c r="I44" s="7">
        <f t="shared" si="11"/>
        <v>981.37345135135138</v>
      </c>
      <c r="J44" s="7">
        <f t="shared" si="12"/>
        <v>175.87337837837839</v>
      </c>
      <c r="K44" s="7">
        <v>1.7069000000000001</v>
      </c>
      <c r="L44" s="7">
        <f t="shared" si="13"/>
        <v>300.19826955405409</v>
      </c>
      <c r="M44" s="7">
        <f t="shared" si="14"/>
        <v>20113.284060121623</v>
      </c>
    </row>
    <row r="45" spans="1:13">
      <c r="A45" s="7" t="s">
        <v>5</v>
      </c>
      <c r="B45" s="7">
        <v>38</v>
      </c>
      <c r="C45" s="7">
        <v>29904</v>
      </c>
      <c r="D45" s="7">
        <v>1365</v>
      </c>
      <c r="E45" s="7">
        <v>1000</v>
      </c>
      <c r="F45" s="7">
        <v>10.25</v>
      </c>
      <c r="G45" s="7">
        <v>5.58</v>
      </c>
      <c r="H45" s="7">
        <v>1850</v>
      </c>
      <c r="I45" s="7">
        <f t="shared" si="11"/>
        <v>997.63538108108116</v>
      </c>
      <c r="J45" s="7">
        <f t="shared" si="12"/>
        <v>178.78770270270272</v>
      </c>
      <c r="K45" s="7">
        <v>1.7069000000000001</v>
      </c>
      <c r="L45" s="7">
        <f t="shared" si="13"/>
        <v>305.17272974324328</v>
      </c>
      <c r="M45" s="7">
        <f t="shared" si="14"/>
        <v>20446.5728927973</v>
      </c>
    </row>
    <row r="46" spans="1:13">
      <c r="A46" s="7" t="s">
        <v>5</v>
      </c>
      <c r="B46" s="7">
        <v>40</v>
      </c>
      <c r="C46" s="7">
        <v>30430</v>
      </c>
      <c r="D46" s="7">
        <v>1365</v>
      </c>
      <c r="E46" s="7">
        <v>1000</v>
      </c>
      <c r="F46" s="7">
        <v>10.25</v>
      </c>
      <c r="G46" s="7">
        <v>5.58</v>
      </c>
      <c r="H46" s="7">
        <v>1850</v>
      </c>
      <c r="I46" s="7">
        <f t="shared" si="11"/>
        <v>1013.8973108108108</v>
      </c>
      <c r="J46" s="7">
        <f t="shared" si="12"/>
        <v>181.70202702702704</v>
      </c>
      <c r="K46" s="7">
        <v>1.7069000000000001</v>
      </c>
      <c r="L46" s="7">
        <f t="shared" si="13"/>
        <v>310.14718993243247</v>
      </c>
      <c r="M46" s="7">
        <f t="shared" si="14"/>
        <v>20779.861725472976</v>
      </c>
    </row>
    <row r="47" spans="1:13">
      <c r="A47" s="7" t="s">
        <v>5</v>
      </c>
      <c r="B47" s="7">
        <v>42</v>
      </c>
      <c r="C47" s="7">
        <v>30956</v>
      </c>
      <c r="D47" s="7">
        <v>1365</v>
      </c>
      <c r="E47" s="7">
        <v>1000</v>
      </c>
      <c r="F47" s="7">
        <v>10.25</v>
      </c>
      <c r="G47" s="7">
        <v>5.58</v>
      </c>
      <c r="H47" s="7">
        <v>1850</v>
      </c>
      <c r="I47" s="7">
        <f t="shared" si="11"/>
        <v>1030.1592405405406</v>
      </c>
      <c r="J47" s="7">
        <f t="shared" si="12"/>
        <v>184.61635135135137</v>
      </c>
      <c r="K47" s="7">
        <v>1.7069000000000001</v>
      </c>
      <c r="L47" s="7">
        <f t="shared" si="13"/>
        <v>315.12165012162166</v>
      </c>
      <c r="M47" s="7">
        <f t="shared" si="14"/>
        <v>21113.150558148653</v>
      </c>
    </row>
    <row r="48" spans="1:13">
      <c r="A48" s="7" t="s">
        <v>5</v>
      </c>
      <c r="B48" s="7">
        <v>44</v>
      </c>
      <c r="C48" s="7">
        <v>31482</v>
      </c>
      <c r="D48" s="7">
        <v>1365</v>
      </c>
      <c r="E48" s="7">
        <v>1000</v>
      </c>
      <c r="F48" s="7">
        <v>10.25</v>
      </c>
      <c r="G48" s="7">
        <v>5.58</v>
      </c>
      <c r="H48" s="7">
        <v>1850</v>
      </c>
      <c r="I48" s="7">
        <f t="shared" si="11"/>
        <v>1046.4211702702703</v>
      </c>
      <c r="J48" s="7">
        <f t="shared" si="12"/>
        <v>187.53067567567567</v>
      </c>
      <c r="K48" s="7">
        <v>1.7069000000000001</v>
      </c>
      <c r="L48" s="7">
        <f t="shared" si="13"/>
        <v>320.09611031081079</v>
      </c>
      <c r="M48" s="7">
        <f t="shared" si="14"/>
        <v>21446.439390824322</v>
      </c>
    </row>
    <row r="50" spans="1:13">
      <c r="A50" s="3" t="s">
        <v>44</v>
      </c>
      <c r="B50" s="3">
        <v>10</v>
      </c>
      <c r="C50" s="3">
        <v>22606</v>
      </c>
      <c r="D50" s="3">
        <v>1365</v>
      </c>
      <c r="E50" s="3">
        <v>1000</v>
      </c>
      <c r="F50" s="3">
        <v>10.25</v>
      </c>
      <c r="G50" s="3">
        <v>5.58</v>
      </c>
      <c r="H50" s="3">
        <v>1850</v>
      </c>
      <c r="I50" s="3">
        <f t="shared" ref="I50:I55" si="15">(C50+D50+E50)*F50*G50/H50</f>
        <v>772.00883513513509</v>
      </c>
      <c r="J50" s="3">
        <f t="shared" ref="J50:J55" si="16">I50/5.58</f>
        <v>138.35283783783782</v>
      </c>
      <c r="K50" s="3">
        <v>1.7069000000000001</v>
      </c>
      <c r="L50" s="3">
        <f t="shared" ref="L50:L55" si="17">J50*K50</f>
        <v>236.15445890540539</v>
      </c>
      <c r="M50" s="3"/>
    </row>
    <row r="51" spans="1:13">
      <c r="A51" s="3" t="s">
        <v>44</v>
      </c>
      <c r="B51" s="3">
        <v>12</v>
      </c>
      <c r="C51" s="3">
        <v>23483</v>
      </c>
      <c r="D51" s="3">
        <v>1365</v>
      </c>
      <c r="E51" s="3">
        <v>1000</v>
      </c>
      <c r="F51" s="3">
        <v>10.25</v>
      </c>
      <c r="G51" s="3">
        <v>5.58</v>
      </c>
      <c r="H51" s="3">
        <v>1850</v>
      </c>
      <c r="I51" s="3">
        <f t="shared" si="15"/>
        <v>799.12235675675686</v>
      </c>
      <c r="J51" s="3">
        <f t="shared" si="16"/>
        <v>143.2118918918919</v>
      </c>
      <c r="K51" s="3">
        <v>1.7069000000000001</v>
      </c>
      <c r="L51" s="3">
        <f t="shared" si="17"/>
        <v>244.4483782702703</v>
      </c>
      <c r="M51" s="3"/>
    </row>
    <row r="52" spans="1:13">
      <c r="A52" s="3" t="s">
        <v>44</v>
      </c>
      <c r="B52" s="3">
        <v>14</v>
      </c>
      <c r="C52" s="3">
        <v>24360</v>
      </c>
      <c r="D52" s="3">
        <v>1365</v>
      </c>
      <c r="E52" s="3">
        <v>1000</v>
      </c>
      <c r="F52" s="3">
        <v>10.25</v>
      </c>
      <c r="G52" s="3">
        <v>5.58</v>
      </c>
      <c r="H52" s="3">
        <v>1850</v>
      </c>
      <c r="I52" s="3">
        <f t="shared" si="15"/>
        <v>826.2358783783784</v>
      </c>
      <c r="J52" s="3">
        <f t="shared" si="16"/>
        <v>148.07094594594594</v>
      </c>
      <c r="K52" s="3">
        <v>1.7069000000000001</v>
      </c>
      <c r="L52" s="3">
        <f t="shared" si="17"/>
        <v>252.74229763513515</v>
      </c>
      <c r="M52" s="3"/>
    </row>
    <row r="53" spans="1:13">
      <c r="A53" s="3" t="s">
        <v>44</v>
      </c>
      <c r="B53" s="3">
        <v>16</v>
      </c>
      <c r="C53" s="3">
        <v>24886</v>
      </c>
      <c r="D53" s="3">
        <v>1365</v>
      </c>
      <c r="E53" s="3">
        <v>1000</v>
      </c>
      <c r="F53" s="3">
        <v>10.25</v>
      </c>
      <c r="G53" s="3">
        <v>5.58</v>
      </c>
      <c r="H53" s="3">
        <v>1850</v>
      </c>
      <c r="I53" s="3">
        <f t="shared" si="15"/>
        <v>842.49780810810819</v>
      </c>
      <c r="J53" s="3">
        <f t="shared" si="16"/>
        <v>150.98527027027029</v>
      </c>
      <c r="K53" s="3">
        <v>1.7069000000000001</v>
      </c>
      <c r="L53" s="3">
        <f t="shared" si="17"/>
        <v>257.71675782432436</v>
      </c>
      <c r="M53" s="3"/>
    </row>
    <row r="54" spans="1:13">
      <c r="A54" s="17" t="s">
        <v>17</v>
      </c>
      <c r="B54" s="17">
        <v>18</v>
      </c>
      <c r="C54" s="17">
        <v>25412</v>
      </c>
      <c r="D54" s="17">
        <v>1365</v>
      </c>
      <c r="E54" s="17">
        <v>1000</v>
      </c>
      <c r="F54" s="17">
        <v>10.25</v>
      </c>
      <c r="G54" s="17">
        <v>5.58</v>
      </c>
      <c r="H54" s="17">
        <v>1850</v>
      </c>
      <c r="I54" s="17">
        <f t="shared" si="15"/>
        <v>858.75973783783786</v>
      </c>
      <c r="J54" s="17">
        <f t="shared" si="16"/>
        <v>153.89959459459459</v>
      </c>
      <c r="K54" s="17">
        <v>1.7069000000000001</v>
      </c>
      <c r="L54" s="17">
        <f t="shared" si="17"/>
        <v>262.69121801351349</v>
      </c>
      <c r="M54" s="17">
        <f>L54*67</f>
        <v>17600.311606905405</v>
      </c>
    </row>
    <row r="55" spans="1:13">
      <c r="A55" s="17" t="s">
        <v>43</v>
      </c>
      <c r="B55" s="17">
        <v>5</v>
      </c>
      <c r="C55" s="17">
        <v>16804</v>
      </c>
      <c r="D55" s="17">
        <v>1365</v>
      </c>
      <c r="E55" s="17">
        <v>0</v>
      </c>
      <c r="F55" s="17">
        <v>10.25</v>
      </c>
      <c r="G55" s="17">
        <v>5.58</v>
      </c>
      <c r="H55" s="17">
        <v>1850</v>
      </c>
      <c r="I55" s="17">
        <f t="shared" si="15"/>
        <v>561.71673243243242</v>
      </c>
      <c r="J55" s="17">
        <f t="shared" si="16"/>
        <v>100.66608108108107</v>
      </c>
      <c r="K55" s="17">
        <v>1.7069000000000001</v>
      </c>
      <c r="L55" s="17">
        <f t="shared" si="17"/>
        <v>171.8269337972973</v>
      </c>
      <c r="M55" s="17">
        <f>L55*67</f>
        <v>11512.404564418919</v>
      </c>
    </row>
    <row r="58" spans="1:13">
      <c r="B58" s="14" t="s">
        <v>34</v>
      </c>
      <c r="C58" s="14"/>
      <c r="D58" s="14"/>
    </row>
    <row r="60" spans="1:13">
      <c r="C60" t="s">
        <v>25</v>
      </c>
      <c r="D60" t="s">
        <v>11</v>
      </c>
      <c r="E60" t="s">
        <v>26</v>
      </c>
      <c r="F60" t="s">
        <v>33</v>
      </c>
      <c r="G60" t="s">
        <v>28</v>
      </c>
      <c r="H60" t="s">
        <v>29</v>
      </c>
      <c r="I60" t="s">
        <v>30</v>
      </c>
      <c r="J60" t="s">
        <v>31</v>
      </c>
      <c r="K60" t="s">
        <v>39</v>
      </c>
      <c r="L60" t="s">
        <v>35</v>
      </c>
      <c r="M60" t="s">
        <v>36</v>
      </c>
    </row>
    <row r="62" spans="1:13">
      <c r="C62" s="9">
        <v>23592</v>
      </c>
      <c r="D62">
        <v>1.7069000000000001</v>
      </c>
      <c r="E62">
        <f>C62*D62</f>
        <v>40269.184800000003</v>
      </c>
      <c r="F62">
        <f>E62/1850</f>
        <v>21.767126918918919</v>
      </c>
      <c r="G62">
        <f>F62*0.38</f>
        <v>8.2715082291891893</v>
      </c>
      <c r="H62">
        <f>G62*24</f>
        <v>198.51619750054056</v>
      </c>
      <c r="I62">
        <f>H62*67</f>
        <v>13300.585232536218</v>
      </c>
      <c r="J62" s="12">
        <f>I62-M33</f>
        <v>-2512.8927086935146</v>
      </c>
      <c r="L62">
        <f>C62*92%/12</f>
        <v>1808.72</v>
      </c>
      <c r="M62">
        <f>335.06+C62*2.5%</f>
        <v>924.86000000000013</v>
      </c>
    </row>
    <row r="63" spans="1:13">
      <c r="C63">
        <v>24592</v>
      </c>
      <c r="D63">
        <v>1.7069000000000001</v>
      </c>
      <c r="E63">
        <f>C63*D63</f>
        <v>41976.084800000004</v>
      </c>
      <c r="F63">
        <f>E63/1850</f>
        <v>22.689775567567569</v>
      </c>
      <c r="G63">
        <f>F63*0.38</f>
        <v>8.6221147156756768</v>
      </c>
      <c r="H63">
        <f>G63*24</f>
        <v>206.93075317621623</v>
      </c>
      <c r="I63">
        <f>H63*67</f>
        <v>13864.360462806488</v>
      </c>
      <c r="J63" s="12">
        <f>I63-M33</f>
        <v>-1949.1174784232444</v>
      </c>
      <c r="L63">
        <f>C63*92%/12</f>
        <v>1885.3866666666665</v>
      </c>
      <c r="M63">
        <f>335.06+C63*2.5%</f>
        <v>949.86000000000013</v>
      </c>
    </row>
    <row r="64" spans="1:13">
      <c r="C64">
        <v>25292</v>
      </c>
      <c r="D64">
        <v>1.7069000000000001</v>
      </c>
      <c r="E64">
        <f>C64*D64</f>
        <v>43170.914799999999</v>
      </c>
      <c r="F64">
        <f>E64/1850</f>
        <v>23.335629621621621</v>
      </c>
      <c r="G64">
        <f>F64*0.38</f>
        <v>8.8675392562162152</v>
      </c>
      <c r="H64">
        <f>G64*24</f>
        <v>212.82094214918916</v>
      </c>
      <c r="I64">
        <f>H64*67</f>
        <v>14259.003123995673</v>
      </c>
      <c r="J64" s="12">
        <f>I64-M33</f>
        <v>-1554.4748172340587</v>
      </c>
      <c r="L64">
        <f>C64*92%/12</f>
        <v>1939.0533333333333</v>
      </c>
      <c r="M64">
        <f>335.06+C64*2.5%</f>
        <v>967.36000000000013</v>
      </c>
    </row>
    <row r="67" spans="1:13">
      <c r="B67" s="14" t="s">
        <v>32</v>
      </c>
      <c r="C67" s="14"/>
      <c r="D67" s="14"/>
    </row>
    <row r="68" spans="1:13">
      <c r="C68" s="9">
        <v>25592</v>
      </c>
      <c r="D68">
        <v>1.7069000000000001</v>
      </c>
      <c r="E68">
        <f>C68*D68</f>
        <v>43682.984800000006</v>
      </c>
      <c r="F68">
        <f>E68/1850</f>
        <v>23.612424216216219</v>
      </c>
      <c r="G68">
        <f>F68*0.38</f>
        <v>8.9727212021621625</v>
      </c>
      <c r="H68">
        <f>G68*24</f>
        <v>215.3453088518919</v>
      </c>
      <c r="I68">
        <f>H68*67</f>
        <v>14428.135693076758</v>
      </c>
      <c r="J68" s="12">
        <f>I68-M33</f>
        <v>-1385.3422481529742</v>
      </c>
    </row>
    <row r="69" spans="1:13">
      <c r="C69" s="9"/>
      <c r="J69" s="1"/>
    </row>
    <row r="71" spans="1:13">
      <c r="B71" s="14" t="s">
        <v>37</v>
      </c>
      <c r="C71" s="14"/>
      <c r="D71" s="14"/>
    </row>
    <row r="72" spans="1:13">
      <c r="A72" t="s">
        <v>40</v>
      </c>
      <c r="B72" t="s">
        <v>38</v>
      </c>
      <c r="C72" s="9">
        <v>26183</v>
      </c>
      <c r="D72">
        <v>1.7069000000000001</v>
      </c>
      <c r="E72">
        <f>C72*D72</f>
        <v>44691.762699999999</v>
      </c>
      <c r="F72">
        <f>E72/1850</f>
        <v>24.157709567567569</v>
      </c>
      <c r="G72">
        <f>F72*0.38</f>
        <v>9.179929635675677</v>
      </c>
      <c r="H72">
        <f>G72*24</f>
        <v>220.31831125621625</v>
      </c>
      <c r="I72">
        <f>H72*67</f>
        <v>14761.326854166489</v>
      </c>
      <c r="J72" s="12">
        <f>I72-M33</f>
        <v>-1052.1510870632428</v>
      </c>
      <c r="K72" s="13">
        <f>(K7-K14)+(I72-M33)</f>
        <v>1303.9266462700889</v>
      </c>
      <c r="L72">
        <f>C72*92%/12</f>
        <v>2007.3633333333335</v>
      </c>
      <c r="M72">
        <f>335.06+C72*2.5%</f>
        <v>989.63499999999999</v>
      </c>
    </row>
    <row r="73" spans="1:13">
      <c r="A73" t="s">
        <v>42</v>
      </c>
      <c r="B73" t="s">
        <v>38</v>
      </c>
      <c r="C73" s="9">
        <v>27791</v>
      </c>
      <c r="D73">
        <v>1.7069000000000001</v>
      </c>
      <c r="E73">
        <f>C73*D73</f>
        <v>47436.457900000001</v>
      </c>
      <c r="F73">
        <f>E73/1850</f>
        <v>25.641328594594594</v>
      </c>
      <c r="G73">
        <f>F73*0.38</f>
        <v>9.7437048659459453</v>
      </c>
      <c r="H73">
        <f>G73*24</f>
        <v>233.8489167827027</v>
      </c>
      <c r="I73">
        <f>H73*67</f>
        <v>15667.877424441082</v>
      </c>
      <c r="J73" s="12">
        <f>I73-M36</f>
        <v>-2666.1765175183755</v>
      </c>
      <c r="K73" s="13">
        <f>(K8-K17)+(I73-M36)</f>
        <v>1259.8854158149625</v>
      </c>
      <c r="L73">
        <f>C73*92%/12</f>
        <v>2130.6433333333334</v>
      </c>
      <c r="M73">
        <f>335.06+C73*2.5%</f>
        <v>1029.835</v>
      </c>
    </row>
    <row r="75" spans="1:13">
      <c r="A75" t="s">
        <v>60</v>
      </c>
      <c r="B75" t="s">
        <v>38</v>
      </c>
      <c r="C75" s="9">
        <v>20930</v>
      </c>
      <c r="D75">
        <v>1.7069000000000001</v>
      </c>
      <c r="E75">
        <f>C75*D75</f>
        <v>35725.417000000001</v>
      </c>
      <c r="F75">
        <f>E75/1850</f>
        <v>19.311036216216216</v>
      </c>
      <c r="G75">
        <f>F75*0.38</f>
        <v>7.3381937621621622</v>
      </c>
      <c r="H75">
        <f>G75*24</f>
        <v>176.11665029189189</v>
      </c>
      <c r="I75">
        <f>H75*67</f>
        <v>11799.815569556757</v>
      </c>
      <c r="J75" s="12">
        <f>I75-M28</f>
        <v>-917.75127575405349</v>
      </c>
      <c r="K75" s="13">
        <f>(K6-K5)+(I75-M28)</f>
        <v>774.5824909126095</v>
      </c>
      <c r="L75">
        <f>C75*92%/12</f>
        <v>1604.6333333333334</v>
      </c>
      <c r="M75">
        <f>335.06+C75*2.5%</f>
        <v>858.31</v>
      </c>
    </row>
    <row r="76" spans="1:13">
      <c r="A76" t="s">
        <v>45</v>
      </c>
      <c r="B76" t="s">
        <v>38</v>
      </c>
      <c r="C76" s="9">
        <v>19400</v>
      </c>
      <c r="D76">
        <v>1.7069000000000001</v>
      </c>
      <c r="E76">
        <f>C76*D76</f>
        <v>33113.86</v>
      </c>
      <c r="F76">
        <f>E76/1850</f>
        <v>17.899383783783783</v>
      </c>
      <c r="G76">
        <f>F76*0.38</f>
        <v>6.8017658378378378</v>
      </c>
      <c r="H76">
        <f>G76*24</f>
        <v>163.24238010810811</v>
      </c>
      <c r="I76">
        <f>H76*67</f>
        <v>10937.239467243244</v>
      </c>
      <c r="J76" s="12">
        <f>I76-M55</f>
        <v>-575.16509717567533</v>
      </c>
      <c r="K76" s="13">
        <f>(K10-K9)+(I76-M55)</f>
        <v>1789.9554694909893</v>
      </c>
      <c r="L76">
        <f>C76*92%/12</f>
        <v>1487.3333333333333</v>
      </c>
      <c r="M76">
        <f>335.06+C76*2.5%</f>
        <v>820.06</v>
      </c>
    </row>
    <row r="77" spans="1:13">
      <c r="A77" t="s">
        <v>46</v>
      </c>
      <c r="B77" t="s">
        <v>38</v>
      </c>
      <c r="C77" s="9">
        <v>23612</v>
      </c>
      <c r="D77">
        <v>1.7069000000000001</v>
      </c>
      <c r="E77">
        <f>C77*D77</f>
        <v>40303.322800000002</v>
      </c>
      <c r="F77">
        <f>E77/1850</f>
        <v>21.785579891891892</v>
      </c>
      <c r="G77">
        <f>F77*0.38</f>
        <v>8.2785203589189198</v>
      </c>
      <c r="H77">
        <f>G77*24</f>
        <v>198.68448861405409</v>
      </c>
      <c r="I77">
        <f>H77*67</f>
        <v>13311.860737141624</v>
      </c>
      <c r="J77" s="12">
        <f>I77-M30</f>
        <v>-1072.7839005070273</v>
      </c>
      <c r="K77" s="13">
        <f>(K12-K11)+(I77-M30)</f>
        <v>711.78676615963923</v>
      </c>
      <c r="L77">
        <f>C77*92%/12</f>
        <v>1810.2533333333333</v>
      </c>
      <c r="M77">
        <f>335.06+C77*2.5%</f>
        <v>925.36000000000013</v>
      </c>
    </row>
    <row r="78" spans="1:13">
      <c r="A78" t="s">
        <v>61</v>
      </c>
      <c r="B78" t="s">
        <v>38</v>
      </c>
      <c r="C78" s="9">
        <v>28020</v>
      </c>
      <c r="D78">
        <v>1.7069000000000001</v>
      </c>
      <c r="E78">
        <f>C78*D78</f>
        <v>47827.338000000003</v>
      </c>
      <c r="F78">
        <f>E78/1850</f>
        <v>25.852615135135135</v>
      </c>
      <c r="G78">
        <f>F78*0.38</f>
        <v>9.8239937513513507</v>
      </c>
      <c r="H78">
        <f>G78*24</f>
        <v>235.7758500324324</v>
      </c>
      <c r="I78">
        <f>H78*67</f>
        <v>15796.981952172971</v>
      </c>
      <c r="J78" s="12">
        <f>I78-M54</f>
        <v>-1803.3296547324335</v>
      </c>
      <c r="K78" s="13">
        <f>(I78-M54)+(K20-K19)</f>
        <v>583.4937119342303</v>
      </c>
      <c r="L78">
        <f>C78*92%/12</f>
        <v>2148.2000000000003</v>
      </c>
      <c r="M78">
        <f>335.06+C78*2.5%</f>
        <v>1035.56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7"/>
  <sheetViews>
    <sheetView workbookViewId="0">
      <selection activeCell="A2" sqref="A2"/>
    </sheetView>
  </sheetViews>
  <sheetFormatPr baseColWidth="10" defaultColWidth="10.85546875" defaultRowHeight="15"/>
  <cols>
    <col min="4" max="4" width="11.28515625" customWidth="1"/>
    <col min="5" max="5" width="13.85546875" customWidth="1"/>
    <col min="8" max="9" width="11.85546875" customWidth="1"/>
  </cols>
  <sheetData>
    <row r="1" spans="1:9" ht="15.75" thickBot="1">
      <c r="A1" s="20" t="s">
        <v>63</v>
      </c>
    </row>
    <row r="2" spans="1:9" ht="16.5" thickTop="1" thickBot="1">
      <c r="B2" s="19" t="s">
        <v>47</v>
      </c>
      <c r="C2" s="19" t="s">
        <v>48</v>
      </c>
      <c r="D2" s="19" t="s">
        <v>49</v>
      </c>
      <c r="E2" s="18" t="s">
        <v>67</v>
      </c>
      <c r="F2" s="19" t="s">
        <v>66</v>
      </c>
      <c r="G2" s="19" t="s">
        <v>65</v>
      </c>
      <c r="H2" s="19" t="s">
        <v>70</v>
      </c>
      <c r="I2" s="19" t="s">
        <v>71</v>
      </c>
    </row>
    <row r="3" spans="1:9" ht="16.5" thickTop="1" thickBot="1">
      <c r="B3" s="19"/>
      <c r="C3" s="19"/>
      <c r="D3" s="19" t="s">
        <v>50</v>
      </c>
      <c r="E3" s="19" t="s">
        <v>51</v>
      </c>
      <c r="F3" s="19"/>
      <c r="G3" s="19"/>
      <c r="H3" s="19" t="s">
        <v>53</v>
      </c>
      <c r="I3" s="19" t="s">
        <v>72</v>
      </c>
    </row>
    <row r="4" spans="1:9" ht="15.75" thickTop="1">
      <c r="B4" s="21" t="s">
        <v>43</v>
      </c>
      <c r="C4" s="21" t="s">
        <v>64</v>
      </c>
      <c r="D4" s="21" t="s">
        <v>54</v>
      </c>
      <c r="E4" s="21" t="s">
        <v>5</v>
      </c>
      <c r="F4" s="21" t="s">
        <v>44</v>
      </c>
      <c r="G4" s="21" t="s">
        <v>56</v>
      </c>
      <c r="H4" s="21" t="s">
        <v>68</v>
      </c>
      <c r="I4" s="21" t="s">
        <v>57</v>
      </c>
    </row>
    <row r="5" spans="1:9">
      <c r="B5" s="22"/>
      <c r="C5" s="22"/>
      <c r="D5" s="22" t="s">
        <v>41</v>
      </c>
      <c r="E5" s="22" t="s">
        <v>17</v>
      </c>
      <c r="F5" s="22"/>
      <c r="G5" s="22"/>
      <c r="H5" s="22" t="s">
        <v>69</v>
      </c>
      <c r="I5" s="22"/>
    </row>
    <row r="7" spans="1:9" ht="15.75" thickBot="1">
      <c r="A7" s="20" t="s">
        <v>62</v>
      </c>
    </row>
    <row r="8" spans="1:9" ht="16.5" thickTop="1" thickBot="1">
      <c r="B8" s="19" t="s">
        <v>47</v>
      </c>
      <c r="C8" s="19" t="s">
        <v>48</v>
      </c>
      <c r="D8" s="19" t="s">
        <v>49</v>
      </c>
      <c r="E8" s="19" t="s">
        <v>51</v>
      </c>
      <c r="F8" s="19" t="s">
        <v>52</v>
      </c>
      <c r="G8" s="19" t="s">
        <v>53</v>
      </c>
    </row>
    <row r="9" spans="1:9" ht="16.5" thickTop="1" thickBot="1">
      <c r="B9" s="18"/>
      <c r="C9" s="18"/>
      <c r="D9" s="18" t="s">
        <v>50</v>
      </c>
      <c r="E9" s="18"/>
      <c r="F9" s="18"/>
      <c r="G9" s="18"/>
    </row>
    <row r="10" spans="1:9" ht="15.75" thickTop="1">
      <c r="B10" s="21" t="s">
        <v>43</v>
      </c>
      <c r="C10" s="21" t="s">
        <v>54</v>
      </c>
      <c r="D10" s="21" t="s">
        <v>55</v>
      </c>
      <c r="E10" s="21" t="s">
        <v>44</v>
      </c>
      <c r="F10" s="21" t="s">
        <v>56</v>
      </c>
      <c r="G10" s="21" t="s">
        <v>57</v>
      </c>
    </row>
    <row r="11" spans="1:9">
      <c r="B11" s="22"/>
      <c r="C11" s="22" t="s">
        <v>41</v>
      </c>
      <c r="D11" s="22" t="s">
        <v>5</v>
      </c>
      <c r="E11" s="22"/>
      <c r="F11" s="22"/>
      <c r="G11" s="22"/>
    </row>
    <row r="13" spans="1:9" ht="15.75" thickBot="1">
      <c r="A13" s="20" t="s">
        <v>58</v>
      </c>
    </row>
    <row r="14" spans="1:9" ht="16.5" thickTop="1" thickBot="1">
      <c r="B14" s="19" t="s">
        <v>47</v>
      </c>
      <c r="C14" s="19" t="s">
        <v>48</v>
      </c>
      <c r="D14" s="19" t="s">
        <v>49</v>
      </c>
      <c r="E14" s="19" t="s">
        <v>59</v>
      </c>
      <c r="F14" s="19" t="s">
        <v>51</v>
      </c>
      <c r="G14" s="19" t="s">
        <v>52</v>
      </c>
      <c r="H14" s="19" t="s">
        <v>53</v>
      </c>
    </row>
    <row r="15" spans="1:9" ht="16.5" thickTop="1" thickBot="1">
      <c r="B15" s="18"/>
      <c r="C15" s="18"/>
      <c r="D15" s="18" t="s">
        <v>50</v>
      </c>
      <c r="E15" s="18"/>
      <c r="F15" s="18"/>
      <c r="G15" s="18"/>
      <c r="H15" s="18"/>
    </row>
    <row r="16" spans="1:9" ht="15.75" thickTop="1">
      <c r="B16" s="21" t="s">
        <v>43</v>
      </c>
      <c r="C16" s="21" t="s">
        <v>54</v>
      </c>
      <c r="D16" s="21" t="s">
        <v>55</v>
      </c>
      <c r="E16" s="21" t="s">
        <v>5</v>
      </c>
      <c r="F16" s="21" t="s">
        <v>44</v>
      </c>
      <c r="G16" s="21" t="s">
        <v>56</v>
      </c>
      <c r="H16" s="21" t="s">
        <v>57</v>
      </c>
    </row>
    <row r="17" spans="2:8">
      <c r="B17" s="22"/>
      <c r="C17" s="22"/>
      <c r="D17" s="22" t="s">
        <v>41</v>
      </c>
      <c r="E17" s="22" t="s">
        <v>17</v>
      </c>
      <c r="F17" s="22"/>
      <c r="G17" s="22"/>
      <c r="H17" s="2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Calculs</vt:lpstr>
      <vt:lpstr>Précompte normal</vt:lpstr>
      <vt:lpstr>Précompte pécule</vt:lpstr>
      <vt:lpstr>Précompte prime fin année</vt:lpstr>
      <vt:lpstr>Nouvelle échelle barémique</vt:lpstr>
      <vt:lpstr>Indexation</vt:lpstr>
      <vt:lpstr>Feuil1</vt:lpstr>
      <vt:lpstr>Feuil2</vt:lpstr>
      <vt:lpstr>prime ops</vt:lpstr>
      <vt:lpstr>Simulation</vt:lpstr>
      <vt:lpstr>Barème caporaux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MOONENS, David</dc:creator>
  <cp:lastModifiedBy>Bruno</cp:lastModifiedBy>
  <cp:lastPrinted>2022-01-10T16:23:50Z</cp:lastPrinted>
  <dcterms:created xsi:type="dcterms:W3CDTF">2019-06-22T13:11:26Z</dcterms:created>
  <dcterms:modified xsi:type="dcterms:W3CDTF">2022-07-09T04:32:54Z</dcterms:modified>
</cp:coreProperties>
</file>