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1EE379A-A304-4FB9-BB9C-8F5D1375D848}" xr6:coauthVersionLast="47" xr6:coauthVersionMax="47" xr10:uidLastSave="{00000000-0000-0000-0000-000000000000}"/>
  <bookViews>
    <workbookView xWindow="26910" yWindow="6735" windowWidth="30615" windowHeight="19080" xr2:uid="{00000000-000D-0000-FFFF-FFFF00000000}"/>
  </bookViews>
  <sheets>
    <sheet name="TRESORERIE" sheetId="13" r:id="rId1"/>
    <sheet name="DEPENSES FIXES" sheetId="10" r:id="rId2"/>
    <sheet name="BALANCE TVA" sheetId="11" r:id="rId3"/>
    <sheet name="VENTES" sheetId="12" r:id="rId4"/>
  </sheets>
  <definedNames>
    <definedName name="Date_Début">#REF!</definedName>
    <definedName name="depenses_fixes_légendes">'DEPENSES FIXES'!$C$13:$D$16</definedName>
    <definedName name="Minimum_trésorerie">#REF!</definedName>
    <definedName name="TblDépensesFixes">#REF!</definedName>
    <definedName name="tva_total_depenses_fixes" localSheetId="0">Tableau8[[#Totals],[TVA]]</definedName>
    <definedName name="tva_total_depenses_fixes" localSheetId="3">Tableau8[[#Totals],[TVA]]</definedName>
    <definedName name="tva_total_depenses_fixes">Tableau8[[#Totals],[TVA]]</definedName>
    <definedName name="tva_total_ventes" localSheetId="0">TabVentes[[#Totals],[TVA]]</definedName>
    <definedName name="tva_total_ventes">TabVentes[[#Totals],[TVA]]</definedName>
    <definedName name="version_date" localSheetId="2">'BALANCE TVA'!#REF!</definedName>
    <definedName name="version_date" localSheetId="1">'DEPENSES FIXES'!#REF!</definedName>
    <definedName name="version_date" localSheetId="0">TRESORERIE!#REF!</definedName>
    <definedName name="version_date" localSheetId="3">VENTES!#REF!</definedName>
    <definedName name="version_date">#REF!</definedName>
    <definedName name="version_num" localSheetId="2">'BALANCE TVA'!#REF!</definedName>
    <definedName name="version_num" localSheetId="1">'DEPENSES FIXES'!#REF!</definedName>
    <definedName name="version_num" localSheetId="0">TRESORERIE!#REF!</definedName>
    <definedName name="version_num" localSheetId="3">VENTES!#REF!</definedName>
    <definedName name="version_nu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7" i="13" l="1"/>
  <c r="D27" i="13"/>
  <c r="D28" i="13"/>
  <c r="D29" i="13"/>
  <c r="D30" i="13"/>
  <c r="D31" i="13"/>
  <c r="D32" i="13"/>
  <c r="D33" i="13"/>
  <c r="E27" i="13"/>
  <c r="E28" i="13"/>
  <c r="E29" i="13"/>
  <c r="E30" i="13"/>
  <c r="E31" i="13"/>
  <c r="E32" i="13"/>
  <c r="E33" i="13"/>
  <c r="F27" i="13"/>
  <c r="F28" i="13"/>
  <c r="F29" i="13"/>
  <c r="F30" i="13"/>
  <c r="F31" i="13"/>
  <c r="F32" i="13"/>
  <c r="F33" i="13"/>
  <c r="G27" i="13"/>
  <c r="G28" i="13"/>
  <c r="G29" i="13"/>
  <c r="G30" i="13"/>
  <c r="G31" i="13"/>
  <c r="G32" i="13"/>
  <c r="G33" i="13"/>
  <c r="H27" i="13"/>
  <c r="H28" i="13"/>
  <c r="H29" i="13"/>
  <c r="H30" i="13"/>
  <c r="H31" i="13"/>
  <c r="H32" i="13"/>
  <c r="H33" i="13"/>
  <c r="I27" i="13"/>
  <c r="I28" i="13"/>
  <c r="I29" i="13"/>
  <c r="I30" i="13"/>
  <c r="I31" i="13"/>
  <c r="I32" i="13"/>
  <c r="I33" i="13"/>
  <c r="J27" i="13"/>
  <c r="J28" i="13"/>
  <c r="J29" i="13"/>
  <c r="J30" i="13"/>
  <c r="J31" i="13"/>
  <c r="J32" i="13"/>
  <c r="J33" i="13"/>
  <c r="K27" i="13"/>
  <c r="K28" i="13"/>
  <c r="K29" i="13"/>
  <c r="K30" i="13"/>
  <c r="K31" i="13"/>
  <c r="K32" i="13"/>
  <c r="K33" i="13"/>
  <c r="L27" i="13"/>
  <c r="L28" i="13"/>
  <c r="L29" i="13"/>
  <c r="L30" i="13"/>
  <c r="L31" i="13"/>
  <c r="L32" i="13"/>
  <c r="L33" i="13"/>
  <c r="M27" i="13"/>
  <c r="M28" i="13"/>
  <c r="M29" i="13"/>
  <c r="M30" i="13"/>
  <c r="M31" i="13"/>
  <c r="M32" i="13"/>
  <c r="M33" i="13"/>
  <c r="N27" i="13"/>
  <c r="N28" i="13"/>
  <c r="N29" i="13"/>
  <c r="N30" i="13"/>
  <c r="N31" i="13"/>
  <c r="N32" i="13"/>
  <c r="N33" i="13"/>
  <c r="C28" i="13"/>
  <c r="C29" i="13"/>
  <c r="C30" i="13"/>
  <c r="C31" i="13"/>
  <c r="C32" i="13"/>
  <c r="C33" i="13"/>
  <c r="K16" i="12"/>
  <c r="K17" i="12"/>
  <c r="K18" i="12"/>
  <c r="K19" i="12"/>
  <c r="K20" i="12"/>
  <c r="K21" i="12"/>
  <c r="K22" i="12"/>
  <c r="K23" i="12"/>
  <c r="L16" i="12"/>
  <c r="L17" i="12"/>
  <c r="L18" i="12"/>
  <c r="L19" i="12"/>
  <c r="L20" i="12"/>
  <c r="L21" i="12"/>
  <c r="L22" i="12"/>
  <c r="L23" i="12"/>
  <c r="F23" i="12"/>
  <c r="D23" i="13" l="1"/>
  <c r="F22" i="12" l="1"/>
  <c r="F21" i="12"/>
  <c r="F20" i="12"/>
  <c r="F19" i="12"/>
  <c r="F18" i="12"/>
  <c r="C22" i="13"/>
  <c r="N23" i="13"/>
  <c r="M23" i="13"/>
  <c r="L23" i="13"/>
  <c r="K23" i="13"/>
  <c r="J23" i="13"/>
  <c r="I23" i="13"/>
  <c r="H23" i="13"/>
  <c r="G23" i="13"/>
  <c r="F23" i="13"/>
  <c r="E23" i="13"/>
  <c r="C23" i="13"/>
  <c r="H40" i="10"/>
  <c r="L40" i="10"/>
  <c r="M40" i="10"/>
  <c r="N40" i="10"/>
  <c r="O40" i="10"/>
  <c r="P40" i="10"/>
  <c r="Q40" i="10"/>
  <c r="R40" i="10"/>
  <c r="S40" i="10"/>
  <c r="T40" i="10"/>
  <c r="U40" i="10"/>
  <c r="V40" i="10"/>
  <c r="H37" i="10"/>
  <c r="L37" i="10"/>
  <c r="M37" i="10"/>
  <c r="N37" i="10"/>
  <c r="O37" i="10"/>
  <c r="P37" i="10"/>
  <c r="Q37" i="10"/>
  <c r="R37" i="10"/>
  <c r="S37" i="10"/>
  <c r="T37" i="10"/>
  <c r="U37" i="10"/>
  <c r="V37" i="10"/>
  <c r="H39" i="10"/>
  <c r="L39" i="10"/>
  <c r="M39" i="10"/>
  <c r="N39" i="10"/>
  <c r="O39" i="10"/>
  <c r="P39" i="10"/>
  <c r="Q39" i="10"/>
  <c r="R39" i="10"/>
  <c r="S39" i="10"/>
  <c r="T39" i="10"/>
  <c r="U39" i="10"/>
  <c r="V39" i="10"/>
  <c r="H24" i="12"/>
  <c r="G24" i="12"/>
  <c r="F18" i="11" s="1"/>
  <c r="F17" i="12"/>
  <c r="F16" i="12"/>
  <c r="H38" i="10"/>
  <c r="L38" i="10"/>
  <c r="M38" i="10"/>
  <c r="N38" i="10"/>
  <c r="O38" i="10"/>
  <c r="P38" i="10"/>
  <c r="Q38" i="10"/>
  <c r="R38" i="10"/>
  <c r="S38" i="10"/>
  <c r="T38" i="10"/>
  <c r="U38" i="10"/>
  <c r="V38" i="10"/>
  <c r="H36" i="10"/>
  <c r="L36" i="10"/>
  <c r="M36" i="10"/>
  <c r="N36" i="10"/>
  <c r="O36" i="10"/>
  <c r="P36" i="10"/>
  <c r="Q36" i="10"/>
  <c r="R36" i="10"/>
  <c r="S36" i="10"/>
  <c r="T36" i="10"/>
  <c r="U36" i="10"/>
  <c r="V36" i="10"/>
  <c r="H32" i="10"/>
  <c r="L32" i="10"/>
  <c r="M32" i="10"/>
  <c r="N32" i="10"/>
  <c r="O32" i="10"/>
  <c r="P32" i="10"/>
  <c r="Q32" i="10"/>
  <c r="R32" i="10"/>
  <c r="S32" i="10"/>
  <c r="T32" i="10"/>
  <c r="U32" i="10"/>
  <c r="V32" i="10"/>
  <c r="H28" i="10"/>
  <c r="L28" i="10"/>
  <c r="M28" i="10"/>
  <c r="N28" i="10"/>
  <c r="O28" i="10"/>
  <c r="P28" i="10"/>
  <c r="Q28" i="10"/>
  <c r="R28" i="10"/>
  <c r="S28" i="10"/>
  <c r="T28" i="10"/>
  <c r="U28" i="10"/>
  <c r="V28" i="10"/>
  <c r="H33" i="10"/>
  <c r="L33" i="10"/>
  <c r="M33" i="10"/>
  <c r="N33" i="10"/>
  <c r="O33" i="10"/>
  <c r="P33" i="10"/>
  <c r="Q33" i="10"/>
  <c r="R33" i="10"/>
  <c r="S33" i="10"/>
  <c r="T33" i="10"/>
  <c r="U33" i="10"/>
  <c r="V33" i="10"/>
  <c r="H19" i="10"/>
  <c r="L19" i="10"/>
  <c r="M19" i="10"/>
  <c r="N19" i="10"/>
  <c r="O19" i="10"/>
  <c r="P19" i="10"/>
  <c r="Q19" i="10"/>
  <c r="R19" i="10"/>
  <c r="S19" i="10"/>
  <c r="T19" i="10"/>
  <c r="U19" i="10"/>
  <c r="V19" i="10"/>
  <c r="H20" i="10"/>
  <c r="L20" i="10"/>
  <c r="M20" i="10"/>
  <c r="N20" i="10"/>
  <c r="O20" i="10"/>
  <c r="P20" i="10"/>
  <c r="Q20" i="10"/>
  <c r="R20" i="10"/>
  <c r="S20" i="10"/>
  <c r="T20" i="10"/>
  <c r="U20" i="10"/>
  <c r="V20" i="10"/>
  <c r="H21" i="10"/>
  <c r="L21" i="10"/>
  <c r="M21" i="10"/>
  <c r="N21" i="10"/>
  <c r="O21" i="10"/>
  <c r="P21" i="10"/>
  <c r="Q21" i="10"/>
  <c r="R21" i="10"/>
  <c r="S21" i="10"/>
  <c r="T21" i="10"/>
  <c r="U21" i="10"/>
  <c r="V21" i="10"/>
  <c r="H22" i="10"/>
  <c r="L22" i="10"/>
  <c r="M22" i="10"/>
  <c r="N22" i="10"/>
  <c r="O22" i="10"/>
  <c r="P22" i="10"/>
  <c r="Q22" i="10"/>
  <c r="R22" i="10"/>
  <c r="S22" i="10"/>
  <c r="T22" i="10"/>
  <c r="U22" i="10"/>
  <c r="V22" i="10"/>
  <c r="H24" i="10"/>
  <c r="L24" i="10"/>
  <c r="M24" i="10"/>
  <c r="N24" i="10"/>
  <c r="O24" i="10"/>
  <c r="P24" i="10"/>
  <c r="Q24" i="10"/>
  <c r="R24" i="10"/>
  <c r="S24" i="10"/>
  <c r="T24" i="10"/>
  <c r="U24" i="10"/>
  <c r="V24" i="10"/>
  <c r="D22" i="13" l="1"/>
  <c r="F24" i="12"/>
  <c r="H31" i="10"/>
  <c r="L31" i="10"/>
  <c r="M31" i="10"/>
  <c r="N31" i="10"/>
  <c r="O31" i="10"/>
  <c r="P31" i="10"/>
  <c r="Q31" i="10"/>
  <c r="R31" i="10"/>
  <c r="S31" i="10"/>
  <c r="T31" i="10"/>
  <c r="U31" i="10"/>
  <c r="V31" i="10"/>
  <c r="J41" i="10"/>
  <c r="I41" i="10"/>
  <c r="C18" i="11" s="1"/>
  <c r="C22" i="11" s="1"/>
  <c r="B22" i="11" s="1"/>
  <c r="B23" i="11" s="1"/>
  <c r="H34" i="10"/>
  <c r="L34" i="10"/>
  <c r="M34" i="10"/>
  <c r="N34" i="10"/>
  <c r="O34" i="10"/>
  <c r="P34" i="10"/>
  <c r="Q34" i="10"/>
  <c r="R34" i="10"/>
  <c r="S34" i="10"/>
  <c r="T34" i="10"/>
  <c r="U34" i="10"/>
  <c r="V34" i="10"/>
  <c r="H35" i="10"/>
  <c r="L35" i="10"/>
  <c r="M35" i="10"/>
  <c r="N35" i="10"/>
  <c r="O35" i="10"/>
  <c r="P35" i="10"/>
  <c r="Q35" i="10"/>
  <c r="R35" i="10"/>
  <c r="S35" i="10"/>
  <c r="T35" i="10"/>
  <c r="U35" i="10"/>
  <c r="V35" i="10"/>
  <c r="H30" i="10"/>
  <c r="L30" i="10"/>
  <c r="M30" i="10"/>
  <c r="N30" i="10"/>
  <c r="O30" i="10"/>
  <c r="P30" i="10"/>
  <c r="Q30" i="10"/>
  <c r="R30" i="10"/>
  <c r="S30" i="10"/>
  <c r="T30" i="10"/>
  <c r="U30" i="10"/>
  <c r="V30" i="10"/>
  <c r="H29" i="10"/>
  <c r="L29" i="10"/>
  <c r="M29" i="10"/>
  <c r="N29" i="10"/>
  <c r="O29" i="10"/>
  <c r="P29" i="10"/>
  <c r="Q29" i="10"/>
  <c r="R29" i="10"/>
  <c r="S29" i="10"/>
  <c r="T29" i="10"/>
  <c r="U29" i="10"/>
  <c r="V29" i="10"/>
  <c r="H23" i="10"/>
  <c r="L23" i="10"/>
  <c r="M23" i="10"/>
  <c r="N23" i="10"/>
  <c r="O23" i="10"/>
  <c r="P23" i="10"/>
  <c r="Q23" i="10"/>
  <c r="R23" i="10"/>
  <c r="S23" i="10"/>
  <c r="T23" i="10"/>
  <c r="U23" i="10"/>
  <c r="V23" i="10"/>
  <c r="H27" i="10"/>
  <c r="L27" i="10"/>
  <c r="M27" i="10"/>
  <c r="N27" i="10"/>
  <c r="O27" i="10"/>
  <c r="P27" i="10"/>
  <c r="Q27" i="10"/>
  <c r="R27" i="10"/>
  <c r="S27" i="10"/>
  <c r="T27" i="10"/>
  <c r="U27" i="10"/>
  <c r="V27" i="10"/>
  <c r="H26" i="10"/>
  <c r="L26" i="10"/>
  <c r="M26" i="10"/>
  <c r="N26" i="10"/>
  <c r="O26" i="10"/>
  <c r="P26" i="10"/>
  <c r="Q26" i="10"/>
  <c r="R26" i="10"/>
  <c r="S26" i="10"/>
  <c r="T26" i="10"/>
  <c r="U26" i="10"/>
  <c r="V26" i="10"/>
  <c r="V25" i="10"/>
  <c r="U25" i="10"/>
  <c r="T25" i="10"/>
  <c r="S25" i="10"/>
  <c r="R25" i="10"/>
  <c r="Q25" i="10"/>
  <c r="P25" i="10"/>
  <c r="O25" i="10"/>
  <c r="N25" i="10"/>
  <c r="M25" i="10"/>
  <c r="L25" i="10"/>
  <c r="H25" i="10"/>
  <c r="C34" i="13" l="1"/>
  <c r="C35" i="13" s="1"/>
  <c r="F22" i="11"/>
  <c r="E22" i="11" s="1"/>
  <c r="E23" i="11" s="1"/>
  <c r="H41" i="10"/>
  <c r="D34" i="13" l="1"/>
  <c r="D35" i="13" s="1"/>
  <c r="E22" i="13"/>
  <c r="F22" i="13" l="1"/>
  <c r="E34" i="13" l="1"/>
  <c r="E35" i="13" s="1"/>
  <c r="G22" i="13"/>
  <c r="F34" i="13" l="1"/>
  <c r="F35" i="13" s="1"/>
  <c r="H22" i="13"/>
  <c r="G34" i="13" l="1"/>
  <c r="G35" i="13" s="1"/>
  <c r="I22" i="13"/>
  <c r="H34" i="13" l="1"/>
  <c r="H35" i="13" s="1"/>
  <c r="J22" i="13"/>
  <c r="I34" i="13" l="1"/>
  <c r="I35" i="13" s="1"/>
  <c r="K22" i="13"/>
  <c r="J34" i="13" l="1"/>
  <c r="J35" i="13" s="1"/>
  <c r="L22" i="13"/>
  <c r="K34" i="13" l="1"/>
  <c r="K35" i="13" s="1"/>
  <c r="M22" i="13"/>
  <c r="L34" i="13" l="1"/>
  <c r="L35" i="13" s="1"/>
  <c r="N22" i="13"/>
  <c r="M34" i="13" l="1"/>
  <c r="M35" i="13" s="1"/>
  <c r="P32" i="13"/>
  <c r="P33" i="13"/>
  <c r="P30" i="13"/>
  <c r="P31" i="13"/>
  <c r="P28" i="13"/>
  <c r="P29" i="13"/>
  <c r="N34" i="13" l="1"/>
  <c r="N35" i="13" s="1"/>
  <c r="P27" i="13"/>
  <c r="P34" i="13" s="1"/>
</calcChain>
</file>

<file path=xl/sharedStrings.xml><?xml version="1.0" encoding="utf-8"?>
<sst xmlns="http://schemas.openxmlformats.org/spreadsheetml/2006/main" count="217" uniqueCount="126">
  <si>
    <t>Trésorerie disponible de départ</t>
  </si>
  <si>
    <t>Trésorerie disponible (début du mois)</t>
  </si>
  <si>
    <t>Encaissements</t>
  </si>
  <si>
    <t>Autres encaissements</t>
  </si>
  <si>
    <t>Total des encaissements</t>
  </si>
  <si>
    <t>Trésorerie totale disponible</t>
  </si>
  <si>
    <t>Autres frais</t>
  </si>
  <si>
    <t>Date de début</t>
  </si>
  <si>
    <t>Alerte de solde de trésorerie minimal</t>
  </si>
  <si>
    <t>Total</t>
  </si>
  <si>
    <t>Toutes les sommes sont TTC</t>
  </si>
  <si>
    <t>Fournisseur</t>
  </si>
  <si>
    <t>Date</t>
  </si>
  <si>
    <t>Désignation</t>
  </si>
  <si>
    <t>Montant TTC</t>
  </si>
  <si>
    <t>Ventes d'origine végétales</t>
  </si>
  <si>
    <t>Ventes de bouteilles Particuliers</t>
  </si>
  <si>
    <t>Ventes de bouteilles Professionnels</t>
  </si>
  <si>
    <t>Subventions &amp; Aides</t>
  </si>
  <si>
    <t>Crédit de TVA</t>
  </si>
  <si>
    <t>Achats Marchandises &amp; Approv.</t>
  </si>
  <si>
    <t>Autres Achats</t>
  </si>
  <si>
    <t>Déplacements (Note de Frais)</t>
  </si>
  <si>
    <t>Honoraires</t>
  </si>
  <si>
    <t>Prestations Service (Viticoles)</t>
  </si>
  <si>
    <t>Type Décaissement</t>
  </si>
  <si>
    <t>Assurances</t>
  </si>
  <si>
    <t>GREFFE TRIBUNAL COM.</t>
  </si>
  <si>
    <t>Immatriculation RCS</t>
  </si>
  <si>
    <t>Livre d'Assemblée Générale</t>
  </si>
  <si>
    <t>Dépenses fixes prévisionnelles ou certaines</t>
  </si>
  <si>
    <t>TVA</t>
  </si>
  <si>
    <t>Périodicité</t>
  </si>
  <si>
    <t>Mensuel</t>
  </si>
  <si>
    <t>M</t>
  </si>
  <si>
    <t>Légendes "Périodicité"</t>
  </si>
  <si>
    <t>P</t>
  </si>
  <si>
    <t>Ponctuel (dépense unique)</t>
  </si>
  <si>
    <t>T</t>
  </si>
  <si>
    <t>Trimestriel</t>
  </si>
  <si>
    <t>A</t>
  </si>
  <si>
    <t>Annuel</t>
  </si>
  <si>
    <t>Échéance 1</t>
  </si>
  <si>
    <t>Échéance 2</t>
  </si>
  <si>
    <t>Échéance 3</t>
  </si>
  <si>
    <t>Échéance 4</t>
  </si>
  <si>
    <t>Échéance 5</t>
  </si>
  <si>
    <t>Échéance 6</t>
  </si>
  <si>
    <t>Échéance 7</t>
  </si>
  <si>
    <t>Échéance 8</t>
  </si>
  <si>
    <t>Échéance 9</t>
  </si>
  <si>
    <t>Échéance 10</t>
  </si>
  <si>
    <t>Échéance 11</t>
  </si>
  <si>
    <t>Échéance 12</t>
  </si>
  <si>
    <t>Montant HT</t>
  </si>
  <si>
    <t>Journal</t>
  </si>
  <si>
    <t>ACHATS</t>
  </si>
  <si>
    <t>Loyer ou location</t>
  </si>
  <si>
    <t>Logiciel Gestion Commerciale</t>
  </si>
  <si>
    <t>NOTES DE FRAIS</t>
  </si>
  <si>
    <t>Frais de déplacements</t>
  </si>
  <si>
    <t>BANQUES</t>
  </si>
  <si>
    <t>Achats Marchandises &amp; Approv. Payés par CB</t>
  </si>
  <si>
    <t>Etiquettes Bouteilles</t>
  </si>
  <si>
    <t>Cartons Bouteilles</t>
  </si>
  <si>
    <t>Clients</t>
  </si>
  <si>
    <t>N° Facture</t>
  </si>
  <si>
    <t>HT</t>
  </si>
  <si>
    <t>Frais de Tenue de Comptabilité</t>
  </si>
  <si>
    <t>Location Imprimante EPSON CW 6000</t>
  </si>
  <si>
    <t>Balance TVA entre les Dépenses &amp; les Recettes</t>
  </si>
  <si>
    <t>Dépenses Fixes</t>
  </si>
  <si>
    <t>TVA / Collectée</t>
  </si>
  <si>
    <t>TVA / Débits</t>
  </si>
  <si>
    <t>Ventes</t>
  </si>
  <si>
    <t>Paiement Au</t>
  </si>
  <si>
    <t>Nature</t>
  </si>
  <si>
    <t>BIDULE</t>
  </si>
  <si>
    <t>MACHIN</t>
  </si>
  <si>
    <t>TRUCMUCHE</t>
  </si>
  <si>
    <t>GERONIMO</t>
  </si>
  <si>
    <t>ALLOA</t>
  </si>
  <si>
    <t>CIEVITI</t>
  </si>
  <si>
    <t>MOI Même</t>
  </si>
  <si>
    <t>MON Salarié 1</t>
  </si>
  <si>
    <t>Mon Salarié 2</t>
  </si>
  <si>
    <t>CONSEILS Ent.</t>
  </si>
  <si>
    <t>BANQUE Partenaire</t>
  </si>
  <si>
    <t>Annonce Légale</t>
  </si>
  <si>
    <t>Status &amp; Immatriculation EARL</t>
  </si>
  <si>
    <t>Frais Bancaires Divers</t>
  </si>
  <si>
    <t>Station Météo</t>
  </si>
  <si>
    <t>TECHNOMETEO</t>
  </si>
  <si>
    <t>CIALFOREVER</t>
  </si>
  <si>
    <t>ETIQUETTES</t>
  </si>
  <si>
    <t>CB Relevé</t>
  </si>
  <si>
    <t>CA CARTONNE</t>
  </si>
  <si>
    <t>LOCME</t>
  </si>
  <si>
    <t>ASSURANCES</t>
  </si>
  <si>
    <t>Primes d'assurances</t>
  </si>
  <si>
    <t>Dépenses</t>
  </si>
  <si>
    <t>Achat Vins Vrac</t>
  </si>
  <si>
    <t>Eau, électricité et gaz</t>
  </si>
  <si>
    <t>Frais de bureau</t>
  </si>
  <si>
    <t>Réparations et entretien</t>
  </si>
  <si>
    <t>Frais de personnel (GEA ARPEGE)</t>
  </si>
  <si>
    <t>Foires &amp; Expo. (Salons)</t>
  </si>
  <si>
    <t>Impôts, Taxes et versements Assimilés</t>
  </si>
  <si>
    <t>Rémunérations (Exploitant)</t>
  </si>
  <si>
    <t>Cotisations Sociales Exploitant</t>
  </si>
  <si>
    <t>Remboursement Emprunt Mat. Viti-Vini.</t>
  </si>
  <si>
    <t>Remboursement Billet Fi. "Subv.+TVA+Tréso"</t>
  </si>
  <si>
    <t>Remboursement Bail Fermier GFA HUNIJO</t>
  </si>
  <si>
    <t>Remboursement Bail Fermier JM HURE</t>
  </si>
  <si>
    <t>Divers</t>
  </si>
  <si>
    <t>Sous-total</t>
  </si>
  <si>
    <t>Remboursement du capital d’un prêt</t>
  </si>
  <si>
    <t>Achats en capitaux</t>
  </si>
  <si>
    <t>Autres frais d’établissement</t>
  </si>
  <si>
    <t>Compte sous séquestre</t>
  </si>
  <si>
    <t>Retrait personnel du propriétaire</t>
  </si>
  <si>
    <t>Total des décaissements</t>
  </si>
  <si>
    <t>Trésorerie disponible (fin de mois)</t>
  </si>
  <si>
    <t>Nb Ech.</t>
  </si>
  <si>
    <t>Fin Ech.</t>
  </si>
  <si>
    <t>Mt Par 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</si>
</sst>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mmm\ yyyy"/>
    <numFmt numFmtId="167" formatCode="#,##0.00\ &quot;€&quot;;[Red]#,##0.00\ &quot;€&quot;"/>
    <numFmt numFmtId="168" formatCode="0.0"/>
    <numFmt numFmtId="169" formatCode="#,##0.00\ &quot;€&quot;"/>
    <numFmt numFmtId="170" formatCode="0000"/>
  </numFmts>
  <fonts count="29" x14ac:knownFonts="1">
    <font>
      <sz val="11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0"/>
      <color theme="0"/>
      <name val="Franklin Gothic Book"/>
      <family val="2"/>
      <scheme val="minor"/>
    </font>
    <font>
      <sz val="10"/>
      <color theme="3"/>
      <name val="Franklin Gothic Book"/>
      <family val="2"/>
      <scheme val="minor"/>
    </font>
    <font>
      <sz val="14"/>
      <color theme="5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b/>
      <sz val="10"/>
      <color theme="1"/>
      <name val="Franklin Gothic Book"/>
      <family val="2"/>
      <scheme val="minor"/>
    </font>
    <font>
      <u/>
      <sz val="10"/>
      <color theme="1"/>
      <name val="Franklin Gothic Book"/>
      <family val="2"/>
      <scheme val="minor"/>
    </font>
    <font>
      <b/>
      <u/>
      <sz val="10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i/>
      <sz val="10"/>
      <color theme="1"/>
      <name val="Franklin Gothic Book"/>
      <family val="2"/>
      <scheme val="minor"/>
    </font>
    <font>
      <sz val="10"/>
      <name val="Franklin Gothic Book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3" tint="0.7999816888943144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11" applyNumberFormat="0" applyAlignment="0" applyProtection="0"/>
    <xf numFmtId="0" fontId="14" fillId="9" borderId="12" applyNumberFormat="0" applyAlignment="0" applyProtection="0"/>
    <xf numFmtId="0" fontId="15" fillId="9" borderId="11" applyNumberFormat="0" applyAlignment="0" applyProtection="0"/>
    <xf numFmtId="0" fontId="16" fillId="0" borderId="13" applyNumberFormat="0" applyFill="0" applyAlignment="0" applyProtection="0"/>
    <xf numFmtId="0" fontId="17" fillId="10" borderId="14" applyNumberFormat="0" applyAlignment="0" applyProtection="0"/>
    <xf numFmtId="0" fontId="18" fillId="0" borderId="0" applyNumberFormat="0" applyFill="0" applyBorder="0" applyAlignment="0" applyProtection="0"/>
    <xf numFmtId="0" fontId="5" fillId="11" borderId="15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6" applyNumberFormat="0" applyFill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</cellStyleXfs>
  <cellXfs count="70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 indent="1"/>
    </xf>
    <xf numFmtId="0" fontId="1" fillId="0" borderId="0" xfId="0" applyFont="1" applyAlignment="1">
      <alignment horizontal="left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indent="1"/>
    </xf>
    <xf numFmtId="0" fontId="1" fillId="0" borderId="0" xfId="0" applyNumberFormat="1" applyFont="1" applyAlignment="1">
      <alignment vertical="center"/>
    </xf>
    <xf numFmtId="0" fontId="4" fillId="0" borderId="4" xfId="0" applyNumberFormat="1" applyFont="1" applyBorder="1" applyAlignment="1">
      <alignment horizontal="left" vertical="center"/>
    </xf>
    <xf numFmtId="0" fontId="1" fillId="0" borderId="4" xfId="0" applyNumberFormat="1" applyFont="1" applyBorder="1" applyAlignment="1">
      <alignment horizontal="center" vertical="center"/>
    </xf>
    <xf numFmtId="44" fontId="1" fillId="4" borderId="2" xfId="0" applyNumberFormat="1" applyFont="1" applyFill="1" applyBorder="1" applyAlignment="1">
      <alignment horizontal="center" vertical="center"/>
    </xf>
    <xf numFmtId="44" fontId="1" fillId="3" borderId="6" xfId="0" applyNumberFormat="1" applyFont="1" applyFill="1" applyBorder="1" applyAlignment="1">
      <alignment horizontal="center" vertical="center"/>
    </xf>
    <xf numFmtId="44" fontId="1" fillId="3" borderId="7" xfId="0" applyNumberFormat="1" applyFont="1" applyFill="1" applyBorder="1" applyAlignment="1">
      <alignment horizontal="center" vertical="center"/>
    </xf>
    <xf numFmtId="166" fontId="1" fillId="4" borderId="2" xfId="0" applyNumberFormat="1" applyFont="1" applyFill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 indent="1"/>
    </xf>
    <xf numFmtId="167" fontId="1" fillId="4" borderId="2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/>
    <xf numFmtId="168" fontId="1" fillId="0" borderId="0" xfId="0" applyNumberFormat="1" applyFont="1" applyAlignment="1">
      <alignment vertical="center"/>
    </xf>
    <xf numFmtId="168" fontId="23" fillId="0" borderId="0" xfId="0" applyNumberFormat="1" applyFont="1" applyAlignment="1">
      <alignment vertical="center"/>
    </xf>
    <xf numFmtId="168" fontId="25" fillId="0" borderId="0" xfId="0" applyNumberFormat="1" applyFont="1" applyAlignment="1">
      <alignment vertical="center"/>
    </xf>
    <xf numFmtId="0" fontId="1" fillId="36" borderId="0" xfId="0" applyNumberFormat="1" applyFont="1" applyFill="1" applyAlignment="1">
      <alignment vertical="center"/>
    </xf>
    <xf numFmtId="168" fontId="23" fillId="36" borderId="0" xfId="0" applyNumberFormat="1" applyFont="1" applyFill="1" applyAlignment="1">
      <alignment horizontal="center"/>
    </xf>
    <xf numFmtId="14" fontId="1" fillId="36" borderId="0" xfId="0" applyNumberFormat="1" applyFont="1" applyFill="1" applyAlignment="1">
      <alignment horizontal="center"/>
    </xf>
    <xf numFmtId="0" fontId="1" fillId="36" borderId="0" xfId="0" applyFont="1" applyFill="1"/>
    <xf numFmtId="0" fontId="1" fillId="36" borderId="0" xfId="0" applyFont="1" applyFill="1" applyAlignment="1">
      <alignment vertical="center"/>
    </xf>
    <xf numFmtId="168" fontId="1" fillId="36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24" fillId="0" borderId="0" xfId="0" applyFont="1"/>
    <xf numFmtId="0" fontId="1" fillId="0" borderId="0" xfId="0" quotePrefix="1" applyFont="1"/>
    <xf numFmtId="0" fontId="1" fillId="0" borderId="0" xfId="0" applyFont="1" applyAlignment="1">
      <alignment horizontal="center"/>
    </xf>
    <xf numFmtId="168" fontId="23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69" fontId="1" fillId="0" borderId="0" xfId="0" applyNumberFormat="1" applyFont="1"/>
    <xf numFmtId="168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right" vertical="center"/>
    </xf>
    <xf numFmtId="14" fontId="1" fillId="36" borderId="0" xfId="0" applyNumberFormat="1" applyFont="1" applyFill="1" applyAlignment="1">
      <alignment vertical="center"/>
    </xf>
    <xf numFmtId="169" fontId="1" fillId="0" borderId="0" xfId="0" applyNumberFormat="1" applyFont="1" applyAlignment="1">
      <alignment horizontal="right" vertical="center"/>
    </xf>
    <xf numFmtId="170" fontId="1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169" fontId="1" fillId="0" borderId="0" xfId="0" applyNumberFormat="1" applyFont="1" applyAlignment="1">
      <alignment vertical="center"/>
    </xf>
    <xf numFmtId="0" fontId="25" fillId="0" borderId="0" xfId="0" applyFont="1"/>
    <xf numFmtId="168" fontId="23" fillId="37" borderId="0" xfId="0" applyNumberFormat="1" applyFont="1" applyFill="1" applyAlignment="1">
      <alignment horizontal="center"/>
    </xf>
    <xf numFmtId="14" fontId="1" fillId="37" borderId="0" xfId="0" applyNumberFormat="1" applyFont="1" applyFill="1" applyAlignment="1">
      <alignment horizontal="center"/>
    </xf>
    <xf numFmtId="0" fontId="1" fillId="37" borderId="0" xfId="0" applyFont="1" applyFill="1" applyAlignment="1"/>
    <xf numFmtId="169" fontId="1" fillId="37" borderId="0" xfId="0" applyNumberFormat="1" applyFont="1" applyFill="1" applyAlignment="1">
      <alignment vertical="center"/>
    </xf>
    <xf numFmtId="168" fontId="23" fillId="37" borderId="0" xfId="0" applyNumberFormat="1" applyFont="1" applyFill="1" applyAlignment="1">
      <alignment vertical="center"/>
    </xf>
    <xf numFmtId="168" fontId="27" fillId="37" borderId="0" xfId="0" applyNumberFormat="1" applyFont="1" applyFill="1" applyAlignment="1">
      <alignment vertical="center"/>
    </xf>
    <xf numFmtId="169" fontId="23" fillId="37" borderId="0" xfId="0" applyNumberFormat="1" applyFont="1" applyFill="1" applyAlignment="1">
      <alignment vertical="center"/>
    </xf>
    <xf numFmtId="0" fontId="23" fillId="37" borderId="0" xfId="0" applyFont="1" applyFill="1" applyAlignment="1"/>
    <xf numFmtId="0" fontId="27" fillId="37" borderId="0" xfId="0" applyFont="1" applyFill="1" applyAlignment="1"/>
    <xf numFmtId="14" fontId="23" fillId="38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left" vertical="center" indent="1"/>
    </xf>
    <xf numFmtId="4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44" fontId="28" fillId="39" borderId="0" xfId="0" applyNumberFormat="1" applyFont="1" applyFill="1"/>
    <xf numFmtId="166" fontId="2" fillId="2" borderId="1" xfId="0" applyNumberFormat="1" applyFont="1" applyFill="1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169" fontId="23" fillId="37" borderId="0" xfId="0" applyNumberFormat="1" applyFont="1" applyFill="1" applyAlignment="1"/>
    <xf numFmtId="44" fontId="2" fillId="40" borderId="0" xfId="0" applyNumberFormat="1" applyFont="1" applyFill="1"/>
    <xf numFmtId="44" fontId="1" fillId="0" borderId="0" xfId="0" applyNumberFormat="1" applyFont="1"/>
    <xf numFmtId="0" fontId="4" fillId="0" borderId="4" xfId="0" applyFont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6" formatCode="mmm\ 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6" formatCode="mmm\ 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general" vertical="center" textRotation="0" wrapText="0" indent="0" justifyLastLine="0" shrinkToFit="0" readingOrder="0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numFmt numFmtId="171" formatCode="_-* #,##0.00\ _€_-;\-* #,##0.00\ _€_-;_-* &quot;-&quot;??\ _€_-;_-@_-"/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6" formatCode="mmm\ 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70" formatCode="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8" formatCode="0.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8" formatCode="0.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9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8" formatCode="0.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68" formatCode="0.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</dxf>
    <dxf>
      <border outline="0"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ill>
        <patternFill>
          <bgColor rgb="FF99FF33"/>
        </patternFill>
      </fill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2" xr9:uid="{42072333-12EB-4DC9-81D1-BD7A2413E6E7}">
      <tableStyleElement type="firstRowStripe" dxfId="160"/>
      <tableStyleElement type="secondRowStripe" dxfId="159"/>
    </tableStyle>
  </tableStyles>
  <colors>
    <mruColors>
      <color rgb="FFF4910C"/>
      <color rgb="FFE76D47"/>
      <color rgb="FF4BCF41"/>
      <color rgb="FF99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Version!B2"/><Relationship Id="rId2" Type="http://schemas.openxmlformats.org/officeDocument/2006/relationships/hyperlink" Target="#ACCUEIL!C4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Version!B2"/><Relationship Id="rId2" Type="http://schemas.openxmlformats.org/officeDocument/2006/relationships/hyperlink" Target="#ACCUEIL!C4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57150</xdr:rowOff>
    </xdr:from>
    <xdr:to>
      <xdr:col>2</xdr:col>
      <xdr:colOff>504583</xdr:colOff>
      <xdr:row>9</xdr:row>
      <xdr:rowOff>9338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B5C47C-AF6C-4917-BDB7-DBEB981F0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57150"/>
          <a:ext cx="1933333" cy="1495238"/>
        </a:xfrm>
        <a:prstGeom prst="rect">
          <a:avLst/>
        </a:prstGeom>
      </xdr:spPr>
    </xdr:pic>
    <xdr:clientData/>
  </xdr:twoCellAnchor>
  <xdr:twoCellAnchor editAs="absolute">
    <xdr:from>
      <xdr:col>2</xdr:col>
      <xdr:colOff>1009650</xdr:colOff>
      <xdr:row>2</xdr:row>
      <xdr:rowOff>28575</xdr:rowOff>
    </xdr:from>
    <xdr:to>
      <xdr:col>6</xdr:col>
      <xdr:colOff>1009650</xdr:colOff>
      <xdr:row>7</xdr:row>
      <xdr:rowOff>133350</xdr:rowOff>
    </xdr:to>
    <xdr:sp macro="" textlink="">
      <xdr:nvSpPr>
        <xdr:cNvPr id="3" name="Zone de texte 3">
          <a:extLst>
            <a:ext uri="{FF2B5EF4-FFF2-40B4-BE49-F238E27FC236}">
              <a16:creationId xmlns:a16="http://schemas.microsoft.com/office/drawing/2014/main" id="{1E3C2447-6BA6-4F6A-84E9-C1874801F19F}"/>
            </a:ext>
          </a:extLst>
        </xdr:cNvPr>
        <xdr:cNvSpPr txBox="1"/>
      </xdr:nvSpPr>
      <xdr:spPr>
        <a:xfrm>
          <a:off x="2800350" y="371475"/>
          <a:ext cx="4781550" cy="9620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91440" algn="l" rtl="0"/>
          <a:r>
            <a:rPr lang="fr" sz="2800">
              <a:solidFill>
                <a:schemeClr val="accent3">
                  <a:lumMod val="75000"/>
                </a:schemeClr>
              </a:solidFill>
              <a:latin typeface="Franklin Gothic Book" panose="020B0503020102020204" pitchFamily="34" charset="0"/>
            </a:rPr>
            <a:t>Domaine TOURMENTINE</a:t>
          </a:r>
          <a:endParaRPr lang="fr" sz="2800" baseline="0">
            <a:solidFill>
              <a:schemeClr val="accent3">
                <a:lumMod val="75000"/>
              </a:schemeClr>
            </a:solidFill>
            <a:latin typeface="Franklin Gothic Book" panose="020B0503020102020204" pitchFamily="34" charset="0"/>
          </a:endParaRPr>
        </a:p>
        <a:p>
          <a:pPr marL="91440" algn="l" rtl="0"/>
          <a:r>
            <a:rPr lang="fr" sz="2800" baseline="0">
              <a:solidFill>
                <a:schemeClr val="tx1">
                  <a:lumMod val="85000"/>
                  <a:lumOff val="15000"/>
                </a:schemeClr>
              </a:solidFill>
              <a:latin typeface="Franklin Gothic Book" panose="020B0503020102020204" pitchFamily="34" charset="0"/>
            </a:rPr>
            <a:t>Dépenses Fixes</a:t>
          </a:r>
          <a:endParaRPr lang="en-US" sz="2800">
            <a:solidFill>
              <a:schemeClr val="tx1">
                <a:lumMod val="85000"/>
                <a:lumOff val="15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 editAs="absolute">
    <xdr:from>
      <xdr:col>6</xdr:col>
      <xdr:colOff>1524000</xdr:colOff>
      <xdr:row>0</xdr:row>
      <xdr:rowOff>152400</xdr:rowOff>
    </xdr:from>
    <xdr:to>
      <xdr:col>7</xdr:col>
      <xdr:colOff>458925</xdr:colOff>
      <xdr:row>2</xdr:row>
      <xdr:rowOff>169500</xdr:rowOff>
    </xdr:to>
    <xdr:sp macro="" textlink="">
      <xdr:nvSpPr>
        <xdr:cNvPr id="4" name="Forme lib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93BACDE-92EF-4249-A060-507A556B1D48}"/>
            </a:ext>
          </a:extLst>
        </xdr:cNvPr>
        <xdr:cNvSpPr/>
      </xdr:nvSpPr>
      <xdr:spPr>
        <a:xfrm>
          <a:off x="8096250" y="152400"/>
          <a:ext cx="144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solidFill>
          <a:schemeClr val="accent2"/>
        </a:solidFill>
        <a:ln w="38100">
          <a:solidFill>
            <a:schemeClr val="lt1">
              <a:hueOff val="0"/>
              <a:satOff val="0"/>
              <a:lumOff val="0"/>
              <a:alpha val="96000"/>
            </a:schemeClr>
          </a:solidFill>
        </a:ln>
        <a:effectLst>
          <a:outerShdw blurRad="40005" dist="50800" dir="5400000" algn="ctr" rotWithShape="0">
            <a:schemeClr val="bg2">
              <a:lumMod val="25000"/>
              <a:alpha val="32000"/>
            </a:schemeClr>
          </a:outerShdw>
        </a:effectLst>
      </xdr:spPr>
      <xdr:style>
        <a:lnRef idx="3">
          <a:schemeClr val="lt1">
            <a:hueOff val="0"/>
            <a:satOff val="0"/>
            <a:lumOff val="0"/>
            <a:alphaOff val="0"/>
          </a:schemeClr>
        </a:lnRef>
        <a:fillRef idx="1">
          <a:schemeClr val="accent4">
            <a:shade val="80000"/>
            <a:hueOff val="-31653"/>
            <a:satOff val="-4687"/>
            <a:lumOff val="7286"/>
            <a:alphaOff val="0"/>
          </a:schemeClr>
        </a:fillRef>
        <a:effectRef idx="1">
          <a:schemeClr val="accent4">
            <a:shade val="80000"/>
            <a:hueOff val="-31653"/>
            <a:satOff val="-4687"/>
            <a:lumOff val="728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18110" tIns="118110" rIns="118110" bIns="118110" numCol="1" spcCol="1270" anchor="ctr" anchorCtr="0">
          <a:noAutofit/>
        </a:bodyPr>
        <a:lstStyle/>
        <a:p>
          <a:pPr lvl="0" algn="ctr" defTabSz="1377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>
              <a:latin typeface="+mj-lt"/>
            </a:rPr>
            <a:t>ACCUEIL</a:t>
          </a:r>
        </a:p>
      </xdr:txBody>
    </xdr:sp>
    <xdr:clientData fPrintsWithSheet="0"/>
  </xdr:twoCellAnchor>
  <xdr:twoCellAnchor editAs="absolute">
    <xdr:from>
      <xdr:col>7</xdr:col>
      <xdr:colOff>638175</xdr:colOff>
      <xdr:row>0</xdr:row>
      <xdr:rowOff>152400</xdr:rowOff>
    </xdr:from>
    <xdr:to>
      <xdr:col>8</xdr:col>
      <xdr:colOff>944700</xdr:colOff>
      <xdr:row>2</xdr:row>
      <xdr:rowOff>169500</xdr:rowOff>
    </xdr:to>
    <xdr:sp macro="" textlink="">
      <xdr:nvSpPr>
        <xdr:cNvPr id="5" name="Forme lib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00026CF-EDC3-4CB0-A8B0-4EB4BDFAB115}"/>
            </a:ext>
          </a:extLst>
        </xdr:cNvPr>
        <xdr:cNvSpPr/>
      </xdr:nvSpPr>
      <xdr:spPr>
        <a:xfrm>
          <a:off x="9715500" y="152400"/>
          <a:ext cx="144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solidFill>
          <a:srgbClr val="F4910C"/>
        </a:solidFill>
        <a:ln w="38100">
          <a:solidFill>
            <a:schemeClr val="lt1">
              <a:hueOff val="0"/>
              <a:satOff val="0"/>
              <a:lumOff val="0"/>
              <a:alpha val="96000"/>
            </a:schemeClr>
          </a:solidFill>
        </a:ln>
        <a:effectLst>
          <a:outerShdw blurRad="40005" dist="50800" dir="5400000" algn="ctr" rotWithShape="0">
            <a:schemeClr val="bg2">
              <a:lumMod val="25000"/>
              <a:alpha val="32000"/>
            </a:schemeClr>
          </a:outerShdw>
        </a:effectLst>
      </xdr:spPr>
      <xdr:style>
        <a:lnRef idx="3">
          <a:schemeClr val="lt1">
            <a:hueOff val="0"/>
            <a:satOff val="0"/>
            <a:lumOff val="0"/>
            <a:alphaOff val="0"/>
          </a:schemeClr>
        </a:lnRef>
        <a:fillRef idx="1">
          <a:schemeClr val="accent4">
            <a:shade val="80000"/>
            <a:hueOff val="-31653"/>
            <a:satOff val="-4687"/>
            <a:lumOff val="7286"/>
            <a:alphaOff val="0"/>
          </a:schemeClr>
        </a:fillRef>
        <a:effectRef idx="1">
          <a:schemeClr val="accent4">
            <a:shade val="80000"/>
            <a:hueOff val="-31653"/>
            <a:satOff val="-4687"/>
            <a:lumOff val="728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18110" tIns="118110" rIns="118110" bIns="118110" numCol="1" spcCol="1270" anchor="ctr" anchorCtr="0">
          <a:noAutofit/>
        </a:bodyPr>
        <a:lstStyle/>
        <a:p>
          <a:pPr lvl="0" algn="ctr" defTabSz="1377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>
              <a:latin typeface="+mj-lt"/>
            </a:rPr>
            <a:t>VERSION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57150</xdr:rowOff>
    </xdr:from>
    <xdr:to>
      <xdr:col>2</xdr:col>
      <xdr:colOff>828433</xdr:colOff>
      <xdr:row>9</xdr:row>
      <xdr:rowOff>9338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702CD12-AE57-4DCF-A03F-B00A17915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57150"/>
          <a:ext cx="1933333" cy="1495238"/>
        </a:xfrm>
        <a:prstGeom prst="rect">
          <a:avLst/>
        </a:prstGeom>
      </xdr:spPr>
    </xdr:pic>
    <xdr:clientData/>
  </xdr:twoCellAnchor>
  <xdr:twoCellAnchor editAs="absolute">
    <xdr:from>
      <xdr:col>3</xdr:col>
      <xdr:colOff>514350</xdr:colOff>
      <xdr:row>2</xdr:row>
      <xdr:rowOff>28575</xdr:rowOff>
    </xdr:from>
    <xdr:to>
      <xdr:col>8</xdr:col>
      <xdr:colOff>342900</xdr:colOff>
      <xdr:row>7</xdr:row>
      <xdr:rowOff>133350</xdr:rowOff>
    </xdr:to>
    <xdr:sp macro="" textlink="">
      <xdr:nvSpPr>
        <xdr:cNvPr id="3" name="Zone de texte 3">
          <a:extLst>
            <a:ext uri="{FF2B5EF4-FFF2-40B4-BE49-F238E27FC236}">
              <a16:creationId xmlns:a16="http://schemas.microsoft.com/office/drawing/2014/main" id="{848A3D9F-0EC1-4C63-A410-8B4063EC516B}"/>
            </a:ext>
          </a:extLst>
        </xdr:cNvPr>
        <xdr:cNvSpPr txBox="1"/>
      </xdr:nvSpPr>
      <xdr:spPr>
        <a:xfrm>
          <a:off x="2800350" y="371475"/>
          <a:ext cx="4781550" cy="9620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91440" algn="l" rtl="0"/>
          <a:r>
            <a:rPr lang="fr" sz="2800">
              <a:solidFill>
                <a:schemeClr val="accent3">
                  <a:lumMod val="75000"/>
                </a:schemeClr>
              </a:solidFill>
              <a:latin typeface="Franklin Gothic Book" panose="020B0503020102020204" pitchFamily="34" charset="0"/>
            </a:rPr>
            <a:t>Domaine TOURMENTINE</a:t>
          </a:r>
          <a:endParaRPr lang="fr" sz="2800" baseline="0">
            <a:solidFill>
              <a:schemeClr val="accent3">
                <a:lumMod val="75000"/>
              </a:schemeClr>
            </a:solidFill>
            <a:latin typeface="Franklin Gothic Book" panose="020B0503020102020204" pitchFamily="34" charset="0"/>
          </a:endParaRPr>
        </a:p>
        <a:p>
          <a:pPr marL="91440" algn="l" rtl="0"/>
          <a:r>
            <a:rPr lang="fr" sz="2800" baseline="0">
              <a:solidFill>
                <a:schemeClr val="tx1">
                  <a:lumMod val="85000"/>
                  <a:lumOff val="15000"/>
                </a:schemeClr>
              </a:solidFill>
              <a:latin typeface="Franklin Gothic Book" panose="020B0503020102020204" pitchFamily="34" charset="0"/>
            </a:rPr>
            <a:t>Balance TVA</a:t>
          </a:r>
          <a:endParaRPr lang="en-US" sz="2800">
            <a:solidFill>
              <a:schemeClr val="tx1">
                <a:lumMod val="85000"/>
                <a:lumOff val="15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 editAs="absolute">
    <xdr:from>
      <xdr:col>8</xdr:col>
      <xdr:colOff>857250</xdr:colOff>
      <xdr:row>0</xdr:row>
      <xdr:rowOff>152400</xdr:rowOff>
    </xdr:from>
    <xdr:to>
      <xdr:col>10</xdr:col>
      <xdr:colOff>316050</xdr:colOff>
      <xdr:row>2</xdr:row>
      <xdr:rowOff>169500</xdr:rowOff>
    </xdr:to>
    <xdr:sp macro="" textlink="">
      <xdr:nvSpPr>
        <xdr:cNvPr id="4" name="Forme lib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2265746-A6E5-4D96-A8F0-6C0BB52BD50B}"/>
            </a:ext>
          </a:extLst>
        </xdr:cNvPr>
        <xdr:cNvSpPr/>
      </xdr:nvSpPr>
      <xdr:spPr>
        <a:xfrm>
          <a:off x="8096250" y="152400"/>
          <a:ext cx="144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solidFill>
          <a:schemeClr val="accent2"/>
        </a:solidFill>
        <a:ln w="38100">
          <a:solidFill>
            <a:schemeClr val="lt1">
              <a:hueOff val="0"/>
              <a:satOff val="0"/>
              <a:lumOff val="0"/>
              <a:alpha val="96000"/>
            </a:schemeClr>
          </a:solidFill>
        </a:ln>
        <a:effectLst>
          <a:outerShdw blurRad="40005" dist="50800" dir="5400000" algn="ctr" rotWithShape="0">
            <a:schemeClr val="bg2">
              <a:lumMod val="25000"/>
              <a:alpha val="32000"/>
            </a:schemeClr>
          </a:outerShdw>
        </a:effectLst>
      </xdr:spPr>
      <xdr:style>
        <a:lnRef idx="3">
          <a:schemeClr val="lt1">
            <a:hueOff val="0"/>
            <a:satOff val="0"/>
            <a:lumOff val="0"/>
            <a:alphaOff val="0"/>
          </a:schemeClr>
        </a:lnRef>
        <a:fillRef idx="1">
          <a:schemeClr val="accent4">
            <a:shade val="80000"/>
            <a:hueOff val="-31653"/>
            <a:satOff val="-4687"/>
            <a:lumOff val="7286"/>
            <a:alphaOff val="0"/>
          </a:schemeClr>
        </a:fillRef>
        <a:effectRef idx="1">
          <a:schemeClr val="accent4">
            <a:shade val="80000"/>
            <a:hueOff val="-31653"/>
            <a:satOff val="-4687"/>
            <a:lumOff val="728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18110" tIns="118110" rIns="118110" bIns="118110" numCol="1" spcCol="1270" anchor="ctr" anchorCtr="0">
          <a:noAutofit/>
        </a:bodyPr>
        <a:lstStyle/>
        <a:p>
          <a:pPr lvl="0" algn="ctr" defTabSz="1377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>
              <a:latin typeface="+mj-lt"/>
            </a:rPr>
            <a:t>ACCUEIL</a:t>
          </a:r>
        </a:p>
      </xdr:txBody>
    </xdr:sp>
    <xdr:clientData fPrintsWithSheet="0"/>
  </xdr:twoCellAnchor>
  <xdr:twoCellAnchor editAs="absolute">
    <xdr:from>
      <xdr:col>10</xdr:col>
      <xdr:colOff>495300</xdr:colOff>
      <xdr:row>0</xdr:row>
      <xdr:rowOff>152400</xdr:rowOff>
    </xdr:from>
    <xdr:to>
      <xdr:col>11</xdr:col>
      <xdr:colOff>944700</xdr:colOff>
      <xdr:row>2</xdr:row>
      <xdr:rowOff>169500</xdr:rowOff>
    </xdr:to>
    <xdr:sp macro="" textlink="">
      <xdr:nvSpPr>
        <xdr:cNvPr id="5" name="Forme lib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C5B26AE-2D19-4D99-89A1-6ED111004BA9}"/>
            </a:ext>
          </a:extLst>
        </xdr:cNvPr>
        <xdr:cNvSpPr/>
      </xdr:nvSpPr>
      <xdr:spPr>
        <a:xfrm>
          <a:off x="9715500" y="152400"/>
          <a:ext cx="144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solidFill>
          <a:srgbClr val="F4910C"/>
        </a:solidFill>
        <a:ln w="38100">
          <a:solidFill>
            <a:schemeClr val="lt1">
              <a:hueOff val="0"/>
              <a:satOff val="0"/>
              <a:lumOff val="0"/>
              <a:alpha val="96000"/>
            </a:schemeClr>
          </a:solidFill>
        </a:ln>
        <a:effectLst>
          <a:outerShdw blurRad="40005" dist="50800" dir="5400000" algn="ctr" rotWithShape="0">
            <a:schemeClr val="bg2">
              <a:lumMod val="25000"/>
              <a:alpha val="32000"/>
            </a:schemeClr>
          </a:outerShdw>
        </a:effectLst>
      </xdr:spPr>
      <xdr:style>
        <a:lnRef idx="3">
          <a:schemeClr val="lt1">
            <a:hueOff val="0"/>
            <a:satOff val="0"/>
            <a:lumOff val="0"/>
            <a:alphaOff val="0"/>
          </a:schemeClr>
        </a:lnRef>
        <a:fillRef idx="1">
          <a:schemeClr val="accent4">
            <a:shade val="80000"/>
            <a:hueOff val="-31653"/>
            <a:satOff val="-4687"/>
            <a:lumOff val="7286"/>
            <a:alphaOff val="0"/>
          </a:schemeClr>
        </a:fillRef>
        <a:effectRef idx="1">
          <a:schemeClr val="accent4">
            <a:shade val="80000"/>
            <a:hueOff val="-31653"/>
            <a:satOff val="-4687"/>
            <a:lumOff val="728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18110" tIns="118110" rIns="118110" bIns="118110" numCol="1" spcCol="1270" anchor="ctr" anchorCtr="0">
          <a:noAutofit/>
        </a:bodyPr>
        <a:lstStyle/>
        <a:p>
          <a:pPr lvl="0" algn="ctr" defTabSz="1377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>
              <a:latin typeface="+mj-lt"/>
            </a:rPr>
            <a:t>VERSION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E352688-7AC6-4911-A0BE-0A4DD7FE8D7A}" name="Tableau14" displayName="Tableau14" ref="C27:N34" headerRowCount="0" totalsRowCount="1" headerRowDxfId="158" dataDxfId="157">
  <tableColumns count="12">
    <tableColumn id="1" xr3:uid="{95DAB500-1BB9-4576-832E-B7F57D1BD0E5}" name="Colonne1" totalsRowFunction="sum" headerRowDxfId="156" dataDxfId="23" totalsRowDxfId="22">
      <calculatedColumnFormula>SUMIFS(TabVentes[Mt Par Ech],TabVentes[Nature],$B27,TabVentes[Échéance 1],"&lt;="&amp;C$22,TabVentes[Fin Ech.],"&gt;="&amp; C$22)</calculatedColumnFormula>
    </tableColumn>
    <tableColumn id="2" xr3:uid="{D19EEDE8-7DDC-4E26-9675-24F0D8F7FEC0}" name="Colonne2" totalsRowFunction="sum" headerRowDxfId="155" dataDxfId="10" totalsRowDxfId="21">
      <calculatedColumnFormula>SUMIFS(TabVentes[Mt Par Ech],TabVentes[Nature],$B27,TabVentes[Échéance 1],"&lt;="&amp;D$22,TabVentes[Fin Ech.],"&gt;="&amp; D$22)</calculatedColumnFormula>
    </tableColumn>
    <tableColumn id="3" xr3:uid="{8C16A391-90C6-4D44-9986-ACA8D44640E8}" name="Colonne3" totalsRowFunction="sum" headerRowDxfId="154" dataDxfId="9" totalsRowDxfId="20">
      <calculatedColumnFormula>SUMIFS(TabVentes[Mt Par Ech],TabVentes[Nature],$B27,TabVentes[Échéance 1],"&lt;="&amp;E$22,TabVentes[Fin Ech.],"&gt;="&amp; E$22)</calculatedColumnFormula>
    </tableColumn>
    <tableColumn id="4" xr3:uid="{24DECFE0-CBDE-4BEB-9DA9-DA4F6F8371C4}" name="Colonne4" totalsRowFunction="sum" headerRowDxfId="153" dataDxfId="8" totalsRowDxfId="19">
      <calculatedColumnFormula>SUMIFS(TabVentes[Mt Par Ech],TabVentes[Nature],$B27,TabVentes[Échéance 1],"&lt;="&amp;F$22,TabVentes[Fin Ech.],"&gt;="&amp; F$22)</calculatedColumnFormula>
    </tableColumn>
    <tableColumn id="5" xr3:uid="{EA4B8A02-FC0D-4BD8-A319-D971AEEB3F4E}" name="Colonne5" totalsRowFunction="sum" headerRowDxfId="152" dataDxfId="7" totalsRowDxfId="18">
      <calculatedColumnFormula>SUMIFS(TabVentes[Mt Par Ech],TabVentes[Nature],$B27,TabVentes[Échéance 1],"&lt;="&amp;G$22,TabVentes[Fin Ech.],"&gt;="&amp; G$22)</calculatedColumnFormula>
    </tableColumn>
    <tableColumn id="6" xr3:uid="{FFDD65C9-8AFA-4BE6-8B0B-E7661741172D}" name="Colonne6" totalsRowFunction="sum" headerRowDxfId="151" dataDxfId="6" totalsRowDxfId="17">
      <calculatedColumnFormula>SUMIFS(TabVentes[Mt Par Ech],TabVentes[Nature],$B27,TabVentes[Échéance 1],"&lt;="&amp;H$22,TabVentes[Fin Ech.],"&gt;="&amp; H$22)</calculatedColumnFormula>
    </tableColumn>
    <tableColumn id="7" xr3:uid="{7A2D366D-A689-429B-BE37-B46450F2FA73}" name="Colonne7" totalsRowFunction="sum" headerRowDxfId="150" dataDxfId="5" totalsRowDxfId="16">
      <calculatedColumnFormula>SUMIFS(TabVentes[Mt Par Ech],TabVentes[Nature],$B27,TabVentes[Échéance 1],"&lt;="&amp;I$22,TabVentes[Fin Ech.],"&gt;="&amp; I$22)</calculatedColumnFormula>
    </tableColumn>
    <tableColumn id="8" xr3:uid="{B60F3EB6-0E13-49FA-8011-503A361918AF}" name="Colonne8" totalsRowFunction="sum" headerRowDxfId="149" dataDxfId="4" totalsRowDxfId="15">
      <calculatedColumnFormula>SUMIFS(TabVentes[Mt Par Ech],TabVentes[Nature],$B27,TabVentes[Échéance 1],"&lt;="&amp;J$22,TabVentes[Fin Ech.],"&gt;="&amp; J$22)</calculatedColumnFormula>
    </tableColumn>
    <tableColumn id="9" xr3:uid="{FE5ACDF9-AB82-4FE7-8B10-B2DCCB56A793}" name="Colonne9" totalsRowFunction="sum" headerRowDxfId="148" dataDxfId="3" totalsRowDxfId="14">
      <calculatedColumnFormula>SUMIFS(TabVentes[Mt Par Ech],TabVentes[Nature],$B27,TabVentes[Échéance 1],"&lt;="&amp;K$22,TabVentes[Fin Ech.],"&gt;="&amp; K$22)</calculatedColumnFormula>
    </tableColumn>
    <tableColumn id="10" xr3:uid="{705F9FBD-68B2-4EF4-A81B-DCED4721B6F3}" name="Colonne10" totalsRowFunction="sum" headerRowDxfId="147" dataDxfId="2" totalsRowDxfId="13">
      <calculatedColumnFormula>SUMIFS(TabVentes[Mt Par Ech],TabVentes[Nature],$B27,TabVentes[Échéance 1],"&lt;="&amp;L$22,TabVentes[Fin Ech.],"&gt;="&amp; L$22)</calculatedColumnFormula>
    </tableColumn>
    <tableColumn id="11" xr3:uid="{27056FBB-49FF-4853-BEE6-E4DEEAFE9393}" name="Colonne11" totalsRowFunction="sum" headerRowDxfId="146" dataDxfId="1" totalsRowDxfId="12">
      <calculatedColumnFormula>SUMIFS(TabVentes[Mt Par Ech],TabVentes[Nature],$B27,TabVentes[Échéance 1],"&lt;="&amp;M$22,TabVentes[Fin Ech.],"&gt;="&amp; M$22)</calculatedColumnFormula>
    </tableColumn>
    <tableColumn id="12" xr3:uid="{E7952E3B-3665-45D9-A7B5-05DD626BEB36}" name="Colonne12" totalsRowFunction="sum" headerRowDxfId="145" dataDxfId="0" totalsRowDxfId="11">
      <calculatedColumnFormula>SUMIFS(TabVentes[Mt Par Ech],TabVentes[Nature],$B27,TabVentes[Échéance 1],"&lt;="&amp;N$22,TabVentes[Fin Ech.],"&gt;="&amp; N$22)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03D020-39CC-4981-8E3E-68F159107024}" name="Tableau1" displayName="Tableau1" ref="C39:N60" headerRowCount="0" totalsRowShown="0" headerRowDxfId="144" dataDxfId="142" headerRowBorderDxfId="143">
  <tableColumns count="12">
    <tableColumn id="1" xr3:uid="{BA1EA8C8-899D-4337-A060-2FF93C4321EB}" name="Colonne1" headerRowDxfId="141" dataDxfId="140"/>
    <tableColumn id="2" xr3:uid="{D60EDB00-7990-4A05-819A-A9D78050F92C}" name="Colonne2" headerRowDxfId="139" dataDxfId="138"/>
    <tableColumn id="3" xr3:uid="{06667E16-CDF2-4759-A410-1F7637B616BE}" name="Colonne3" headerRowDxfId="137" dataDxfId="136"/>
    <tableColumn id="4" xr3:uid="{A322FCE2-2D48-464A-8C99-F3CF34BBCA0E}" name="Colonne4" headerRowDxfId="135" dataDxfId="134"/>
    <tableColumn id="5" xr3:uid="{97F3E739-F781-41A9-AF8A-5D348C677B88}" name="Colonne5" headerRowDxfId="133" dataDxfId="132"/>
    <tableColumn id="6" xr3:uid="{142FA105-2D20-4E9B-876F-C55A8912A95F}" name="Colonne6" headerRowDxfId="131" dataDxfId="130"/>
    <tableColumn id="7" xr3:uid="{137E3D20-51BC-40A5-8BC7-68FE2446471C}" name="Colonne7" headerRowDxfId="129" dataDxfId="128"/>
    <tableColumn id="8" xr3:uid="{A0AB026B-82B8-4B58-804A-E7AD7D292CAD}" name="Colonne8" headerRowDxfId="127" dataDxfId="126"/>
    <tableColumn id="9" xr3:uid="{3829CCFA-D741-4FB6-86AF-18CAF6FBE447}" name="Colonne9" headerRowDxfId="125" dataDxfId="124"/>
    <tableColumn id="10" xr3:uid="{B3E8CA84-5670-4101-B354-7CD8A8E4EB12}" name="Colonne10" headerRowDxfId="123" dataDxfId="122"/>
    <tableColumn id="11" xr3:uid="{A5B15EC4-D370-4711-BD55-98428333CF64}" name="Colonne11" headerRowDxfId="121" dataDxfId="120"/>
    <tableColumn id="12" xr3:uid="{EF3E7A13-A96A-4255-A8C5-FD7298798F9C}" name="Colonne12" headerRowDxfId="119" dataDxfId="118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8A881A0-22A1-4E7D-97A5-C5322D2F89C2}" name="Tableau8" displayName="Tableau8" ref="B18:V41" totalsRowCount="1" headerRowDxfId="117" dataDxfId="116">
  <autoFilter ref="B18:V40" xr:uid="{08A881A0-22A1-4E7D-97A5-C5322D2F89C2}"/>
  <sortState xmlns:xlrd2="http://schemas.microsoft.com/office/spreadsheetml/2017/richdata2" ref="B19:V40">
    <sortCondition ref="F18:F41"/>
  </sortState>
  <tableColumns count="21">
    <tableColumn id="1" xr3:uid="{D33C6749-8718-4F2D-BE92-9742852478EC}" name="Fournisseur" totalsRowLabel="Total" dataDxfId="115" totalsRowDxfId="114"/>
    <tableColumn id="22" xr3:uid="{561AA9B6-8B9C-44B2-846F-39801FA05D07}" name="Journal" dataDxfId="113" totalsRowDxfId="112"/>
    <tableColumn id="2" xr3:uid="{F7D8358B-F04A-47BA-9F4B-2D1A0D904343}" name="Type Décaissement" dataDxfId="111" totalsRowDxfId="110"/>
    <tableColumn id="3" xr3:uid="{745DF05D-9778-44D3-8EFA-6ECF3D07BF8C}" name="Périodicité" dataDxfId="109" totalsRowDxfId="108"/>
    <tableColumn id="4" xr3:uid="{22207E88-8E10-4EED-BFC5-A758C51D1922}" name="Date" dataDxfId="107" totalsRowDxfId="106"/>
    <tableColumn id="5" xr3:uid="{327B6451-60D1-4ACA-A1E0-507629BF1AF7}" name="Désignation" dataDxfId="105" totalsRowDxfId="104"/>
    <tableColumn id="6" xr3:uid="{081E0E7A-9E66-4C34-ABA5-25A51B078AB9}" name="Montant HT" totalsRowFunction="sum" dataDxfId="103" totalsRowDxfId="102">
      <calculatedColumnFormula>IF(I19="","",J19-I19)</calculatedColumnFormula>
    </tableColumn>
    <tableColumn id="7" xr3:uid="{A31A3393-C3A6-4B1A-A82C-C82E0B9E380E}" name="TVA" totalsRowFunction="sum" dataDxfId="101" totalsRowDxfId="100"/>
    <tableColumn id="8" xr3:uid="{A25350F0-6AA3-4226-B38D-828F16EEF864}" name="Montant TTC" totalsRowFunction="sum" dataDxfId="99" totalsRowDxfId="98"/>
    <tableColumn id="9" xr3:uid="{812638D6-CD2D-4CC4-B10E-D158E9BD6FF7}" name="Échéance 1" dataDxfId="97" totalsRowDxfId="96"/>
    <tableColumn id="10" xr3:uid="{173A81C3-8A99-4F67-B168-C10E42B8CED1}" name="Échéance 2" dataDxfId="95" totalsRowDxfId="94">
      <calculatedColumnFormula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calculatedColumnFormula>
    </tableColumn>
    <tableColumn id="11" xr3:uid="{393ED9A6-D2F6-4706-B21D-F21928DE5DA9}" name="Échéance 3" dataDxfId="93" totalsRowDxfId="92">
      <calculatedColumnFormula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calculatedColumnFormula>
    </tableColumn>
    <tableColumn id="12" xr3:uid="{7B75C35A-3A36-4C5B-84E7-51B5CDA48FDE}" name="Échéance 4" dataDxfId="91" totalsRowDxfId="90">
      <calculatedColumnFormula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calculatedColumnFormula>
    </tableColumn>
    <tableColumn id="13" xr3:uid="{00670EA8-8775-4403-B373-889567C2C1DF}" name="Échéance 5" dataDxfId="89" totalsRowDxfId="88">
      <calculatedColumnFormula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calculatedColumnFormula>
    </tableColumn>
    <tableColumn id="14" xr3:uid="{30CEE692-053F-42F4-A01C-0803499A1699}" name="Échéance 6" dataDxfId="87" totalsRowDxfId="86">
      <calculatedColumnFormula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calculatedColumnFormula>
    </tableColumn>
    <tableColumn id="15" xr3:uid="{69189612-C349-4745-B896-9EF6D88930B7}" name="Échéance 7" dataDxfId="85" totalsRowDxfId="84">
      <calculatedColumnFormula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calculatedColumnFormula>
    </tableColumn>
    <tableColumn id="16" xr3:uid="{8C7B68EF-A0D6-470B-89F3-E8E3B0F45010}" name="Échéance 8" dataDxfId="83" totalsRowDxfId="82">
      <calculatedColumnFormula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calculatedColumnFormula>
    </tableColumn>
    <tableColumn id="17" xr3:uid="{E36CC2F5-60BC-43B3-8C7B-1702BB6AEF84}" name="Échéance 9" dataDxfId="81" totalsRowDxfId="80">
      <calculatedColumnFormula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calculatedColumnFormula>
    </tableColumn>
    <tableColumn id="18" xr3:uid="{3DD85441-2505-4A37-B5E8-3C7EDA98626B}" name="Échéance 10" dataDxfId="79" totalsRowDxfId="78">
      <calculatedColumnFormula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calculatedColumnFormula>
    </tableColumn>
    <tableColumn id="19" xr3:uid="{47E05642-84C7-43F0-B40C-995747792CD4}" name="Échéance 11" dataDxfId="77" totalsRowDxfId="76">
      <calculatedColumnFormula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calculatedColumnFormula>
    </tableColumn>
    <tableColumn id="20" xr3:uid="{47A8F1BB-70AB-49F1-98B8-49133F951150}" name="Échéance 12" dataDxfId="75" totalsRowDxfId="74">
      <calculatedColumnFormula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calculatedColumnFormula>
    </tableColumn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ED76BDD-B83E-4271-BA48-50D2CD5A87C1}" name="TabVentes" displayName="TabVentes" ref="B15:L24" totalsRowCount="1" headerRowDxfId="73" dataDxfId="72">
  <autoFilter ref="B15:L23" xr:uid="{AED76BDD-B83E-4271-BA48-50D2CD5A87C1}"/>
  <sortState xmlns:xlrd2="http://schemas.microsoft.com/office/spreadsheetml/2017/richdata2" ref="B16:I17">
    <sortCondition ref="E15:E17"/>
  </sortState>
  <tableColumns count="11">
    <tableColumn id="1" xr3:uid="{FD20D71D-695A-4B5D-AE75-6065BB1B28AD}" name="Clients" totalsRowLabel="Total" dataDxfId="71" totalsRowDxfId="35"/>
    <tableColumn id="8" xr3:uid="{91D1A0F3-073F-449F-A518-FCDCA6325EE9}" name="Nature" dataDxfId="70" totalsRowDxfId="34"/>
    <tableColumn id="2" xr3:uid="{CA2B07E6-1026-4712-B573-1C8B15196001}" name="N° Facture" dataDxfId="69" totalsRowDxfId="33"/>
    <tableColumn id="3" xr3:uid="{29CEFDDE-22D8-4FC7-9BDE-2BBEE2F93809}" name="Date" dataDxfId="68" totalsRowDxfId="32"/>
    <tableColumn id="4" xr3:uid="{70B6AF15-0F94-4068-92A5-ADD75EB94E26}" name="HT" totalsRowFunction="sum" dataDxfId="67" totalsRowDxfId="31">
      <calculatedColumnFormula>IF(TabVentes[[#This Row],[Montant TTC]]="","",TabVentes[[#This Row],[Montant TTC]]-TabVentes[[#This Row],[TVA]])</calculatedColumnFormula>
    </tableColumn>
    <tableColumn id="5" xr3:uid="{6C3D12E6-8A3C-449E-98B3-AB8BC10299FB}" name="TVA" totalsRowFunction="sum" dataDxfId="66" totalsRowDxfId="30"/>
    <tableColumn id="6" xr3:uid="{C17F87C2-F9B4-45CF-AF5E-48BABB900879}" name="Montant TTC" totalsRowFunction="sum" dataDxfId="65" totalsRowDxfId="29"/>
    <tableColumn id="7" xr3:uid="{F28788F4-5180-4735-8D47-0BD8BD157B59}" name="Échéance 1" dataDxfId="64" totalsRowDxfId="28"/>
    <tableColumn id="9" xr3:uid="{1589C325-3462-4ECC-98B6-AD85E897627D}" name="Nb Ech." dataDxfId="63" totalsRowDxfId="27"/>
    <tableColumn id="10" xr3:uid="{0064957A-3F5F-477B-A9F3-D15A7632CECB}" name="Fin Ech." dataDxfId="24" totalsRowDxfId="26">
      <calculatedColumnFormula>EOMONTH(EDATE(TabVentes[[#This Row],[Échéance 1]],TabVentes[[#This Row],[Nb Ech.]]-1),0)</calculatedColumnFormula>
    </tableColumn>
    <tableColumn id="11" xr3:uid="{0347A752-1BDD-42E0-9209-4B8782E4DD6F}" name="Mt Par Ech" dataDxfId="62" totalsRowDxfId="25">
      <calculatedColumnFormula>TabVentes[[#This Row],[Montant TTC]]/TabVentes[[#This Row],[Nb Ech.]]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Business Templates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E3C6-94CC-4EBF-81D5-A6401A7E714E}">
  <sheetPr codeName="Feuil12"/>
  <dimension ref="A1:P68"/>
  <sheetViews>
    <sheetView showGridLines="0" tabSelected="1" topLeftCell="A18" workbookViewId="0">
      <selection activeCell="C27" sqref="C27"/>
    </sheetView>
  </sheetViews>
  <sheetFormatPr baseColWidth="10" defaultRowHeight="30" customHeight="1" x14ac:dyDescent="0.25"/>
  <cols>
    <col min="1" max="1" width="1.77734375" style="8" customWidth="1"/>
    <col min="2" max="2" width="29.88671875" style="20" bestFit="1" customWidth="1"/>
    <col min="3" max="3" width="11.77734375" style="21" customWidth="1"/>
    <col min="4" max="11" width="11.77734375" style="22" customWidth="1"/>
    <col min="12" max="14" width="13.109375" style="22" customWidth="1"/>
    <col min="15" max="15" width="1.77734375" style="22" customWidth="1"/>
    <col min="16" max="16384" width="11.5546875" style="22"/>
  </cols>
  <sheetData>
    <row r="1" spans="1:11" s="29" customFormat="1" ht="30" customHeight="1" x14ac:dyDescent="0.25">
      <c r="A1" s="26"/>
      <c r="B1" s="27"/>
      <c r="C1" s="28"/>
    </row>
    <row r="2" spans="1:11" s="29" customFormat="1" ht="30" customHeight="1" x14ac:dyDescent="0.25">
      <c r="A2" s="26"/>
      <c r="B2" s="27"/>
      <c r="C2" s="28"/>
    </row>
    <row r="3" spans="1:11" s="29" customFormat="1" ht="30" customHeight="1" x14ac:dyDescent="0.25">
      <c r="A3" s="26"/>
      <c r="B3" s="27"/>
      <c r="C3" s="28"/>
    </row>
    <row r="4" spans="1:11" s="29" customFormat="1" ht="30" customHeight="1" x14ac:dyDescent="0.25">
      <c r="A4" s="30"/>
      <c r="B4" s="27"/>
      <c r="C4" s="28"/>
    </row>
    <row r="5" spans="1:11" s="29" customFormat="1" ht="30" customHeight="1" x14ac:dyDescent="0.25">
      <c r="A5" s="30"/>
      <c r="B5" s="27"/>
      <c r="C5" s="28"/>
    </row>
    <row r="6" spans="1:11" s="29" customFormat="1" ht="30" customHeight="1" x14ac:dyDescent="0.25">
      <c r="A6" s="30"/>
      <c r="B6" s="27"/>
      <c r="C6" s="28"/>
    </row>
    <row r="7" spans="1:11" s="29" customFormat="1" ht="30" customHeight="1" x14ac:dyDescent="0.25">
      <c r="A7" s="30"/>
      <c r="B7" s="27"/>
      <c r="C7" s="28"/>
    </row>
    <row r="8" spans="1:11" s="29" customFormat="1" ht="30" customHeight="1" x14ac:dyDescent="0.25">
      <c r="A8" s="30"/>
      <c r="B8" s="27"/>
      <c r="C8" s="28"/>
    </row>
    <row r="9" spans="1:11" s="29" customFormat="1" ht="30" customHeight="1" x14ac:dyDescent="0.25">
      <c r="A9" s="30"/>
      <c r="B9" s="27"/>
      <c r="C9" s="28"/>
    </row>
    <row r="10" spans="1:11" s="29" customFormat="1" ht="30" customHeight="1" x14ac:dyDescent="0.25">
      <c r="A10" s="30"/>
      <c r="B10" s="31"/>
      <c r="C10" s="28"/>
      <c r="F10" s="30"/>
      <c r="G10" s="30"/>
      <c r="H10" s="30"/>
      <c r="I10" s="30"/>
      <c r="J10" s="30"/>
      <c r="K10" s="30"/>
    </row>
    <row r="20" spans="2:16" ht="30" customHeight="1" x14ac:dyDescent="0.25">
      <c r="B20" s="58" t="s">
        <v>0</v>
      </c>
      <c r="C20" s="18">
        <v>20000</v>
      </c>
      <c r="D20" s="6"/>
      <c r="E20" s="5" t="s">
        <v>7</v>
      </c>
      <c r="F20" s="14">
        <v>44562</v>
      </c>
      <c r="G20" s="3"/>
      <c r="H20" s="1" t="s">
        <v>8</v>
      </c>
      <c r="I20" s="6"/>
      <c r="J20" s="11">
        <v>20000</v>
      </c>
      <c r="K20" s="3"/>
      <c r="L20" s="3"/>
      <c r="M20" s="3"/>
      <c r="N20" s="3"/>
      <c r="O20" s="3"/>
      <c r="P20" s="3"/>
    </row>
    <row r="21" spans="2:16" ht="30" customHeight="1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ht="30" customHeight="1" x14ac:dyDescent="0.25">
      <c r="B22" s="17" t="s">
        <v>10</v>
      </c>
      <c r="C22" s="15">
        <f>IF(F20="","",F20)</f>
        <v>44562</v>
      </c>
      <c r="D22" s="16">
        <f>IF(C22="","",DATE(YEAR(C22),MONTH(C22)+1,1))</f>
        <v>44593</v>
      </c>
      <c r="E22" s="16">
        <f t="shared" ref="E22:N22" si="0">IF(D22="","",DATE(YEAR(D22),MONTH(D22)+1,1))</f>
        <v>44621</v>
      </c>
      <c r="F22" s="16">
        <f t="shared" si="0"/>
        <v>44652</v>
      </c>
      <c r="G22" s="16">
        <f t="shared" si="0"/>
        <v>44682</v>
      </c>
      <c r="H22" s="16">
        <f t="shared" si="0"/>
        <v>44713</v>
      </c>
      <c r="I22" s="16">
        <f t="shared" si="0"/>
        <v>44743</v>
      </c>
      <c r="J22" s="16">
        <f t="shared" si="0"/>
        <v>44774</v>
      </c>
      <c r="K22" s="16">
        <f t="shared" si="0"/>
        <v>44805</v>
      </c>
      <c r="L22" s="16">
        <f t="shared" si="0"/>
        <v>44835</v>
      </c>
      <c r="M22" s="16">
        <f t="shared" si="0"/>
        <v>44866</v>
      </c>
      <c r="N22" s="16">
        <f t="shared" si="0"/>
        <v>44896</v>
      </c>
      <c r="O22" s="62"/>
      <c r="P22" s="68" t="s">
        <v>9</v>
      </c>
    </row>
    <row r="23" spans="2:16" ht="30" customHeight="1" x14ac:dyDescent="0.25">
      <c r="B23" s="1" t="s">
        <v>1</v>
      </c>
      <c r="C23" s="12">
        <f>C20</f>
        <v>20000</v>
      </c>
      <c r="D23" s="13">
        <f t="shared" ref="D23:N23" si="1">C72</f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13">
        <f t="shared" si="1"/>
        <v>0</v>
      </c>
      <c r="M23" s="13">
        <f t="shared" si="1"/>
        <v>0</v>
      </c>
      <c r="N23" s="13">
        <f t="shared" si="1"/>
        <v>0</v>
      </c>
      <c r="O23" s="63"/>
      <c r="P23" s="68"/>
    </row>
    <row r="24" spans="2:16" ht="30" customHeight="1" x14ac:dyDescent="0.25">
      <c r="B24" s="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2:16" ht="30" customHeight="1" x14ac:dyDescent="0.25">
      <c r="B25" s="9" t="s">
        <v>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</row>
    <row r="26" spans="2:16" ht="30" customHeight="1" x14ac:dyDescent="0.3">
      <c r="B26" s="7"/>
      <c r="C26" s="19"/>
      <c r="D26"/>
      <c r="E26"/>
      <c r="F26"/>
      <c r="G26"/>
      <c r="H26"/>
      <c r="I26"/>
      <c r="J26"/>
      <c r="K26"/>
      <c r="L26"/>
      <c r="M26"/>
      <c r="N26"/>
      <c r="O26"/>
      <c r="P26" s="6"/>
    </row>
    <row r="27" spans="2:16" ht="30" customHeight="1" x14ac:dyDescent="0.25">
      <c r="B27" s="1" t="s">
        <v>15</v>
      </c>
      <c r="C27" s="59">
        <f>SUMIFS(TabVentes[Mt Par Ech],TabVentes[Nature],$B27,TabVentes[Échéance 1],"&lt;="&amp;C$22,TabVentes[Fin Ech.],"&gt;="&amp; C$22)</f>
        <v>8400</v>
      </c>
      <c r="D27" s="59">
        <f>SUMIFS(TabVentes[Mt Par Ech],TabVentes[Nature],$B27,TabVentes[Échéance 1],"&lt;="&amp;D$22,TabVentes[Fin Ech.],"&gt;="&amp; D$22)</f>
        <v>0</v>
      </c>
      <c r="E27" s="59">
        <f>SUMIFS(TabVentes[Mt Par Ech],TabVentes[Nature],$B27,TabVentes[Échéance 1],"&lt;="&amp;E$22,TabVentes[Fin Ech.],"&gt;="&amp; E$22)</f>
        <v>0</v>
      </c>
      <c r="F27" s="59">
        <f>SUMIFS(TabVentes[Mt Par Ech],TabVentes[Nature],$B27,TabVentes[Échéance 1],"&lt;="&amp;F$22,TabVentes[Fin Ech.],"&gt;="&amp; F$22)</f>
        <v>0</v>
      </c>
      <c r="G27" s="59">
        <f>SUMIFS(TabVentes[Mt Par Ech],TabVentes[Nature],$B27,TabVentes[Échéance 1],"&lt;="&amp;G$22,TabVentes[Fin Ech.],"&gt;="&amp; G$22)</f>
        <v>0</v>
      </c>
      <c r="H27" s="59">
        <f>SUMIFS(TabVentes[Mt Par Ech],TabVentes[Nature],$B27,TabVentes[Échéance 1],"&lt;="&amp;H$22,TabVentes[Fin Ech.],"&gt;="&amp; H$22)</f>
        <v>0</v>
      </c>
      <c r="I27" s="59">
        <f>SUMIFS(TabVentes[Mt Par Ech],TabVentes[Nature],$B27,TabVentes[Échéance 1],"&lt;="&amp;I$22,TabVentes[Fin Ech.],"&gt;="&amp; I$22)</f>
        <v>0</v>
      </c>
      <c r="J27" s="59">
        <f>SUMIFS(TabVentes[Mt Par Ech],TabVentes[Nature],$B27,TabVentes[Échéance 1],"&lt;="&amp;J$22,TabVentes[Fin Ech.],"&gt;="&amp; J$22)</f>
        <v>12000</v>
      </c>
      <c r="K27" s="59">
        <f>SUMIFS(TabVentes[Mt Par Ech],TabVentes[Nature],$B27,TabVentes[Échéance 1],"&lt;="&amp;K$22,TabVentes[Fin Ech.],"&gt;="&amp; K$22)</f>
        <v>12000</v>
      </c>
      <c r="L27" s="59">
        <f>SUMIFS(TabVentes[Mt Par Ech],TabVentes[Nature],$B27,TabVentes[Échéance 1],"&lt;="&amp;L$22,TabVentes[Fin Ech.],"&gt;="&amp; L$22)</f>
        <v>12000</v>
      </c>
      <c r="M27" s="59">
        <f>SUMIFS(TabVentes[Mt Par Ech],TabVentes[Nature],$B27,TabVentes[Échéance 1],"&lt;="&amp;M$22,TabVentes[Fin Ech.],"&gt;="&amp; M$22)</f>
        <v>12000</v>
      </c>
      <c r="N27" s="59">
        <f>SUMIFS(TabVentes[Mt Par Ech],TabVentes[Nature],$B27,TabVentes[Échéance 1],"&lt;="&amp;N$22,TabVentes[Fin Ech.],"&gt;="&amp; N$22)</f>
        <v>0</v>
      </c>
      <c r="O27" s="59"/>
      <c r="P27" s="61">
        <f>SUM(C27:O27)</f>
        <v>56400</v>
      </c>
    </row>
    <row r="28" spans="2:16" ht="30" customHeight="1" x14ac:dyDescent="0.25">
      <c r="B28" s="1" t="s">
        <v>16</v>
      </c>
      <c r="C28" s="59">
        <f>SUMIFS(TabVentes[Mt Par Ech],TabVentes[Nature],$B28,TabVentes[Échéance 1],"&lt;="&amp;C$22,TabVentes[Fin Ech.],"&gt;="&amp; C$22)</f>
        <v>0</v>
      </c>
      <c r="D28" s="59">
        <f>SUMIFS(TabVentes[Mt Par Ech],TabVentes[Nature],$B28,TabVentes[Échéance 1],"&lt;="&amp;D$22,TabVentes[Fin Ech.],"&gt;="&amp; D$22)</f>
        <v>4200</v>
      </c>
      <c r="E28" s="59">
        <f>SUMIFS(TabVentes[Mt Par Ech],TabVentes[Nature],$B28,TabVentes[Échéance 1],"&lt;="&amp;E$22,TabVentes[Fin Ech.],"&gt;="&amp; E$22)</f>
        <v>0</v>
      </c>
      <c r="F28" s="59">
        <f>SUMIFS(TabVentes[Mt Par Ech],TabVentes[Nature],$B28,TabVentes[Échéance 1],"&lt;="&amp;F$22,TabVentes[Fin Ech.],"&gt;="&amp; F$22)</f>
        <v>0</v>
      </c>
      <c r="G28" s="59">
        <f>SUMIFS(TabVentes[Mt Par Ech],TabVentes[Nature],$B28,TabVentes[Échéance 1],"&lt;="&amp;G$22,TabVentes[Fin Ech.],"&gt;="&amp; G$22)</f>
        <v>0</v>
      </c>
      <c r="H28" s="59">
        <f>SUMIFS(TabVentes[Mt Par Ech],TabVentes[Nature],$B28,TabVentes[Échéance 1],"&lt;="&amp;H$22,TabVentes[Fin Ech.],"&gt;="&amp; H$22)</f>
        <v>0</v>
      </c>
      <c r="I28" s="59">
        <f>SUMIFS(TabVentes[Mt Par Ech],TabVentes[Nature],$B28,TabVentes[Échéance 1],"&lt;="&amp;I$22,TabVentes[Fin Ech.],"&gt;="&amp; I$22)</f>
        <v>0</v>
      </c>
      <c r="J28" s="59">
        <f>SUMIFS(TabVentes[Mt Par Ech],TabVentes[Nature],$B28,TabVentes[Échéance 1],"&lt;="&amp;J$22,TabVentes[Fin Ech.],"&gt;="&amp; J$22)</f>
        <v>0</v>
      </c>
      <c r="K28" s="59">
        <f>SUMIFS(TabVentes[Mt Par Ech],TabVentes[Nature],$B28,TabVentes[Échéance 1],"&lt;="&amp;K$22,TabVentes[Fin Ech.],"&gt;="&amp; K$22)</f>
        <v>0</v>
      </c>
      <c r="L28" s="59">
        <f>SUMIFS(TabVentes[Mt Par Ech],TabVentes[Nature],$B28,TabVentes[Échéance 1],"&lt;="&amp;L$22,TabVentes[Fin Ech.],"&gt;="&amp; L$22)</f>
        <v>0</v>
      </c>
      <c r="M28" s="59">
        <f>SUMIFS(TabVentes[Mt Par Ech],TabVentes[Nature],$B28,TabVentes[Échéance 1],"&lt;="&amp;M$22,TabVentes[Fin Ech.],"&gt;="&amp; M$22)</f>
        <v>0</v>
      </c>
      <c r="N28" s="59">
        <f>SUMIFS(TabVentes[Mt Par Ech],TabVentes[Nature],$B28,TabVentes[Échéance 1],"&lt;="&amp;N$22,TabVentes[Fin Ech.],"&gt;="&amp; N$22)</f>
        <v>0</v>
      </c>
      <c r="P28" s="61">
        <f t="shared" ref="P28:P33" si="2">SUM(C28:O28)</f>
        <v>4200</v>
      </c>
    </row>
    <row r="29" spans="2:16" ht="30" customHeight="1" x14ac:dyDescent="0.25">
      <c r="B29" s="1" t="s">
        <v>17</v>
      </c>
      <c r="C29" s="59">
        <f>SUMIFS(TabVentes[Mt Par Ech],TabVentes[Nature],$B29,TabVentes[Échéance 1],"&lt;="&amp;C$22,TabVentes[Fin Ech.],"&gt;="&amp; C$22)</f>
        <v>0</v>
      </c>
      <c r="D29" s="59">
        <f>SUMIFS(TabVentes[Mt Par Ech],TabVentes[Nature],$B29,TabVentes[Échéance 1],"&lt;="&amp;D$22,TabVentes[Fin Ech.],"&gt;="&amp; D$22)</f>
        <v>0</v>
      </c>
      <c r="E29" s="59">
        <f>SUMIFS(TabVentes[Mt Par Ech],TabVentes[Nature],$B29,TabVentes[Échéance 1],"&lt;="&amp;E$22,TabVentes[Fin Ech.],"&gt;="&amp; E$22)</f>
        <v>2100</v>
      </c>
      <c r="F29" s="59">
        <f>SUMIFS(TabVentes[Mt Par Ech],TabVentes[Nature],$B29,TabVentes[Échéance 1],"&lt;="&amp;F$22,TabVentes[Fin Ech.],"&gt;="&amp; F$22)</f>
        <v>0</v>
      </c>
      <c r="G29" s="59">
        <f>SUMIFS(TabVentes[Mt Par Ech],TabVentes[Nature],$B29,TabVentes[Échéance 1],"&lt;="&amp;G$22,TabVentes[Fin Ech.],"&gt;="&amp; G$22)</f>
        <v>0</v>
      </c>
      <c r="H29" s="59">
        <f>SUMIFS(TabVentes[Mt Par Ech],TabVentes[Nature],$B29,TabVentes[Échéance 1],"&lt;="&amp;H$22,TabVentes[Fin Ech.],"&gt;="&amp; H$22)</f>
        <v>0</v>
      </c>
      <c r="I29" s="59">
        <f>SUMIFS(TabVentes[Mt Par Ech],TabVentes[Nature],$B29,TabVentes[Échéance 1],"&lt;="&amp;I$22,TabVentes[Fin Ech.],"&gt;="&amp; I$22)</f>
        <v>0</v>
      </c>
      <c r="J29" s="59">
        <f>SUMIFS(TabVentes[Mt Par Ech],TabVentes[Nature],$B29,TabVentes[Échéance 1],"&lt;="&amp;J$22,TabVentes[Fin Ech.],"&gt;="&amp; J$22)</f>
        <v>0</v>
      </c>
      <c r="K29" s="59">
        <f>SUMIFS(TabVentes[Mt Par Ech],TabVentes[Nature],$B29,TabVentes[Échéance 1],"&lt;="&amp;K$22,TabVentes[Fin Ech.],"&gt;="&amp; K$22)</f>
        <v>0</v>
      </c>
      <c r="L29" s="59">
        <f>SUMIFS(TabVentes[Mt Par Ech],TabVentes[Nature],$B29,TabVentes[Échéance 1],"&lt;="&amp;L$22,TabVentes[Fin Ech.],"&gt;="&amp; L$22)</f>
        <v>0</v>
      </c>
      <c r="M29" s="59">
        <f>SUMIFS(TabVentes[Mt Par Ech],TabVentes[Nature],$B29,TabVentes[Échéance 1],"&lt;="&amp;M$22,TabVentes[Fin Ech.],"&gt;="&amp; M$22)</f>
        <v>0</v>
      </c>
      <c r="N29" s="59">
        <f>SUMIFS(TabVentes[Mt Par Ech],TabVentes[Nature],$B29,TabVentes[Échéance 1],"&lt;="&amp;N$22,TabVentes[Fin Ech.],"&gt;="&amp; N$22)</f>
        <v>0</v>
      </c>
      <c r="P29" s="61">
        <f t="shared" si="2"/>
        <v>2100</v>
      </c>
    </row>
    <row r="30" spans="2:16" ht="30" customHeight="1" x14ac:dyDescent="0.25">
      <c r="B30" s="1" t="s">
        <v>24</v>
      </c>
      <c r="C30" s="59">
        <f>SUMIFS(TabVentes[Mt Par Ech],TabVentes[Nature],$B30,TabVentes[Échéance 1],"&lt;="&amp;C$22,TabVentes[Fin Ech.],"&gt;="&amp; C$22)</f>
        <v>0</v>
      </c>
      <c r="D30" s="59">
        <f>SUMIFS(TabVentes[Mt Par Ech],TabVentes[Nature],$B30,TabVentes[Échéance 1],"&lt;="&amp;D$22,TabVentes[Fin Ech.],"&gt;="&amp; D$22)</f>
        <v>1500</v>
      </c>
      <c r="E30" s="59">
        <f>SUMIFS(TabVentes[Mt Par Ech],TabVentes[Nature],$B30,TabVentes[Échéance 1],"&lt;="&amp;E$22,TabVentes[Fin Ech.],"&gt;="&amp; E$22)</f>
        <v>0</v>
      </c>
      <c r="F30" s="59">
        <f>SUMIFS(TabVentes[Mt Par Ech],TabVentes[Nature],$B30,TabVentes[Échéance 1],"&lt;="&amp;F$22,TabVentes[Fin Ech.],"&gt;="&amp; F$22)</f>
        <v>0</v>
      </c>
      <c r="G30" s="59">
        <f>SUMIFS(TabVentes[Mt Par Ech],TabVentes[Nature],$B30,TabVentes[Échéance 1],"&lt;="&amp;G$22,TabVentes[Fin Ech.],"&gt;="&amp; G$22)</f>
        <v>0</v>
      </c>
      <c r="H30" s="59">
        <f>SUMIFS(TabVentes[Mt Par Ech],TabVentes[Nature],$B30,TabVentes[Échéance 1],"&lt;="&amp;H$22,TabVentes[Fin Ech.],"&gt;="&amp; H$22)</f>
        <v>0</v>
      </c>
      <c r="I30" s="59">
        <f>SUMIFS(TabVentes[Mt Par Ech],TabVentes[Nature],$B30,TabVentes[Échéance 1],"&lt;="&amp;I$22,TabVentes[Fin Ech.],"&gt;="&amp; I$22)</f>
        <v>13500</v>
      </c>
      <c r="J30" s="59">
        <f>SUMIFS(TabVentes[Mt Par Ech],TabVentes[Nature],$B30,TabVentes[Échéance 1],"&lt;="&amp;J$22,TabVentes[Fin Ech.],"&gt;="&amp; J$22)</f>
        <v>0</v>
      </c>
      <c r="K30" s="59">
        <f>SUMIFS(TabVentes[Mt Par Ech],TabVentes[Nature],$B30,TabVentes[Échéance 1],"&lt;="&amp;K$22,TabVentes[Fin Ech.],"&gt;="&amp; K$22)</f>
        <v>0</v>
      </c>
      <c r="L30" s="59">
        <f>SUMIFS(TabVentes[Mt Par Ech],TabVentes[Nature],$B30,TabVentes[Échéance 1],"&lt;="&amp;L$22,TabVentes[Fin Ech.],"&gt;="&amp; L$22)</f>
        <v>0</v>
      </c>
      <c r="M30" s="59">
        <f>SUMIFS(TabVentes[Mt Par Ech],TabVentes[Nature],$B30,TabVentes[Échéance 1],"&lt;="&amp;M$22,TabVentes[Fin Ech.],"&gt;="&amp; M$22)</f>
        <v>0</v>
      </c>
      <c r="N30" s="59">
        <f>SUMIFS(TabVentes[Mt Par Ech],TabVentes[Nature],$B30,TabVentes[Échéance 1],"&lt;="&amp;N$22,TabVentes[Fin Ech.],"&gt;="&amp; N$22)</f>
        <v>0</v>
      </c>
      <c r="P30" s="61">
        <f t="shared" si="2"/>
        <v>15000</v>
      </c>
    </row>
    <row r="31" spans="2:16" ht="30" customHeight="1" x14ac:dyDescent="0.25">
      <c r="B31" s="1" t="s">
        <v>18</v>
      </c>
      <c r="C31" s="59">
        <f>SUMIFS(TabVentes[Mt Par Ech],TabVentes[Nature],$B31,TabVentes[Échéance 1],"&lt;="&amp;C$22,TabVentes[Fin Ech.],"&gt;="&amp; C$22)</f>
        <v>0</v>
      </c>
      <c r="D31" s="59">
        <f>SUMIFS(TabVentes[Mt Par Ech],TabVentes[Nature],$B31,TabVentes[Échéance 1],"&lt;="&amp;D$22,TabVentes[Fin Ech.],"&gt;="&amp; D$22)</f>
        <v>0</v>
      </c>
      <c r="E31" s="59">
        <f>SUMIFS(TabVentes[Mt Par Ech],TabVentes[Nature],$B31,TabVentes[Échéance 1],"&lt;="&amp;E$22,TabVentes[Fin Ech.],"&gt;="&amp; E$22)</f>
        <v>0</v>
      </c>
      <c r="F31" s="59">
        <f>SUMIFS(TabVentes[Mt Par Ech],TabVentes[Nature],$B31,TabVentes[Échéance 1],"&lt;="&amp;F$22,TabVentes[Fin Ech.],"&gt;="&amp; F$22)</f>
        <v>4000</v>
      </c>
      <c r="G31" s="59">
        <f>SUMIFS(TabVentes[Mt Par Ech],TabVentes[Nature],$B31,TabVentes[Échéance 1],"&lt;="&amp;G$22,TabVentes[Fin Ech.],"&gt;="&amp; G$22)</f>
        <v>0</v>
      </c>
      <c r="H31" s="59">
        <f>SUMIFS(TabVentes[Mt Par Ech],TabVentes[Nature],$B31,TabVentes[Échéance 1],"&lt;="&amp;H$22,TabVentes[Fin Ech.],"&gt;="&amp; H$22)</f>
        <v>0</v>
      </c>
      <c r="I31" s="59">
        <f>SUMIFS(TabVentes[Mt Par Ech],TabVentes[Nature],$B31,TabVentes[Échéance 1],"&lt;="&amp;I$22,TabVentes[Fin Ech.],"&gt;="&amp; I$22)</f>
        <v>0</v>
      </c>
      <c r="J31" s="59">
        <f>SUMIFS(TabVentes[Mt Par Ech],TabVentes[Nature],$B31,TabVentes[Échéance 1],"&lt;="&amp;J$22,TabVentes[Fin Ech.],"&gt;="&amp; J$22)</f>
        <v>0</v>
      </c>
      <c r="K31" s="59">
        <f>SUMIFS(TabVentes[Mt Par Ech],TabVentes[Nature],$B31,TabVentes[Échéance 1],"&lt;="&amp;K$22,TabVentes[Fin Ech.],"&gt;="&amp; K$22)</f>
        <v>0</v>
      </c>
      <c r="L31" s="59">
        <f>SUMIFS(TabVentes[Mt Par Ech],TabVentes[Nature],$B31,TabVentes[Échéance 1],"&lt;="&amp;L$22,TabVentes[Fin Ech.],"&gt;="&amp; L$22)</f>
        <v>0</v>
      </c>
      <c r="M31" s="59">
        <f>SUMIFS(TabVentes[Mt Par Ech],TabVentes[Nature],$B31,TabVentes[Échéance 1],"&lt;="&amp;M$22,TabVentes[Fin Ech.],"&gt;="&amp; M$22)</f>
        <v>0</v>
      </c>
      <c r="N31" s="59">
        <f>SUMIFS(TabVentes[Mt Par Ech],TabVentes[Nature],$B31,TabVentes[Échéance 1],"&lt;="&amp;N$22,TabVentes[Fin Ech.],"&gt;="&amp; N$22)</f>
        <v>0</v>
      </c>
      <c r="P31" s="61">
        <f t="shared" si="2"/>
        <v>4000</v>
      </c>
    </row>
    <row r="32" spans="2:16" ht="30" customHeight="1" x14ac:dyDescent="0.25">
      <c r="B32" s="1" t="s">
        <v>19</v>
      </c>
      <c r="C32" s="59">
        <f>SUMIFS(TabVentes[Mt Par Ech],TabVentes[Nature],$B32,TabVentes[Échéance 1],"&lt;="&amp;C$22,TabVentes[Fin Ech.],"&gt;="&amp; C$22)</f>
        <v>0</v>
      </c>
      <c r="D32" s="59">
        <f>SUMIFS(TabVentes[Mt Par Ech],TabVentes[Nature],$B32,TabVentes[Échéance 1],"&lt;="&amp;D$22,TabVentes[Fin Ech.],"&gt;="&amp; D$22)</f>
        <v>0</v>
      </c>
      <c r="E32" s="59">
        <f>SUMIFS(TabVentes[Mt Par Ech],TabVentes[Nature],$B32,TabVentes[Échéance 1],"&lt;="&amp;E$22,TabVentes[Fin Ech.],"&gt;="&amp; E$22)</f>
        <v>0</v>
      </c>
      <c r="F32" s="59">
        <f>SUMIFS(TabVentes[Mt Par Ech],TabVentes[Nature],$B32,TabVentes[Échéance 1],"&lt;="&amp;F$22,TabVentes[Fin Ech.],"&gt;="&amp; F$22)</f>
        <v>0</v>
      </c>
      <c r="G32" s="59">
        <f>SUMIFS(TabVentes[Mt Par Ech],TabVentes[Nature],$B32,TabVentes[Échéance 1],"&lt;="&amp;G$22,TabVentes[Fin Ech.],"&gt;="&amp; G$22)</f>
        <v>0</v>
      </c>
      <c r="H32" s="59">
        <f>SUMIFS(TabVentes[Mt Par Ech],TabVentes[Nature],$B32,TabVentes[Échéance 1],"&lt;="&amp;H$22,TabVentes[Fin Ech.],"&gt;="&amp; H$22)</f>
        <v>0</v>
      </c>
      <c r="I32" s="59">
        <f>SUMIFS(TabVentes[Mt Par Ech],TabVentes[Nature],$B32,TabVentes[Échéance 1],"&lt;="&amp;I$22,TabVentes[Fin Ech.],"&gt;="&amp; I$22)</f>
        <v>0</v>
      </c>
      <c r="J32" s="59">
        <f>SUMIFS(TabVentes[Mt Par Ech],TabVentes[Nature],$B32,TabVentes[Échéance 1],"&lt;="&amp;J$22,TabVentes[Fin Ech.],"&gt;="&amp; J$22)</f>
        <v>0</v>
      </c>
      <c r="K32" s="59">
        <f>SUMIFS(TabVentes[Mt Par Ech],TabVentes[Nature],$B32,TabVentes[Échéance 1],"&lt;="&amp;K$22,TabVentes[Fin Ech.],"&gt;="&amp; K$22)</f>
        <v>0</v>
      </c>
      <c r="L32" s="59">
        <f>SUMIFS(TabVentes[Mt Par Ech],TabVentes[Nature],$B32,TabVentes[Échéance 1],"&lt;="&amp;L$22,TabVentes[Fin Ech.],"&gt;="&amp; L$22)</f>
        <v>0</v>
      </c>
      <c r="M32" s="59">
        <f>SUMIFS(TabVentes[Mt Par Ech],TabVentes[Nature],$B32,TabVentes[Échéance 1],"&lt;="&amp;M$22,TabVentes[Fin Ech.],"&gt;="&amp; M$22)</f>
        <v>0</v>
      </c>
      <c r="N32" s="59">
        <f>SUMIFS(TabVentes[Mt Par Ech],TabVentes[Nature],$B32,TabVentes[Échéance 1],"&lt;="&amp;N$22,TabVentes[Fin Ech.],"&gt;="&amp; N$22)</f>
        <v>0</v>
      </c>
      <c r="P32" s="61">
        <f t="shared" si="2"/>
        <v>0</v>
      </c>
    </row>
    <row r="33" spans="2:16" ht="30" customHeight="1" x14ac:dyDescent="0.25">
      <c r="B33" s="1" t="s">
        <v>3</v>
      </c>
      <c r="C33" s="59">
        <f>SUMIFS(TabVentes[Mt Par Ech],TabVentes[Nature],$B33,TabVentes[Échéance 1],"&lt;="&amp;C$22,TabVentes[Fin Ech.],"&gt;="&amp; C$22)</f>
        <v>0</v>
      </c>
      <c r="D33" s="59">
        <f>SUMIFS(TabVentes[Mt Par Ech],TabVentes[Nature],$B33,TabVentes[Échéance 1],"&lt;="&amp;D$22,TabVentes[Fin Ech.],"&gt;="&amp; D$22)</f>
        <v>0</v>
      </c>
      <c r="E33" s="59">
        <f>SUMIFS(TabVentes[Mt Par Ech],TabVentes[Nature],$B33,TabVentes[Échéance 1],"&lt;="&amp;E$22,TabVentes[Fin Ech.],"&gt;="&amp; E$22)</f>
        <v>0</v>
      </c>
      <c r="F33" s="59">
        <f>SUMIFS(TabVentes[Mt Par Ech],TabVentes[Nature],$B33,TabVentes[Échéance 1],"&lt;="&amp;F$22,TabVentes[Fin Ech.],"&gt;="&amp; F$22)</f>
        <v>0</v>
      </c>
      <c r="G33" s="59">
        <f>SUMIFS(TabVentes[Mt Par Ech],TabVentes[Nature],$B33,TabVentes[Échéance 1],"&lt;="&amp;G$22,TabVentes[Fin Ech.],"&gt;="&amp; G$22)</f>
        <v>0</v>
      </c>
      <c r="H33" s="59">
        <f>SUMIFS(TabVentes[Mt Par Ech],TabVentes[Nature],$B33,TabVentes[Échéance 1],"&lt;="&amp;H$22,TabVentes[Fin Ech.],"&gt;="&amp; H$22)</f>
        <v>0</v>
      </c>
      <c r="I33" s="59">
        <f>SUMIFS(TabVentes[Mt Par Ech],TabVentes[Nature],$B33,TabVentes[Échéance 1],"&lt;="&amp;I$22,TabVentes[Fin Ech.],"&gt;="&amp; I$22)</f>
        <v>0</v>
      </c>
      <c r="J33" s="59">
        <f>SUMIFS(TabVentes[Mt Par Ech],TabVentes[Nature],$B33,TabVentes[Échéance 1],"&lt;="&amp;J$22,TabVentes[Fin Ech.],"&gt;="&amp; J$22)</f>
        <v>0</v>
      </c>
      <c r="K33" s="59">
        <f>SUMIFS(TabVentes[Mt Par Ech],TabVentes[Nature],$B33,TabVentes[Échéance 1],"&lt;="&amp;K$22,TabVentes[Fin Ech.],"&gt;="&amp; K$22)</f>
        <v>0</v>
      </c>
      <c r="L33" s="59">
        <f>SUMIFS(TabVentes[Mt Par Ech],TabVentes[Nature],$B33,TabVentes[Échéance 1],"&lt;="&amp;L$22,TabVentes[Fin Ech.],"&gt;="&amp; L$22)</f>
        <v>0</v>
      </c>
      <c r="M33" s="59">
        <f>SUMIFS(TabVentes[Mt Par Ech],TabVentes[Nature],$B33,TabVentes[Échéance 1],"&lt;="&amp;M$22,TabVentes[Fin Ech.],"&gt;="&amp; M$22)</f>
        <v>0</v>
      </c>
      <c r="N33" s="59">
        <f>SUMIFS(TabVentes[Mt Par Ech],TabVentes[Nature],$B33,TabVentes[Échéance 1],"&lt;="&amp;N$22,TabVentes[Fin Ech.],"&gt;="&amp; N$22)</f>
        <v>0</v>
      </c>
      <c r="P33" s="61">
        <f t="shared" si="2"/>
        <v>0</v>
      </c>
    </row>
    <row r="34" spans="2:16" ht="30" customHeight="1" x14ac:dyDescent="0.25">
      <c r="B34" s="4" t="s">
        <v>4</v>
      </c>
      <c r="C34" s="59">
        <f>SUBTOTAL(109,Tableau14[Colonne1])</f>
        <v>8400</v>
      </c>
      <c r="D34" s="59">
        <f>SUBTOTAL(109,Tableau14[Colonne2])</f>
        <v>5700</v>
      </c>
      <c r="E34" s="59">
        <f>SUBTOTAL(109,Tableau14[Colonne3])</f>
        <v>2100</v>
      </c>
      <c r="F34" s="59">
        <f>SUBTOTAL(109,Tableau14[Colonne4])</f>
        <v>4000</v>
      </c>
      <c r="G34" s="59">
        <f>SUBTOTAL(109,Tableau14[Colonne5])</f>
        <v>0</v>
      </c>
      <c r="H34" s="59">
        <f>SUBTOTAL(109,Tableau14[Colonne6])</f>
        <v>0</v>
      </c>
      <c r="I34" s="59">
        <f>SUBTOTAL(109,Tableau14[Colonne7])</f>
        <v>13500</v>
      </c>
      <c r="J34" s="59">
        <f>SUBTOTAL(109,Tableau14[Colonne8])</f>
        <v>12000</v>
      </c>
      <c r="K34" s="59">
        <f>SUBTOTAL(109,Tableau14[Colonne9])</f>
        <v>12000</v>
      </c>
      <c r="L34" s="59">
        <f>SUBTOTAL(109,Tableau14[Colonne10])</f>
        <v>12000</v>
      </c>
      <c r="M34" s="59">
        <f>SUBTOTAL(109,Tableau14[Colonne11])</f>
        <v>12000</v>
      </c>
      <c r="N34" s="59">
        <f>SUBTOTAL(109,Tableau14[Colonne12])</f>
        <v>0</v>
      </c>
      <c r="P34" s="65">
        <f>SUM(P27:P33)</f>
        <v>81700</v>
      </c>
    </row>
    <row r="35" spans="2:16" ht="30" customHeight="1" x14ac:dyDescent="0.25">
      <c r="B35" s="4" t="s">
        <v>5</v>
      </c>
      <c r="C35" s="66">
        <f>C23+Tableau14[[#Totals],[Colonne1]]</f>
        <v>28400</v>
      </c>
      <c r="D35" s="66">
        <f>D23+Tableau14[[#Totals],[Colonne2]]</f>
        <v>5700</v>
      </c>
      <c r="E35" s="66">
        <f>E23+Tableau14[[#Totals],[Colonne3]]</f>
        <v>2100</v>
      </c>
      <c r="F35" s="66">
        <f>F23+Tableau14[[#Totals],[Colonne4]]</f>
        <v>4000</v>
      </c>
      <c r="G35" s="66">
        <f>G23+Tableau14[[#Totals],[Colonne5]]</f>
        <v>0</v>
      </c>
      <c r="H35" s="66">
        <f>H23+Tableau14[[#Totals],[Colonne6]]</f>
        <v>0</v>
      </c>
      <c r="I35" s="66">
        <f>I23+Tableau14[[#Totals],[Colonne7]]</f>
        <v>13500</v>
      </c>
      <c r="J35" s="66">
        <f>J23+Tableau14[[#Totals],[Colonne8]]</f>
        <v>12000</v>
      </c>
      <c r="K35" s="66">
        <f>K23+Tableau14[[#Totals],[Colonne9]]</f>
        <v>12000</v>
      </c>
      <c r="L35" s="66">
        <f>L23+Tableau14[[#Totals],[Colonne10]]</f>
        <v>12000</v>
      </c>
      <c r="M35" s="66">
        <f>M23+Tableau14[[#Totals],[Colonne11]]</f>
        <v>12000</v>
      </c>
      <c r="N35" s="66">
        <f>N23+Tableau14[[#Totals],[Colonne12]]</f>
        <v>0</v>
      </c>
    </row>
    <row r="36" spans="2:16" ht="30" customHeight="1" x14ac:dyDescent="0.25">
      <c r="C36" s="22"/>
    </row>
    <row r="37" spans="2:16" ht="30" customHeight="1" x14ac:dyDescent="0.25">
      <c r="C37" s="22"/>
    </row>
    <row r="38" spans="2:16" ht="30" customHeight="1" x14ac:dyDescent="0.3">
      <c r="B38" s="67" t="s">
        <v>100</v>
      </c>
      <c r="C38"/>
      <c r="D38"/>
      <c r="E38"/>
      <c r="F38"/>
      <c r="G38"/>
      <c r="H38"/>
      <c r="I38"/>
      <c r="J38"/>
      <c r="K38"/>
      <c r="L38"/>
      <c r="M38"/>
      <c r="N38"/>
    </row>
    <row r="39" spans="2:16" ht="30" customHeight="1" x14ac:dyDescent="0.25">
      <c r="B39" s="1" t="s">
        <v>101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</row>
    <row r="40" spans="2:16" ht="30" customHeight="1" x14ac:dyDescent="0.25">
      <c r="B40" s="1" t="s">
        <v>20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</row>
    <row r="41" spans="2:16" ht="30" customHeight="1" x14ac:dyDescent="0.25">
      <c r="B41" s="1" t="s">
        <v>102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</row>
    <row r="42" spans="2:16" ht="30" customHeight="1" x14ac:dyDescent="0.25">
      <c r="B42" s="1" t="s">
        <v>103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</row>
    <row r="43" spans="2:16" ht="30" customHeight="1" x14ac:dyDescent="0.25">
      <c r="B43" s="1" t="s">
        <v>21</v>
      </c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</row>
    <row r="44" spans="2:16" ht="30" customHeight="1" x14ac:dyDescent="0.25">
      <c r="B44" s="1" t="s">
        <v>57</v>
      </c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</row>
    <row r="45" spans="2:16" ht="30" customHeight="1" x14ac:dyDescent="0.25">
      <c r="B45" s="1" t="s">
        <v>104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</row>
    <row r="46" spans="2:16" ht="30" customHeight="1" x14ac:dyDescent="0.25">
      <c r="B46" s="1" t="s">
        <v>26</v>
      </c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</row>
    <row r="47" spans="2:16" ht="30" customHeight="1" x14ac:dyDescent="0.25">
      <c r="B47" s="1" t="s">
        <v>105</v>
      </c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</row>
    <row r="48" spans="2:16" ht="30" customHeight="1" x14ac:dyDescent="0.25">
      <c r="B48" s="1" t="s">
        <v>22</v>
      </c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</row>
    <row r="49" spans="2:14" ht="30" customHeight="1" x14ac:dyDescent="0.25">
      <c r="B49" s="1" t="s">
        <v>23</v>
      </c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</row>
    <row r="50" spans="2:14" ht="30" customHeight="1" x14ac:dyDescent="0.25">
      <c r="B50" s="1" t="s">
        <v>106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</row>
    <row r="51" spans="2:14" ht="30" customHeight="1" x14ac:dyDescent="0.25">
      <c r="B51" s="1" t="s">
        <v>107</v>
      </c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</row>
    <row r="52" spans="2:14" ht="30" customHeight="1" x14ac:dyDescent="0.25">
      <c r="B52" s="1" t="s">
        <v>108</v>
      </c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</row>
    <row r="53" spans="2:14" ht="30" customHeight="1" x14ac:dyDescent="0.25">
      <c r="B53" s="1" t="s">
        <v>109</v>
      </c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</row>
    <row r="54" spans="2:14" ht="30" customHeight="1" x14ac:dyDescent="0.25">
      <c r="B54" s="1" t="s">
        <v>110</v>
      </c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</row>
    <row r="55" spans="2:14" ht="30" customHeight="1" x14ac:dyDescent="0.25">
      <c r="B55" s="1" t="s">
        <v>111</v>
      </c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</row>
    <row r="56" spans="2:14" ht="30" customHeight="1" x14ac:dyDescent="0.25">
      <c r="B56" s="1" t="s">
        <v>112</v>
      </c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</row>
    <row r="57" spans="2:14" ht="30" customHeight="1" x14ac:dyDescent="0.25">
      <c r="B57" s="1" t="s">
        <v>113</v>
      </c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</row>
    <row r="58" spans="2:14" ht="30" customHeight="1" x14ac:dyDescent="0.25">
      <c r="B58" s="1" t="s">
        <v>6</v>
      </c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2:14" ht="30" customHeight="1" x14ac:dyDescent="0.25">
      <c r="B59" s="1" t="s">
        <v>114</v>
      </c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</row>
    <row r="60" spans="2:14" ht="30" customHeight="1" x14ac:dyDescent="0.25">
      <c r="B60" s="4" t="s">
        <v>115</v>
      </c>
    </row>
    <row r="61" spans="2:14" ht="30" customHeight="1" x14ac:dyDescent="0.25">
      <c r="B61" s="1"/>
    </row>
    <row r="62" spans="2:14" ht="30" customHeight="1" x14ac:dyDescent="0.25">
      <c r="B62" s="1" t="s">
        <v>116</v>
      </c>
    </row>
    <row r="63" spans="2:14" ht="30" customHeight="1" x14ac:dyDescent="0.25">
      <c r="B63" s="1" t="s">
        <v>117</v>
      </c>
    </row>
    <row r="64" spans="2:14" ht="30" customHeight="1" x14ac:dyDescent="0.25">
      <c r="B64" s="1" t="s">
        <v>118</v>
      </c>
    </row>
    <row r="65" spans="2:2" ht="30" customHeight="1" x14ac:dyDescent="0.25">
      <c r="B65" s="1" t="s">
        <v>119</v>
      </c>
    </row>
    <row r="66" spans="2:2" ht="30" customHeight="1" x14ac:dyDescent="0.25">
      <c r="B66" s="1" t="s">
        <v>120</v>
      </c>
    </row>
    <row r="67" spans="2:2" ht="30" customHeight="1" x14ac:dyDescent="0.25">
      <c r="B67" s="4" t="s">
        <v>121</v>
      </c>
    </row>
    <row r="68" spans="2:2" ht="30" customHeight="1" x14ac:dyDescent="0.25">
      <c r="B68" s="4" t="s">
        <v>122</v>
      </c>
    </row>
  </sheetData>
  <mergeCells count="1">
    <mergeCell ref="P22:P23"/>
  </mergeCells>
  <conditionalFormatting sqref="C23:J23 L23:O23">
    <cfRule type="expression" dxfId="61" priority="29">
      <formula>C23&lt;Minimum_trésorerie</formula>
    </cfRule>
  </conditionalFormatting>
  <conditionalFormatting sqref="K23">
    <cfRule type="expression" dxfId="60" priority="27">
      <formula>K23&lt;Minimum_trésorerie</formula>
    </cfRule>
  </conditionalFormatting>
  <conditionalFormatting sqref="C23:O23 C27:N37">
    <cfRule type="cellIs" dxfId="59" priority="26" operator="equal">
      <formula>0</formula>
    </cfRule>
  </conditionalFormatting>
  <conditionalFormatting sqref="P27:P33">
    <cfRule type="cellIs" dxfId="58" priority="23" operator="equal">
      <formula>0</formula>
    </cfRule>
  </conditionalFormatting>
  <conditionalFormatting sqref="P34">
    <cfRule type="cellIs" dxfId="57" priority="22" operator="equal">
      <formula>0</formula>
    </cfRule>
  </conditionalFormatting>
  <conditionalFormatting sqref="C39:N39">
    <cfRule type="cellIs" dxfId="56" priority="21" operator="equal">
      <formula>0</formula>
    </cfRule>
  </conditionalFormatting>
  <conditionalFormatting sqref="C40:N40">
    <cfRule type="cellIs" dxfId="55" priority="20" operator="equal">
      <formula>0</formula>
    </cfRule>
  </conditionalFormatting>
  <conditionalFormatting sqref="C41:N41">
    <cfRule type="cellIs" dxfId="54" priority="19" operator="equal">
      <formula>0</formula>
    </cfRule>
  </conditionalFormatting>
  <conditionalFormatting sqref="C42:N42">
    <cfRule type="cellIs" dxfId="53" priority="18" operator="equal">
      <formula>0</formula>
    </cfRule>
  </conditionalFormatting>
  <conditionalFormatting sqref="C43:N43">
    <cfRule type="cellIs" dxfId="52" priority="17" operator="equal">
      <formula>0</formula>
    </cfRule>
  </conditionalFormatting>
  <conditionalFormatting sqref="C44:N44">
    <cfRule type="cellIs" dxfId="51" priority="16" operator="equal">
      <formula>0</formula>
    </cfRule>
  </conditionalFormatting>
  <conditionalFormatting sqref="C45:N45">
    <cfRule type="cellIs" dxfId="50" priority="15" operator="equal">
      <formula>0</formula>
    </cfRule>
  </conditionalFormatting>
  <conditionalFormatting sqref="C46:N46">
    <cfRule type="cellIs" dxfId="49" priority="14" operator="equal">
      <formula>0</formula>
    </cfRule>
  </conditionalFormatting>
  <conditionalFormatting sqref="C47:N47">
    <cfRule type="cellIs" dxfId="48" priority="13" operator="equal">
      <formula>0</formula>
    </cfRule>
  </conditionalFormatting>
  <conditionalFormatting sqref="C48:N48">
    <cfRule type="cellIs" dxfId="47" priority="12" operator="equal">
      <formula>0</formula>
    </cfRule>
  </conditionalFormatting>
  <conditionalFormatting sqref="C49:N49">
    <cfRule type="cellIs" dxfId="46" priority="11" operator="equal">
      <formula>0</formula>
    </cfRule>
  </conditionalFormatting>
  <conditionalFormatting sqref="C50:N50">
    <cfRule type="cellIs" dxfId="45" priority="10" operator="equal">
      <formula>0</formula>
    </cfRule>
  </conditionalFormatting>
  <conditionalFormatting sqref="C51:N51">
    <cfRule type="cellIs" dxfId="44" priority="9" operator="equal">
      <formula>0</formula>
    </cfRule>
  </conditionalFormatting>
  <conditionalFormatting sqref="C52:N52">
    <cfRule type="cellIs" dxfId="43" priority="8" operator="equal">
      <formula>0</formula>
    </cfRule>
  </conditionalFormatting>
  <conditionalFormatting sqref="C53:N53">
    <cfRule type="cellIs" dxfId="42" priority="7" operator="equal">
      <formula>0</formula>
    </cfRule>
  </conditionalFormatting>
  <conditionalFormatting sqref="C54:N54">
    <cfRule type="cellIs" dxfId="41" priority="6" operator="equal">
      <formula>0</formula>
    </cfRule>
  </conditionalFormatting>
  <conditionalFormatting sqref="C55:N55">
    <cfRule type="cellIs" dxfId="40" priority="5" operator="equal">
      <formula>0</formula>
    </cfRule>
  </conditionalFormatting>
  <conditionalFormatting sqref="C56:N56">
    <cfRule type="cellIs" dxfId="39" priority="4" operator="equal">
      <formula>0</formula>
    </cfRule>
  </conditionalFormatting>
  <conditionalFormatting sqref="C57:N57">
    <cfRule type="cellIs" dxfId="38" priority="3" operator="equal">
      <formula>0</formula>
    </cfRule>
  </conditionalFormatting>
  <conditionalFormatting sqref="C58:N58">
    <cfRule type="cellIs" dxfId="37" priority="2" operator="equal">
      <formula>0</formula>
    </cfRule>
  </conditionalFormatting>
  <conditionalFormatting sqref="C59:N59">
    <cfRule type="cellIs" dxfId="36" priority="1" operator="equal">
      <formula>0</formula>
    </cfRule>
  </conditionalFormatting>
  <dataValidations count="4">
    <dataValidation allowBlank="1" showInputMessage="1" showErrorMessage="1" prompt="Entrez les articles d’encaissement pour chaque mois._x000a__x000a_Pour les retours et les indemnités, entrez les valeurs sous la forme de nombres positifs._x000a_" sqref="B25" xr:uid="{778EDA0F-9C2B-439B-A98F-522B7AE3AF95}"/>
    <dataValidation allowBlank="1" showInputMessage="1" showErrorMessage="1" prompt="Entrez une alerte de solde minimal. Le modèle est mis en surbrillance si le solde de caisse est inférieur à la valeur minimale d’alerte." sqref="J20" xr:uid="{E81CEAFA-B412-473C-A73C-38D85AA5CDC1}"/>
    <dataValidation allowBlank="1" showInputMessage="1" showErrorMessage="1" prompt="Entrer une date de début à partir de laquelle un échéancier de prévision d’un an commence" sqref="F20" xr:uid="{9D1FB9F8-1FF2-4418-AFD0-8F8CF1941B42}"/>
    <dataValidation allowBlank="1" showInputMessage="1" showErrorMessage="1" prompt="Entrer le montant de trésorerie initial à la date de début" sqref="C20" xr:uid="{40BE5A17-53E3-4082-AE9E-52575E613F94}"/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C4468-3BC8-44A6-B5B0-B8168C75A2A2}">
  <sheetPr codeName="Feuil9"/>
  <dimension ref="A1:V41"/>
  <sheetViews>
    <sheetView showGridLines="0" workbookViewId="0">
      <pane ySplit="18" topLeftCell="A28" activePane="bottomLeft" state="frozen"/>
      <selection pane="bottomLeft" activeCell="G39" sqref="G39"/>
    </sheetView>
  </sheetViews>
  <sheetFormatPr baseColWidth="10" defaultColWidth="15.77734375" defaultRowHeight="13.5" x14ac:dyDescent="0.25"/>
  <cols>
    <col min="1" max="1" width="3.77734375" style="8" customWidth="1"/>
    <col min="2" max="2" width="17.109375" style="20" customWidth="1"/>
    <col min="3" max="3" width="16.21875" style="38" customWidth="1"/>
    <col min="4" max="4" width="19.21875" style="22" bestFit="1" customWidth="1"/>
    <col min="5" max="5" width="9.21875" style="22" bestFit="1" customWidth="1"/>
    <col min="6" max="6" width="11.109375" style="22" customWidth="1"/>
    <col min="7" max="7" width="29.21875" style="22" bestFit="1" customWidth="1"/>
    <col min="8" max="8" width="13.21875" style="22" customWidth="1"/>
    <col min="9" max="16" width="12.88671875" style="22" bestFit="1" customWidth="1"/>
    <col min="17" max="19" width="13.88671875" style="22" bestFit="1" customWidth="1"/>
    <col min="20" max="16384" width="15.77734375" style="22"/>
  </cols>
  <sheetData>
    <row r="1" spans="1:10" s="29" customFormat="1" x14ac:dyDescent="0.25">
      <c r="A1" s="26"/>
      <c r="B1" s="27"/>
      <c r="C1" s="42"/>
    </row>
    <row r="2" spans="1:10" s="29" customFormat="1" x14ac:dyDescent="0.25">
      <c r="A2" s="26"/>
      <c r="B2" s="27"/>
      <c r="C2" s="42"/>
    </row>
    <row r="3" spans="1:10" s="29" customFormat="1" x14ac:dyDescent="0.25">
      <c r="A3" s="26"/>
      <c r="B3" s="27"/>
      <c r="C3" s="42"/>
    </row>
    <row r="4" spans="1:10" s="29" customFormat="1" x14ac:dyDescent="0.25">
      <c r="A4" s="30"/>
      <c r="B4" s="27"/>
      <c r="C4" s="42"/>
    </row>
    <row r="5" spans="1:10" s="29" customFormat="1" x14ac:dyDescent="0.25">
      <c r="A5" s="30"/>
      <c r="B5" s="27"/>
      <c r="C5" s="42"/>
    </row>
    <row r="6" spans="1:10" s="29" customFormat="1" x14ac:dyDescent="0.25">
      <c r="A6" s="30"/>
      <c r="B6" s="27"/>
      <c r="C6" s="42"/>
    </row>
    <row r="7" spans="1:10" s="29" customFormat="1" x14ac:dyDescent="0.25">
      <c r="A7" s="30"/>
      <c r="B7" s="27"/>
      <c r="C7" s="42"/>
    </row>
    <row r="8" spans="1:10" s="29" customFormat="1" x14ac:dyDescent="0.25">
      <c r="A8" s="30"/>
      <c r="B8" s="27"/>
      <c r="C8" s="42"/>
    </row>
    <row r="9" spans="1:10" s="29" customFormat="1" x14ac:dyDescent="0.25">
      <c r="A9" s="30"/>
      <c r="B9" s="27"/>
      <c r="C9" s="42"/>
    </row>
    <row r="10" spans="1:10" s="29" customFormat="1" x14ac:dyDescent="0.25">
      <c r="A10" s="30"/>
      <c r="B10" s="31"/>
      <c r="C10" s="42"/>
      <c r="F10" s="30"/>
      <c r="G10" s="30"/>
      <c r="H10" s="30"/>
      <c r="I10" s="30"/>
      <c r="J10" s="30"/>
    </row>
    <row r="12" spans="1:10" x14ac:dyDescent="0.25">
      <c r="B12" s="24" t="s">
        <v>30</v>
      </c>
      <c r="D12" s="33" t="s">
        <v>35</v>
      </c>
    </row>
    <row r="13" spans="1:10" x14ac:dyDescent="0.25">
      <c r="B13" s="24"/>
      <c r="C13" s="32" t="s">
        <v>36</v>
      </c>
      <c r="D13" s="22" t="s">
        <v>37</v>
      </c>
    </row>
    <row r="14" spans="1:10" x14ac:dyDescent="0.25">
      <c r="B14" s="24"/>
      <c r="C14" s="41" t="s">
        <v>34</v>
      </c>
      <c r="D14" s="22" t="s">
        <v>33</v>
      </c>
      <c r="G14" s="39"/>
    </row>
    <row r="15" spans="1:10" x14ac:dyDescent="0.25">
      <c r="B15" s="24"/>
      <c r="C15" s="41" t="s">
        <v>38</v>
      </c>
      <c r="D15" s="22" t="s">
        <v>39</v>
      </c>
      <c r="I15" s="34"/>
    </row>
    <row r="16" spans="1:10" x14ac:dyDescent="0.25">
      <c r="B16" s="24"/>
      <c r="C16" s="41" t="s">
        <v>40</v>
      </c>
      <c r="D16" s="22" t="s">
        <v>41</v>
      </c>
    </row>
    <row r="18" spans="1:22" s="35" customFormat="1" x14ac:dyDescent="0.25">
      <c r="A18" s="6"/>
      <c r="B18" s="36" t="s">
        <v>11</v>
      </c>
      <c r="C18" s="36" t="s">
        <v>55</v>
      </c>
      <c r="D18" s="37" t="s">
        <v>25</v>
      </c>
      <c r="E18" s="3" t="s">
        <v>32</v>
      </c>
      <c r="F18" s="3" t="s">
        <v>12</v>
      </c>
      <c r="G18" s="3" t="s">
        <v>13</v>
      </c>
      <c r="H18" s="3" t="s">
        <v>54</v>
      </c>
      <c r="I18" s="3" t="s">
        <v>31</v>
      </c>
      <c r="J18" s="3" t="s">
        <v>14</v>
      </c>
      <c r="K18" s="3" t="s">
        <v>42</v>
      </c>
      <c r="L18" s="3" t="s">
        <v>43</v>
      </c>
      <c r="M18" s="3" t="s">
        <v>44</v>
      </c>
      <c r="N18" s="3" t="s">
        <v>45</v>
      </c>
      <c r="O18" s="3" t="s">
        <v>46</v>
      </c>
      <c r="P18" s="3" t="s">
        <v>47</v>
      </c>
      <c r="Q18" s="3" t="s">
        <v>48</v>
      </c>
      <c r="R18" s="3" t="s">
        <v>49</v>
      </c>
      <c r="S18" s="3" t="s">
        <v>50</v>
      </c>
      <c r="T18" s="3" t="s">
        <v>51</v>
      </c>
      <c r="U18" s="3" t="s">
        <v>52</v>
      </c>
      <c r="V18" s="3" t="s">
        <v>53</v>
      </c>
    </row>
    <row r="19" spans="1:22" x14ac:dyDescent="0.25">
      <c r="B19" s="23" t="s">
        <v>83</v>
      </c>
      <c r="C19" s="40" t="s">
        <v>59</v>
      </c>
      <c r="D19" s="37" t="s">
        <v>22</v>
      </c>
      <c r="E19" s="3" t="s">
        <v>36</v>
      </c>
      <c r="F19" s="37">
        <v>44562</v>
      </c>
      <c r="G19" s="2" t="s">
        <v>60</v>
      </c>
      <c r="H19" s="43">
        <f t="shared" ref="H19:H40" si="0">IF(I19="","",J19-I19)</f>
        <v>943.86999999999989</v>
      </c>
      <c r="I19" s="43">
        <v>175.18</v>
      </c>
      <c r="J19" s="43">
        <v>1119.05</v>
      </c>
      <c r="K19" s="37">
        <v>44562</v>
      </c>
      <c r="L19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19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19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19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19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19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19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19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19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19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19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0" spans="1:22" x14ac:dyDescent="0.25">
      <c r="B20" s="23" t="s">
        <v>84</v>
      </c>
      <c r="C20" s="40" t="s">
        <v>59</v>
      </c>
      <c r="D20" s="37" t="s">
        <v>22</v>
      </c>
      <c r="E20" s="3" t="s">
        <v>36</v>
      </c>
      <c r="F20" s="37">
        <v>44592</v>
      </c>
      <c r="G20" s="2" t="s">
        <v>60</v>
      </c>
      <c r="H20" s="43">
        <f t="shared" si="0"/>
        <v>402.42</v>
      </c>
      <c r="I20" s="43">
        <v>0.3</v>
      </c>
      <c r="J20" s="43">
        <v>402.72</v>
      </c>
      <c r="K20" s="37">
        <v>44592</v>
      </c>
      <c r="L20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0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0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0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0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0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0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0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0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0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0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1" spans="1:22" x14ac:dyDescent="0.25">
      <c r="B21" s="23" t="s">
        <v>85</v>
      </c>
      <c r="C21" s="40" t="s">
        <v>59</v>
      </c>
      <c r="D21" s="37" t="s">
        <v>22</v>
      </c>
      <c r="E21" s="3" t="s">
        <v>36</v>
      </c>
      <c r="F21" s="37">
        <v>44620</v>
      </c>
      <c r="G21" s="2" t="s">
        <v>60</v>
      </c>
      <c r="H21" s="43" t="str">
        <f t="shared" si="0"/>
        <v/>
      </c>
      <c r="I21" s="43"/>
      <c r="J21" s="43">
        <v>549.08000000000004</v>
      </c>
      <c r="K21" s="37">
        <v>44620</v>
      </c>
      <c r="L21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1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1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1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1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1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1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1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1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1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1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2" spans="1:22" x14ac:dyDescent="0.25">
      <c r="B22" s="23" t="s">
        <v>83</v>
      </c>
      <c r="C22" s="40" t="s">
        <v>59</v>
      </c>
      <c r="D22" s="37" t="s">
        <v>22</v>
      </c>
      <c r="E22" s="3" t="s">
        <v>36</v>
      </c>
      <c r="F22" s="37">
        <v>44650</v>
      </c>
      <c r="G22" s="2" t="s">
        <v>60</v>
      </c>
      <c r="H22" s="43" t="str">
        <f t="shared" si="0"/>
        <v/>
      </c>
      <c r="I22" s="43"/>
      <c r="J22" s="43">
        <v>476.4</v>
      </c>
      <c r="K22" s="37">
        <v>44650</v>
      </c>
      <c r="L22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2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2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2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2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2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2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2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2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2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2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3" spans="1:22" x14ac:dyDescent="0.25">
      <c r="B23" s="23" t="s">
        <v>27</v>
      </c>
      <c r="C23" s="40" t="s">
        <v>56</v>
      </c>
      <c r="D23" s="37" t="s">
        <v>23</v>
      </c>
      <c r="E23" s="3" t="s">
        <v>36</v>
      </c>
      <c r="F23" s="37">
        <v>44680</v>
      </c>
      <c r="G23" s="2" t="s">
        <v>28</v>
      </c>
      <c r="H23" s="43">
        <f t="shared" si="0"/>
        <v>73.569999999999993</v>
      </c>
      <c r="I23" s="43">
        <v>14.71</v>
      </c>
      <c r="J23" s="43">
        <v>88.28</v>
      </c>
      <c r="K23" s="37">
        <v>44686</v>
      </c>
      <c r="L23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3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3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3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3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3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3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3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3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3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3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4" spans="1:22" x14ac:dyDescent="0.25">
      <c r="B24" s="23" t="s">
        <v>85</v>
      </c>
      <c r="C24" s="40" t="s">
        <v>59</v>
      </c>
      <c r="D24" s="37" t="s">
        <v>22</v>
      </c>
      <c r="E24" s="3" t="s">
        <v>36</v>
      </c>
      <c r="F24" s="37">
        <v>44680</v>
      </c>
      <c r="G24" s="2" t="s">
        <v>60</v>
      </c>
      <c r="H24" s="43" t="str">
        <f t="shared" si="0"/>
        <v/>
      </c>
      <c r="I24" s="43"/>
      <c r="J24" s="43">
        <v>386.75</v>
      </c>
      <c r="K24" s="37">
        <v>44680</v>
      </c>
      <c r="L24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4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4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4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4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4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4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4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4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4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4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5" spans="1:22" x14ac:dyDescent="0.25">
      <c r="B25" s="23" t="s">
        <v>86</v>
      </c>
      <c r="C25" s="40" t="s">
        <v>56</v>
      </c>
      <c r="D25" s="37" t="s">
        <v>23</v>
      </c>
      <c r="E25" s="3" t="s">
        <v>36</v>
      </c>
      <c r="F25" s="37">
        <v>44686</v>
      </c>
      <c r="G25" s="2" t="s">
        <v>88</v>
      </c>
      <c r="H25" s="43">
        <f t="shared" si="0"/>
        <v>216</v>
      </c>
      <c r="I25" s="43">
        <v>43.2</v>
      </c>
      <c r="J25" s="43">
        <v>259.2</v>
      </c>
      <c r="K25" s="37">
        <v>44686</v>
      </c>
      <c r="L25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5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5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5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5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5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5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5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5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5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5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6" spans="1:22" x14ac:dyDescent="0.25">
      <c r="B26" s="23" t="s">
        <v>86</v>
      </c>
      <c r="C26" s="40" t="s">
        <v>56</v>
      </c>
      <c r="D26" s="37" t="s">
        <v>23</v>
      </c>
      <c r="E26" s="3" t="s">
        <v>36</v>
      </c>
      <c r="F26" s="37">
        <v>44686</v>
      </c>
      <c r="G26" s="2" t="s">
        <v>89</v>
      </c>
      <c r="H26" s="43">
        <f t="shared" si="0"/>
        <v>1800</v>
      </c>
      <c r="I26" s="43">
        <v>360</v>
      </c>
      <c r="J26" s="43">
        <v>2160</v>
      </c>
      <c r="K26" s="37">
        <v>44737</v>
      </c>
      <c r="L26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6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6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6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6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6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6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6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6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6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6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7" spans="1:22" x14ac:dyDescent="0.25">
      <c r="B27" s="23" t="s">
        <v>86</v>
      </c>
      <c r="C27" s="40" t="s">
        <v>56</v>
      </c>
      <c r="D27" s="37" t="s">
        <v>23</v>
      </c>
      <c r="E27" s="3" t="s">
        <v>36</v>
      </c>
      <c r="F27" s="37">
        <v>44686</v>
      </c>
      <c r="G27" s="2" t="s">
        <v>29</v>
      </c>
      <c r="H27" s="43">
        <f t="shared" si="0"/>
        <v>13.33</v>
      </c>
      <c r="I27" s="43">
        <v>2.67</v>
      </c>
      <c r="J27" s="43">
        <v>16</v>
      </c>
      <c r="K27" s="37">
        <v>44686</v>
      </c>
      <c r="L27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7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7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7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7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7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7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7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7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7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7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8" spans="1:22" x14ac:dyDescent="0.25">
      <c r="B28" s="23" t="s">
        <v>87</v>
      </c>
      <c r="C28" s="40" t="s">
        <v>61</v>
      </c>
      <c r="D28" s="37" t="s">
        <v>6</v>
      </c>
      <c r="E28" s="3" t="s">
        <v>36</v>
      </c>
      <c r="F28" s="37">
        <v>44686</v>
      </c>
      <c r="G28" s="2" t="s">
        <v>90</v>
      </c>
      <c r="H28" s="43" t="str">
        <f t="shared" si="0"/>
        <v/>
      </c>
      <c r="I28" s="43"/>
      <c r="J28" s="43">
        <v>45.6</v>
      </c>
      <c r="K28" s="37">
        <v>44686</v>
      </c>
      <c r="L28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8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8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8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8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8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8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8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8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8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8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29" spans="1:22" x14ac:dyDescent="0.25">
      <c r="B29" s="23" t="s">
        <v>92</v>
      </c>
      <c r="C29" s="40" t="s">
        <v>56</v>
      </c>
      <c r="D29" s="37" t="s">
        <v>21</v>
      </c>
      <c r="E29" s="3" t="s">
        <v>36</v>
      </c>
      <c r="F29" s="37">
        <v>44691</v>
      </c>
      <c r="G29" s="2" t="s">
        <v>91</v>
      </c>
      <c r="H29" s="43">
        <f t="shared" si="0"/>
        <v>767</v>
      </c>
      <c r="I29" s="43">
        <v>153.4</v>
      </c>
      <c r="J29" s="43">
        <v>920.4</v>
      </c>
      <c r="K29" s="37">
        <v>44712</v>
      </c>
      <c r="L29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29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29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29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29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29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29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29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29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29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29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0" spans="1:22" x14ac:dyDescent="0.25">
      <c r="B30" s="23" t="s">
        <v>93</v>
      </c>
      <c r="C30" s="40" t="s">
        <v>56</v>
      </c>
      <c r="D30" s="37" t="s">
        <v>57</v>
      </c>
      <c r="E30" s="3" t="s">
        <v>36</v>
      </c>
      <c r="F30" s="37">
        <v>44692</v>
      </c>
      <c r="G30" s="2" t="s">
        <v>58</v>
      </c>
      <c r="H30" s="43">
        <f t="shared" si="0"/>
        <v>39.32</v>
      </c>
      <c r="I30" s="43">
        <v>7.86</v>
      </c>
      <c r="J30" s="43">
        <v>47.18</v>
      </c>
      <c r="K30" s="37">
        <v>44701</v>
      </c>
      <c r="L30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0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0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0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0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0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0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0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0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0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0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1" spans="1:22" x14ac:dyDescent="0.25">
      <c r="B31" s="23" t="s">
        <v>84</v>
      </c>
      <c r="C31" s="40" t="s">
        <v>59</v>
      </c>
      <c r="D31" s="37" t="s">
        <v>22</v>
      </c>
      <c r="E31" s="3" t="s">
        <v>36</v>
      </c>
      <c r="F31" s="37">
        <v>44693</v>
      </c>
      <c r="G31" s="2" t="s">
        <v>60</v>
      </c>
      <c r="H31" s="43">
        <f t="shared" si="0"/>
        <v>162.85999999999999</v>
      </c>
      <c r="I31" s="43">
        <v>1.37</v>
      </c>
      <c r="J31" s="43">
        <v>164.23</v>
      </c>
      <c r="K31" s="37">
        <v>44693</v>
      </c>
      <c r="L31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1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1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1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1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1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1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1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1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1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1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2" spans="1:22" x14ac:dyDescent="0.25">
      <c r="B32" s="23" t="s">
        <v>94</v>
      </c>
      <c r="C32" s="40" t="s">
        <v>56</v>
      </c>
      <c r="D32" s="37" t="s">
        <v>20</v>
      </c>
      <c r="E32" s="3" t="s">
        <v>36</v>
      </c>
      <c r="F32" s="37">
        <v>44704</v>
      </c>
      <c r="G32" s="2" t="s">
        <v>63</v>
      </c>
      <c r="H32" s="43">
        <f t="shared" si="0"/>
        <v>1545.83</v>
      </c>
      <c r="I32" s="43">
        <v>309.17</v>
      </c>
      <c r="J32" s="43">
        <v>1855</v>
      </c>
      <c r="K32" s="37">
        <v>44757</v>
      </c>
      <c r="L32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2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2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2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2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2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2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2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2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2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2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3" spans="2:22" x14ac:dyDescent="0.25">
      <c r="B33" s="23" t="s">
        <v>95</v>
      </c>
      <c r="C33" s="40" t="s">
        <v>61</v>
      </c>
      <c r="D33" s="37" t="s">
        <v>20</v>
      </c>
      <c r="E33" s="3" t="s">
        <v>36</v>
      </c>
      <c r="F33" s="37">
        <v>44705</v>
      </c>
      <c r="G33" s="2" t="s">
        <v>62</v>
      </c>
      <c r="H33" s="43">
        <f t="shared" si="0"/>
        <v>28.92</v>
      </c>
      <c r="I33" s="43">
        <v>5.78</v>
      </c>
      <c r="J33" s="43">
        <v>34.700000000000003</v>
      </c>
      <c r="K33" s="37">
        <v>44705</v>
      </c>
      <c r="L33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3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3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3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3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3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3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3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3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3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3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4" spans="2:22" x14ac:dyDescent="0.25">
      <c r="B34" s="23" t="s">
        <v>83</v>
      </c>
      <c r="C34" s="40" t="s">
        <v>59</v>
      </c>
      <c r="D34" s="37" t="s">
        <v>22</v>
      </c>
      <c r="E34" s="3" t="s">
        <v>36</v>
      </c>
      <c r="F34" s="37">
        <v>44712</v>
      </c>
      <c r="G34" s="2" t="s">
        <v>60</v>
      </c>
      <c r="H34" s="43" t="str">
        <f t="shared" si="0"/>
        <v/>
      </c>
      <c r="I34" s="43"/>
      <c r="J34" s="43">
        <v>408.83</v>
      </c>
      <c r="K34" s="37">
        <v>44712</v>
      </c>
      <c r="L34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4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4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4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4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4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4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4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4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4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4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5" spans="2:22" x14ac:dyDescent="0.25">
      <c r="B35" s="23" t="s">
        <v>93</v>
      </c>
      <c r="C35" s="40" t="s">
        <v>56</v>
      </c>
      <c r="D35" s="37" t="s">
        <v>57</v>
      </c>
      <c r="E35" s="3" t="s">
        <v>34</v>
      </c>
      <c r="F35" s="37">
        <v>44715</v>
      </c>
      <c r="G35" s="2" t="s">
        <v>58</v>
      </c>
      <c r="H35" s="43">
        <f t="shared" si="0"/>
        <v>59</v>
      </c>
      <c r="I35" s="43">
        <v>11.8</v>
      </c>
      <c r="J35" s="43">
        <v>70.8</v>
      </c>
      <c r="K35" s="37">
        <v>44722</v>
      </c>
      <c r="L35" s="37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>44752</v>
      </c>
      <c r="M35" s="37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>44783</v>
      </c>
      <c r="N35" s="37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>44814</v>
      </c>
      <c r="O35" s="37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>44844</v>
      </c>
      <c r="P35" s="37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>44875</v>
      </c>
      <c r="Q35" s="37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>44905</v>
      </c>
      <c r="R35" s="37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>44936</v>
      </c>
      <c r="S35" s="37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>44967</v>
      </c>
      <c r="T35" s="37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>44995</v>
      </c>
      <c r="U35" s="37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>45026</v>
      </c>
      <c r="V35" s="37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>45056</v>
      </c>
    </row>
    <row r="36" spans="2:22" x14ac:dyDescent="0.25">
      <c r="B36" s="23" t="s">
        <v>96</v>
      </c>
      <c r="C36" s="40" t="s">
        <v>56</v>
      </c>
      <c r="D36" s="37" t="s">
        <v>20</v>
      </c>
      <c r="E36" s="3" t="s">
        <v>36</v>
      </c>
      <c r="F36" s="37">
        <v>44727</v>
      </c>
      <c r="G36" s="2" t="s">
        <v>64</v>
      </c>
      <c r="H36" s="43">
        <f t="shared" si="0"/>
        <v>1762.8300000000002</v>
      </c>
      <c r="I36" s="43">
        <v>352.57</v>
      </c>
      <c r="J36" s="43">
        <v>2115.4</v>
      </c>
      <c r="K36" s="37">
        <v>44772</v>
      </c>
      <c r="L36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6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6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6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6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6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6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6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6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6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6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7" spans="2:22" x14ac:dyDescent="0.25">
      <c r="B37" s="23" t="s">
        <v>97</v>
      </c>
      <c r="C37" s="40" t="s">
        <v>56</v>
      </c>
      <c r="D37" s="37" t="s">
        <v>57</v>
      </c>
      <c r="E37" s="3" t="s">
        <v>38</v>
      </c>
      <c r="F37" s="37">
        <v>44752</v>
      </c>
      <c r="G37" s="2" t="s">
        <v>69</v>
      </c>
      <c r="H37" s="43">
        <f t="shared" si="0"/>
        <v>363.87</v>
      </c>
      <c r="I37" s="43">
        <v>72.77</v>
      </c>
      <c r="J37" s="43">
        <v>436.64</v>
      </c>
      <c r="K37" s="37">
        <v>44752</v>
      </c>
      <c r="L37" s="37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>44844</v>
      </c>
      <c r="M37" s="37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>44936</v>
      </c>
      <c r="N37" s="37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>45026</v>
      </c>
      <c r="O37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7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7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7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7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7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7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7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8" spans="2:22" x14ac:dyDescent="0.25">
      <c r="B38" s="23" t="s">
        <v>98</v>
      </c>
      <c r="C38" s="40" t="s">
        <v>61</v>
      </c>
      <c r="D38" s="37" t="s">
        <v>26</v>
      </c>
      <c r="E38" s="3" t="s">
        <v>34</v>
      </c>
      <c r="F38" s="37"/>
      <c r="G38" s="2" t="s">
        <v>99</v>
      </c>
      <c r="H38" s="43" t="str">
        <f t="shared" si="0"/>
        <v/>
      </c>
      <c r="I38" s="43"/>
      <c r="J38" s="43"/>
      <c r="K38" s="37"/>
      <c r="L38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8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8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8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8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8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8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8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8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8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8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39" spans="2:22" x14ac:dyDescent="0.25">
      <c r="B39" s="23" t="s">
        <v>86</v>
      </c>
      <c r="C39" s="40" t="s">
        <v>56</v>
      </c>
      <c r="D39" s="37" t="s">
        <v>23</v>
      </c>
      <c r="E39" s="3" t="s">
        <v>34</v>
      </c>
      <c r="F39" s="37"/>
      <c r="G39" s="2" t="s">
        <v>68</v>
      </c>
      <c r="H39" s="43" t="str">
        <f t="shared" si="0"/>
        <v/>
      </c>
      <c r="I39" s="43"/>
      <c r="J39" s="43"/>
      <c r="K39" s="37"/>
      <c r="L39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39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39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39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39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39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39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39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39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39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39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40" spans="2:22" x14ac:dyDescent="0.25">
      <c r="B40" s="23"/>
      <c r="C40" s="40"/>
      <c r="D40" s="37"/>
      <c r="E40" s="3"/>
      <c r="F40" s="37"/>
      <c r="G40" s="2"/>
      <c r="H40" s="43" t="str">
        <f t="shared" si="0"/>
        <v/>
      </c>
      <c r="I40" s="43"/>
      <c r="J40" s="43"/>
      <c r="K40" s="37"/>
      <c r="L40" s="37" t="str">
        <f>IF(Tableau8[[#This Row],[Échéance 1]]="","",IF(Tableau8[[#This Row],[Périodicité]]="","",IF(Tableau8[[#This Row],[Périodicité]]="P","",IF(Tableau8[[#This Row],[Périodicité]]="M",EDATE(Tableau8[[#This Row],[Échéance 1]],1),IF(Tableau8[[#This Row],[Périodicité]]="T",EDATE(Tableau8[[#This Row],[Échéance 1]],3),IF(Tableau8[[#This Row],[Périodicité]]="A","",""))))))</f>
        <v/>
      </c>
      <c r="M40" s="37" t="str">
        <f>IF(Tableau8[[#This Row],[Échéance 1]]="","",IF(Tableau8[[#This Row],[Périodicité]]="","",IF(Tableau8[[#This Row],[Périodicité]]="P","",IF(Tableau8[[#This Row],[Périodicité]]="M",EDATE(Tableau8[[#This Row],[Échéance 1]],2),IF(Tableau8[[#This Row],[Périodicité]]="T",EDATE(Tableau8[[#This Row],[Échéance 1]],6),IF(Tableau8[[#This Row],[Périodicité]]="A","",""))))))</f>
        <v/>
      </c>
      <c r="N40" s="37" t="str">
        <f>IF(Tableau8[[#This Row],[Échéance 1]]="","",IF(Tableau8[[#This Row],[Périodicité]]="","",IF(Tableau8[[#This Row],[Périodicité]]="P","",IF(Tableau8[[#This Row],[Périodicité]]="M",EDATE(Tableau8[[#This Row],[Échéance 1]],3),IF(Tableau8[[#This Row],[Périodicité]]="T",EDATE(Tableau8[[#This Row],[Échéance 1]],9),IF(Tableau8[[#This Row],[Périodicité]]="A","",""))))))</f>
        <v/>
      </c>
      <c r="O40" s="37" t="str">
        <f>IF(Tableau8[[#This Row],[Échéance 1]]="","",IF(Tableau8[[#This Row],[Périodicité]]="","",IF(Tableau8[[#This Row],[Périodicité]]="P","",IF(Tableau8[[#This Row],[Périodicité]]="M",EDATE(Tableau8[[#This Row],[Échéance 1]],4),IF(Tableau8[[#This Row],[Périodicité]]="T","",IF(Tableau8[[#This Row],[Périodicité]]="A","",""))))))</f>
        <v/>
      </c>
      <c r="P40" s="37" t="str">
        <f>IF(Tableau8[[#This Row],[Échéance 1]]="","",IF(Tableau8[[#This Row],[Périodicité]]="","",IF(Tableau8[[#This Row],[Périodicité]]="P","",IF(Tableau8[[#This Row],[Périodicité]]="M",EDATE(Tableau8[[#This Row],[Échéance 1]],5),IF(Tableau8[[#This Row],[Périodicité]]="T","",IF(Tableau8[[#This Row],[Périodicité]]="A","",""))))))</f>
        <v/>
      </c>
      <c r="Q40" s="37" t="str">
        <f>IF(Tableau8[[#This Row],[Échéance 1]]="","",IF(Tableau8[[#This Row],[Périodicité]]="","",IF(Tableau8[[#This Row],[Périodicité]]="P","",IF(Tableau8[[#This Row],[Périodicité]]="M",EDATE(Tableau8[[#This Row],[Échéance 1]],6),IF(Tableau8[[#This Row],[Périodicité]]="T","",IF(Tableau8[[#This Row],[Périodicité]]="A","",""))))))</f>
        <v/>
      </c>
      <c r="R40" s="37" t="str">
        <f>IF(Tableau8[[#This Row],[Échéance 1]]="","",IF(Tableau8[[#This Row],[Périodicité]]="","",IF(Tableau8[[#This Row],[Périodicité]]="P","",IF(Tableau8[[#This Row],[Périodicité]]="M",EDATE(Tableau8[[#This Row],[Échéance 1]],7),IF(Tableau8[[#This Row],[Périodicité]]="T","",IF(Tableau8[[#This Row],[Périodicité]]="A","",""))))))</f>
        <v/>
      </c>
      <c r="S40" s="37" t="str">
        <f>IF(Tableau8[[#This Row],[Échéance 1]]="","",IF(Tableau8[[#This Row],[Périodicité]]="","",IF(Tableau8[[#This Row],[Périodicité]]="P","",IF(Tableau8[[#This Row],[Périodicité]]="M",EDATE(Tableau8[[#This Row],[Échéance 1]],8),IF(Tableau8[[#This Row],[Périodicité]]="T","",IF(Tableau8[[#This Row],[Périodicité]]="A","",""))))))</f>
        <v/>
      </c>
      <c r="T40" s="37" t="str">
        <f>IF(Tableau8[[#This Row],[Échéance 1]]="","",IF(Tableau8[[#This Row],[Périodicité]]="","",IF(Tableau8[[#This Row],[Périodicité]]="P","",IF(Tableau8[[#This Row],[Périodicité]]="M",EDATE(Tableau8[[#This Row],[Échéance 1]],9),IF(Tableau8[[#This Row],[Périodicité]]="T","",IF(Tableau8[[#This Row],[Périodicité]]="A","",""))))))</f>
        <v/>
      </c>
      <c r="U40" s="37" t="str">
        <f>IF(Tableau8[[#This Row],[Échéance 1]]="","",IF(Tableau8[[#This Row],[Périodicité]]="","",IF(Tableau8[[#This Row],[Périodicité]]="P","",IF(Tableau8[[#This Row],[Périodicité]]="M",EDATE(Tableau8[[#This Row],[Échéance 1]],10),IF(Tableau8[[#This Row],[Périodicité]]="T","",IF(Tableau8[[#This Row],[Périodicité]]="A","",""))))))</f>
        <v/>
      </c>
      <c r="V40" s="37" t="str">
        <f>IF(Tableau8[[#This Row],[Échéance 1]]="","",IF(Tableau8[[#This Row],[Périodicité]]="","",IF(Tableau8[[#This Row],[Périodicité]]="P","",IF(Tableau8[[#This Row],[Périodicité]]="M",EDATE(Tableau8[[#This Row],[Échéance 1]],11),IF(Tableau8[[#This Row],[Périodicité]]="T","",IF(Tableau8[[#This Row],[Périodicité]]="A","",""))))))</f>
        <v/>
      </c>
    </row>
    <row r="41" spans="2:22" x14ac:dyDescent="0.25">
      <c r="B41" s="2" t="s">
        <v>9</v>
      </c>
      <c r="C41" s="3"/>
      <c r="D41" s="3"/>
      <c r="E41" s="3"/>
      <c r="F41" s="3"/>
      <c r="G41" s="2"/>
      <c r="H41" s="43">
        <f>SUBTOTAL(109,Tableau8[Montant HT])</f>
        <v>8178.8199999999988</v>
      </c>
      <c r="I41" s="43">
        <f>SUBTOTAL(109,Tableau8[TVA])</f>
        <v>1510.78</v>
      </c>
      <c r="J41" s="43">
        <f>SUBTOTAL(109,Tableau8[Montant TTC])</f>
        <v>11556.259999999998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</sheetData>
  <phoneticPr fontId="26" type="noConversion"/>
  <dataValidations count="1">
    <dataValidation type="list" allowBlank="1" showInputMessage="1" showErrorMessage="1" sqref="D19:D40" xr:uid="{2F56CC32-DCB2-47B3-AFE7-08F9873DD401}">
      <formula1>#REF!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F23-3BF1-4E5C-9C5A-CA677ED846AF}">
  <sheetPr codeName="Feuil10"/>
  <dimension ref="A1:K24"/>
  <sheetViews>
    <sheetView showGridLines="0" workbookViewId="0">
      <selection activeCell="F15" sqref="F15"/>
    </sheetView>
  </sheetViews>
  <sheetFormatPr baseColWidth="10" defaultRowHeight="13.5" x14ac:dyDescent="0.25"/>
  <cols>
    <col min="1" max="1" width="1.77734375" style="8" customWidth="1"/>
    <col min="2" max="2" width="13.33203125" style="20" customWidth="1"/>
    <col min="3" max="3" width="11.5546875" style="21"/>
    <col min="4" max="16384" width="11.5546875" style="22"/>
  </cols>
  <sheetData>
    <row r="1" spans="1:11" s="29" customFormat="1" x14ac:dyDescent="0.25">
      <c r="A1" s="26"/>
      <c r="B1" s="27"/>
      <c r="C1" s="28"/>
    </row>
    <row r="2" spans="1:11" s="29" customFormat="1" x14ac:dyDescent="0.25">
      <c r="A2" s="26"/>
      <c r="B2" s="27"/>
      <c r="C2" s="28"/>
    </row>
    <row r="3" spans="1:11" s="29" customFormat="1" x14ac:dyDescent="0.25">
      <c r="A3" s="26"/>
      <c r="B3" s="27"/>
      <c r="C3" s="28"/>
    </row>
    <row r="4" spans="1:11" s="29" customFormat="1" x14ac:dyDescent="0.25">
      <c r="A4" s="30"/>
      <c r="B4" s="27"/>
      <c r="C4" s="28"/>
    </row>
    <row r="5" spans="1:11" s="29" customFormat="1" x14ac:dyDescent="0.25">
      <c r="A5" s="30"/>
      <c r="B5" s="27"/>
      <c r="C5" s="28"/>
    </row>
    <row r="6" spans="1:11" s="29" customFormat="1" x14ac:dyDescent="0.25">
      <c r="A6" s="30"/>
      <c r="B6" s="27"/>
      <c r="C6" s="28"/>
    </row>
    <row r="7" spans="1:11" s="29" customFormat="1" x14ac:dyDescent="0.25">
      <c r="A7" s="30"/>
      <c r="B7" s="27"/>
      <c r="C7" s="28"/>
    </row>
    <row r="8" spans="1:11" s="29" customFormat="1" x14ac:dyDescent="0.25">
      <c r="A8" s="30"/>
      <c r="B8" s="27"/>
      <c r="C8" s="28"/>
    </row>
    <row r="9" spans="1:11" s="29" customFormat="1" x14ac:dyDescent="0.25">
      <c r="A9" s="30"/>
      <c r="B9" s="27"/>
      <c r="C9" s="28"/>
    </row>
    <row r="10" spans="1:11" s="29" customFormat="1" x14ac:dyDescent="0.25">
      <c r="A10" s="30"/>
      <c r="B10" s="31"/>
      <c r="C10" s="28"/>
      <c r="F10" s="30"/>
      <c r="G10" s="30"/>
      <c r="H10" s="30"/>
      <c r="I10" s="30"/>
      <c r="J10" s="30"/>
      <c r="K10" s="30"/>
    </row>
    <row r="15" spans="1:11" x14ac:dyDescent="0.25">
      <c r="B15" s="24" t="s">
        <v>70</v>
      </c>
      <c r="E15" s="22" t="s">
        <v>75</v>
      </c>
      <c r="F15" s="57">
        <v>44910</v>
      </c>
    </row>
    <row r="17" spans="2:6" x14ac:dyDescent="0.25">
      <c r="B17" s="25" t="s">
        <v>73</v>
      </c>
      <c r="E17" s="47" t="s">
        <v>72</v>
      </c>
    </row>
    <row r="18" spans="2:6" x14ac:dyDescent="0.25">
      <c r="B18" s="23" t="s">
        <v>71</v>
      </c>
      <c r="C18" s="46">
        <f>tva_total_depenses_fixes</f>
        <v>1510.78</v>
      </c>
      <c r="E18" s="22" t="s">
        <v>74</v>
      </c>
      <c r="F18" s="46">
        <f>tva_total_ventes</f>
        <v>12800</v>
      </c>
    </row>
    <row r="21" spans="2:6" x14ac:dyDescent="0.25">
      <c r="B21" s="48"/>
      <c r="C21" s="49"/>
      <c r="D21" s="50"/>
      <c r="E21" s="50"/>
      <c r="F21" s="50"/>
    </row>
    <row r="22" spans="2:6" x14ac:dyDescent="0.25">
      <c r="B22" s="52" t="str">
        <f>IF(C22="","","Crédit de TVA")</f>
        <v/>
      </c>
      <c r="C22" s="54" t="str">
        <f>IF(C18&gt;F18,C18-F18,"")</f>
        <v/>
      </c>
      <c r="D22" s="50"/>
      <c r="E22" s="55" t="str">
        <f>IF(F22="","","TVA à Payer")</f>
        <v>TVA à Payer</v>
      </c>
      <c r="F22" s="64">
        <f>IF(F18&gt;C18,F18-C18,"")</f>
        <v>11289.22</v>
      </c>
    </row>
    <row r="23" spans="2:6" x14ac:dyDescent="0.25">
      <c r="B23" s="53" t="str">
        <f>IF(B22="","","A se faire rembourser par les Impôts")</f>
        <v/>
      </c>
      <c r="C23" s="51"/>
      <c r="D23" s="50"/>
      <c r="E23" s="56" t="str">
        <f>IF(E22="","","A reverser aux Impôts")</f>
        <v>A reverser aux Impôts</v>
      </c>
      <c r="F23" s="50"/>
    </row>
    <row r="24" spans="2:6" x14ac:dyDescent="0.25">
      <c r="B24" s="48"/>
      <c r="C24" s="49"/>
      <c r="D24" s="50"/>
      <c r="E24" s="50"/>
      <c r="F24" s="50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6326-779D-48BE-9012-2DDA71CE8737}">
  <sheetPr codeName="Feuil11"/>
  <dimension ref="A1:L24"/>
  <sheetViews>
    <sheetView showGridLines="0" workbookViewId="0">
      <selection activeCell="B16" sqref="B16"/>
    </sheetView>
  </sheetViews>
  <sheetFormatPr baseColWidth="10" defaultRowHeight="13.5" x14ac:dyDescent="0.25"/>
  <cols>
    <col min="1" max="1" width="1.77734375" style="8" customWidth="1"/>
    <col min="2" max="2" width="14.6640625" style="20" customWidth="1"/>
    <col min="3" max="3" width="24.44140625" style="21" bestFit="1" customWidth="1"/>
    <col min="4" max="7" width="11.5546875" style="22"/>
    <col min="8" max="8" width="13.5546875" style="22" bestFit="1" customWidth="1"/>
    <col min="9" max="9" width="11.5546875" style="22"/>
    <col min="10" max="10" width="5.6640625" style="22" customWidth="1"/>
    <col min="11" max="16384" width="11.5546875" style="22"/>
  </cols>
  <sheetData>
    <row r="1" spans="1:12" s="29" customFormat="1" x14ac:dyDescent="0.25">
      <c r="A1" s="26"/>
      <c r="B1" s="27"/>
      <c r="C1" s="28"/>
    </row>
    <row r="2" spans="1:12" s="29" customFormat="1" x14ac:dyDescent="0.25">
      <c r="A2" s="26"/>
      <c r="B2" s="27"/>
      <c r="C2" s="28"/>
    </row>
    <row r="3" spans="1:12" s="29" customFormat="1" x14ac:dyDescent="0.25">
      <c r="A3" s="26"/>
      <c r="B3" s="27"/>
      <c r="C3" s="28"/>
    </row>
    <row r="4" spans="1:12" s="29" customFormat="1" x14ac:dyDescent="0.25">
      <c r="A4" s="30"/>
      <c r="B4" s="27"/>
      <c r="C4" s="28"/>
    </row>
    <row r="5" spans="1:12" s="29" customFormat="1" x14ac:dyDescent="0.25">
      <c r="A5" s="30"/>
      <c r="B5" s="27"/>
      <c r="C5" s="28"/>
    </row>
    <row r="6" spans="1:12" s="29" customFormat="1" x14ac:dyDescent="0.25">
      <c r="A6" s="30"/>
      <c r="B6" s="27"/>
      <c r="C6" s="28"/>
    </row>
    <row r="7" spans="1:12" s="29" customFormat="1" x14ac:dyDescent="0.25">
      <c r="A7" s="30"/>
      <c r="B7" s="27"/>
      <c r="C7" s="28"/>
    </row>
    <row r="8" spans="1:12" s="29" customFormat="1" x14ac:dyDescent="0.25">
      <c r="A8" s="30"/>
      <c r="B8" s="27"/>
      <c r="C8" s="28"/>
    </row>
    <row r="9" spans="1:12" s="29" customFormat="1" x14ac:dyDescent="0.25">
      <c r="A9" s="30"/>
      <c r="B9" s="27"/>
      <c r="C9" s="28"/>
    </row>
    <row r="10" spans="1:12" s="29" customFormat="1" x14ac:dyDescent="0.25">
      <c r="A10" s="30"/>
      <c r="B10" s="31"/>
      <c r="C10" s="28"/>
      <c r="F10" s="30"/>
      <c r="G10" s="30"/>
      <c r="H10" s="30"/>
      <c r="I10" s="30"/>
      <c r="J10" s="30"/>
      <c r="K10" s="30"/>
    </row>
    <row r="15" spans="1:12" x14ac:dyDescent="0.25">
      <c r="B15" s="20" t="s">
        <v>65</v>
      </c>
      <c r="C15" s="20" t="s">
        <v>76</v>
      </c>
      <c r="D15" s="21" t="s">
        <v>66</v>
      </c>
      <c r="E15" s="3" t="s">
        <v>12</v>
      </c>
      <c r="F15" s="3" t="s">
        <v>67</v>
      </c>
      <c r="G15" s="3" t="s">
        <v>31</v>
      </c>
      <c r="H15" s="3" t="s">
        <v>14</v>
      </c>
      <c r="I15" s="3" t="s">
        <v>42</v>
      </c>
      <c r="J15" s="3" t="s">
        <v>123</v>
      </c>
      <c r="K15" s="3" t="s">
        <v>124</v>
      </c>
      <c r="L15" s="3" t="s">
        <v>125</v>
      </c>
    </row>
    <row r="16" spans="1:12" x14ac:dyDescent="0.25">
      <c r="B16" s="24" t="s">
        <v>78</v>
      </c>
      <c r="C16" s="24" t="s">
        <v>24</v>
      </c>
      <c r="D16" s="44">
        <v>1</v>
      </c>
      <c r="E16" s="37">
        <v>44742</v>
      </c>
      <c r="F16" s="39">
        <f>IF(TabVentes[[#This Row],[Montant TTC]]="","",TabVentes[[#This Row],[Montant TTC]]-TabVentes[[#This Row],[TVA]])</f>
        <v>8000</v>
      </c>
      <c r="G16" s="39">
        <v>500</v>
      </c>
      <c r="H16" s="39">
        <v>8500</v>
      </c>
      <c r="I16" s="60">
        <v>44743</v>
      </c>
      <c r="J16" s="69">
        <v>1</v>
      </c>
      <c r="K16" s="60">
        <f>EOMONTH(EDATE(TabVentes[[#This Row],[Échéance 1]],TabVentes[[#This Row],[Nb Ech.]]-1),0)</f>
        <v>44773</v>
      </c>
      <c r="L16" s="39">
        <f>TabVentes[[#This Row],[Montant TTC]]/TabVentes[[#This Row],[Nb Ech.]]</f>
        <v>8500</v>
      </c>
    </row>
    <row r="17" spans="2:12" x14ac:dyDescent="0.25">
      <c r="B17" s="24" t="s">
        <v>78</v>
      </c>
      <c r="C17" s="24" t="s">
        <v>24</v>
      </c>
      <c r="D17" s="44">
        <v>2</v>
      </c>
      <c r="E17" s="37">
        <v>44576</v>
      </c>
      <c r="F17" s="39">
        <f>IF(TabVentes[[#This Row],[Montant TTC]]="","",TabVentes[[#This Row],[Montant TTC]]-TabVentes[[#This Row],[TVA]])</f>
        <v>1450</v>
      </c>
      <c r="G17" s="39">
        <v>50</v>
      </c>
      <c r="H17" s="39">
        <v>1500</v>
      </c>
      <c r="I17" s="60">
        <v>44593</v>
      </c>
      <c r="J17" s="69">
        <v>1</v>
      </c>
      <c r="K17" s="60">
        <f>EOMONTH(EDATE(TabVentes[[#This Row],[Échéance 1]],TabVentes[[#This Row],[Nb Ech.]]-1),0)</f>
        <v>44620</v>
      </c>
      <c r="L17" s="39">
        <f>TabVentes[[#This Row],[Montant TTC]]/TabVentes[[#This Row],[Nb Ech.]]</f>
        <v>1500</v>
      </c>
    </row>
    <row r="18" spans="2:12" x14ac:dyDescent="0.25">
      <c r="B18" s="24" t="s">
        <v>79</v>
      </c>
      <c r="C18" s="24" t="s">
        <v>15</v>
      </c>
      <c r="D18" s="44">
        <v>3</v>
      </c>
      <c r="E18" s="37">
        <v>44571</v>
      </c>
      <c r="F18" s="39">
        <f>IF(TabVentes[[#This Row],[Montant TTC]]="","",TabVentes[[#This Row],[Montant TTC]]-TabVentes[[#This Row],[TVA]])</f>
        <v>7000</v>
      </c>
      <c r="G18" s="39">
        <v>1400</v>
      </c>
      <c r="H18" s="39">
        <v>8400</v>
      </c>
      <c r="I18" s="60">
        <v>44562</v>
      </c>
      <c r="J18" s="69">
        <v>1</v>
      </c>
      <c r="K18" s="60">
        <f>EOMONTH(EDATE(TabVentes[[#This Row],[Échéance 1]],TabVentes[[#This Row],[Nb Ech.]]-1),0)</f>
        <v>44592</v>
      </c>
      <c r="L18" s="39">
        <f>TabVentes[[#This Row],[Montant TTC]]/TabVentes[[#This Row],[Nb Ech.]]</f>
        <v>8400</v>
      </c>
    </row>
    <row r="19" spans="2:12" x14ac:dyDescent="0.25">
      <c r="B19" s="24" t="s">
        <v>80</v>
      </c>
      <c r="C19" s="24" t="s">
        <v>16</v>
      </c>
      <c r="D19" s="44">
        <v>4</v>
      </c>
      <c r="E19" s="37">
        <v>44620</v>
      </c>
      <c r="F19" s="39">
        <f>IF(TabVentes[[#This Row],[Montant TTC]]="","",TabVentes[[#This Row],[Montant TTC]]-TabVentes[[#This Row],[TVA]])</f>
        <v>3500</v>
      </c>
      <c r="G19" s="39">
        <v>700</v>
      </c>
      <c r="H19" s="39">
        <v>4200</v>
      </c>
      <c r="I19" s="60">
        <v>44593</v>
      </c>
      <c r="J19" s="69">
        <v>1</v>
      </c>
      <c r="K19" s="60">
        <f>EOMONTH(EDATE(TabVentes[[#This Row],[Échéance 1]],TabVentes[[#This Row],[Nb Ech.]]-1),0)</f>
        <v>44620</v>
      </c>
      <c r="L19" s="39">
        <f>TabVentes[[#This Row],[Montant TTC]]/TabVentes[[#This Row],[Nb Ech.]]</f>
        <v>4200</v>
      </c>
    </row>
    <row r="20" spans="2:12" x14ac:dyDescent="0.25">
      <c r="B20" s="24" t="s">
        <v>77</v>
      </c>
      <c r="C20" s="24" t="s">
        <v>17</v>
      </c>
      <c r="D20" s="44">
        <v>5</v>
      </c>
      <c r="E20" s="37">
        <v>44635</v>
      </c>
      <c r="F20" s="39">
        <f>IF(TabVentes[[#This Row],[Montant TTC]]="","",TabVentes[[#This Row],[Montant TTC]]-TabVentes[[#This Row],[TVA]])</f>
        <v>1750</v>
      </c>
      <c r="G20" s="39">
        <v>350</v>
      </c>
      <c r="H20" s="39">
        <v>2100</v>
      </c>
      <c r="I20" s="60">
        <v>44621</v>
      </c>
      <c r="J20" s="69">
        <v>1</v>
      </c>
      <c r="K20" s="60">
        <f>EOMONTH(EDATE(TabVentes[[#This Row],[Échéance 1]],TabVentes[[#This Row],[Nb Ech.]]-1),0)</f>
        <v>44651</v>
      </c>
      <c r="L20" s="39">
        <f>TabVentes[[#This Row],[Montant TTC]]/TabVentes[[#This Row],[Nb Ech.]]</f>
        <v>2100</v>
      </c>
    </row>
    <row r="21" spans="2:12" x14ac:dyDescent="0.25">
      <c r="B21" s="24" t="s">
        <v>81</v>
      </c>
      <c r="C21" s="24" t="s">
        <v>18</v>
      </c>
      <c r="D21" s="44">
        <v>6</v>
      </c>
      <c r="E21" s="37">
        <v>44666</v>
      </c>
      <c r="F21" s="39">
        <f>IF(TabVentes[[#This Row],[Montant TTC]]="","",TabVentes[[#This Row],[Montant TTC]]-TabVentes[[#This Row],[TVA]])</f>
        <v>3200</v>
      </c>
      <c r="G21" s="39">
        <v>800</v>
      </c>
      <c r="H21" s="39">
        <v>4000</v>
      </c>
      <c r="I21" s="60">
        <v>44652</v>
      </c>
      <c r="J21" s="69">
        <v>1</v>
      </c>
      <c r="K21" s="60">
        <f>EOMONTH(EDATE(TabVentes[[#This Row],[Échéance 1]],TabVentes[[#This Row],[Nb Ech.]]-1),0)</f>
        <v>44681</v>
      </c>
      <c r="L21" s="39">
        <f>TabVentes[[#This Row],[Montant TTC]]/TabVentes[[#This Row],[Nb Ech.]]</f>
        <v>4000</v>
      </c>
    </row>
    <row r="22" spans="2:12" x14ac:dyDescent="0.25">
      <c r="B22" s="24" t="s">
        <v>78</v>
      </c>
      <c r="C22" s="24" t="s">
        <v>24</v>
      </c>
      <c r="D22" s="44">
        <v>7</v>
      </c>
      <c r="E22" s="37">
        <v>44712</v>
      </c>
      <c r="F22" s="39">
        <f>IF(TabVentes[[#This Row],[Montant TTC]]="","",TabVentes[[#This Row],[Montant TTC]]-TabVentes[[#This Row],[TVA]])</f>
        <v>4000</v>
      </c>
      <c r="G22" s="39">
        <v>1000</v>
      </c>
      <c r="H22" s="39">
        <v>5000</v>
      </c>
      <c r="I22" s="60">
        <v>44743</v>
      </c>
      <c r="J22" s="69">
        <v>1</v>
      </c>
      <c r="K22" s="60">
        <f>EOMONTH(EDATE(TabVentes[[#This Row],[Échéance 1]],TabVentes[[#This Row],[Nb Ech.]]-1),0)</f>
        <v>44773</v>
      </c>
      <c r="L22" s="39">
        <f>TabVentes[[#This Row],[Montant TTC]]/TabVentes[[#This Row],[Nb Ech.]]</f>
        <v>5000</v>
      </c>
    </row>
    <row r="23" spans="2:12" x14ac:dyDescent="0.25">
      <c r="B23" s="24" t="s">
        <v>82</v>
      </c>
      <c r="C23" s="24" t="s">
        <v>15</v>
      </c>
      <c r="D23" s="44">
        <v>8</v>
      </c>
      <c r="E23" s="37">
        <v>44804</v>
      </c>
      <c r="F23" s="39">
        <f>IF(TabVentes[[#This Row],[Montant TTC]]="","",TabVentes[[#This Row],[Montant TTC]]-TabVentes[[#This Row],[TVA]])</f>
        <v>40000</v>
      </c>
      <c r="G23" s="39">
        <v>8000</v>
      </c>
      <c r="H23" s="39">
        <v>48000</v>
      </c>
      <c r="I23" s="60">
        <v>44774</v>
      </c>
      <c r="J23" s="69">
        <v>4</v>
      </c>
      <c r="K23" s="60">
        <f>EOMONTH(EDATE(TabVentes[[#This Row],[Échéance 1]],TabVentes[[#This Row],[Nb Ech.]]-1),0)</f>
        <v>44895</v>
      </c>
      <c r="L23" s="39">
        <f>TabVentes[[#This Row],[Montant TTC]]/TabVentes[[#This Row],[Nb Ech.]]</f>
        <v>12000</v>
      </c>
    </row>
    <row r="24" spans="2:12" x14ac:dyDescent="0.25">
      <c r="B24" s="45" t="s">
        <v>9</v>
      </c>
      <c r="C24" s="45"/>
      <c r="D24" s="3"/>
      <c r="E24" s="3"/>
      <c r="F24" s="39">
        <f>SUBTOTAL(109,TabVentes[HT])</f>
        <v>68900</v>
      </c>
      <c r="G24" s="39">
        <f>SUBTOTAL(109,TabVentes[TVA])</f>
        <v>12800</v>
      </c>
      <c r="H24" s="39">
        <f>SUBTOTAL(109,TabVentes[Montant TTC])</f>
        <v>81700</v>
      </c>
      <c r="I24" s="60"/>
      <c r="L24" s="39"/>
    </row>
  </sheetData>
  <phoneticPr fontId="26" type="noConversion"/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9EAA13-36AF-418C-8B22-874D2FDE3A1D}">
          <x14:formula1>
            <xm:f>TRESORERIE!$B$27:$B$33</xm:f>
          </x14:formula1>
          <xm:sqref>C16:C23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9677210f24a1be23c92c90fd886aa0aa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60e05723c5c1908df1a1a4ebf11d344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BEFFA26D-8255-4FBC-8ED6-34AF0531DC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28A065-BDB4-4BA1-A1D0-B8466F897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E68700-CE33-4D96-939D-220AE6BFDB11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TRESORERIE</vt:lpstr>
      <vt:lpstr>DEPENSES FIXES</vt:lpstr>
      <vt:lpstr>BALANCE TVA</vt:lpstr>
      <vt:lpstr>VENTES</vt:lpstr>
      <vt:lpstr>depenses_fixes_légendes</vt:lpstr>
      <vt:lpstr>TRESORERIE!tva_total_depenses_fixes</vt:lpstr>
      <vt:lpstr>VENTES!tva_total_depenses_fixes</vt:lpstr>
      <vt:lpstr>tva_total_depenses_fixes</vt:lpstr>
      <vt:lpstr>TRESORERIE!tva_total_ventes</vt:lpstr>
      <vt:lpstr>tva_total_ventes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JoePT</dc:creator>
  <cp:lastModifiedBy>Bruno</cp:lastModifiedBy>
  <dcterms:created xsi:type="dcterms:W3CDTF">2019-02-20T20:38:26Z</dcterms:created>
  <dcterms:modified xsi:type="dcterms:W3CDTF">2022-07-02T14:47:04Z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