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workbookProtection workbookPassword="D901" lockStructure="1"/>
  <bookViews>
    <workbookView xWindow="0" yWindow="0" windowWidth="34350" windowHeight="22260" tabRatio="410"/>
  </bookViews>
  <sheets>
    <sheet name="DONNEES" sheetId="12" r:id="rId1"/>
    <sheet name="RESTAURANT" sheetId="24" r:id="rId2"/>
    <sheet name="Programme" sheetId="23" r:id="rId3"/>
    <sheet name="RATIO" sheetId="22" state="hidden" r:id="rId4"/>
    <sheet name="Ordre alphabétique FLF" sheetId="20" r:id="rId5"/>
    <sheet name="LISTE NOM POUR FLF" sheetId="21" r:id="rId6"/>
    <sheet name="Emargement" sheetId="19" r:id="rId7"/>
    <sheet name="FINANCES SPP" sheetId="9" r:id="rId8"/>
    <sheet name="FINANCES SPP N°2" sheetId="18" r:id="rId9"/>
    <sheet name="FINANCE-SPV" sheetId="11" r:id="rId10"/>
    <sheet name="PERSONNELS" sheetId="13" r:id="rId11"/>
    <sheet name="Liste Déroulante" sheetId="14" r:id="rId12"/>
  </sheets>
  <definedNames>
    <definedName name="_xlnm._FilterDatabase" localSheetId="10" hidden="1">PERSONNELS!$A$1:$G$68</definedName>
    <definedName name="CIS">'Liste Déroulante'!$M$2:$M$10</definedName>
    <definedName name="CSP_Besançon_Centre">'Liste Déroulante'!$B$2:$B$34</definedName>
    <definedName name="CSP_Montbéliard">'Liste Déroulante'!$C$2:$C$19</definedName>
    <definedName name="CSP_Pontarlier">'Liste Déroulante'!$A$2:$A$13</definedName>
    <definedName name="CSR_AUDIN_VAL">'Liste Déroulante'!$E$2</definedName>
    <definedName name="CSR_BAUME_LES_DAMES">'Liste Déroulante'!$D$2</definedName>
    <definedName name="CTA_CODIS">'Liste Déroulante'!$F$2:$F$3</definedName>
    <definedName name="GIH">'Liste Déroulante'!$G$2:$G$22</definedName>
    <definedName name="GRIMP_25">'Liste Déroulante'!$I$2:$I$68</definedName>
    <definedName name="IMP_3">'Liste Déroulante'!$K$2:$K$19</definedName>
    <definedName name="IMP2_et_IMP1">'Liste Déroulante'!$H$2:$H$50</definedName>
    <definedName name="Noms_ordre_alphabetique" localSheetId="4">'Ordre alphabétique FLF'!$B$2:$B$21</definedName>
    <definedName name="PDF" localSheetId="6">Emargement!$B$1:$I$28</definedName>
    <definedName name="Print_Area" localSheetId="0">DONNEES!$A$1:$K$56</definedName>
    <definedName name="Print_Area" localSheetId="6">Emargement!$B$1:$I$28</definedName>
    <definedName name="Print_Area" localSheetId="2">Programme!$A$1:$P$54</definedName>
    <definedName name="_xlnm.Print_Area" localSheetId="6">Emargement!$B$1:$I$28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12" l="1"/>
  <c r="D1" i="23"/>
  <c r="A58" i="12" l="1"/>
  <c r="A3" i="24"/>
  <c r="A4" i="24"/>
  <c r="A5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A49" i="24"/>
  <c r="A50" i="24"/>
  <c r="A51" i="24"/>
  <c r="A52" i="24"/>
  <c r="A53" i="24"/>
  <c r="A54" i="24"/>
  <c r="A55" i="24"/>
  <c r="A56" i="24"/>
  <c r="A57" i="24"/>
  <c r="A58" i="24"/>
  <c r="A59" i="24"/>
  <c r="A60" i="24"/>
  <c r="A61" i="24"/>
  <c r="A62" i="24"/>
  <c r="A63" i="24"/>
  <c r="A64" i="24"/>
  <c r="A65" i="24"/>
  <c r="A66" i="24"/>
  <c r="A67" i="24"/>
  <c r="A68" i="24"/>
  <c r="A69" i="24"/>
  <c r="A70" i="24"/>
  <c r="A71" i="24"/>
  <c r="A72" i="24"/>
  <c r="A73" i="24"/>
  <c r="A74" i="24"/>
  <c r="A75" i="24"/>
  <c r="A76" i="24"/>
  <c r="A77" i="24"/>
  <c r="A78" i="24"/>
  <c r="A79" i="24"/>
  <c r="A80" i="24"/>
  <c r="A81" i="24"/>
  <c r="A82" i="24"/>
  <c r="A83" i="24"/>
  <c r="A84" i="24"/>
  <c r="A85" i="24"/>
  <c r="A86" i="24"/>
  <c r="A87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150" i="24"/>
  <c r="A151" i="24"/>
  <c r="A152" i="24"/>
  <c r="A153" i="24"/>
  <c r="A154" i="24"/>
  <c r="A155" i="24"/>
  <c r="A156" i="24"/>
  <c r="A157" i="24"/>
  <c r="A158" i="24"/>
  <c r="A159" i="24"/>
  <c r="A160" i="24"/>
  <c r="A161" i="24"/>
  <c r="A162" i="24"/>
  <c r="A163" i="24"/>
  <c r="A164" i="24"/>
  <c r="A165" i="24"/>
  <c r="A166" i="24"/>
  <c r="A167" i="24"/>
  <c r="A168" i="24"/>
  <c r="A169" i="24"/>
  <c r="A170" i="24"/>
  <c r="A171" i="24"/>
  <c r="A172" i="24"/>
  <c r="A173" i="24"/>
  <c r="A174" i="24"/>
  <c r="A175" i="24"/>
  <c r="A176" i="24"/>
  <c r="A177" i="24"/>
  <c r="A178" i="24"/>
  <c r="A179" i="24"/>
  <c r="A180" i="24"/>
  <c r="A181" i="24"/>
  <c r="A182" i="24"/>
  <c r="A183" i="24"/>
  <c r="A184" i="24"/>
  <c r="A185" i="24"/>
  <c r="A186" i="24"/>
  <c r="A187" i="24"/>
  <c r="A188" i="24"/>
  <c r="A189" i="24"/>
  <c r="A190" i="24"/>
  <c r="A2" i="24"/>
  <c r="D47" i="12" s="1"/>
  <c r="F38" i="23" s="1"/>
  <c r="D46" i="12"/>
  <c r="F40" i="23" s="1"/>
  <c r="D2" i="23"/>
  <c r="F2" i="18"/>
  <c r="F2" i="9"/>
  <c r="F2" i="11" s="1"/>
  <c r="C4" i="19"/>
  <c r="K4" i="12"/>
  <c r="C1" i="19" s="1"/>
  <c r="A19" i="18"/>
  <c r="H19" i="18" s="1"/>
  <c r="B6" i="18"/>
  <c r="B6" i="9"/>
  <c r="C5" i="11" s="1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6" i="22"/>
  <c r="E4" i="19"/>
  <c r="F36" i="23"/>
  <c r="K54" i="23"/>
  <c r="E51" i="23"/>
  <c r="E49" i="23"/>
  <c r="E47" i="23"/>
  <c r="H43" i="23"/>
  <c r="H44" i="23"/>
  <c r="H45" i="23"/>
  <c r="E43" i="23"/>
  <c r="E44" i="23"/>
  <c r="E45" i="23"/>
  <c r="H42" i="23"/>
  <c r="E42" i="23"/>
  <c r="E31" i="23"/>
  <c r="H32" i="23"/>
  <c r="H33" i="23"/>
  <c r="H34" i="23"/>
  <c r="H31" i="23"/>
  <c r="E32" i="23"/>
  <c r="E33" i="23"/>
  <c r="E34" i="23"/>
  <c r="E28" i="23"/>
  <c r="F19" i="23"/>
  <c r="C22" i="23"/>
  <c r="C8" i="23"/>
  <c r="D5" i="23"/>
  <c r="D3" i="23"/>
  <c r="B17" i="20"/>
  <c r="B18" i="20"/>
  <c r="B19" i="20"/>
  <c r="B20" i="20"/>
  <c r="C20" i="20" s="1"/>
  <c r="A20" i="20" s="1"/>
  <c r="B21" i="20"/>
  <c r="C21" i="20" s="1"/>
  <c r="A21" i="20" s="1"/>
  <c r="J6" i="12"/>
  <c r="E24" i="18" s="1"/>
  <c r="D12" i="12"/>
  <c r="D14" i="12"/>
  <c r="D16" i="12"/>
  <c r="D10" i="1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6" i="22"/>
  <c r="A6" i="22"/>
  <c r="E6" i="22" s="1"/>
  <c r="A7" i="22"/>
  <c r="E7" i="22"/>
  <c r="A8" i="22"/>
  <c r="E8" i="22" s="1"/>
  <c r="A9" i="22"/>
  <c r="E9" i="22"/>
  <c r="A10" i="22"/>
  <c r="E10" i="22" s="1"/>
  <c r="A11" i="22"/>
  <c r="E11" i="22"/>
  <c r="A12" i="22"/>
  <c r="E12" i="22" s="1"/>
  <c r="A13" i="22"/>
  <c r="E13" i="22"/>
  <c r="A14" i="22"/>
  <c r="E14" i="22" s="1"/>
  <c r="A15" i="22"/>
  <c r="D15" i="22" s="1"/>
  <c r="E15" i="22"/>
  <c r="A16" i="22"/>
  <c r="E16" i="22" s="1"/>
  <c r="A17" i="22"/>
  <c r="E17" i="22"/>
  <c r="A18" i="22"/>
  <c r="E18" i="22" s="1"/>
  <c r="A19" i="22"/>
  <c r="D19" i="22" s="1"/>
  <c r="E19" i="22"/>
  <c r="A20" i="22"/>
  <c r="E20" i="22" s="1"/>
  <c r="A21" i="22"/>
  <c r="E21" i="22"/>
  <c r="C5" i="22"/>
  <c r="C4" i="22"/>
  <c r="C3" i="22"/>
  <c r="C2" i="22"/>
  <c r="A5" i="22"/>
  <c r="E5" i="22" s="1"/>
  <c r="A4" i="22"/>
  <c r="E4" i="22"/>
  <c r="A3" i="22"/>
  <c r="D3" i="22" s="1"/>
  <c r="A2" i="22"/>
  <c r="E2" i="22" s="1"/>
  <c r="B5" i="22"/>
  <c r="B4" i="22"/>
  <c r="B3" i="22"/>
  <c r="B2" i="22"/>
  <c r="G22" i="21"/>
  <c r="B7" i="20"/>
  <c r="B8" i="20"/>
  <c r="B9" i="20"/>
  <c r="C9" i="20" s="1"/>
  <c r="A9" i="20" s="1"/>
  <c r="B10" i="20"/>
  <c r="C10" i="20" s="1"/>
  <c r="A10" i="20" s="1"/>
  <c r="B11" i="20"/>
  <c r="C11" i="20" s="1"/>
  <c r="A11" i="20" s="1"/>
  <c r="B12" i="20"/>
  <c r="B13" i="20"/>
  <c r="B14" i="20"/>
  <c r="B15" i="20"/>
  <c r="C15" i="20" s="1"/>
  <c r="A15" i="20" s="1"/>
  <c r="B16" i="20"/>
  <c r="B6" i="20"/>
  <c r="B5" i="20"/>
  <c r="B4" i="20"/>
  <c r="C4" i="20" s="1"/>
  <c r="A4" i="20" s="1"/>
  <c r="B3" i="20"/>
  <c r="B2" i="20"/>
  <c r="C2" i="20" s="1"/>
  <c r="F16" i="12"/>
  <c r="F14" i="12"/>
  <c r="F12" i="12"/>
  <c r="F10" i="12"/>
  <c r="D4" i="19"/>
  <c r="E4" i="11"/>
  <c r="E3" i="11"/>
  <c r="G4" i="19"/>
  <c r="B4" i="19"/>
  <c r="C19" i="20"/>
  <c r="A19" i="20" s="1"/>
  <c r="C18" i="20"/>
  <c r="A18" i="20" s="1"/>
  <c r="C17" i="20"/>
  <c r="A17" i="20" s="1"/>
  <c r="D4" i="22"/>
  <c r="D21" i="22"/>
  <c r="D17" i="22"/>
  <c r="D13" i="22"/>
  <c r="D11" i="22"/>
  <c r="D9" i="22"/>
  <c r="D7" i="22"/>
  <c r="D18" i="22"/>
  <c r="D14" i="22"/>
  <c r="D10" i="22"/>
  <c r="C16" i="20"/>
  <c r="A16" i="20" s="1"/>
  <c r="C13" i="20"/>
  <c r="A13" i="20" s="1"/>
  <c r="C14" i="20"/>
  <c r="A14" i="20" s="1"/>
  <c r="C12" i="20"/>
  <c r="A12" i="20" s="1"/>
  <c r="C7" i="20"/>
  <c r="A7" i="20" s="1"/>
  <c r="C8" i="20"/>
  <c r="A8" i="20" s="1"/>
  <c r="C3" i="20"/>
  <c r="A3" i="20" s="1"/>
  <c r="C5" i="20"/>
  <c r="A5" i="20" s="1"/>
  <c r="E23" i="12"/>
  <c r="E24" i="12"/>
  <c r="E29" i="12"/>
  <c r="E26" i="12"/>
  <c r="E35" i="12"/>
  <c r="E31" i="12"/>
  <c r="E30" i="12"/>
  <c r="E25" i="12"/>
  <c r="E34" i="12"/>
  <c r="E32" i="12"/>
  <c r="E33" i="12"/>
  <c r="E27" i="12"/>
  <c r="E28" i="12"/>
  <c r="E36" i="12"/>
  <c r="E37" i="12"/>
  <c r="H20" i="18"/>
  <c r="H21" i="18"/>
  <c r="H22" i="18"/>
  <c r="B24" i="18"/>
  <c r="F3" i="18"/>
  <c r="E2" i="18"/>
  <c r="E2" i="9"/>
  <c r="E2" i="11" s="1"/>
  <c r="F3" i="9"/>
  <c r="F3" i="11" s="1"/>
  <c r="F4" i="11"/>
  <c r="B24" i="9"/>
  <c r="C23" i="11" s="1"/>
  <c r="D16" i="22" l="1"/>
  <c r="E3" i="22"/>
  <c r="L3" i="22" s="1"/>
  <c r="J10" i="12" s="1"/>
  <c r="D11" i="23" s="1"/>
  <c r="E24" i="9"/>
  <c r="E23" i="11" s="1"/>
  <c r="D6" i="22"/>
  <c r="D5" i="22"/>
  <c r="C6" i="20"/>
  <c r="A6" i="20" s="1"/>
  <c r="D12" i="22"/>
  <c r="D20" i="22"/>
  <c r="D8" i="22"/>
  <c r="D2" i="22"/>
  <c r="D44" i="12"/>
  <c r="D45" i="12"/>
  <c r="F39" i="23" s="1"/>
  <c r="D43" i="12"/>
  <c r="F37" i="23" s="1"/>
  <c r="C25" i="20"/>
  <c r="E2" i="20" s="1"/>
  <c r="C26" i="20"/>
  <c r="L5" i="22"/>
  <c r="J8" i="12" s="1"/>
  <c r="L4" i="22"/>
  <c r="J14" i="12" s="1"/>
  <c r="L2" i="22"/>
  <c r="A2" i="20"/>
  <c r="E3" i="20" l="1"/>
  <c r="F3" i="20" s="1"/>
  <c r="F2" i="20"/>
  <c r="N2" i="20" s="1"/>
  <c r="G2" i="20"/>
  <c r="B7" i="19"/>
  <c r="C7" i="19" s="1"/>
  <c r="R13" i="23"/>
  <c r="Q2" i="20"/>
  <c r="A3" i="21"/>
  <c r="M3" i="22"/>
  <c r="N3" i="22" s="1"/>
  <c r="A18" i="12" s="1"/>
  <c r="I11" i="23" s="1"/>
  <c r="L6" i="22"/>
  <c r="J16" i="12" s="1"/>
  <c r="J12" i="12"/>
  <c r="F11" i="23" s="1"/>
  <c r="E4" i="20" l="1"/>
  <c r="I2" i="20"/>
  <c r="H2" i="20"/>
  <c r="J2" i="20"/>
  <c r="K2" i="20"/>
  <c r="A13" i="23" s="1"/>
  <c r="M2" i="20"/>
  <c r="O2" i="20"/>
  <c r="E5" i="20"/>
  <c r="F4" i="20"/>
  <c r="B3" i="21"/>
  <c r="C32" i="21" s="1"/>
  <c r="A32" i="21"/>
  <c r="A57" i="21" s="1"/>
  <c r="C3" i="21"/>
  <c r="C57" i="21" s="1"/>
  <c r="B8" i="19"/>
  <c r="C8" i="19" s="1"/>
  <c r="R14" i="23"/>
  <c r="M3" i="20"/>
  <c r="N3" i="20"/>
  <c r="J3" i="20"/>
  <c r="I3" i="20"/>
  <c r="G3" i="20"/>
  <c r="P3" i="20"/>
  <c r="E22" i="12" s="1"/>
  <c r="Q3" i="20"/>
  <c r="K3" i="20"/>
  <c r="O3" i="20"/>
  <c r="H3" i="20"/>
  <c r="A4" i="21"/>
  <c r="L2" i="20" l="1"/>
  <c r="K53" i="23" s="1"/>
  <c r="P2" i="20"/>
  <c r="C4" i="21"/>
  <c r="C58" i="21" s="1"/>
  <c r="B4" i="21"/>
  <c r="C33" i="21" s="1"/>
  <c r="A33" i="21"/>
  <c r="A58" i="21" s="1"/>
  <c r="M4" i="20"/>
  <c r="K4" i="20"/>
  <c r="O4" i="20"/>
  <c r="I4" i="20"/>
  <c r="A5" i="21"/>
  <c r="B9" i="19"/>
  <c r="C9" i="19" s="1"/>
  <c r="R15" i="23"/>
  <c r="N4" i="20"/>
  <c r="Q4" i="20"/>
  <c r="J4" i="20"/>
  <c r="H4" i="20"/>
  <c r="G4" i="20"/>
  <c r="P4" i="20"/>
  <c r="L3" i="20"/>
  <c r="A14" i="23"/>
  <c r="E6" i="20"/>
  <c r="F5" i="20"/>
  <c r="B10" i="19" l="1"/>
  <c r="C10" i="19" s="1"/>
  <c r="R16" i="23"/>
  <c r="M5" i="20"/>
  <c r="Q5" i="20"/>
  <c r="K5" i="20"/>
  <c r="O5" i="20"/>
  <c r="H5" i="20"/>
  <c r="A6" i="21"/>
  <c r="P5" i="20"/>
  <c r="N5" i="20"/>
  <c r="I5" i="20"/>
  <c r="J5" i="20"/>
  <c r="G5" i="20"/>
  <c r="C5" i="21"/>
  <c r="C59" i="21" s="1"/>
  <c r="B5" i="21"/>
  <c r="C34" i="21" s="1"/>
  <c r="A34" i="21"/>
  <c r="A59" i="21" s="1"/>
  <c r="F6" i="20"/>
  <c r="E7" i="20"/>
  <c r="A15" i="23"/>
  <c r="L4" i="20"/>
  <c r="B6" i="21" l="1"/>
  <c r="C35" i="21" s="1"/>
  <c r="C6" i="21"/>
  <c r="C60" i="21" s="1"/>
  <c r="A35" i="21"/>
  <c r="A60" i="21" s="1"/>
  <c r="F7" i="20"/>
  <c r="E8" i="20"/>
  <c r="N6" i="20"/>
  <c r="M6" i="20"/>
  <c r="H6" i="20"/>
  <c r="J6" i="20"/>
  <c r="G6" i="20"/>
  <c r="B11" i="19"/>
  <c r="C11" i="19" s="1"/>
  <c r="Q6" i="20"/>
  <c r="O6" i="20"/>
  <c r="A7" i="21"/>
  <c r="R17" i="23"/>
  <c r="K6" i="20"/>
  <c r="I6" i="20"/>
  <c r="P6" i="20"/>
  <c r="A16" i="23"/>
  <c r="L5" i="20"/>
  <c r="M7" i="20" l="1"/>
  <c r="Q7" i="20"/>
  <c r="K7" i="20"/>
  <c r="O7" i="20"/>
  <c r="H7" i="20"/>
  <c r="A8" i="21"/>
  <c r="P7" i="20"/>
  <c r="S13" i="23"/>
  <c r="J7" i="20"/>
  <c r="B12" i="19"/>
  <c r="C12" i="19" s="1"/>
  <c r="N7" i="20"/>
  <c r="I7" i="20"/>
  <c r="G7" i="20"/>
  <c r="A17" i="23"/>
  <c r="L6" i="20"/>
  <c r="A36" i="21"/>
  <c r="A61" i="21" s="1"/>
  <c r="C7" i="21"/>
  <c r="C61" i="21" s="1"/>
  <c r="B7" i="21"/>
  <c r="C36" i="21" s="1"/>
  <c r="F8" i="20"/>
  <c r="E9" i="20"/>
  <c r="F9" i="20" l="1"/>
  <c r="E10" i="20"/>
  <c r="C8" i="21"/>
  <c r="C62" i="21" s="1"/>
  <c r="B8" i="21"/>
  <c r="C37" i="21" s="1"/>
  <c r="A37" i="21"/>
  <c r="A62" i="21" s="1"/>
  <c r="N8" i="20"/>
  <c r="M8" i="20"/>
  <c r="K8" i="20"/>
  <c r="O8" i="20"/>
  <c r="B13" i="19"/>
  <c r="C13" i="19" s="1"/>
  <c r="J8" i="20"/>
  <c r="H8" i="20"/>
  <c r="G8" i="20"/>
  <c r="P8" i="20"/>
  <c r="S14" i="23"/>
  <c r="Q8" i="20"/>
  <c r="I8" i="20"/>
  <c r="A9" i="21"/>
  <c r="L7" i="20"/>
  <c r="E13" i="23"/>
  <c r="C9" i="21" l="1"/>
  <c r="C63" i="21" s="1"/>
  <c r="B9" i="21"/>
  <c r="C38" i="21" s="1"/>
  <c r="A38" i="21"/>
  <c r="A63" i="21" s="1"/>
  <c r="E11" i="20"/>
  <c r="F10" i="20"/>
  <c r="L8" i="20"/>
  <c r="E14" i="23"/>
  <c r="Q9" i="20"/>
  <c r="J9" i="20"/>
  <c r="H9" i="20"/>
  <c r="G9" i="20"/>
  <c r="P9" i="20"/>
  <c r="B14" i="19"/>
  <c r="C14" i="19" s="1"/>
  <c r="S15" i="23"/>
  <c r="M9" i="20"/>
  <c r="N9" i="20"/>
  <c r="K9" i="20"/>
  <c r="O9" i="20"/>
  <c r="I9" i="20"/>
  <c r="A10" i="21"/>
  <c r="C10" i="21" l="1"/>
  <c r="C64" i="21" s="1"/>
  <c r="B10" i="21"/>
  <c r="C39" i="21" s="1"/>
  <c r="A39" i="21"/>
  <c r="A64" i="21" s="1"/>
  <c r="E15" i="23"/>
  <c r="L9" i="20"/>
  <c r="Q10" i="20"/>
  <c r="J10" i="20"/>
  <c r="I10" i="20"/>
  <c r="G10" i="20"/>
  <c r="B15" i="19"/>
  <c r="C15" i="19" s="1"/>
  <c r="S16" i="23"/>
  <c r="N10" i="20"/>
  <c r="M10" i="20"/>
  <c r="K10" i="20"/>
  <c r="O10" i="20"/>
  <c r="H10" i="20"/>
  <c r="A11" i="21"/>
  <c r="P10" i="20"/>
  <c r="F11" i="20"/>
  <c r="E12" i="20"/>
  <c r="E13" i="20" l="1"/>
  <c r="F12" i="20"/>
  <c r="A40" i="21"/>
  <c r="A65" i="21" s="1"/>
  <c r="C11" i="21"/>
  <c r="C65" i="21" s="1"/>
  <c r="B11" i="21"/>
  <c r="C40" i="21" s="1"/>
  <c r="B16" i="19"/>
  <c r="C16" i="19" s="1"/>
  <c r="S17" i="23"/>
  <c r="N11" i="20"/>
  <c r="H11" i="20"/>
  <c r="J11" i="20"/>
  <c r="G11" i="20"/>
  <c r="P11" i="20"/>
  <c r="M11" i="20"/>
  <c r="Q11" i="20"/>
  <c r="K11" i="20"/>
  <c r="O11" i="20"/>
  <c r="I11" i="20"/>
  <c r="A12" i="21"/>
  <c r="E16" i="23"/>
  <c r="L10" i="20"/>
  <c r="E17" i="23" l="1"/>
  <c r="L11" i="20"/>
  <c r="F13" i="20"/>
  <c r="E14" i="20"/>
  <c r="C12" i="21"/>
  <c r="C66" i="21" s="1"/>
  <c r="B12" i="21"/>
  <c r="C41" i="21" s="1"/>
  <c r="A41" i="21"/>
  <c r="A66" i="21" s="1"/>
  <c r="Q12" i="20"/>
  <c r="H12" i="20"/>
  <c r="J12" i="20"/>
  <c r="G12" i="20"/>
  <c r="B17" i="19"/>
  <c r="C17" i="19" s="1"/>
  <c r="T13" i="23"/>
  <c r="N12" i="20"/>
  <c r="M12" i="20"/>
  <c r="K12" i="20"/>
  <c r="O12" i="20"/>
  <c r="I12" i="20"/>
  <c r="A13" i="21"/>
  <c r="P12" i="20"/>
  <c r="L12" i="20" l="1"/>
  <c r="I13" i="23"/>
  <c r="B18" i="19"/>
  <c r="C18" i="19" s="1"/>
  <c r="T14" i="23"/>
  <c r="M13" i="20"/>
  <c r="N13" i="20"/>
  <c r="H13" i="20"/>
  <c r="A14" i="21"/>
  <c r="Q13" i="20"/>
  <c r="K13" i="20"/>
  <c r="O13" i="20"/>
  <c r="J13" i="20"/>
  <c r="I13" i="20"/>
  <c r="G13" i="20"/>
  <c r="P13" i="20"/>
  <c r="C13" i="21"/>
  <c r="C67" i="21" s="1"/>
  <c r="B13" i="21"/>
  <c r="C42" i="21" s="1"/>
  <c r="A42" i="21"/>
  <c r="A67" i="21" s="1"/>
  <c r="F14" i="20"/>
  <c r="E15" i="20"/>
  <c r="E16" i="20" l="1"/>
  <c r="F15" i="20"/>
  <c r="L13" i="20"/>
  <c r="I14" i="23"/>
  <c r="C14" i="21"/>
  <c r="C68" i="21" s="1"/>
  <c r="B14" i="21"/>
  <c r="C43" i="21" s="1"/>
  <c r="A43" i="21"/>
  <c r="A68" i="21" s="1"/>
  <c r="B19" i="19"/>
  <c r="C19" i="19" s="1"/>
  <c r="T15" i="23"/>
  <c r="N14" i="20"/>
  <c r="M14" i="20"/>
  <c r="P14" i="20"/>
  <c r="H14" i="20"/>
  <c r="A15" i="21"/>
  <c r="K14" i="20"/>
  <c r="J14" i="20"/>
  <c r="Q14" i="20"/>
  <c r="O14" i="20"/>
  <c r="I14" i="20"/>
  <c r="G14" i="20"/>
  <c r="L14" i="20" l="1"/>
  <c r="I15" i="23"/>
  <c r="C15" i="21"/>
  <c r="C69" i="21" s="1"/>
  <c r="A44" i="21"/>
  <c r="A69" i="21" s="1"/>
  <c r="B15" i="21"/>
  <c r="C44" i="21" s="1"/>
  <c r="M15" i="20"/>
  <c r="Q15" i="20"/>
  <c r="J15" i="20"/>
  <c r="I15" i="20"/>
  <c r="G15" i="20"/>
  <c r="T16" i="23"/>
  <c r="K15" i="20"/>
  <c r="H15" i="20"/>
  <c r="A16" i="21"/>
  <c r="B20" i="19"/>
  <c r="C20" i="19" s="1"/>
  <c r="N15" i="20"/>
  <c r="O15" i="20"/>
  <c r="P15" i="20"/>
  <c r="E17" i="20"/>
  <c r="F16" i="20"/>
  <c r="B21" i="19" l="1"/>
  <c r="C21" i="19" s="1"/>
  <c r="T17" i="23"/>
  <c r="N16" i="20"/>
  <c r="M16" i="20"/>
  <c r="P16" i="20"/>
  <c r="H16" i="20"/>
  <c r="J16" i="20"/>
  <c r="A17" i="21"/>
  <c r="Q16" i="20"/>
  <c r="K16" i="20"/>
  <c r="O16" i="20"/>
  <c r="I16" i="20"/>
  <c r="G16" i="20"/>
  <c r="C16" i="21"/>
  <c r="C70" i="21" s="1"/>
  <c r="B16" i="21"/>
  <c r="C45" i="21" s="1"/>
  <c r="A45" i="21"/>
  <c r="A70" i="21" s="1"/>
  <c r="L15" i="20"/>
  <c r="I16" i="23"/>
  <c r="F17" i="20"/>
  <c r="E18" i="20"/>
  <c r="E19" i="20" l="1"/>
  <c r="F18" i="20"/>
  <c r="C17" i="21"/>
  <c r="C71" i="21" s="1"/>
  <c r="B17" i="21"/>
  <c r="C46" i="21" s="1"/>
  <c r="A46" i="21"/>
  <c r="A71" i="21" s="1"/>
  <c r="L16" i="20"/>
  <c r="I17" i="23"/>
  <c r="M17" i="20"/>
  <c r="N17" i="20"/>
  <c r="I17" i="20"/>
  <c r="J17" i="20"/>
  <c r="G17" i="20"/>
  <c r="B22" i="19"/>
  <c r="C22" i="19" s="1"/>
  <c r="U13" i="23"/>
  <c r="Q17" i="20"/>
  <c r="K17" i="20"/>
  <c r="O17" i="20"/>
  <c r="H17" i="20"/>
  <c r="A18" i="21"/>
  <c r="P17" i="20"/>
  <c r="B23" i="19" l="1"/>
  <c r="C23" i="19" s="1"/>
  <c r="U14" i="23"/>
  <c r="N18" i="20"/>
  <c r="M18" i="20"/>
  <c r="P18" i="20"/>
  <c r="I18" i="20"/>
  <c r="A19" i="21"/>
  <c r="Q18" i="20"/>
  <c r="K18" i="20"/>
  <c r="O18" i="20"/>
  <c r="J18" i="20"/>
  <c r="H18" i="20"/>
  <c r="G18" i="20"/>
  <c r="L17" i="20"/>
  <c r="M13" i="23"/>
  <c r="C18" i="21"/>
  <c r="C72" i="21" s="1"/>
  <c r="B18" i="21"/>
  <c r="C47" i="21" s="1"/>
  <c r="A47" i="21"/>
  <c r="A72" i="21" s="1"/>
  <c r="E20" i="20"/>
  <c r="F19" i="20"/>
  <c r="M19" i="20" l="1"/>
  <c r="Q19" i="20"/>
  <c r="I19" i="20"/>
  <c r="J19" i="20"/>
  <c r="G19" i="20"/>
  <c r="U15" i="23"/>
  <c r="K19" i="20"/>
  <c r="H19" i="20"/>
  <c r="P19" i="20"/>
  <c r="B24" i="19"/>
  <c r="C24" i="19" s="1"/>
  <c r="N19" i="20"/>
  <c r="O19" i="20"/>
  <c r="A20" i="21"/>
  <c r="E21" i="20"/>
  <c r="F21" i="20" s="1"/>
  <c r="F20" i="20"/>
  <c r="L18" i="20"/>
  <c r="M14" i="23"/>
  <c r="A48" i="21"/>
  <c r="A73" i="21" s="1"/>
  <c r="B19" i="21"/>
  <c r="C48" i="21" s="1"/>
  <c r="C19" i="21"/>
  <c r="C73" i="21" s="1"/>
  <c r="M21" i="20" l="1"/>
  <c r="N21" i="20"/>
  <c r="K21" i="20"/>
  <c r="O21" i="20"/>
  <c r="I21" i="20"/>
  <c r="H21" i="20"/>
  <c r="A22" i="21"/>
  <c r="B26" i="19"/>
  <c r="C26" i="19" s="1"/>
  <c r="Q21" i="20"/>
  <c r="J21" i="20"/>
  <c r="G21" i="20"/>
  <c r="U17" i="23"/>
  <c r="P21" i="20"/>
  <c r="B25" i="19"/>
  <c r="C25" i="19" s="1"/>
  <c r="U16" i="23"/>
  <c r="N20" i="20"/>
  <c r="M20" i="20"/>
  <c r="P20" i="20"/>
  <c r="I20" i="20"/>
  <c r="A21" i="21"/>
  <c r="K20" i="20"/>
  <c r="J20" i="20"/>
  <c r="G20" i="20"/>
  <c r="Q20" i="20"/>
  <c r="O20" i="20"/>
  <c r="H20" i="20"/>
  <c r="C20" i="21"/>
  <c r="C74" i="21" s="1"/>
  <c r="B20" i="21"/>
  <c r="C49" i="21" s="1"/>
  <c r="A49" i="21"/>
  <c r="A74" i="21" s="1"/>
  <c r="L19" i="20"/>
  <c r="M15" i="23"/>
  <c r="B21" i="21" l="1"/>
  <c r="C50" i="21" s="1"/>
  <c r="C21" i="21"/>
  <c r="C75" i="21" s="1"/>
  <c r="A50" i="21"/>
  <c r="A75" i="21" s="1"/>
  <c r="L20" i="20"/>
  <c r="M16" i="23"/>
  <c r="B22" i="21"/>
  <c r="C51" i="21" s="1"/>
  <c r="C22" i="21"/>
  <c r="C76" i="21" s="1"/>
  <c r="A51" i="21"/>
  <c r="A76" i="21" s="1"/>
  <c r="L21" i="20"/>
  <c r="M17" i="23"/>
  <c r="A55" i="21" l="1"/>
  <c r="E70" i="21" s="1"/>
  <c r="G15" i="21" s="1"/>
  <c r="A30" i="21"/>
  <c r="D33" i="21" s="1"/>
  <c r="D57" i="21"/>
  <c r="E69" i="21"/>
  <c r="G14" i="21" s="1"/>
  <c r="A21" i="11" s="1"/>
  <c r="E61" i="21"/>
  <c r="G6" i="21" s="1"/>
  <c r="A13" i="11" s="1"/>
  <c r="E64" i="21"/>
  <c r="G9" i="21" s="1"/>
  <c r="A16" i="11" s="1"/>
  <c r="D67" i="21"/>
  <c r="E71" i="21"/>
  <c r="G16" i="21" s="1"/>
  <c r="D58" i="21"/>
  <c r="E68" i="21"/>
  <c r="G13" i="21" s="1"/>
  <c r="A20" i="11" s="1"/>
  <c r="E59" i="21"/>
  <c r="G4" i="21" s="1"/>
  <c r="A11" i="11" s="1"/>
  <c r="D62" i="21"/>
  <c r="D49" i="21"/>
  <c r="D45" i="21"/>
  <c r="D41" i="21"/>
  <c r="E44" i="21"/>
  <c r="F14" i="21" s="1"/>
  <c r="E40" i="21"/>
  <c r="F10" i="21" s="1"/>
  <c r="A19" i="9" s="1"/>
  <c r="E36" i="21"/>
  <c r="F6" i="21" s="1"/>
  <c r="A15" i="9" s="1"/>
  <c r="E32" i="21"/>
  <c r="F2" i="21" s="1"/>
  <c r="A11" i="9" s="1"/>
  <c r="D48" i="21"/>
  <c r="D44" i="21"/>
  <c r="D36" i="21"/>
  <c r="E47" i="21"/>
  <c r="F17" i="21" s="1"/>
  <c r="A14" i="18" s="1"/>
  <c r="E43" i="21"/>
  <c r="F13" i="21" s="1"/>
  <c r="A22" i="9" s="1"/>
  <c r="E39" i="21"/>
  <c r="F9" i="21" s="1"/>
  <c r="A18" i="9" s="1"/>
  <c r="E35" i="21"/>
  <c r="F5" i="21" s="1"/>
  <c r="A14" i="9" s="1"/>
  <c r="E50" i="21"/>
  <c r="F20" i="21" s="1"/>
  <c r="A17" i="18" s="1"/>
  <c r="D39" i="21"/>
  <c r="E51" i="21"/>
  <c r="F21" i="21" s="1"/>
  <c r="A18" i="18" s="1"/>
  <c r="E34" i="21"/>
  <c r="F4" i="21" s="1"/>
  <c r="A13" i="9" s="1"/>
  <c r="D46" i="21"/>
  <c r="D38" i="21"/>
  <c r="E49" i="21"/>
  <c r="F19" i="21" s="1"/>
  <c r="A16" i="18" s="1"/>
  <c r="E33" i="21"/>
  <c r="F3" i="21" s="1"/>
  <c r="A12" i="9" s="1"/>
  <c r="D51" i="21"/>
  <c r="D43" i="21"/>
  <c r="E46" i="21"/>
  <c r="F16" i="21" s="1"/>
  <c r="A13" i="18" s="1"/>
  <c r="E38" i="21"/>
  <c r="F8" i="21" s="1"/>
  <c r="A17" i="9" s="1"/>
  <c r="D50" i="21"/>
  <c r="D34" i="21"/>
  <c r="E45" i="21"/>
  <c r="F15" i="21" s="1"/>
  <c r="A12" i="18" s="1"/>
  <c r="E37" i="21"/>
  <c r="F7" i="21" s="1"/>
  <c r="A16" i="9" s="1"/>
  <c r="D65" i="21" l="1"/>
  <c r="D35" i="21"/>
  <c r="E42" i="21"/>
  <c r="F12" i="21" s="1"/>
  <c r="A21" i="9" s="1"/>
  <c r="D21" i="9" s="1"/>
  <c r="D32" i="21"/>
  <c r="D37" i="21"/>
  <c r="D74" i="21"/>
  <c r="D73" i="21"/>
  <c r="E62" i="21"/>
  <c r="G7" i="21" s="1"/>
  <c r="A14" i="11" s="1"/>
  <c r="H14" i="11" s="1"/>
  <c r="E48" i="21"/>
  <c r="F18" i="21" s="1"/>
  <c r="A15" i="18" s="1"/>
  <c r="E75" i="21"/>
  <c r="G20" i="21" s="1"/>
  <c r="D75" i="21"/>
  <c r="D42" i="21"/>
  <c r="E41" i="21"/>
  <c r="F11" i="21" s="1"/>
  <c r="A20" i="9" s="1"/>
  <c r="F20" i="9" s="1"/>
  <c r="D47" i="21"/>
  <c r="D40" i="21"/>
  <c r="D71" i="21"/>
  <c r="D64" i="21"/>
  <c r="E74" i="21"/>
  <c r="G19" i="21" s="1"/>
  <c r="D72" i="21"/>
  <c r="D70" i="21"/>
  <c r="E67" i="21"/>
  <c r="G12" i="21" s="1"/>
  <c r="A19" i="11" s="1"/>
  <c r="E19" i="11" s="1"/>
  <c r="D63" i="21"/>
  <c r="E60" i="21"/>
  <c r="G5" i="21" s="1"/>
  <c r="A12" i="11" s="1"/>
  <c r="D12" i="11" s="1"/>
  <c r="E76" i="21"/>
  <c r="G21" i="21" s="1"/>
  <c r="D66" i="21"/>
  <c r="E63" i="21"/>
  <c r="G8" i="21" s="1"/>
  <c r="A15" i="11" s="1"/>
  <c r="G15" i="11" s="1"/>
  <c r="D59" i="21"/>
  <c r="D76" i="21"/>
  <c r="E72" i="21"/>
  <c r="G17" i="21" s="1"/>
  <c r="D60" i="21"/>
  <c r="D68" i="21"/>
  <c r="E57" i="21"/>
  <c r="G2" i="21" s="1"/>
  <c r="A9" i="11" s="1"/>
  <c r="E65" i="21"/>
  <c r="G10" i="21" s="1"/>
  <c r="A17" i="11" s="1"/>
  <c r="C17" i="11" s="1"/>
  <c r="E73" i="21"/>
  <c r="G18" i="21" s="1"/>
  <c r="D61" i="21"/>
  <c r="D69" i="21"/>
  <c r="E58" i="21"/>
  <c r="G3" i="21" s="1"/>
  <c r="A10" i="11" s="1"/>
  <c r="E10" i="11" s="1"/>
  <c r="E66" i="21"/>
  <c r="G11" i="21" s="1"/>
  <c r="A18" i="11" s="1"/>
  <c r="D18" i="11" s="1"/>
  <c r="D13" i="18"/>
  <c r="C13" i="18"/>
  <c r="F13" i="18"/>
  <c r="E13" i="18"/>
  <c r="G13" i="18"/>
  <c r="H13" i="18"/>
  <c r="H12" i="9"/>
  <c r="F12" i="9"/>
  <c r="E12" i="9"/>
  <c r="D12" i="9"/>
  <c r="C12" i="9"/>
  <c r="G12" i="9"/>
  <c r="C16" i="18"/>
  <c r="H16" i="18"/>
  <c r="F16" i="18"/>
  <c r="G16" i="18"/>
  <c r="E16" i="18"/>
  <c r="D16" i="18"/>
  <c r="H17" i="18"/>
  <c r="G17" i="18"/>
  <c r="F17" i="18"/>
  <c r="E17" i="18"/>
  <c r="C17" i="18"/>
  <c r="D17" i="18"/>
  <c r="F18" i="9"/>
  <c r="G18" i="9"/>
  <c r="E18" i="9"/>
  <c r="D18" i="9"/>
  <c r="C18" i="9"/>
  <c r="H18" i="9"/>
  <c r="G14" i="18"/>
  <c r="E14" i="18"/>
  <c r="D14" i="18"/>
  <c r="F14" i="18"/>
  <c r="C14" i="18"/>
  <c r="H14" i="18"/>
  <c r="E11" i="9"/>
  <c r="C11" i="9"/>
  <c r="H11" i="9"/>
  <c r="G11" i="9"/>
  <c r="F11" i="9"/>
  <c r="D11" i="9"/>
  <c r="H19" i="9"/>
  <c r="E19" i="9"/>
  <c r="D19" i="9"/>
  <c r="F19" i="9"/>
  <c r="C19" i="9"/>
  <c r="G19" i="9"/>
  <c r="E15" i="18"/>
  <c r="H15" i="18"/>
  <c r="C15" i="18"/>
  <c r="F15" i="18"/>
  <c r="D15" i="18"/>
  <c r="G15" i="18"/>
  <c r="G11" i="11"/>
  <c r="E11" i="11"/>
  <c r="D11" i="11"/>
  <c r="F11" i="11"/>
  <c r="H11" i="11"/>
  <c r="C11" i="11"/>
  <c r="G20" i="11"/>
  <c r="D20" i="11"/>
  <c r="H20" i="11"/>
  <c r="C20" i="11"/>
  <c r="E20" i="11"/>
  <c r="F20" i="11"/>
  <c r="G16" i="11"/>
  <c r="E16" i="11"/>
  <c r="D16" i="11"/>
  <c r="C16" i="11"/>
  <c r="H16" i="11"/>
  <c r="F16" i="11"/>
  <c r="E13" i="11"/>
  <c r="H13" i="11"/>
  <c r="G13" i="11"/>
  <c r="C13" i="11"/>
  <c r="F13" i="11"/>
  <c r="D13" i="11"/>
  <c r="E21" i="11"/>
  <c r="G21" i="11"/>
  <c r="H21" i="11"/>
  <c r="C21" i="11"/>
  <c r="F21" i="11"/>
  <c r="D21" i="11"/>
  <c r="F16" i="9"/>
  <c r="G16" i="9"/>
  <c r="C16" i="9"/>
  <c r="E16" i="9"/>
  <c r="H16" i="9"/>
  <c r="D16" i="9"/>
  <c r="C12" i="18"/>
  <c r="F12" i="18"/>
  <c r="D12" i="18"/>
  <c r="G12" i="18"/>
  <c r="H12" i="18"/>
  <c r="E12" i="18"/>
  <c r="F17" i="9"/>
  <c r="G17" i="9"/>
  <c r="C17" i="9"/>
  <c r="H17" i="9"/>
  <c r="E17" i="9"/>
  <c r="D17" i="9"/>
  <c r="F13" i="9"/>
  <c r="G13" i="9"/>
  <c r="C13" i="9"/>
  <c r="H13" i="9"/>
  <c r="E13" i="9"/>
  <c r="D13" i="9"/>
  <c r="D18" i="18"/>
  <c r="C18" i="18"/>
  <c r="F18" i="18"/>
  <c r="H18" i="18"/>
  <c r="E18" i="18"/>
  <c r="G18" i="18"/>
  <c r="F14" i="9"/>
  <c r="C14" i="9"/>
  <c r="E14" i="9"/>
  <c r="D14" i="9"/>
  <c r="H14" i="9"/>
  <c r="G14" i="9"/>
  <c r="F22" i="9"/>
  <c r="G22" i="9"/>
  <c r="C22" i="9"/>
  <c r="H22" i="9"/>
  <c r="E22" i="9"/>
  <c r="D22" i="9"/>
  <c r="F15" i="9"/>
  <c r="G15" i="9"/>
  <c r="C15" i="9"/>
  <c r="H15" i="9"/>
  <c r="D15" i="9"/>
  <c r="E15" i="9"/>
  <c r="B73" i="12"/>
  <c r="A11" i="18"/>
  <c r="H21" i="9" l="1"/>
  <c r="C21" i="9"/>
  <c r="E21" i="9"/>
  <c r="G21" i="9"/>
  <c r="F21" i="9"/>
  <c r="D14" i="11"/>
  <c r="E14" i="11"/>
  <c r="F14" i="11"/>
  <c r="C14" i="11"/>
  <c r="G14" i="11"/>
  <c r="G19" i="11"/>
  <c r="D20" i="9"/>
  <c r="C20" i="9"/>
  <c r="H20" i="9"/>
  <c r="G20" i="9"/>
  <c r="E20" i="9"/>
  <c r="C10" i="11"/>
  <c r="C15" i="11"/>
  <c r="E17" i="11"/>
  <c r="H12" i="11"/>
  <c r="H17" i="11"/>
  <c r="C19" i="11"/>
  <c r="F18" i="11"/>
  <c r="B74" i="12"/>
  <c r="H10" i="11"/>
  <c r="D10" i="11"/>
  <c r="F17" i="11"/>
  <c r="C12" i="11"/>
  <c r="G12" i="11"/>
  <c r="D19" i="11"/>
  <c r="G18" i="11"/>
  <c r="H18" i="11"/>
  <c r="F15" i="11"/>
  <c r="D15" i="11"/>
  <c r="G10" i="11"/>
  <c r="F10" i="11"/>
  <c r="G17" i="11"/>
  <c r="D17" i="11"/>
  <c r="E12" i="11"/>
  <c r="F12" i="11"/>
  <c r="H19" i="11"/>
  <c r="F19" i="11"/>
  <c r="E18" i="11"/>
  <c r="C18" i="11"/>
  <c r="E15" i="11"/>
  <c r="H15" i="11"/>
  <c r="F11" i="18"/>
  <c r="C11" i="18"/>
  <c r="G11" i="18"/>
  <c r="H11" i="18"/>
  <c r="D11" i="18"/>
  <c r="E11" i="18"/>
  <c r="D9" i="11"/>
  <c r="E9" i="11"/>
  <c r="H9" i="11"/>
  <c r="C9" i="11"/>
  <c r="G9" i="11"/>
  <c r="F9" i="11"/>
</calcChain>
</file>

<file path=xl/sharedStrings.xml><?xml version="1.0" encoding="utf-8"?>
<sst xmlns="http://schemas.openxmlformats.org/spreadsheetml/2006/main" count="826" uniqueCount="424">
  <si>
    <t>Grade</t>
  </si>
  <si>
    <t>Renseignements Administratifs</t>
  </si>
  <si>
    <t>Signature</t>
  </si>
  <si>
    <t>Réservé 
Formation DDIS</t>
  </si>
  <si>
    <t>Réservé 
RH DDSIS</t>
  </si>
  <si>
    <t>NOM  Prénom
(ordre alphabétique)</t>
  </si>
  <si>
    <t>IHTS</t>
  </si>
  <si>
    <t>1 - Responsable de
     l'action</t>
  </si>
  <si>
    <t>Code indemnité Enseignement/Jury</t>
  </si>
  <si>
    <t>Montant indemnité d'enseignement (IE) ou de jury (IJ)</t>
  </si>
  <si>
    <t>Nombre d'heures
IE / IJ</t>
  </si>
  <si>
    <t>Date(s) de présence</t>
  </si>
  <si>
    <t>STAGIAIRE</t>
  </si>
  <si>
    <t>FORMATEUR</t>
  </si>
  <si>
    <t>Heures réelles de présence</t>
  </si>
  <si>
    <t>Intitulé du stage :</t>
  </si>
  <si>
    <t>Centre de Secours</t>
  </si>
  <si>
    <t>Responsable</t>
  </si>
  <si>
    <t>Nom</t>
  </si>
  <si>
    <t>Date 
de traitement</t>
  </si>
  <si>
    <t>Nombre d'heures à prendre en compte 
en Centième / d'heure</t>
  </si>
  <si>
    <t>SPP-PATS</t>
  </si>
  <si>
    <t>Fiche de liaison  FORMATION / RESSOURCES-HUMAINES Personnels Permanents : SPP et PATS</t>
  </si>
  <si>
    <t>Fiche de liaison  FORMATION / GESTION SPV - Sapeurs-Pompiers Volontaires</t>
  </si>
  <si>
    <t>SPV</t>
  </si>
  <si>
    <t>Nombre d'heures à prendre en compte en Centième d'heure</t>
  </si>
  <si>
    <t>Cadre réservé
Gestion SPV DDSIS</t>
  </si>
  <si>
    <t>Stagiaire</t>
  </si>
  <si>
    <t>Formateur</t>
  </si>
  <si>
    <t>Perte de salaire</t>
  </si>
  <si>
    <t>(heures réelles de présence)</t>
  </si>
  <si>
    <t>Heures majorées        = heures réelles        x 1,25</t>
  </si>
  <si>
    <t>(joindre la demande de subrogation)</t>
  </si>
  <si>
    <t>(joindre l'attestation de perte de salaire)</t>
  </si>
  <si>
    <t>Taux vacation horaire</t>
  </si>
  <si>
    <t>Nbre vacations à payer</t>
  </si>
  <si>
    <t>Montant à payer</t>
  </si>
  <si>
    <t>2 - FOR 3 de 
     Groupement</t>
  </si>
  <si>
    <t>(*) les SPV relevant d'un centre communal ne sont pas pris en charge par le SDIS</t>
  </si>
  <si>
    <r>
      <t xml:space="preserve">Modes de règlement autre que le paiement par vacation
</t>
    </r>
    <r>
      <rPr>
        <b/>
        <i/>
        <sz val="9"/>
        <rFont val="Tahoma"/>
        <family val="2"/>
      </rPr>
      <t>(une seule case à cocher)</t>
    </r>
  </si>
  <si>
    <r>
      <t xml:space="preserve">Subrogation 
</t>
    </r>
    <r>
      <rPr>
        <b/>
        <sz val="11"/>
        <color indexed="10"/>
        <rFont val="Tahoma"/>
        <family val="2"/>
      </rPr>
      <t>(**)</t>
    </r>
  </si>
  <si>
    <t>Renseignements administratifs</t>
  </si>
  <si>
    <t>4 - Bureau Gestion SPV DDSIS</t>
  </si>
  <si>
    <t>3 - Responsable Service
     Formation DDSIS</t>
  </si>
  <si>
    <r>
      <t xml:space="preserve">Centre de Secours </t>
    </r>
    <r>
      <rPr>
        <b/>
        <sz val="11"/>
        <color indexed="48"/>
        <rFont val="Tahoma"/>
        <family val="2"/>
      </rPr>
      <t>(*)</t>
    </r>
  </si>
  <si>
    <t>(**) paiement des vacations à l'employeur si celui-ci a maintenu la rémunération à l'agent pendant son stage effectué sur temps de travail</t>
  </si>
  <si>
    <t>3 - Service Formation DDSIS</t>
  </si>
  <si>
    <t>1 - Responsable de l'action</t>
  </si>
  <si>
    <t>Recyclages unités spécialisées</t>
  </si>
  <si>
    <t>Jury d'examen</t>
  </si>
  <si>
    <t>Modèle n° 2013
Mise à jour : 26/03/2013</t>
  </si>
  <si>
    <t xml:space="preserve">Autres formations </t>
  </si>
  <si>
    <r>
      <t xml:space="preserve">4 - Chef du GPT, CSP
     ou service concerné
</t>
    </r>
    <r>
      <rPr>
        <sz val="8"/>
        <rFont val="Tahoma"/>
        <family val="2"/>
      </rPr>
      <t>(aucune fiche liaison formation n'est retournée à la DDSIS)</t>
    </r>
  </si>
  <si>
    <r>
      <t xml:space="preserve">2 - FOR 3 de Groupement </t>
    </r>
    <r>
      <rPr>
        <sz val="8"/>
        <rFont val="Tahoma"/>
        <family val="2"/>
      </rPr>
      <t>(ou bureau formation CSP pour recyclage des unités spécialisées)</t>
    </r>
  </si>
  <si>
    <t xml:space="preserve">Temps de 
travail </t>
  </si>
  <si>
    <t>Heures majorées = Heures    réelles      
X 1,25</t>
  </si>
  <si>
    <r>
      <t xml:space="preserve">Réservé 
RH Gpt / CSP / Service
</t>
    </r>
    <r>
      <rPr>
        <sz val="8"/>
        <rFont val="Tahoma"/>
        <family val="2"/>
      </rPr>
      <t>(les demandes d'IHTS se font par horoquartz ou formulaire papier)</t>
    </r>
  </si>
  <si>
    <t>Nom &amp; Prénom</t>
  </si>
  <si>
    <t>SPP / SPV</t>
  </si>
  <si>
    <t>CIS</t>
  </si>
  <si>
    <t>SPP</t>
  </si>
  <si>
    <t>CSP Pontarlier</t>
  </si>
  <si>
    <t>ADJ</t>
  </si>
  <si>
    <t>X</t>
  </si>
  <si>
    <t>Date de la Formation :</t>
  </si>
  <si>
    <t>Début</t>
  </si>
  <si>
    <t>Fin</t>
  </si>
  <si>
    <t>Niveau</t>
  </si>
  <si>
    <t>IMP 3</t>
  </si>
  <si>
    <t>CSP Besançon Centre</t>
  </si>
  <si>
    <t>CSP Montbéliard</t>
  </si>
  <si>
    <t>SCH</t>
  </si>
  <si>
    <t>CSP_Pontarlier</t>
  </si>
  <si>
    <t>CSP_Besançon_Centre</t>
  </si>
  <si>
    <t>CSP_Montbéliard</t>
  </si>
  <si>
    <t>ADC</t>
  </si>
  <si>
    <t>IMP 2</t>
  </si>
  <si>
    <t>Observations</t>
  </si>
  <si>
    <t>CTA_CODIS</t>
  </si>
  <si>
    <t>CSR_BAUME_LES_DAMES</t>
  </si>
  <si>
    <t>CPL</t>
  </si>
  <si>
    <t>LTN</t>
  </si>
  <si>
    <t>CCH</t>
  </si>
  <si>
    <t>SGT</t>
  </si>
  <si>
    <t>CTA-CODIS</t>
  </si>
  <si>
    <t>CSR Baume Les Dames</t>
  </si>
  <si>
    <t>CSR_AUDIN_VAL</t>
  </si>
  <si>
    <t>CSR AUDIN-VAL</t>
  </si>
  <si>
    <t>Article 2</t>
  </si>
  <si>
    <t xml:space="preserve"> Nuit (22h - 7h)</t>
  </si>
  <si>
    <t>Dimanche / JF</t>
  </si>
  <si>
    <t>Choix Liste Déroulante pour Nom &amp; Prénom</t>
  </si>
  <si>
    <t>Lieu d'entrainement</t>
  </si>
  <si>
    <t>Durée en h</t>
  </si>
  <si>
    <t>Restauration</t>
  </si>
  <si>
    <t>Resp. action</t>
  </si>
  <si>
    <t>Nom prénom</t>
  </si>
  <si>
    <t>Centre</t>
  </si>
  <si>
    <t>SIGNATURE</t>
  </si>
  <si>
    <t>TPH</t>
  </si>
  <si>
    <t>Participants :</t>
  </si>
  <si>
    <t>Véhicule(s) :</t>
  </si>
  <si>
    <t>Programme :</t>
  </si>
  <si>
    <t>Matin :</t>
  </si>
  <si>
    <t>Responsable Radio :</t>
  </si>
  <si>
    <t>IMP 1</t>
  </si>
  <si>
    <t xml:space="preserve">Commune (s) : </t>
  </si>
  <si>
    <t>Site (s) :</t>
  </si>
  <si>
    <t>N° du stage :</t>
  </si>
  <si>
    <t>A renvoyer par mail à Nathalie MOINDROT, Yann BERNARD, Bruno PATTON, Didier LARRIERE, Cédric RODRIGUES et RH CSP (avec la fiche finance)</t>
  </si>
  <si>
    <t>Techniques secours et Thèmes</t>
  </si>
  <si>
    <t>TECHNIQUES SECOURS :</t>
  </si>
  <si>
    <t>AUTRES:</t>
  </si>
  <si>
    <r>
      <rPr>
        <b/>
        <u/>
        <sz val="12"/>
        <rFont val="Calibri"/>
        <family val="2"/>
      </rPr>
      <t>Thème 1</t>
    </r>
    <r>
      <rPr>
        <b/>
        <sz val="12"/>
        <rFont val="Calibri"/>
        <family val="2"/>
      </rPr>
      <t xml:space="preserve"> : Technique paroi</t>
    </r>
  </si>
  <si>
    <r>
      <rPr>
        <b/>
        <u/>
        <sz val="12"/>
        <rFont val="Calibri"/>
        <family val="2"/>
      </rPr>
      <t>Thème 2</t>
    </r>
    <r>
      <rPr>
        <b/>
        <sz val="12"/>
        <rFont val="Calibri"/>
        <family val="2"/>
      </rPr>
      <t xml:space="preserve"> : PRM sur tyrolienne</t>
    </r>
  </si>
  <si>
    <r>
      <rPr>
        <b/>
        <u/>
        <sz val="12"/>
        <rFont val="Calibri"/>
        <family val="2"/>
      </rPr>
      <t>Thème 3</t>
    </r>
    <r>
      <rPr>
        <b/>
        <sz val="12"/>
        <rFont val="Calibri"/>
        <family val="2"/>
      </rPr>
      <t xml:space="preserve"> : PRM sur point fixe</t>
    </r>
  </si>
  <si>
    <r>
      <rPr>
        <b/>
        <u/>
        <sz val="12"/>
        <rFont val="Calibri"/>
        <family val="2"/>
      </rPr>
      <t>Thème 4</t>
    </r>
    <r>
      <rPr>
        <b/>
        <sz val="12"/>
        <rFont val="Calibri"/>
        <family val="2"/>
      </rPr>
      <t xml:space="preserve"> : Technique balancier</t>
    </r>
  </si>
  <si>
    <r>
      <rPr>
        <b/>
        <u/>
        <sz val="12"/>
        <rFont val="Calibri"/>
        <family val="2"/>
      </rPr>
      <t>Thème 5</t>
    </r>
    <r>
      <rPr>
        <b/>
        <sz val="12"/>
        <rFont val="Calibri"/>
        <family val="2"/>
      </rPr>
      <t xml:space="preserve"> : Tyrolienne horizontale / oblique</t>
    </r>
  </si>
  <si>
    <r>
      <rPr>
        <b/>
        <u/>
        <sz val="12"/>
        <rFont val="Calibri"/>
        <family val="2"/>
      </rPr>
      <t>Thème 6</t>
    </r>
    <r>
      <rPr>
        <b/>
        <sz val="12"/>
        <rFont val="Calibri"/>
        <family val="2"/>
      </rPr>
      <t xml:space="preserve"> : Technique secours en ravin / combe</t>
    </r>
  </si>
  <si>
    <r>
      <rPr>
        <b/>
        <u/>
        <sz val="12"/>
        <rFont val="Calibri"/>
        <family val="2"/>
      </rPr>
      <t>Thème 7</t>
    </r>
    <r>
      <rPr>
        <b/>
        <sz val="12"/>
        <rFont val="Calibri"/>
        <family val="2"/>
      </rPr>
      <t xml:space="preserve"> : Technique d'évacuation en façade (TEF) - bâtiment</t>
    </r>
  </si>
  <si>
    <t>Responsable de l'entraînement :</t>
  </si>
  <si>
    <t>Ornans</t>
  </si>
  <si>
    <t>Pas sur LAO du 2 janvier 2020</t>
  </si>
  <si>
    <t xml:space="preserve">Type d'entraînement : </t>
  </si>
  <si>
    <t>Date</t>
  </si>
  <si>
    <t xml:space="preserve">Durée de l'entraînement : </t>
  </si>
  <si>
    <t>Table de Gustave</t>
  </si>
  <si>
    <t>GIH</t>
  </si>
  <si>
    <r>
      <rPr>
        <b/>
        <u/>
        <sz val="12"/>
        <rFont val="Calibri"/>
        <family val="2"/>
      </rPr>
      <t>Thème A</t>
    </r>
    <r>
      <rPr>
        <b/>
        <sz val="12"/>
        <rFont val="Calibri"/>
        <family val="2"/>
      </rPr>
      <t xml:space="preserve"> : Neige
</t>
    </r>
    <r>
      <rPr>
        <sz val="12"/>
        <rFont val="Calibri"/>
        <family val="2"/>
      </rPr>
      <t>Progression raquettes - Recherche DVA - Ancrages</t>
    </r>
  </si>
  <si>
    <r>
      <rPr>
        <b/>
        <u/>
        <sz val="12"/>
        <rFont val="Calibri"/>
        <family val="2"/>
      </rPr>
      <t>Thème B</t>
    </r>
    <r>
      <rPr>
        <b/>
        <sz val="12"/>
        <rFont val="Calibri"/>
        <family val="2"/>
      </rPr>
      <t xml:space="preserve"> : Progression et évacuation télésiège</t>
    </r>
  </si>
  <si>
    <t>Thèmes réalisés</t>
  </si>
  <si>
    <t>Responsable Adjoint entraînement :</t>
  </si>
  <si>
    <t xml:space="preserve">IMP 3 supplémentaire : </t>
  </si>
  <si>
    <t>Minimum :</t>
  </si>
  <si>
    <t>Maximum :</t>
  </si>
  <si>
    <t>Dates</t>
  </si>
  <si>
    <r>
      <t xml:space="preserve">Dates de Présence 
</t>
    </r>
    <r>
      <rPr>
        <i/>
        <sz val="10"/>
        <rFont val="Arial"/>
        <family val="2"/>
      </rPr>
      <t>(si non présent pendant l'ensemble de la formation)</t>
    </r>
  </si>
  <si>
    <t>FLF SPP n°1</t>
  </si>
  <si>
    <t>FLF SPV n°1</t>
  </si>
  <si>
    <t>FLF SPP n°2</t>
  </si>
  <si>
    <t>FLF SPV n°2</t>
  </si>
  <si>
    <t>Concatenation</t>
  </si>
  <si>
    <t>Participants</t>
  </si>
  <si>
    <t>Num</t>
  </si>
  <si>
    <t>Actif</t>
  </si>
  <si>
    <t>Decalage</t>
  </si>
  <si>
    <t>Heures</t>
  </si>
  <si>
    <t>Majoration</t>
  </si>
  <si>
    <t>Nbre IMP 2</t>
  </si>
  <si>
    <t>Nbre IMP 3</t>
  </si>
  <si>
    <t>RATIO FOR - STAGIAIRE</t>
  </si>
  <si>
    <t>Réel</t>
  </si>
  <si>
    <t>Théorique</t>
  </si>
  <si>
    <t>Formateur en + ou en -</t>
  </si>
  <si>
    <t>Oberservations</t>
  </si>
  <si>
    <t>Total :</t>
  </si>
  <si>
    <r>
      <rPr>
        <b/>
        <sz val="12"/>
        <rFont val="Arial"/>
        <family val="2"/>
      </rPr>
      <t>Heures de Présence</t>
    </r>
    <r>
      <rPr>
        <sz val="12"/>
        <rFont val="Arial"/>
        <family val="2"/>
      </rPr>
      <t xml:space="preserve">
</t>
    </r>
    <r>
      <rPr>
        <i/>
        <sz val="12"/>
        <rFont val="Arial"/>
        <family val="2"/>
      </rPr>
      <t>(Non majorées)</t>
    </r>
  </si>
  <si>
    <r>
      <rPr>
        <b/>
        <sz val="12"/>
        <rFont val="Arial"/>
        <family val="2"/>
      </rPr>
      <t>Date de Traitement :</t>
    </r>
    <r>
      <rPr>
        <sz val="12"/>
        <rFont val="Arial"/>
        <family val="2"/>
      </rPr>
      <t xml:space="preserve">
(</t>
    </r>
    <r>
      <rPr>
        <i/>
        <sz val="8"/>
        <rFont val="Arial"/>
        <family val="2"/>
      </rPr>
      <t>Fiche Liaison Finance)</t>
    </r>
  </si>
  <si>
    <t>STATUT</t>
  </si>
  <si>
    <t>HEURES</t>
  </si>
  <si>
    <t>MAJORATION</t>
  </si>
  <si>
    <t>GRIMP_25</t>
  </si>
  <si>
    <r>
      <t xml:space="preserve">IMP 3
</t>
    </r>
    <r>
      <rPr>
        <i/>
        <sz val="10"/>
        <rFont val="Arial"/>
        <family val="2"/>
      </rPr>
      <t>Formateur(s)</t>
    </r>
  </si>
  <si>
    <r>
      <rPr>
        <b/>
        <sz val="12"/>
        <rFont val="Arial"/>
        <family val="2"/>
      </rPr>
      <t>IMP 3</t>
    </r>
    <r>
      <rPr>
        <sz val="12"/>
        <rFont val="Arial"/>
        <family val="2"/>
      </rPr>
      <t xml:space="preserve">
</t>
    </r>
    <r>
      <rPr>
        <i/>
        <sz val="10"/>
        <rFont val="Arial"/>
        <family val="2"/>
      </rPr>
      <t>Non Formateur(s)</t>
    </r>
  </si>
  <si>
    <t>IMP 3 NF</t>
  </si>
  <si>
    <t>Site(s) :</t>
  </si>
  <si>
    <t>Commune(s):</t>
  </si>
  <si>
    <t>GRADE</t>
  </si>
  <si>
    <t>Intervenant(s) extérieur(s) :</t>
  </si>
  <si>
    <t>GROUPEMENT</t>
  </si>
  <si>
    <t>FLUNCH Montbéliard</t>
  </si>
  <si>
    <t>Cercle mixte Gendarmerie</t>
  </si>
  <si>
    <t>Au bon Plaisirs - Traiteur</t>
  </si>
  <si>
    <t>Au Lion de Belfort</t>
  </si>
  <si>
    <t>Chez Marie et Patricia</t>
  </si>
  <si>
    <t>Au Doubs Gourmet - Traiteur</t>
  </si>
  <si>
    <t>Auberge du Troulot</t>
  </si>
  <si>
    <t>Le Champ des Lys</t>
  </si>
  <si>
    <t>Auberge des Montagnards</t>
  </si>
  <si>
    <t xml:space="preserve">AUBERGE FLEURIE </t>
  </si>
  <si>
    <t>Auberge Du Coude</t>
  </si>
  <si>
    <t>Boucherie Gourmande</t>
  </si>
  <si>
    <t>Auberge du Moine</t>
  </si>
  <si>
    <t>Boucherie Mercier</t>
  </si>
  <si>
    <t>Autour du Monde</t>
  </si>
  <si>
    <t>Boucherie Rosalès/Julien</t>
  </si>
  <si>
    <t>BAILA Pizza</t>
  </si>
  <si>
    <t>Brasserie le Quesako</t>
  </si>
  <si>
    <t>Baraque des violons</t>
  </si>
  <si>
    <t>CAFETERIA DU CHÂTEAU</t>
  </si>
  <si>
    <t>Bonnet Traiteur</t>
  </si>
  <si>
    <t xml:space="preserve">Cafétéria du Château </t>
  </si>
  <si>
    <t>Buffalo Grill</t>
  </si>
  <si>
    <t>Christis Bar</t>
  </si>
  <si>
    <t>Chez Steph</t>
  </si>
  <si>
    <t>CORA Bethoncourt</t>
  </si>
  <si>
    <t>Combes des Cives</t>
  </si>
  <si>
    <t>Esat Les Saveurs du Val</t>
  </si>
  <si>
    <t>Ecole de Police Montbéliard</t>
  </si>
  <si>
    <t>Espace Morteau</t>
  </si>
  <si>
    <t>Hotel du Jura</t>
  </si>
  <si>
    <t>La Cascade</t>
  </si>
  <si>
    <t>La Balance</t>
  </si>
  <si>
    <t>La Courtepaille</t>
  </si>
  <si>
    <t>La Boucherie</t>
  </si>
  <si>
    <t>La Spatule II</t>
  </si>
  <si>
    <t xml:space="preserve">La Clé d'Or </t>
  </si>
  <si>
    <t>L'Affuteur de Crocs</t>
  </si>
  <si>
    <t>La Récré</t>
  </si>
  <si>
    <t>L'Arc en ciel</t>
  </si>
  <si>
    <t>L'AGAPE</t>
  </si>
  <si>
    <t>Le Campanile</t>
  </si>
  <si>
    <t>Le Bellevue</t>
  </si>
  <si>
    <t>Le Chalet de Magali</t>
  </si>
  <si>
    <t>LE CHRISTIS</t>
  </si>
  <si>
    <t>Le Pergaud (cinéma Olympia)</t>
  </si>
  <si>
    <t>Le Pétrain Riberirau - Boulangerie</t>
  </si>
  <si>
    <t>Le Palais de Montbéliard</t>
  </si>
  <si>
    <t>Les Fauvettes</t>
  </si>
  <si>
    <t>Le Picvert</t>
  </si>
  <si>
    <t>Les Papillons</t>
  </si>
  <si>
    <t xml:space="preserve">LE PICVERT BAR </t>
  </si>
  <si>
    <t>Pizzeria le Bas d'ville</t>
  </si>
  <si>
    <t xml:space="preserve">LE SAINT HIPPOLYTE  </t>
  </si>
  <si>
    <t>Restaurant d'A Côté - Leclerc</t>
  </si>
  <si>
    <t>LES BALCONS DE LA PERCHE</t>
  </si>
  <si>
    <t>Restaurant Hyper U - Doubs</t>
  </si>
  <si>
    <t xml:space="preserve">Les Sapins </t>
  </si>
  <si>
    <t>Restaurant Municipal (Elres/Elior)</t>
  </si>
  <si>
    <t>Les Terrasses</t>
  </si>
  <si>
    <t>SARL Andre et fils le commerce</t>
  </si>
  <si>
    <t>POFAFICI (TONY)</t>
  </si>
  <si>
    <t>POFAFICI chez Tonin</t>
  </si>
  <si>
    <t xml:space="preserve">RESTO LE CRUZOE </t>
  </si>
  <si>
    <t>Resto PANIZZA</t>
  </si>
  <si>
    <t>Traiteur Verdot</t>
  </si>
  <si>
    <t>VERDOT PHILIPPE TRAITEUR</t>
  </si>
  <si>
    <t>Restaurant/Traiteur</t>
  </si>
  <si>
    <t>Adresse</t>
  </si>
  <si>
    <t>Téléphone</t>
  </si>
  <si>
    <t xml:space="preserve">adresse mail </t>
  </si>
  <si>
    <t>Contact</t>
  </si>
  <si>
    <t>03.81.98.19.67</t>
  </si>
  <si>
    <t>1180@flunch.fr
montbeliard.directeur@flunch.fr</t>
  </si>
  <si>
    <t>03.81.99.15.15</t>
  </si>
  <si>
    <t>03.81.98.50.98</t>
  </si>
  <si>
    <t>03.81.99.51.58</t>
  </si>
  <si>
    <t>03.81.35.50.82</t>
  </si>
  <si>
    <t>Hérimoncourt</t>
  </si>
  <si>
    <t>03.81.30.83.72</t>
  </si>
  <si>
    <t xml:space="preserve">Exincourt </t>
  </si>
  <si>
    <t>03.81.31.04.66</t>
  </si>
  <si>
    <t xml:space="preserve">Mandeure </t>
  </si>
  <si>
    <t>03.81.37.20.31</t>
  </si>
  <si>
    <t>03.81.30.09.05</t>
  </si>
  <si>
    <t>aubergetroulot@orange.fr</t>
  </si>
  <si>
    <t>Valentigney</t>
  </si>
  <si>
    <t>03.81.34.10.45</t>
  </si>
  <si>
    <t>Mathay</t>
  </si>
  <si>
    <t>03.81.35.28.09</t>
  </si>
  <si>
    <t>lechristis@gmail.com</t>
  </si>
  <si>
    <t>03.81.37.39.90</t>
  </si>
  <si>
    <t>Pont de Roide</t>
  </si>
  <si>
    <t>03.81.92.48.20</t>
  </si>
  <si>
    <t>03.81.92.44.30</t>
  </si>
  <si>
    <t>Lougres</t>
  </si>
  <si>
    <t>03.81.96.22.27</t>
  </si>
  <si>
    <t>L'Isle sur le Doubs</t>
  </si>
  <si>
    <t>03.63.48.16.64</t>
  </si>
  <si>
    <t>03.81.96.34.24</t>
  </si>
  <si>
    <t xml:space="preserve">Maîche </t>
  </si>
  <si>
    <t>03.81.64.08.08</t>
  </si>
  <si>
    <t>03.81.64.11.84</t>
  </si>
  <si>
    <t>03.81.64.53.73</t>
  </si>
  <si>
    <t>phethalon@gmail.com</t>
  </si>
  <si>
    <t>Damprichard</t>
  </si>
  <si>
    <t>03.81.44.29.66</t>
  </si>
  <si>
    <t>03.81.44.21.42</t>
  </si>
  <si>
    <t>St Hippolyte</t>
  </si>
  <si>
    <t>hotel.bellevue@free.fr</t>
  </si>
  <si>
    <t>03.81.96.51.09</t>
  </si>
  <si>
    <t>BIEF</t>
  </si>
  <si>
    <t>OUGNEY DOUVOT</t>
  </si>
  <si>
    <t>SAINT HIPPOLYTE</t>
  </si>
  <si>
    <t>MONTENOIS</t>
  </si>
  <si>
    <t>LOUGRES</t>
  </si>
  <si>
    <t>Grand Charmond</t>
  </si>
  <si>
    <t>03 81 95 21 01</t>
  </si>
  <si>
    <r>
      <t xml:space="preserve">Le Faubourg 
</t>
    </r>
    <r>
      <rPr>
        <b/>
        <sz val="11"/>
        <color rgb="FFFF0000"/>
        <rFont val="Calibri"/>
        <family val="2"/>
        <scheme val="minor"/>
      </rPr>
      <t>( A éviter, sur-facturation)</t>
    </r>
  </si>
  <si>
    <t>03 81 91 23 38
06 62 98 28 07</t>
  </si>
  <si>
    <t>Besançon</t>
  </si>
  <si>
    <t>03 81 80 45 93</t>
  </si>
  <si>
    <t>Amancey</t>
  </si>
  <si>
    <t>03 81 86 58 77</t>
  </si>
  <si>
    <t>lechampsdeslys@wanadoo.fr</t>
  </si>
  <si>
    <t>Nans sur Sainte-Anne</t>
  </si>
  <si>
    <t>03 81 57 61 77
06 22 62 61 47</t>
  </si>
  <si>
    <t>chezmarieetpatricia@gmail.com</t>
  </si>
  <si>
    <t>1 Le coude</t>
  </si>
  <si>
    <t>aubergeducoude@orange.fr</t>
  </si>
  <si>
    <t>Doubs</t>
  </si>
  <si>
    <t xml:space="preserve">03 81 39 10 23 </t>
  </si>
  <si>
    <t xml:space="preserve">audoubsgourmet2@orange.fr </t>
  </si>
  <si>
    <t>03 81 39 39 39</t>
  </si>
  <si>
    <t>Les Hôpitaux Neufs</t>
  </si>
  <si>
    <t>03 81 49 10 53</t>
  </si>
  <si>
    <t xml:space="preserve">david.rebouillat@laposte.net </t>
  </si>
  <si>
    <t>Frasne</t>
  </si>
  <si>
    <t>03 81 49 83 68</t>
  </si>
  <si>
    <t>Morteau</t>
  </si>
  <si>
    <t>03 81 67 03 52</t>
  </si>
  <si>
    <t>contact@bonnet-traiteur.com</t>
  </si>
  <si>
    <t>03 81 86 72 56</t>
  </si>
  <si>
    <t>Rue Mervil</t>
  </si>
  <si>
    <t>03 81 38 63 30</t>
  </si>
  <si>
    <t>buffaltitude2@wanadoo.fr</t>
  </si>
  <si>
    <t>03 81 39 08 39</t>
  </si>
  <si>
    <t>pontarlier@courtepaille.com</t>
  </si>
  <si>
    <t>M. GERVELLEC</t>
  </si>
  <si>
    <t>Mouthier Hautepierre</t>
  </si>
  <si>
    <t>03 81 60 95 30</t>
  </si>
  <si>
    <t>hotelacascade@wanadoo.fr</t>
  </si>
  <si>
    <t>Pontarlier</t>
  </si>
  <si>
    <t>03 81 46 66 66</t>
  </si>
  <si>
    <t>Chaffois</t>
  </si>
  <si>
    <t>03 81 49 17 49</t>
  </si>
  <si>
    <t>lechaletdemagali@orange.fr</t>
  </si>
  <si>
    <t>03 81 67 25 66</t>
  </si>
  <si>
    <t>03 81 67 48 72</t>
  </si>
  <si>
    <t>Levier</t>
  </si>
  <si>
    <t>03 81 49 52 55</t>
  </si>
  <si>
    <t>03 81 46 72 47</t>
  </si>
  <si>
    <t>4 Rue Victor Hugo</t>
  </si>
  <si>
    <t xml:space="preserve"> 03 81 39 52 68</t>
  </si>
  <si>
    <t>av040280@elior.com</t>
  </si>
  <si>
    <t>03 81 67 06 74</t>
  </si>
  <si>
    <t>pizzas25@free.fr</t>
  </si>
  <si>
    <t>M. GUERIN</t>
  </si>
  <si>
    <t>03 81 39 15 99</t>
  </si>
  <si>
    <t xml:space="preserve">Route du Larmont </t>
  </si>
  <si>
    <t>03 81 39 90 95</t>
  </si>
  <si>
    <t>comtpabilite@rstaurant-pontarlier-lepergaud.fr
contact@restaurant-pontarlier-lepergaud.fr</t>
  </si>
  <si>
    <t>Métabief</t>
  </si>
  <si>
    <t>Chapelle des Bois</t>
  </si>
  <si>
    <t>Renedale</t>
  </si>
  <si>
    <t>pontarlier@bailapizza.com</t>
  </si>
  <si>
    <t>6 rue du Centre / Chaon</t>
  </si>
  <si>
    <t>Mr POULAIN Walter</t>
  </si>
  <si>
    <t>13 Grande Rue</t>
  </si>
  <si>
    <t>boillon.andre2@wanadoo.fr</t>
  </si>
  <si>
    <t>CROUS Montbéliard</t>
  </si>
  <si>
    <t>Listing Restauration</t>
  </si>
  <si>
    <t>Adresse :</t>
  </si>
  <si>
    <t>Nom :</t>
  </si>
  <si>
    <t>CP / Ville :</t>
  </si>
  <si>
    <t>Téléphonne :</t>
  </si>
  <si>
    <t>Adresse Mail :</t>
  </si>
  <si>
    <t>Contact :</t>
  </si>
  <si>
    <t>Véhicule(s)</t>
  </si>
  <si>
    <t>Grade + Nom &amp; Prénom</t>
  </si>
  <si>
    <t>Responsable Véhicule(s)</t>
  </si>
  <si>
    <t>Responsable Matériel</t>
  </si>
  <si>
    <t>Responsable Radio</t>
  </si>
  <si>
    <t>Horaire</t>
  </si>
  <si>
    <t>Programme</t>
  </si>
  <si>
    <t>07h00 - 07h20</t>
  </si>
  <si>
    <t>07h20 - 08h00</t>
  </si>
  <si>
    <t>08h00 - 12h00</t>
  </si>
  <si>
    <t>Horaire &amp; Programme Matin</t>
  </si>
  <si>
    <t>Horaire &amp; Programme Après-midi</t>
  </si>
  <si>
    <t>13h30 - 16h00</t>
  </si>
  <si>
    <t>16h00 - 16h30</t>
  </si>
  <si>
    <t>Thème théorique :</t>
  </si>
  <si>
    <t>Contact restauration :</t>
  </si>
  <si>
    <t>Après-midi :</t>
  </si>
  <si>
    <t>Responsable Véhicule(s) :</t>
  </si>
  <si>
    <t>Responsable Matériel :</t>
  </si>
  <si>
    <t>Obs</t>
  </si>
  <si>
    <t>Version complete IMP3 &amp; IMP 1 &amp; Info</t>
  </si>
  <si>
    <t>Heures réelles 
de présence</t>
  </si>
  <si>
    <t>Dates présence</t>
  </si>
  <si>
    <t>POUR MISE EN FORME "GRAS" PARTICIPANTS</t>
  </si>
  <si>
    <t>IMP2_et_IMP1</t>
  </si>
  <si>
    <t>Nom &amp; Ville</t>
  </si>
  <si>
    <t>MONTPERREUX</t>
  </si>
  <si>
    <t>Labergement-Sainte-Marie</t>
  </si>
  <si>
    <t>Montbéliard</t>
  </si>
  <si>
    <t>Audincourt</t>
  </si>
  <si>
    <t>Houtaud</t>
  </si>
  <si>
    <t>GUYANS-VENNES</t>
  </si>
  <si>
    <t>Tarcenay</t>
  </si>
  <si>
    <r>
      <t xml:space="preserve">Restaurant NON présent listing saisie manuel
</t>
    </r>
    <r>
      <rPr>
        <i/>
        <sz val="12"/>
        <color theme="1"/>
        <rFont val="Arial"/>
        <family val="2"/>
      </rPr>
      <t>Où saisir les données dans l'onglet "RESTAURANT"</t>
    </r>
  </si>
  <si>
    <t>DONNEES</t>
  </si>
  <si>
    <t>Feuil1</t>
  </si>
  <si>
    <t>RESTAURANT</t>
  </si>
  <si>
    <t>RATIO</t>
  </si>
  <si>
    <t>Ordre alphabétique FLF</t>
  </si>
  <si>
    <t>LISTE NOM POUR FLF</t>
  </si>
  <si>
    <t>Emargement</t>
  </si>
  <si>
    <t>FINANCES SPP</t>
  </si>
  <si>
    <t>FINANCES SPP N°2</t>
  </si>
  <si>
    <t>FINANCE-SPV</t>
  </si>
  <si>
    <t>PERSONNELS</t>
  </si>
  <si>
    <t>Liste Déroulante</t>
  </si>
  <si>
    <t>Nom des Onglets</t>
  </si>
  <si>
    <t>Impression</t>
  </si>
  <si>
    <r>
      <rPr>
        <b/>
        <sz val="10"/>
        <color rgb="FFFF0000"/>
        <rFont val="Arial"/>
        <family val="2"/>
      </rPr>
      <t>1</t>
    </r>
    <r>
      <rPr>
        <sz val="10"/>
        <rFont val="Arial"/>
        <family val="2"/>
      </rPr>
      <t xml:space="preserve"> = impression ou PDF
</t>
    </r>
    <r>
      <rPr>
        <b/>
        <sz val="10"/>
        <color rgb="FFFF0000"/>
        <rFont val="Arial"/>
        <family val="2"/>
      </rPr>
      <t>0</t>
    </r>
    <r>
      <rPr>
        <sz val="10"/>
        <rFont val="Arial"/>
        <family val="2"/>
      </rPr>
      <t xml:space="preserve"> = aucune impression ou PDF</t>
    </r>
  </si>
  <si>
    <t>Manuel</t>
  </si>
  <si>
    <t>Automatique</t>
  </si>
  <si>
    <t>Ville</t>
  </si>
  <si>
    <r>
      <rPr>
        <b/>
        <u/>
        <sz val="12"/>
        <rFont val="Calibri"/>
        <family val="2"/>
      </rPr>
      <t>Thème C</t>
    </r>
    <r>
      <rPr>
        <b/>
        <sz val="12"/>
        <rFont val="Calibri"/>
        <family val="2"/>
      </rPr>
      <t xml:space="preserve"> : Spéléo
</t>
    </r>
    <r>
      <rPr>
        <sz val="12"/>
        <rFont val="Calibri"/>
        <family val="2"/>
      </rPr>
      <t>Équipement - Progression - Point chaud</t>
    </r>
  </si>
  <si>
    <r>
      <rPr>
        <b/>
        <u/>
        <sz val="12"/>
        <rFont val="Calibri"/>
        <family val="2"/>
      </rPr>
      <t>Thème D</t>
    </r>
    <r>
      <rPr>
        <b/>
        <sz val="12"/>
        <rFont val="Calibri"/>
        <family val="2"/>
      </rPr>
      <t xml:space="preserve"> : Éolienne</t>
    </r>
  </si>
  <si>
    <r>
      <rPr>
        <b/>
        <u/>
        <sz val="12"/>
        <rFont val="Calibri"/>
        <family val="2"/>
      </rPr>
      <t>Thème E</t>
    </r>
    <r>
      <rPr>
        <b/>
        <sz val="12"/>
        <rFont val="Calibri"/>
        <family val="2"/>
      </rPr>
      <t xml:space="preserve"> : Grande hauteur - supérieur à 100m
</t>
    </r>
    <r>
      <rPr>
        <sz val="12"/>
        <rFont val="Calibri"/>
        <family val="2"/>
      </rPr>
      <t>Descente/Montée</t>
    </r>
  </si>
  <si>
    <r>
      <rPr>
        <b/>
        <u/>
        <sz val="12"/>
        <rFont val="Calibri"/>
        <family val="2"/>
      </rPr>
      <t xml:space="preserve">Thème F </t>
    </r>
    <r>
      <rPr>
        <b/>
        <sz val="12"/>
        <rFont val="Calibri"/>
        <family val="2"/>
      </rPr>
      <t xml:space="preserve">: Via Ferrata
</t>
    </r>
    <r>
      <rPr>
        <sz val="12"/>
        <rFont val="Calibri"/>
        <family val="2"/>
      </rPr>
      <t>Progression - Assistance/Évacuation</t>
    </r>
  </si>
  <si>
    <r>
      <rPr>
        <b/>
        <u/>
        <sz val="12"/>
        <rFont val="Calibri"/>
        <family val="2"/>
      </rPr>
      <t xml:space="preserve">Thème G </t>
    </r>
    <r>
      <rPr>
        <b/>
        <sz val="12"/>
        <rFont val="Calibri"/>
        <family val="2"/>
      </rPr>
      <t xml:space="preserve">: Équipement
</t>
    </r>
    <r>
      <rPr>
        <sz val="12"/>
        <rFont val="Calibri"/>
        <family val="2"/>
      </rPr>
      <t>Falaise - Spéléo</t>
    </r>
  </si>
  <si>
    <r>
      <rPr>
        <b/>
        <u/>
        <sz val="12"/>
        <rFont val="Calibri"/>
        <family val="2"/>
      </rPr>
      <t xml:space="preserve">Thème H </t>
    </r>
    <r>
      <rPr>
        <b/>
        <sz val="12"/>
        <rFont val="Calibri"/>
        <family val="2"/>
      </rPr>
      <t xml:space="preserve">: Abordage victime par un équipement
</t>
    </r>
    <r>
      <rPr>
        <sz val="12"/>
        <rFont val="Calibri"/>
        <family val="2"/>
      </rPr>
      <t>Sur technique secours</t>
    </r>
  </si>
  <si>
    <r>
      <rPr>
        <b/>
        <u/>
        <sz val="12"/>
        <rFont val="Calibri"/>
        <family val="2"/>
      </rPr>
      <t xml:space="preserve">Thème I </t>
    </r>
    <r>
      <rPr>
        <b/>
        <sz val="12"/>
        <rFont val="Calibri"/>
        <family val="2"/>
      </rPr>
      <t>: Mise en place d'une main courante</t>
    </r>
  </si>
  <si>
    <r>
      <rPr>
        <b/>
        <u/>
        <sz val="12"/>
        <rFont val="Calibri"/>
        <family val="2"/>
      </rPr>
      <t xml:space="preserve">Thème J </t>
    </r>
    <r>
      <rPr>
        <b/>
        <sz val="12"/>
        <rFont val="Calibri"/>
        <family val="2"/>
      </rPr>
      <t>: Décrochement d'équipier</t>
    </r>
  </si>
  <si>
    <r>
      <rPr>
        <b/>
        <u/>
        <sz val="12"/>
        <rFont val="Calibri"/>
        <family val="2"/>
      </rPr>
      <t xml:space="preserve">Thème K </t>
    </r>
    <r>
      <rPr>
        <b/>
        <sz val="12"/>
        <rFont val="Calibri"/>
        <family val="2"/>
      </rPr>
      <t>: Autres</t>
    </r>
  </si>
  <si>
    <t>les fins</t>
  </si>
  <si>
    <r>
      <rPr>
        <i/>
        <sz val="10"/>
        <color rgb="FFFF0000"/>
        <rFont val="Arial"/>
        <family val="2"/>
      </rPr>
      <t>Version 02/05/2020</t>
    </r>
    <r>
      <rPr>
        <i/>
        <sz val="10"/>
        <rFont val="Arial"/>
        <family val="2"/>
      </rPr>
      <t xml:space="preserve">
</t>
    </r>
    <r>
      <rPr>
        <i/>
        <sz val="10"/>
        <color theme="3" tint="0.39997558519241921"/>
        <rFont val="Arial"/>
        <family val="2"/>
      </rPr>
      <t xml:space="preserve">(Fait par un plongeur….pour les GRIMP </t>
    </r>
    <r>
      <rPr>
        <sz val="10"/>
        <color theme="3" tint="0.39997558519241921"/>
        <rFont val="Arial"/>
        <family val="2"/>
      </rPr>
      <t>😉</t>
    </r>
    <r>
      <rPr>
        <i/>
        <sz val="10"/>
        <color theme="3" tint="0.39997558519241921"/>
        <rFont val="Arial"/>
        <family val="2"/>
      </rPr>
      <t>)</t>
    </r>
  </si>
  <si>
    <t>TOTO</t>
  </si>
  <si>
    <t>MonSite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</si>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</sst>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[$-F800]dddd\,\ mmmm\ dd\,\ yyyy"/>
    <numFmt numFmtId="168" formatCode="0#&quot; &quot;##&quot; &quot;##&quot; &quot;##&quot; &quot;##"/>
  </numFmts>
  <fonts count="7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ahoma"/>
      <family val="2"/>
    </font>
    <font>
      <sz val="11"/>
      <name val="Tahoma"/>
      <family val="2"/>
    </font>
    <font>
      <b/>
      <sz val="14"/>
      <name val="Tahoma"/>
      <family val="2"/>
    </font>
    <font>
      <sz val="8"/>
      <name val="Arial"/>
      <family val="2"/>
    </font>
    <font>
      <sz val="10"/>
      <name val="Tahoma"/>
      <family val="2"/>
    </font>
    <font>
      <b/>
      <sz val="11"/>
      <name val="Tahoma"/>
      <family val="2"/>
    </font>
    <font>
      <b/>
      <sz val="11"/>
      <name val="Arial"/>
      <family val="2"/>
    </font>
    <font>
      <b/>
      <sz val="9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9"/>
      <name val="Tahoma"/>
      <family val="2"/>
    </font>
    <font>
      <sz val="8"/>
      <name val="Tahoma"/>
      <family val="2"/>
    </font>
    <font>
      <b/>
      <sz val="9"/>
      <name val="Times New Roman"/>
      <family val="1"/>
    </font>
    <font>
      <b/>
      <sz val="10"/>
      <name val="Arial"/>
      <family val="2"/>
    </font>
    <font>
      <b/>
      <sz val="20"/>
      <name val="Tahoma"/>
      <family val="2"/>
    </font>
    <font>
      <b/>
      <sz val="18"/>
      <name val="Tahoma"/>
      <family val="2"/>
    </font>
    <font>
      <b/>
      <sz val="24"/>
      <name val="Tahoma"/>
      <family val="2"/>
    </font>
    <font>
      <b/>
      <i/>
      <sz val="9"/>
      <name val="Tahoma"/>
      <family val="2"/>
    </font>
    <font>
      <b/>
      <sz val="11"/>
      <color indexed="48"/>
      <name val="Tahoma"/>
      <family val="2"/>
    </font>
    <font>
      <b/>
      <sz val="11"/>
      <color indexed="10"/>
      <name val="Tahoma"/>
      <family val="2"/>
    </font>
    <font>
      <b/>
      <i/>
      <sz val="11"/>
      <name val="Tahoma"/>
      <family val="2"/>
    </font>
    <font>
      <b/>
      <sz val="9"/>
      <color indexed="12"/>
      <name val="Tahoma"/>
      <family val="2"/>
    </font>
    <font>
      <b/>
      <sz val="9"/>
      <color indexed="10"/>
      <name val="Tahoma"/>
      <family val="2"/>
    </font>
    <font>
      <sz val="10"/>
      <color indexed="9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</font>
    <font>
      <b/>
      <sz val="12"/>
      <name val="Calibri"/>
      <family val="2"/>
    </font>
    <font>
      <i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28"/>
      <color theme="0"/>
      <name val="Times New Roman"/>
      <family val="1"/>
    </font>
    <font>
      <b/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name val="Calibri"/>
      <family val="2"/>
    </font>
    <font>
      <b/>
      <u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8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i/>
      <sz val="22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rgb="FFFF0000"/>
      <name val="Arial"/>
      <family val="2"/>
    </font>
    <font>
      <i/>
      <sz val="12"/>
      <color theme="1"/>
      <name val="Arial"/>
      <family val="2"/>
    </font>
    <font>
      <sz val="12"/>
      <color rgb="FFFF0000"/>
      <name val="Arial"/>
      <family val="2"/>
    </font>
    <font>
      <i/>
      <sz val="10"/>
      <color theme="3" tint="0.39997558519241921"/>
      <name val="Arial"/>
      <family val="2"/>
    </font>
    <font>
      <sz val="10"/>
      <color theme="3" tint="0.39997558519241921"/>
      <name val="Arial"/>
      <family val="2"/>
    </font>
    <font>
      <i/>
      <sz val="10"/>
      <color rgb="FFFF0000"/>
      <name val="Arial"/>
      <family val="2"/>
    </font>
    <font>
      <b/>
      <sz val="34"/>
      <color theme="0"/>
      <name val="Arial"/>
      <family val="2"/>
    </font>
    <font>
      <b/>
      <sz val="20"/>
      <color theme="0"/>
      <name val="Arial"/>
      <family val="2"/>
    </font>
    <font>
      <i/>
      <sz val="12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166" fontId="6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24">
    <xf numFmtId="0" fontId="0" fillId="0" borderId="0" xfId="0"/>
    <xf numFmtId="0" fontId="11" fillId="0" borderId="0" xfId="0" applyFont="1"/>
    <xf numFmtId="0" fontId="7" fillId="0" borderId="0" xfId="0" applyFont="1"/>
    <xf numFmtId="0" fontId="12" fillId="0" borderId="0" xfId="0" applyFont="1"/>
    <xf numFmtId="0" fontId="11" fillId="0" borderId="0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8" fillId="0" borderId="0" xfId="0" applyFont="1"/>
    <xf numFmtId="0" fontId="13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8" fillId="12" borderId="4" xfId="0" applyFont="1" applyFill="1" applyBorder="1" applyAlignment="1">
      <alignment vertical="center" textRotation="90" wrapText="1"/>
    </xf>
    <xf numFmtId="0" fontId="8" fillId="12" borderId="4" xfId="0" applyFont="1" applyFill="1" applyBorder="1" applyAlignment="1">
      <alignment horizontal="center" vertical="center" textRotation="90" wrapText="1"/>
    </xf>
    <xf numFmtId="0" fontId="12" fillId="6" borderId="5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32" fillId="0" borderId="10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30" fillId="0" borderId="1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8" fillId="0" borderId="13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0" fontId="19" fillId="7" borderId="10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vertical="center"/>
    </xf>
    <xf numFmtId="0" fontId="15" fillId="7" borderId="5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 shrinkToFit="1"/>
    </xf>
    <xf numFmtId="0" fontId="15" fillId="0" borderId="0" xfId="0" applyFont="1"/>
    <xf numFmtId="0" fontId="18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13" borderId="37" xfId="0" applyFont="1" applyFill="1" applyBorder="1" applyAlignment="1">
      <alignment horizontal="center" vertical="center"/>
    </xf>
    <xf numFmtId="0" fontId="31" fillId="0" borderId="37" xfId="0" applyFont="1" applyBorder="1" applyAlignment="1">
      <alignment horizontal="left" vertical="center"/>
    </xf>
    <xf numFmtId="0" fontId="31" fillId="0" borderId="37" xfId="0" applyFont="1" applyFill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13" borderId="37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0" fillId="17" borderId="37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0" fillId="16" borderId="37" xfId="0" applyFont="1" applyFill="1" applyBorder="1" applyAlignment="1">
      <alignment horizontal="left" vertical="center" wrapText="1"/>
    </xf>
    <xf numFmtId="0" fontId="34" fillId="0" borderId="37" xfId="0" applyFont="1" applyBorder="1" applyAlignment="1" applyProtection="1">
      <alignment horizontal="center" vertical="center"/>
      <protection locked="0"/>
    </xf>
    <xf numFmtId="0" fontId="0" fillId="0" borderId="37" xfId="0" applyBorder="1" applyProtection="1">
      <protection locked="0"/>
    </xf>
    <xf numFmtId="0" fontId="31" fillId="0" borderId="37" xfId="0" applyFont="1" applyBorder="1" applyProtection="1">
      <protection locked="0"/>
    </xf>
    <xf numFmtId="0" fontId="31" fillId="0" borderId="37" xfId="0" applyFont="1" applyBorder="1" applyAlignment="1" applyProtection="1">
      <alignment horizontal="left" vertical="center"/>
      <protection locked="0"/>
    </xf>
    <xf numFmtId="0" fontId="31" fillId="0" borderId="37" xfId="0" applyFont="1" applyFill="1" applyBorder="1" applyAlignment="1" applyProtection="1">
      <alignment horizontal="left" vertical="center"/>
      <protection locked="0"/>
    </xf>
    <xf numFmtId="14" fontId="18" fillId="0" borderId="13" xfId="0" applyNumberFormat="1" applyFont="1" applyBorder="1" applyAlignment="1">
      <alignment horizontal="center" vertical="center"/>
    </xf>
    <xf numFmtId="14" fontId="18" fillId="0" borderId="14" xfId="0" applyNumberFormat="1" applyFont="1" applyBorder="1" applyAlignment="1">
      <alignment horizontal="center" vertical="center"/>
    </xf>
    <xf numFmtId="14" fontId="18" fillId="0" borderId="15" xfId="0" applyNumberFormat="1" applyFont="1" applyBorder="1" applyAlignment="1">
      <alignment horizontal="center" vertical="center"/>
    </xf>
    <xf numFmtId="14" fontId="18" fillId="0" borderId="13" xfId="0" applyNumberFormat="1" applyFont="1" applyBorder="1" applyAlignment="1">
      <alignment horizontal="center" vertical="center" wrapText="1"/>
    </xf>
    <xf numFmtId="14" fontId="18" fillId="0" borderId="14" xfId="0" applyNumberFormat="1" applyFont="1" applyBorder="1" applyAlignment="1">
      <alignment horizontal="center" vertical="center" wrapText="1"/>
    </xf>
    <xf numFmtId="14" fontId="18" fillId="0" borderId="15" xfId="0" applyNumberFormat="1" applyFont="1" applyBorder="1" applyAlignment="1">
      <alignment horizontal="center" vertical="center" wrapText="1"/>
    </xf>
    <xf numFmtId="0" fontId="18" fillId="7" borderId="13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14" fontId="32" fillId="0" borderId="10" xfId="0" applyNumberFormat="1" applyFont="1" applyFill="1" applyBorder="1" applyAlignment="1">
      <alignment horizontal="center" vertical="center"/>
    </xf>
    <xf numFmtId="14" fontId="34" fillId="0" borderId="37" xfId="0" applyNumberFormat="1" applyFont="1" applyBorder="1" applyAlignment="1" applyProtection="1">
      <alignment horizontal="center" vertical="center"/>
      <protection locked="0"/>
    </xf>
    <xf numFmtId="0" fontId="18" fillId="0" borderId="6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/>
    </xf>
    <xf numFmtId="168" fontId="0" fillId="0" borderId="37" xfId="0" applyNumberFormat="1" applyBorder="1" applyProtection="1">
      <protection locked="0"/>
    </xf>
    <xf numFmtId="0" fontId="34" fillId="0" borderId="37" xfId="0" applyFont="1" applyFill="1" applyBorder="1" applyAlignment="1" applyProtection="1">
      <alignment horizontal="center" vertical="center"/>
      <protection locked="0"/>
    </xf>
    <xf numFmtId="0" fontId="34" fillId="0" borderId="37" xfId="0" applyFont="1" applyBorder="1" applyAlignment="1" applyProtection="1">
      <alignment horizontal="left" vertical="center"/>
      <protection locked="0"/>
    </xf>
    <xf numFmtId="0" fontId="12" fillId="0" borderId="9" xfId="0" applyFont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4" fillId="0" borderId="0" xfId="3"/>
    <xf numFmtId="0" fontId="4" fillId="0" borderId="0" xfId="3" applyFill="1" applyAlignment="1"/>
    <xf numFmtId="0" fontId="45" fillId="0" borderId="0" xfId="3" applyFont="1" applyFill="1" applyBorder="1" applyAlignment="1">
      <alignment horizontal="center"/>
    </xf>
    <xf numFmtId="0" fontId="4" fillId="0" borderId="0" xfId="3" applyFill="1"/>
    <xf numFmtId="0" fontId="4" fillId="0" borderId="0" xfId="3" applyAlignment="1">
      <alignment horizontal="center" vertical="center"/>
    </xf>
    <xf numFmtId="0" fontId="4" fillId="0" borderId="0" xfId="3" applyBorder="1"/>
    <xf numFmtId="0" fontId="46" fillId="0" borderId="0" xfId="3" applyFont="1" applyBorder="1" applyAlignment="1">
      <alignment horizontal="center" vertical="center"/>
    </xf>
    <xf numFmtId="0" fontId="34" fillId="17" borderId="37" xfId="0" applyFont="1" applyFill="1" applyBorder="1" applyAlignment="1" applyProtection="1">
      <alignment horizontal="left" vertical="center"/>
      <protection locked="0"/>
    </xf>
    <xf numFmtId="0" fontId="34" fillId="17" borderId="37" xfId="0" applyFont="1" applyFill="1" applyBorder="1" applyAlignment="1" applyProtection="1">
      <alignment horizontal="center" vertical="center"/>
      <protection locked="0"/>
    </xf>
    <xf numFmtId="0" fontId="31" fillId="17" borderId="37" xfId="0" applyFont="1" applyFill="1" applyBorder="1" applyProtection="1">
      <protection locked="0"/>
    </xf>
    <xf numFmtId="168" fontId="0" fillId="17" borderId="37" xfId="0" applyNumberFormat="1" applyFill="1" applyBorder="1" applyProtection="1">
      <protection locked="0"/>
    </xf>
    <xf numFmtId="0" fontId="34" fillId="20" borderId="37" xfId="0" applyFont="1" applyFill="1" applyBorder="1" applyAlignment="1" applyProtection="1">
      <alignment horizontal="left" vertical="center"/>
      <protection locked="0"/>
    </xf>
    <xf numFmtId="0" fontId="34" fillId="20" borderId="37" xfId="0" applyFont="1" applyFill="1" applyBorder="1" applyAlignment="1" applyProtection="1">
      <alignment horizontal="center" vertical="center"/>
      <protection locked="0"/>
    </xf>
    <xf numFmtId="168" fontId="0" fillId="20" borderId="37" xfId="0" applyNumberFormat="1" applyFill="1" applyBorder="1" applyProtection="1">
      <protection locked="0"/>
    </xf>
    <xf numFmtId="0" fontId="31" fillId="20" borderId="37" xfId="0" applyFont="1" applyFill="1" applyBorder="1" applyProtection="1">
      <protection locked="0"/>
    </xf>
    <xf numFmtId="0" fontId="4" fillId="0" borderId="37" xfId="3" applyBorder="1"/>
    <xf numFmtId="0" fontId="4" fillId="0" borderId="15" xfId="3" applyBorder="1" applyAlignment="1">
      <alignment horizontal="center"/>
    </xf>
    <xf numFmtId="0" fontId="4" fillId="0" borderId="13" xfId="3" applyBorder="1" applyAlignment="1">
      <alignment horizontal="center" vertical="center"/>
    </xf>
    <xf numFmtId="0" fontId="15" fillId="0" borderId="4" xfId="0" applyFont="1" applyBorder="1" applyAlignment="1" applyProtection="1">
      <alignment horizontal="center" vertical="center" wrapText="1"/>
      <protection locked="0"/>
    </xf>
    <xf numFmtId="14" fontId="4" fillId="0" borderId="37" xfId="3" applyNumberFormat="1" applyBorder="1" applyAlignment="1">
      <alignment horizontal="center" vertical="center"/>
    </xf>
    <xf numFmtId="0" fontId="4" fillId="0" borderId="37" xfId="3" applyBorder="1" applyAlignment="1">
      <alignment horizontal="center" vertical="center"/>
    </xf>
    <xf numFmtId="0" fontId="4" fillId="0" borderId="14" xfId="3" applyBorder="1" applyAlignment="1">
      <alignment horizontal="center" vertical="center"/>
    </xf>
    <xf numFmtId="0" fontId="4" fillId="0" borderId="15" xfId="3" applyBorder="1" applyAlignment="1">
      <alignment horizontal="center" vertical="center"/>
    </xf>
    <xf numFmtId="0" fontId="4" fillId="15" borderId="14" xfId="3" applyFill="1" applyBorder="1" applyAlignment="1">
      <alignment horizontal="center" vertical="center"/>
    </xf>
    <xf numFmtId="0" fontId="4" fillId="0" borderId="15" xfId="3" applyBorder="1" applyAlignment="1">
      <alignment horizontal="center" vertical="center" wrapText="1"/>
    </xf>
    <xf numFmtId="14" fontId="4" fillId="0" borderId="15" xfId="3" applyNumberFormat="1" applyBorder="1" applyAlignment="1">
      <alignment horizontal="center" vertical="center"/>
    </xf>
    <xf numFmtId="0" fontId="4" fillId="0" borderId="5" xfId="3" applyBorder="1" applyAlignment="1"/>
    <xf numFmtId="0" fontId="4" fillId="0" borderId="10" xfId="3" applyBorder="1" applyAlignment="1"/>
    <xf numFmtId="0" fontId="4" fillId="0" borderId="21" xfId="3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4" fillId="0" borderId="38" xfId="0" applyFont="1" applyBorder="1" applyAlignment="1" applyProtection="1">
      <alignment vertical="center"/>
      <protection locked="0"/>
    </xf>
    <xf numFmtId="0" fontId="34" fillId="0" borderId="39" xfId="0" applyFont="1" applyBorder="1" applyAlignment="1" applyProtection="1">
      <alignment vertical="center"/>
    </xf>
    <xf numFmtId="0" fontId="38" fillId="16" borderId="37" xfId="3" applyFont="1" applyFill="1" applyBorder="1" applyAlignment="1">
      <alignment horizontal="center"/>
    </xf>
    <xf numFmtId="0" fontId="4" fillId="0" borderId="0" xfId="3" applyBorder="1" applyAlignment="1">
      <alignment horizontal="center"/>
    </xf>
    <xf numFmtId="0" fontId="4" fillId="12" borderId="37" xfId="3" applyFill="1" applyBorder="1"/>
    <xf numFmtId="0" fontId="4" fillId="17" borderId="37" xfId="3" applyFill="1" applyBorder="1"/>
    <xf numFmtId="0" fontId="4" fillId="0" borderId="0" xfId="3" applyBorder="1" applyAlignment="1">
      <alignment horizontal="center" vertical="center"/>
    </xf>
    <xf numFmtId="0" fontId="4" fillId="14" borderId="37" xfId="3" applyFill="1" applyBorder="1"/>
    <xf numFmtId="0" fontId="4" fillId="13" borderId="37" xfId="3" applyFill="1" applyBorder="1"/>
    <xf numFmtId="0" fontId="52" fillId="0" borderId="0" xfId="3" applyFont="1" applyBorder="1"/>
    <xf numFmtId="0" fontId="54" fillId="15" borderId="37" xfId="4" applyFont="1" applyFill="1" applyBorder="1" applyAlignment="1" applyProtection="1">
      <alignment vertical="center"/>
      <protection locked="0"/>
    </xf>
    <xf numFmtId="0" fontId="54" fillId="15" borderId="37" xfId="4" applyFont="1" applyFill="1" applyBorder="1" applyAlignment="1" applyProtection="1">
      <alignment horizontal="center" vertical="center"/>
      <protection locked="0"/>
    </xf>
    <xf numFmtId="0" fontId="54" fillId="0" borderId="37" xfId="4" applyFont="1" applyBorder="1" applyAlignment="1" applyProtection="1">
      <alignment horizontal="center" vertical="center"/>
      <protection locked="0"/>
    </xf>
    <xf numFmtId="0" fontId="55" fillId="19" borderId="37" xfId="4" applyFont="1" applyFill="1" applyBorder="1" applyAlignment="1" applyProtection="1">
      <alignment horizontal="center" vertical="center"/>
      <protection locked="0"/>
    </xf>
    <xf numFmtId="0" fontId="54" fillId="22" borderId="37" xfId="4" applyFont="1" applyFill="1" applyBorder="1" applyAlignment="1" applyProtection="1">
      <alignment horizontal="center" vertical="center"/>
      <protection locked="0"/>
    </xf>
    <xf numFmtId="0" fontId="54" fillId="22" borderId="37" xfId="4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37" xfId="0" applyBorder="1" applyAlignment="1">
      <alignment horizontal="center" vertical="center"/>
    </xf>
    <xf numFmtId="0" fontId="20" fillId="14" borderId="0" xfId="0" applyFont="1" applyFill="1" applyAlignment="1">
      <alignment horizontal="center" vertical="center"/>
    </xf>
    <xf numFmtId="0" fontId="20" fillId="14" borderId="37" xfId="0" applyFont="1" applyFill="1" applyBorder="1" applyAlignment="1">
      <alignment horizontal="center" vertical="center"/>
    </xf>
    <xf numFmtId="0" fontId="20" fillId="14" borderId="40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4" fillId="0" borderId="0" xfId="0" applyFont="1" applyBorder="1" applyAlignment="1" applyProtection="1">
      <alignment vertical="center"/>
    </xf>
    <xf numFmtId="0" fontId="44" fillId="0" borderId="45" xfId="0" applyFont="1" applyBorder="1" applyAlignment="1" applyProtection="1">
      <alignment vertical="center" wrapText="1"/>
    </xf>
    <xf numFmtId="0" fontId="0" fillId="16" borderId="37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44" fillId="0" borderId="0" xfId="0" applyFont="1" applyBorder="1" applyAlignment="1" applyProtection="1">
      <alignment vertical="center" wrapText="1"/>
    </xf>
    <xf numFmtId="0" fontId="4" fillId="0" borderId="0" xfId="3" applyBorder="1" applyAlignment="1">
      <alignment horizontal="right"/>
    </xf>
    <xf numFmtId="0" fontId="4" fillId="0" borderId="38" xfId="3" applyBorder="1"/>
    <xf numFmtId="0" fontId="38" fillId="15" borderId="37" xfId="3" applyFont="1" applyFill="1" applyBorder="1" applyAlignment="1">
      <alignment horizontal="center" vertical="center"/>
    </xf>
    <xf numFmtId="0" fontId="31" fillId="0" borderId="37" xfId="0" applyFont="1" applyBorder="1" applyAlignment="1" applyProtection="1">
      <alignment vertical="center"/>
      <protection locked="0"/>
    </xf>
    <xf numFmtId="0" fontId="31" fillId="0" borderId="37" xfId="0" applyFont="1" applyBorder="1" applyAlignment="1">
      <alignment vertical="center"/>
    </xf>
    <xf numFmtId="0" fontId="0" fillId="0" borderId="37" xfId="0" applyFill="1" applyBorder="1" applyAlignment="1">
      <alignment horizontal="center" vertical="center"/>
    </xf>
    <xf numFmtId="0" fontId="56" fillId="0" borderId="0" xfId="0" applyFont="1" applyAlignment="1">
      <alignment vertical="center"/>
    </xf>
    <xf numFmtId="0" fontId="38" fillId="18" borderId="37" xfId="3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/>
    </xf>
    <xf numFmtId="168" fontId="60" fillId="0" borderId="37" xfId="3" applyNumberFormat="1" applyFont="1" applyBorder="1" applyAlignment="1" applyProtection="1">
      <alignment horizontal="center" vertical="center"/>
      <protection locked="0"/>
    </xf>
    <xf numFmtId="0" fontId="59" fillId="0" borderId="37" xfId="5" applyBorder="1" applyAlignment="1" applyProtection="1">
      <alignment horizontal="left" vertical="center" wrapText="1"/>
      <protection locked="0"/>
    </xf>
    <xf numFmtId="0" fontId="35" fillId="0" borderId="37" xfId="0" applyFont="1" applyBorder="1" applyAlignment="1" applyProtection="1">
      <alignment horizontal="center" vertical="center"/>
    </xf>
    <xf numFmtId="0" fontId="38" fillId="18" borderId="37" xfId="3" applyFont="1" applyFill="1" applyBorder="1"/>
    <xf numFmtId="0" fontId="38" fillId="18" borderId="37" xfId="3" applyFont="1" applyFill="1" applyBorder="1" applyAlignment="1">
      <alignment horizontal="center"/>
    </xf>
    <xf numFmtId="14" fontId="0" fillId="0" borderId="37" xfId="0" applyNumberForma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" fillId="0" borderId="47" xfId="3" applyBorder="1" applyAlignment="1">
      <alignment horizontal="center" vertical="center"/>
    </xf>
    <xf numFmtId="0" fontId="4" fillId="0" borderId="48" xfId="3" applyBorder="1" applyAlignment="1" applyProtection="1">
      <alignment horizontal="center" vertical="center"/>
      <protection locked="0"/>
    </xf>
    <xf numFmtId="0" fontId="4" fillId="0" borderId="49" xfId="3" applyBorder="1" applyAlignment="1" applyProtection="1">
      <alignment horizontal="center" vertical="center"/>
      <protection locked="0"/>
    </xf>
    <xf numFmtId="0" fontId="4" fillId="15" borderId="50" xfId="3" applyFill="1" applyBorder="1" applyAlignment="1">
      <alignment horizontal="center" vertical="center"/>
    </xf>
    <xf numFmtId="0" fontId="4" fillId="15" borderId="51" xfId="3" applyFill="1" applyBorder="1" applyAlignment="1" applyProtection="1">
      <alignment horizontal="center" vertical="center"/>
      <protection locked="0"/>
    </xf>
    <xf numFmtId="0" fontId="4" fillId="15" borderId="52" xfId="3" applyFill="1" applyBorder="1" applyAlignment="1" applyProtection="1">
      <alignment horizontal="center" vertical="center"/>
      <protection locked="0"/>
    </xf>
    <xf numFmtId="0" fontId="4" fillId="0" borderId="50" xfId="3" applyBorder="1" applyAlignment="1">
      <alignment horizontal="center" vertical="center"/>
    </xf>
    <xf numFmtId="0" fontId="4" fillId="0" borderId="51" xfId="3" applyBorder="1" applyAlignment="1" applyProtection="1">
      <alignment horizontal="center" vertical="center"/>
      <protection locked="0"/>
    </xf>
    <xf numFmtId="0" fontId="4" fillId="0" borderId="52" xfId="3" applyBorder="1" applyAlignment="1" applyProtection="1">
      <alignment horizontal="center" vertical="center"/>
      <protection locked="0"/>
    </xf>
    <xf numFmtId="0" fontId="62" fillId="18" borderId="4" xfId="3" applyFont="1" applyFill="1" applyBorder="1" applyAlignment="1">
      <alignment horizontal="center" vertical="center"/>
    </xf>
    <xf numFmtId="0" fontId="62" fillId="18" borderId="10" xfId="3" applyFont="1" applyFill="1" applyBorder="1" applyAlignment="1">
      <alignment horizontal="center" vertical="center"/>
    </xf>
    <xf numFmtId="0" fontId="38" fillId="18" borderId="4" xfId="3" applyFont="1" applyFill="1" applyBorder="1" applyAlignment="1">
      <alignment horizontal="center" vertical="center"/>
    </xf>
    <xf numFmtId="0" fontId="62" fillId="18" borderId="13" xfId="3" applyFont="1" applyFill="1" applyBorder="1" applyAlignment="1">
      <alignment horizontal="center" vertical="center"/>
    </xf>
    <xf numFmtId="0" fontId="4" fillId="0" borderId="50" xfId="3" applyFill="1" applyBorder="1" applyAlignment="1">
      <alignment horizontal="center" vertical="center"/>
    </xf>
    <xf numFmtId="0" fontId="4" fillId="0" borderId="51" xfId="3" applyFill="1" applyBorder="1" applyAlignment="1" applyProtection="1">
      <alignment horizontal="center" vertical="center"/>
      <protection locked="0"/>
    </xf>
    <xf numFmtId="0" fontId="4" fillId="0" borderId="52" xfId="3" applyFill="1" applyBorder="1" applyAlignment="1" applyProtection="1">
      <alignment horizontal="center" vertical="center"/>
      <protection locked="0"/>
    </xf>
    <xf numFmtId="0" fontId="4" fillId="0" borderId="14" xfId="3" applyFill="1" applyBorder="1" applyAlignment="1">
      <alignment horizontal="center" vertical="center"/>
    </xf>
    <xf numFmtId="0" fontId="4" fillId="15" borderId="15" xfId="3" applyFill="1" applyBorder="1" applyAlignment="1">
      <alignment horizontal="center" vertical="center"/>
    </xf>
    <xf numFmtId="0" fontId="4" fillId="15" borderId="53" xfId="3" applyFill="1" applyBorder="1" applyAlignment="1">
      <alignment horizontal="center" vertical="center"/>
    </xf>
    <xf numFmtId="0" fontId="4" fillId="15" borderId="54" xfId="3" applyFill="1" applyBorder="1" applyAlignment="1" applyProtection="1">
      <alignment horizontal="center" vertical="center"/>
      <protection locked="0"/>
    </xf>
    <xf numFmtId="0" fontId="4" fillId="15" borderId="55" xfId="3" applyFill="1" applyBorder="1" applyAlignment="1" applyProtection="1">
      <alignment horizontal="center" vertical="center"/>
      <protection locked="0"/>
    </xf>
    <xf numFmtId="0" fontId="31" fillId="0" borderId="37" xfId="0" applyFont="1" applyFill="1" applyBorder="1" applyAlignment="1">
      <alignment horizontal="left" vertical="center" wrapText="1"/>
    </xf>
    <xf numFmtId="0" fontId="34" fillId="0" borderId="37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</xf>
    <xf numFmtId="0" fontId="18" fillId="0" borderId="8" xfId="0" applyFont="1" applyBorder="1" applyAlignment="1" applyProtection="1">
      <alignment horizontal="center" vertical="center"/>
    </xf>
    <xf numFmtId="0" fontId="4" fillId="0" borderId="0" xfId="3" applyProtection="1">
      <protection hidden="1"/>
    </xf>
    <xf numFmtId="0" fontId="34" fillId="0" borderId="0" xfId="0" applyFont="1" applyAlignment="1" applyProtection="1">
      <alignment horizontal="center" vertical="center"/>
    </xf>
    <xf numFmtId="0" fontId="34" fillId="0" borderId="0" xfId="0" applyFont="1" applyAlignment="1" applyProtection="1">
      <alignment horizontal="right" vertical="center"/>
    </xf>
    <xf numFmtId="0" fontId="34" fillId="0" borderId="31" xfId="0" applyFont="1" applyBorder="1" applyAlignment="1" applyProtection="1">
      <alignment horizontal="left" vertical="center"/>
    </xf>
    <xf numFmtId="0" fontId="34" fillId="0" borderId="41" xfId="0" applyFont="1" applyBorder="1" applyAlignment="1" applyProtection="1">
      <alignment horizontal="left" vertical="center"/>
    </xf>
    <xf numFmtId="0" fontId="34" fillId="0" borderId="45" xfId="0" applyFont="1" applyFill="1" applyBorder="1" applyAlignment="1" applyProtection="1">
      <alignment vertical="center"/>
    </xf>
    <xf numFmtId="0" fontId="35" fillId="0" borderId="0" xfId="0" applyFont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Fill="1" applyBorder="1" applyAlignment="1" applyProtection="1">
      <alignment horizontal="right" vertical="center"/>
    </xf>
    <xf numFmtId="0" fontId="34" fillId="0" borderId="0" xfId="0" applyFont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center" vertical="center"/>
    </xf>
    <xf numFmtId="0" fontId="34" fillId="0" borderId="45" xfId="0" applyFont="1" applyBorder="1" applyAlignment="1" applyProtection="1">
      <alignment horizontal="center" vertical="center"/>
    </xf>
    <xf numFmtId="0" fontId="34" fillId="0" borderId="0" xfId="0" applyFont="1" applyAlignment="1" applyProtection="1">
      <alignment vertical="center"/>
    </xf>
    <xf numFmtId="0" fontId="34" fillId="18" borderId="37" xfId="0" applyFont="1" applyFill="1" applyBorder="1" applyAlignment="1" applyProtection="1">
      <alignment horizontal="center" vertical="center"/>
      <protection locked="0"/>
    </xf>
    <xf numFmtId="14" fontId="18" fillId="0" borderId="14" xfId="0" applyNumberFormat="1" applyFont="1" applyBorder="1" applyAlignment="1" applyProtection="1">
      <alignment horizontal="center" vertical="center"/>
    </xf>
    <xf numFmtId="14" fontId="18" fillId="0" borderId="14" xfId="0" applyNumberFormat="1" applyFont="1" applyBorder="1" applyAlignment="1" applyProtection="1">
      <alignment horizontal="center" vertical="center" wrapText="1"/>
    </xf>
    <xf numFmtId="0" fontId="18" fillId="7" borderId="14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14" fontId="18" fillId="0" borderId="15" xfId="0" applyNumberFormat="1" applyFont="1" applyBorder="1" applyAlignment="1" applyProtection="1">
      <alignment horizontal="center" vertical="center"/>
    </xf>
    <xf numFmtId="14" fontId="18" fillId="0" borderId="15" xfId="0" applyNumberFormat="1" applyFont="1" applyBorder="1" applyAlignment="1" applyProtection="1">
      <alignment horizontal="center" vertical="center" wrapText="1"/>
    </xf>
    <xf numFmtId="0" fontId="18" fillId="7" borderId="15" xfId="0" applyFont="1" applyFill="1" applyBorder="1" applyAlignment="1" applyProtection="1">
      <alignment horizontal="center" vertical="center"/>
    </xf>
    <xf numFmtId="0" fontId="18" fillId="0" borderId="15" xfId="0" applyFont="1" applyFill="1" applyBorder="1" applyAlignment="1" applyProtection="1">
      <alignment horizontal="center" vertical="center"/>
    </xf>
    <xf numFmtId="0" fontId="35" fillId="24" borderId="37" xfId="0" applyFont="1" applyFill="1" applyBorder="1" applyAlignment="1" applyProtection="1">
      <alignment horizontal="center" vertical="center"/>
    </xf>
    <xf numFmtId="0" fontId="35" fillId="24" borderId="37" xfId="0" applyFont="1" applyFill="1" applyBorder="1" applyAlignment="1" applyProtection="1">
      <alignment horizontal="right" vertical="center"/>
    </xf>
    <xf numFmtId="0" fontId="34" fillId="0" borderId="0" xfId="0" applyFont="1" applyBorder="1" applyAlignment="1" applyProtection="1">
      <alignment horizontal="center" vertical="center"/>
    </xf>
    <xf numFmtId="0" fontId="34" fillId="0" borderId="56" xfId="0" applyFont="1" applyFill="1" applyBorder="1" applyAlignment="1" applyProtection="1">
      <alignment vertical="center" wrapText="1"/>
    </xf>
    <xf numFmtId="0" fontId="4" fillId="0" borderId="37" xfId="3" applyBorder="1" applyAlignment="1" applyProtection="1">
      <alignment horizontal="left" vertical="center"/>
      <protection locked="0"/>
    </xf>
    <xf numFmtId="168" fontId="4" fillId="0" borderId="37" xfId="3" applyNumberFormat="1" applyBorder="1" applyAlignment="1" applyProtection="1">
      <alignment horizontal="center" vertical="center"/>
      <protection locked="0"/>
    </xf>
    <xf numFmtId="0" fontId="4" fillId="0" borderId="37" xfId="3" applyBorder="1" applyAlignment="1" applyProtection="1">
      <alignment horizontal="center" vertical="center"/>
      <protection locked="0"/>
    </xf>
    <xf numFmtId="0" fontId="3" fillId="0" borderId="37" xfId="3" applyFont="1" applyBorder="1" applyAlignment="1" applyProtection="1">
      <alignment horizontal="left" vertical="center"/>
      <protection locked="0"/>
    </xf>
    <xf numFmtId="165" fontId="59" fillId="0" borderId="37" xfId="5" applyNumberFormat="1" applyBorder="1" applyAlignment="1" applyProtection="1">
      <alignment horizontal="left" vertical="center"/>
      <protection locked="0"/>
    </xf>
    <xf numFmtId="0" fontId="59" fillId="0" borderId="37" xfId="5" applyBorder="1" applyAlignment="1" applyProtection="1">
      <alignment horizontal="left" vertical="center"/>
      <protection locked="0"/>
    </xf>
    <xf numFmtId="165" fontId="4" fillId="0" borderId="37" xfId="3" applyNumberFormat="1" applyBorder="1" applyAlignment="1" applyProtection="1">
      <alignment horizontal="left" vertical="center"/>
      <protection locked="0"/>
    </xf>
    <xf numFmtId="168" fontId="4" fillId="0" borderId="37" xfId="3" applyNumberFormat="1" applyBorder="1" applyAlignment="1" applyProtection="1">
      <alignment horizontal="center" vertical="center" wrapText="1"/>
      <protection locked="0"/>
    </xf>
    <xf numFmtId="0" fontId="4" fillId="0" borderId="37" xfId="3" applyBorder="1" applyAlignment="1" applyProtection="1">
      <alignment horizontal="left" vertical="center" wrapText="1"/>
      <protection locked="0"/>
    </xf>
    <xf numFmtId="0" fontId="38" fillId="17" borderId="37" xfId="3" applyFont="1" applyFill="1" applyBorder="1" applyAlignment="1" applyProtection="1">
      <alignment horizontal="center" vertical="center"/>
    </xf>
    <xf numFmtId="168" fontId="38" fillId="17" borderId="37" xfId="3" applyNumberFormat="1" applyFont="1" applyFill="1" applyBorder="1" applyAlignment="1" applyProtection="1">
      <alignment horizontal="center" vertical="center" wrapText="1"/>
    </xf>
    <xf numFmtId="0" fontId="4" fillId="0" borderId="0" xfId="3" applyAlignment="1" applyProtection="1">
      <alignment horizontal="center" vertical="center"/>
    </xf>
    <xf numFmtId="0" fontId="4" fillId="0" borderId="37" xfId="3" applyBorder="1" applyAlignment="1" applyProtection="1">
      <alignment horizontal="left" vertical="center"/>
    </xf>
    <xf numFmtId="0" fontId="4" fillId="0" borderId="0" xfId="3" applyAlignment="1" applyProtection="1">
      <alignment horizontal="left" vertical="center"/>
    </xf>
    <xf numFmtId="168" fontId="4" fillId="0" borderId="0" xfId="3" applyNumberFormat="1" applyAlignment="1" applyProtection="1">
      <alignment horizontal="center" vertical="center"/>
    </xf>
    <xf numFmtId="0" fontId="3" fillId="0" borderId="0" xfId="3" quotePrefix="1" applyFont="1" applyAlignment="1" applyProtection="1">
      <alignment horizontal="center" vertical="center"/>
    </xf>
    <xf numFmtId="0" fontId="34" fillId="0" borderId="0" xfId="0" quotePrefix="1" applyFont="1" applyAlignment="1" applyProtection="1">
      <alignment horizontal="center" vertical="center"/>
    </xf>
    <xf numFmtId="0" fontId="34" fillId="0" borderId="39" xfId="0" applyFont="1" applyFill="1" applyBorder="1" applyAlignment="1" applyProtection="1">
      <alignment horizontal="left" vertical="center"/>
      <protection locked="0"/>
    </xf>
    <xf numFmtId="0" fontId="34" fillId="0" borderId="38" xfId="0" applyFont="1" applyFill="1" applyBorder="1" applyAlignment="1" applyProtection="1">
      <alignment horizontal="right" vertical="center"/>
      <protection locked="0"/>
    </xf>
    <xf numFmtId="0" fontId="6" fillId="0" borderId="0" xfId="0" applyFont="1"/>
    <xf numFmtId="0" fontId="20" fillId="0" borderId="37" xfId="0" applyFont="1" applyBorder="1" applyAlignment="1">
      <alignment horizontal="center" vertical="center"/>
    </xf>
    <xf numFmtId="0" fontId="6" fillId="0" borderId="0" xfId="0" applyFont="1" applyFill="1" applyBorder="1"/>
    <xf numFmtId="0" fontId="38" fillId="17" borderId="37" xfId="3" applyFont="1" applyFill="1" applyBorder="1" applyAlignment="1" applyProtection="1">
      <alignment horizontal="center" vertical="center" wrapText="1"/>
    </xf>
    <xf numFmtId="0" fontId="2" fillId="0" borderId="37" xfId="3" applyFont="1" applyBorder="1" applyAlignment="1" applyProtection="1">
      <alignment horizontal="left" vertical="center"/>
      <protection locked="0"/>
    </xf>
    <xf numFmtId="0" fontId="42" fillId="0" borderId="0" xfId="0" applyFont="1" applyAlignment="1" applyProtection="1">
      <alignment horizontal="center" vertical="center" wrapText="1"/>
    </xf>
    <xf numFmtId="0" fontId="1" fillId="0" borderId="37" xfId="3" applyFont="1" applyBorder="1" applyAlignment="1" applyProtection="1">
      <alignment horizontal="left" vertical="center"/>
      <protection locked="0"/>
    </xf>
    <xf numFmtId="0" fontId="72" fillId="0" borderId="31" xfId="0" applyFont="1" applyFill="1" applyBorder="1" applyAlignment="1" applyProtection="1">
      <alignment horizontal="center"/>
    </xf>
    <xf numFmtId="0" fontId="34" fillId="0" borderId="37" xfId="0" applyFont="1" applyFill="1" applyBorder="1" applyAlignment="1" applyProtection="1">
      <alignment horizontal="left" vertical="center" wrapText="1"/>
      <protection locked="0"/>
    </xf>
    <xf numFmtId="0" fontId="34" fillId="0" borderId="38" xfId="0" applyFont="1" applyFill="1" applyBorder="1" applyAlignment="1" applyProtection="1">
      <alignment horizontal="left" vertical="center"/>
      <protection locked="0"/>
    </xf>
    <xf numFmtId="0" fontId="34" fillId="0" borderId="31" xfId="0" applyFont="1" applyFill="1" applyBorder="1" applyAlignment="1" applyProtection="1">
      <alignment horizontal="left" vertical="center"/>
      <protection locked="0"/>
    </xf>
    <xf numFmtId="0" fontId="34" fillId="0" borderId="39" xfId="0" applyFont="1" applyFill="1" applyBorder="1" applyAlignment="1" applyProtection="1">
      <alignment horizontal="left" vertical="center"/>
      <protection locked="0"/>
    </xf>
    <xf numFmtId="0" fontId="37" fillId="24" borderId="37" xfId="0" applyFont="1" applyFill="1" applyBorder="1" applyAlignment="1" applyProtection="1">
      <alignment horizontal="center" vertical="center" wrapText="1"/>
    </xf>
    <xf numFmtId="0" fontId="37" fillId="24" borderId="37" xfId="0" applyFont="1" applyFill="1" applyBorder="1" applyAlignment="1" applyProtection="1">
      <alignment horizontal="center" vertical="center"/>
    </xf>
    <xf numFmtId="0" fontId="35" fillId="24" borderId="38" xfId="0" applyFont="1" applyFill="1" applyBorder="1" applyAlignment="1" applyProtection="1">
      <alignment horizontal="center" vertical="center" wrapText="1"/>
    </xf>
    <xf numFmtId="0" fontId="35" fillId="24" borderId="31" xfId="0" applyFont="1" applyFill="1" applyBorder="1" applyAlignment="1" applyProtection="1">
      <alignment horizontal="center" vertical="center" wrapText="1"/>
    </xf>
    <xf numFmtId="0" fontId="34" fillId="0" borderId="38" xfId="0" applyFont="1" applyFill="1" applyBorder="1" applyAlignment="1" applyProtection="1">
      <alignment horizontal="left" vertical="center" wrapText="1"/>
      <protection locked="0"/>
    </xf>
    <xf numFmtId="0" fontId="34" fillId="0" borderId="31" xfId="0" applyFont="1" applyFill="1" applyBorder="1" applyAlignment="1" applyProtection="1">
      <alignment horizontal="left" vertical="center" wrapText="1"/>
      <protection locked="0"/>
    </xf>
    <xf numFmtId="0" fontId="34" fillId="0" borderId="38" xfId="0" applyFont="1" applyFill="1" applyBorder="1" applyAlignment="1" applyProtection="1">
      <alignment horizontal="left" vertical="center"/>
    </xf>
    <xf numFmtId="0" fontId="34" fillId="0" borderId="31" xfId="0" applyFont="1" applyFill="1" applyBorder="1" applyAlignment="1" applyProtection="1">
      <alignment horizontal="left" vertical="center"/>
    </xf>
    <xf numFmtId="0" fontId="34" fillId="0" borderId="37" xfId="0" applyFont="1" applyFill="1" applyBorder="1" applyAlignment="1" applyProtection="1">
      <alignment horizontal="left" vertical="center"/>
      <protection locked="0"/>
    </xf>
    <xf numFmtId="0" fontId="35" fillId="24" borderId="37" xfId="0" applyFont="1" applyFill="1" applyBorder="1" applyAlignment="1" applyProtection="1">
      <alignment horizontal="center" vertical="center" wrapText="1"/>
    </xf>
    <xf numFmtId="0" fontId="34" fillId="0" borderId="37" xfId="0" applyFont="1" applyFill="1" applyBorder="1" applyAlignment="1" applyProtection="1">
      <alignment horizontal="left" vertical="center"/>
    </xf>
    <xf numFmtId="0" fontId="34" fillId="18" borderId="37" xfId="0" applyFont="1" applyFill="1" applyBorder="1" applyAlignment="1" applyProtection="1">
      <alignment horizontal="left" vertical="center"/>
    </xf>
    <xf numFmtId="0" fontId="34" fillId="0" borderId="37" xfId="0" applyFont="1" applyBorder="1" applyAlignment="1" applyProtection="1">
      <alignment horizontal="left" vertical="top" wrapText="1"/>
      <protection locked="0"/>
    </xf>
    <xf numFmtId="0" fontId="35" fillId="24" borderId="37" xfId="0" applyFont="1" applyFill="1" applyBorder="1" applyAlignment="1" applyProtection="1">
      <alignment horizontal="center" vertical="center"/>
    </xf>
    <xf numFmtId="0" fontId="34" fillId="0" borderId="31" xfId="0" applyFont="1" applyBorder="1" applyAlignment="1" applyProtection="1">
      <alignment horizontal="center" vertical="top" wrapText="1"/>
    </xf>
    <xf numFmtId="0" fontId="34" fillId="0" borderId="0" xfId="0" applyFont="1" applyBorder="1" applyAlignment="1" applyProtection="1">
      <alignment horizontal="center" vertical="top" wrapText="1"/>
    </xf>
    <xf numFmtId="0" fontId="35" fillId="24" borderId="38" xfId="0" applyFont="1" applyFill="1" applyBorder="1" applyAlignment="1" applyProtection="1">
      <alignment horizontal="center" vertical="center"/>
    </xf>
    <xf numFmtId="0" fontId="35" fillId="24" borderId="31" xfId="0" applyFont="1" applyFill="1" applyBorder="1" applyAlignment="1" applyProtection="1">
      <alignment horizontal="center" vertical="center"/>
    </xf>
    <xf numFmtId="0" fontId="35" fillId="24" borderId="39" xfId="0" applyFont="1" applyFill="1" applyBorder="1" applyAlignment="1" applyProtection="1">
      <alignment horizontal="center" vertical="center"/>
    </xf>
    <xf numFmtId="168" fontId="34" fillId="0" borderId="37" xfId="0" applyNumberFormat="1" applyFont="1" applyFill="1" applyBorder="1" applyAlignment="1" applyProtection="1">
      <alignment horizontal="left" vertical="center"/>
      <protection locked="0"/>
    </xf>
    <xf numFmtId="0" fontId="59" fillId="0" borderId="37" xfId="5" applyFill="1" applyBorder="1" applyAlignment="1" applyProtection="1">
      <alignment horizontal="left" vertical="center"/>
      <protection locked="0"/>
    </xf>
    <xf numFmtId="168" fontId="34" fillId="0" borderId="38" xfId="0" applyNumberFormat="1" applyFont="1" applyFill="1" applyBorder="1" applyAlignment="1" applyProtection="1">
      <alignment horizontal="left" vertical="center"/>
    </xf>
    <xf numFmtId="168" fontId="34" fillId="0" borderId="31" xfId="0" applyNumberFormat="1" applyFont="1" applyFill="1" applyBorder="1" applyAlignment="1" applyProtection="1">
      <alignment horizontal="left" vertical="center"/>
    </xf>
    <xf numFmtId="0" fontId="34" fillId="0" borderId="38" xfId="0" applyFont="1" applyFill="1" applyBorder="1" applyAlignment="1" applyProtection="1">
      <alignment horizontal="left" vertical="center" wrapText="1"/>
    </xf>
    <xf numFmtId="0" fontId="34" fillId="0" borderId="31" xfId="0" applyFont="1" applyFill="1" applyBorder="1" applyAlignment="1" applyProtection="1">
      <alignment horizontal="left" vertical="center" wrapText="1"/>
    </xf>
    <xf numFmtId="0" fontId="34" fillId="0" borderId="38" xfId="0" applyFont="1" applyFill="1" applyBorder="1" applyAlignment="1" applyProtection="1">
      <alignment horizontal="center" vertical="center"/>
      <protection locked="0"/>
    </xf>
    <xf numFmtId="0" fontId="34" fillId="0" borderId="39" xfId="0" applyFont="1" applyFill="1" applyBorder="1" applyAlignment="1" applyProtection="1">
      <alignment horizontal="center" vertical="center"/>
      <protection locked="0"/>
    </xf>
    <xf numFmtId="0" fontId="34" fillId="24" borderId="38" xfId="0" applyFont="1" applyFill="1" applyBorder="1" applyAlignment="1" applyProtection="1">
      <alignment horizontal="center" vertical="center" wrapText="1"/>
    </xf>
    <xf numFmtId="0" fontId="34" fillId="24" borderId="39" xfId="0" applyFont="1" applyFill="1" applyBorder="1" applyAlignment="1" applyProtection="1">
      <alignment horizontal="center" vertical="center" wrapText="1"/>
    </xf>
    <xf numFmtId="0" fontId="34" fillId="0" borderId="37" xfId="0" applyFont="1" applyBorder="1" applyAlignment="1" applyProtection="1">
      <alignment horizontal="center" vertical="center" wrapText="1"/>
      <protection locked="0"/>
    </xf>
    <xf numFmtId="14" fontId="34" fillId="0" borderId="37" xfId="0" applyNumberFormat="1" applyFont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</xf>
    <xf numFmtId="0" fontId="34" fillId="0" borderId="38" xfId="0" applyFont="1" applyBorder="1" applyAlignment="1" applyProtection="1">
      <alignment horizontal="left" vertical="center"/>
      <protection locked="0"/>
    </xf>
    <xf numFmtId="0" fontId="34" fillId="0" borderId="39" xfId="0" applyFont="1" applyBorder="1" applyAlignment="1" applyProtection="1">
      <alignment horizontal="left" vertical="center"/>
      <protection locked="0"/>
    </xf>
    <xf numFmtId="14" fontId="34" fillId="18" borderId="37" xfId="0" applyNumberFormat="1" applyFont="1" applyFill="1" applyBorder="1" applyAlignment="1" applyProtection="1">
      <alignment horizontal="center" vertical="center"/>
      <protection locked="0"/>
    </xf>
    <xf numFmtId="0" fontId="34" fillId="0" borderId="37" xfId="0" applyFont="1" applyBorder="1" applyAlignment="1" applyProtection="1">
      <alignment horizontal="center" vertical="center"/>
    </xf>
    <xf numFmtId="0" fontId="34" fillId="24" borderId="37" xfId="0" applyFont="1" applyFill="1" applyBorder="1" applyAlignment="1" applyProtection="1">
      <alignment horizontal="center" vertical="center" wrapText="1"/>
    </xf>
    <xf numFmtId="0" fontId="34" fillId="24" borderId="39" xfId="0" applyFont="1" applyFill="1" applyBorder="1" applyAlignment="1" applyProtection="1">
      <alignment horizontal="center" vertical="center"/>
    </xf>
    <xf numFmtId="0" fontId="6" fillId="0" borderId="37" xfId="0" applyFont="1" applyBorder="1" applyAlignment="1">
      <alignment horizontal="left" vertical="center" wrapText="1"/>
    </xf>
    <xf numFmtId="0" fontId="0" fillId="0" borderId="37" xfId="0" applyBorder="1" applyAlignment="1">
      <alignment horizontal="left" vertical="center"/>
    </xf>
    <xf numFmtId="14" fontId="34" fillId="0" borderId="38" xfId="0" applyNumberFormat="1" applyFont="1" applyFill="1" applyBorder="1" applyAlignment="1" applyProtection="1">
      <alignment horizontal="center" vertical="center"/>
    </xf>
    <xf numFmtId="14" fontId="34" fillId="0" borderId="39" xfId="0" applyNumberFormat="1" applyFont="1" applyFill="1" applyBorder="1" applyAlignment="1" applyProtection="1">
      <alignment horizontal="center" vertical="center"/>
    </xf>
    <xf numFmtId="0" fontId="35" fillId="16" borderId="37" xfId="0" applyFont="1" applyFill="1" applyBorder="1" applyAlignment="1" applyProtection="1">
      <alignment horizontal="center" vertical="center" wrapText="1"/>
    </xf>
    <xf numFmtId="0" fontId="34" fillId="0" borderId="37" xfId="0" applyFont="1" applyBorder="1" applyAlignment="1" applyProtection="1">
      <alignment horizontal="center" vertical="center"/>
      <protection locked="0"/>
    </xf>
    <xf numFmtId="0" fontId="34" fillId="24" borderId="38" xfId="0" applyFont="1" applyFill="1" applyBorder="1" applyAlignment="1" applyProtection="1">
      <alignment horizontal="left" vertical="center"/>
    </xf>
    <xf numFmtId="0" fontId="34" fillId="24" borderId="31" xfId="0" applyFont="1" applyFill="1" applyBorder="1" applyAlignment="1" applyProtection="1">
      <alignment horizontal="left" vertical="center"/>
    </xf>
    <xf numFmtId="0" fontId="34" fillId="24" borderId="39" xfId="0" applyFont="1" applyFill="1" applyBorder="1" applyAlignment="1" applyProtection="1">
      <alignment horizontal="left" vertical="center"/>
    </xf>
    <xf numFmtId="0" fontId="34" fillId="0" borderId="37" xfId="0" applyFont="1" applyBorder="1" applyAlignment="1" applyProtection="1">
      <alignment horizontal="left" vertical="center" wrapText="1"/>
      <protection locked="0"/>
    </xf>
    <xf numFmtId="0" fontId="31" fillId="15" borderId="37" xfId="0" applyFont="1" applyFill="1" applyBorder="1" applyAlignment="1">
      <alignment horizontal="center" vertical="center"/>
    </xf>
    <xf numFmtId="0" fontId="6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left" vertical="center"/>
    </xf>
    <xf numFmtId="168" fontId="56" fillId="0" borderId="0" xfId="0" applyNumberFormat="1" applyFont="1" applyAlignment="1">
      <alignment horizontal="left" vertical="center"/>
    </xf>
    <xf numFmtId="0" fontId="61" fillId="0" borderId="0" xfId="0" applyFont="1" applyAlignment="1">
      <alignment horizontal="left" vertical="top"/>
    </xf>
    <xf numFmtId="0" fontId="56" fillId="0" borderId="0" xfId="0" applyFont="1" applyAlignment="1">
      <alignment horizontal="center" vertical="center"/>
    </xf>
    <xf numFmtId="0" fontId="61" fillId="0" borderId="0" xfId="0" applyFont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31" fillId="0" borderId="0" xfId="0" applyFont="1" applyBorder="1" applyAlignment="1">
      <alignment horizontal="left" vertical="center"/>
    </xf>
    <xf numFmtId="0" fontId="71" fillId="17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67" fontId="58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left" vertical="center" wrapText="1"/>
    </xf>
    <xf numFmtId="0" fontId="70" fillId="17" borderId="0" xfId="0" applyFont="1" applyFill="1" applyBorder="1" applyAlignment="1">
      <alignment horizontal="center" vertical="center"/>
    </xf>
    <xf numFmtId="0" fontId="20" fillId="14" borderId="37" xfId="0" applyFont="1" applyFill="1" applyBorder="1" applyAlignment="1">
      <alignment horizontal="center" vertical="center"/>
    </xf>
    <xf numFmtId="0" fontId="54" fillId="15" borderId="38" xfId="4" applyFont="1" applyFill="1" applyBorder="1" applyAlignment="1" applyProtection="1">
      <alignment horizontal="left" vertical="center"/>
      <protection locked="0"/>
    </xf>
    <xf numFmtId="0" fontId="54" fillId="15" borderId="39" xfId="4" applyFont="1" applyFill="1" applyBorder="1" applyAlignment="1" applyProtection="1">
      <alignment horizontal="left" vertical="center"/>
      <protection locked="0"/>
    </xf>
    <xf numFmtId="0" fontId="47" fillId="12" borderId="37" xfId="3" applyFont="1" applyFill="1" applyBorder="1" applyAlignment="1">
      <alignment horizontal="right" vertical="center" textRotation="90"/>
    </xf>
    <xf numFmtId="0" fontId="47" fillId="17" borderId="37" xfId="3" applyFont="1" applyFill="1" applyBorder="1" applyAlignment="1">
      <alignment horizontal="left" vertical="center" textRotation="180"/>
    </xf>
    <xf numFmtId="0" fontId="47" fillId="14" borderId="37" xfId="3" applyFont="1" applyFill="1" applyBorder="1" applyAlignment="1">
      <alignment horizontal="right" vertical="center" textRotation="90"/>
    </xf>
    <xf numFmtId="0" fontId="47" fillId="13" borderId="46" xfId="3" applyFont="1" applyFill="1" applyBorder="1" applyAlignment="1">
      <alignment horizontal="left" vertical="center" textRotation="180"/>
    </xf>
    <xf numFmtId="0" fontId="47" fillId="13" borderId="44" xfId="3" applyFont="1" applyFill="1" applyBorder="1" applyAlignment="1">
      <alignment horizontal="left" vertical="center" textRotation="180"/>
    </xf>
    <xf numFmtId="0" fontId="53" fillId="23" borderId="38" xfId="4" applyFont="1" applyFill="1" applyBorder="1" applyAlignment="1" applyProtection="1">
      <alignment horizontal="center" vertical="center"/>
      <protection locked="0"/>
    </xf>
    <xf numFmtId="0" fontId="53" fillId="23" borderId="31" xfId="4" applyFont="1" applyFill="1" applyBorder="1" applyAlignment="1" applyProtection="1">
      <alignment horizontal="center" vertical="center"/>
      <protection locked="0"/>
    </xf>
    <xf numFmtId="0" fontId="53" fillId="23" borderId="39" xfId="4" applyFont="1" applyFill="1" applyBorder="1" applyAlignment="1" applyProtection="1">
      <alignment horizontal="center" vertical="center"/>
      <protection locked="0"/>
    </xf>
    <xf numFmtId="0" fontId="54" fillId="15" borderId="38" xfId="4" applyFont="1" applyFill="1" applyBorder="1" applyAlignment="1" applyProtection="1">
      <alignment horizontal="center" vertical="center"/>
      <protection locked="0"/>
    </xf>
    <xf numFmtId="0" fontId="54" fillId="15" borderId="31" xfId="4" applyFont="1" applyFill="1" applyBorder="1" applyAlignment="1" applyProtection="1">
      <alignment horizontal="center" vertical="center"/>
      <protection locked="0"/>
    </xf>
    <xf numFmtId="0" fontId="54" fillId="15" borderId="39" xfId="4" applyFont="1" applyFill="1" applyBorder="1" applyAlignment="1" applyProtection="1">
      <alignment horizontal="center" vertical="center"/>
      <protection locked="0"/>
    </xf>
    <xf numFmtId="0" fontId="54" fillId="21" borderId="38" xfId="4" applyFont="1" applyFill="1" applyBorder="1" applyAlignment="1" applyProtection="1">
      <alignment horizontal="center" vertical="center"/>
      <protection locked="0"/>
    </xf>
    <xf numFmtId="0" fontId="54" fillId="21" borderId="31" xfId="4" applyFont="1" applyFill="1" applyBorder="1" applyAlignment="1" applyProtection="1">
      <alignment horizontal="center" vertical="center"/>
      <protection locked="0"/>
    </xf>
    <xf numFmtId="0" fontId="54" fillId="21" borderId="39" xfId="4" applyFont="1" applyFill="1" applyBorder="1" applyAlignment="1" applyProtection="1">
      <alignment horizontal="center" vertical="center"/>
      <protection locked="0"/>
    </xf>
    <xf numFmtId="0" fontId="41" fillId="12" borderId="8" xfId="3" applyFont="1" applyFill="1" applyBorder="1" applyAlignment="1" applyProtection="1">
      <alignment horizontal="left" vertical="center" wrapText="1"/>
      <protection hidden="1"/>
    </xf>
    <xf numFmtId="0" fontId="41" fillId="12" borderId="36" xfId="3" applyFont="1" applyFill="1" applyBorder="1" applyAlignment="1" applyProtection="1">
      <alignment horizontal="left" vertical="center" wrapText="1"/>
      <protection hidden="1"/>
    </xf>
    <xf numFmtId="0" fontId="41" fillId="12" borderId="24" xfId="3" applyFont="1" applyFill="1" applyBorder="1" applyAlignment="1" applyProtection="1">
      <alignment horizontal="left" vertical="center" wrapText="1"/>
      <protection hidden="1"/>
    </xf>
    <xf numFmtId="0" fontId="50" fillId="14" borderId="5" xfId="3" applyFont="1" applyFill="1" applyBorder="1" applyAlignment="1" applyProtection="1">
      <alignment horizontal="center" vertical="center"/>
      <protection hidden="1"/>
    </xf>
    <xf numFmtId="0" fontId="50" fillId="14" borderId="21" xfId="3" applyFont="1" applyFill="1" applyBorder="1" applyAlignment="1" applyProtection="1">
      <alignment horizontal="center" vertical="center"/>
      <protection hidden="1"/>
    </xf>
    <xf numFmtId="0" fontId="50" fillId="14" borderId="10" xfId="3" applyFont="1" applyFill="1" applyBorder="1" applyAlignment="1" applyProtection="1">
      <alignment horizontal="center" vertical="center"/>
      <protection hidden="1"/>
    </xf>
    <xf numFmtId="0" fontId="41" fillId="12" borderId="6" xfId="3" applyFont="1" applyFill="1" applyBorder="1" applyAlignment="1" applyProtection="1">
      <alignment horizontal="left" vertical="center" wrapText="1"/>
      <protection hidden="1"/>
    </xf>
    <xf numFmtId="0" fontId="41" fillId="12" borderId="31" xfId="3" applyFont="1" applyFill="1" applyBorder="1" applyAlignment="1" applyProtection="1">
      <alignment horizontal="left" vertical="center" wrapText="1"/>
      <protection hidden="1"/>
    </xf>
    <xf numFmtId="0" fontId="41" fillId="12" borderId="32" xfId="3" applyFont="1" applyFill="1" applyBorder="1" applyAlignment="1" applyProtection="1">
      <alignment horizontal="left" vertical="center" wrapText="1"/>
      <protection hidden="1"/>
    </xf>
    <xf numFmtId="0" fontId="41" fillId="13" borderId="6" xfId="3" applyFont="1" applyFill="1" applyBorder="1" applyAlignment="1" applyProtection="1">
      <alignment horizontal="left" vertical="center"/>
      <protection hidden="1"/>
    </xf>
    <xf numFmtId="0" fontId="39" fillId="13" borderId="31" xfId="3" applyFont="1" applyFill="1" applyBorder="1" applyAlignment="1" applyProtection="1">
      <alignment horizontal="left" vertical="center"/>
      <protection hidden="1"/>
    </xf>
    <xf numFmtId="0" fontId="39" fillId="13" borderId="32" xfId="3" applyFont="1" applyFill="1" applyBorder="1" applyAlignment="1" applyProtection="1">
      <alignment horizontal="left" vertical="center"/>
      <protection hidden="1"/>
    </xf>
    <xf numFmtId="0" fontId="41" fillId="13" borderId="8" xfId="3" applyFont="1" applyFill="1" applyBorder="1" applyAlignment="1" applyProtection="1">
      <alignment horizontal="left" vertical="center"/>
      <protection hidden="1"/>
    </xf>
    <xf numFmtId="0" fontId="39" fillId="13" borderId="36" xfId="3" applyFont="1" applyFill="1" applyBorder="1" applyAlignment="1" applyProtection="1">
      <alignment horizontal="left" vertical="center"/>
      <protection hidden="1"/>
    </xf>
    <xf numFmtId="0" fontId="39" fillId="13" borderId="24" xfId="3" applyFont="1" applyFill="1" applyBorder="1" applyAlignment="1" applyProtection="1">
      <alignment horizontal="left" vertical="center"/>
      <protection hidden="1"/>
    </xf>
    <xf numFmtId="0" fontId="49" fillId="0" borderId="7" xfId="3" applyFont="1" applyFill="1" applyBorder="1" applyAlignment="1" applyProtection="1">
      <alignment horizontal="center" vertical="center"/>
      <protection hidden="1"/>
    </xf>
    <xf numFmtId="0" fontId="49" fillId="0" borderId="33" xfId="3" applyFont="1" applyFill="1" applyBorder="1" applyAlignment="1" applyProtection="1">
      <alignment horizontal="center" vertical="center"/>
      <protection hidden="1"/>
    </xf>
    <xf numFmtId="0" fontId="49" fillId="0" borderId="25" xfId="3" applyFont="1" applyFill="1" applyBorder="1" applyAlignment="1" applyProtection="1">
      <alignment horizontal="center" vertical="center"/>
      <protection hidden="1"/>
    </xf>
    <xf numFmtId="0" fontId="62" fillId="18" borderId="13" xfId="3" applyFont="1" applyFill="1" applyBorder="1" applyAlignment="1">
      <alignment horizontal="center" vertical="center"/>
    </xf>
    <xf numFmtId="0" fontId="49" fillId="0" borderId="17" xfId="3" applyFont="1" applyBorder="1" applyAlignment="1" applyProtection="1">
      <alignment horizontal="center" vertical="center"/>
      <protection hidden="1"/>
    </xf>
    <xf numFmtId="0" fontId="49" fillId="0" borderId="42" xfId="3" applyFont="1" applyBorder="1" applyAlignment="1" applyProtection="1">
      <alignment horizontal="center" vertical="center"/>
      <protection hidden="1"/>
    </xf>
    <xf numFmtId="0" fontId="49" fillId="0" borderId="43" xfId="3" applyFont="1" applyBorder="1" applyAlignment="1" applyProtection="1">
      <alignment horizontal="center" vertical="center"/>
      <protection hidden="1"/>
    </xf>
    <xf numFmtId="0" fontId="63" fillId="0" borderId="11" xfId="3" applyFont="1" applyBorder="1" applyAlignment="1">
      <alignment horizontal="center" vertical="center"/>
    </xf>
    <xf numFmtId="0" fontId="63" fillId="0" borderId="12" xfId="3" applyFont="1" applyBorder="1" applyAlignment="1">
      <alignment horizontal="center" vertical="center"/>
    </xf>
    <xf numFmtId="0" fontId="63" fillId="0" borderId="28" xfId="3" applyFont="1" applyBorder="1" applyAlignment="1">
      <alignment horizontal="center" vertical="center"/>
    </xf>
    <xf numFmtId="0" fontId="45" fillId="17" borderId="21" xfId="3" applyFont="1" applyFill="1" applyBorder="1" applyAlignment="1">
      <alignment horizontal="center" vertical="center" wrapText="1"/>
    </xf>
    <xf numFmtId="0" fontId="4" fillId="0" borderId="15" xfId="3" applyBorder="1" applyAlignment="1">
      <alignment horizontal="center" vertical="center" wrapText="1"/>
    </xf>
    <xf numFmtId="0" fontId="4" fillId="0" borderId="15" xfId="3" applyBorder="1" applyAlignment="1">
      <alignment horizontal="center" vertical="center"/>
    </xf>
    <xf numFmtId="0" fontId="62" fillId="18" borderId="5" xfId="3" applyFont="1" applyFill="1" applyBorder="1" applyAlignment="1">
      <alignment horizontal="center" vertical="center"/>
    </xf>
    <xf numFmtId="0" fontId="62" fillId="18" borderId="21" xfId="3" applyFont="1" applyFill="1" applyBorder="1" applyAlignment="1">
      <alignment horizontal="center" vertical="center"/>
    </xf>
    <xf numFmtId="0" fontId="62" fillId="18" borderId="10" xfId="3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center" vertical="center" wrapText="1" shrinkToFit="1"/>
    </xf>
    <xf numFmtId="0" fontId="14" fillId="10" borderId="22" xfId="0" applyFont="1" applyFill="1" applyBorder="1" applyAlignment="1">
      <alignment horizontal="center" vertical="center" textRotation="90" wrapText="1"/>
    </xf>
    <xf numFmtId="0" fontId="14" fillId="10" borderId="27" xfId="0" applyFont="1" applyFill="1" applyBorder="1" applyAlignment="1">
      <alignment horizontal="center" vertical="center" textRotation="90" wrapText="1"/>
    </xf>
    <xf numFmtId="0" fontId="18" fillId="0" borderId="6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 textRotation="90" wrapText="1"/>
    </xf>
    <xf numFmtId="0" fontId="17" fillId="9" borderId="1" xfId="0" applyFont="1" applyFill="1" applyBorder="1" applyAlignment="1">
      <alignment horizontal="center" vertical="center" textRotation="90" wrapText="1"/>
    </xf>
    <xf numFmtId="0" fontId="17" fillId="9" borderId="11" xfId="0" applyFont="1" applyFill="1" applyBorder="1" applyAlignment="1">
      <alignment horizontal="center" vertical="center" textRotation="90" wrapText="1"/>
    </xf>
    <xf numFmtId="0" fontId="9" fillId="9" borderId="5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16" fillId="7" borderId="22" xfId="0" applyFont="1" applyFill="1" applyBorder="1" applyAlignment="1">
      <alignment horizontal="center" vertical="center" wrapText="1" shrinkToFit="1"/>
    </xf>
    <xf numFmtId="0" fontId="16" fillId="7" borderId="23" xfId="0" applyFont="1" applyFill="1" applyBorder="1" applyAlignment="1">
      <alignment horizontal="center" vertical="center" wrapText="1" shrinkToFit="1"/>
    </xf>
    <xf numFmtId="0" fontId="15" fillId="9" borderId="34" xfId="0" applyFont="1" applyFill="1" applyBorder="1" applyAlignment="1">
      <alignment horizontal="center" vertical="center" wrapText="1"/>
    </xf>
    <xf numFmtId="0" fontId="15" fillId="9" borderId="35" xfId="0" applyFont="1" applyFill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20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15" fillId="12" borderId="28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textRotation="90" wrapText="1"/>
    </xf>
    <xf numFmtId="0" fontId="17" fillId="9" borderId="27" xfId="0" applyFont="1" applyFill="1" applyBorder="1" applyAlignment="1">
      <alignment horizontal="center" vertical="center" textRotation="90" wrapText="1"/>
    </xf>
    <xf numFmtId="0" fontId="17" fillId="9" borderId="23" xfId="0" applyFont="1" applyFill="1" applyBorder="1" applyAlignment="1">
      <alignment horizontal="center" vertical="center" textRotation="90" wrapText="1"/>
    </xf>
    <xf numFmtId="0" fontId="15" fillId="7" borderId="5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textRotation="90" wrapText="1"/>
    </xf>
    <xf numFmtId="0" fontId="11" fillId="7" borderId="26" xfId="0" applyFont="1" applyFill="1" applyBorder="1" applyAlignment="1">
      <alignment horizontal="center" vertical="center" textRotation="90" wrapText="1"/>
    </xf>
    <xf numFmtId="0" fontId="11" fillId="7" borderId="9" xfId="0" applyFont="1" applyFill="1" applyBorder="1" applyAlignment="1">
      <alignment horizontal="center" vertical="center" textRotation="90" wrapText="1"/>
    </xf>
    <xf numFmtId="0" fontId="11" fillId="7" borderId="1" xfId="0" applyFont="1" applyFill="1" applyBorder="1" applyAlignment="1">
      <alignment horizontal="center" vertical="center" textRotation="90" wrapText="1"/>
    </xf>
    <xf numFmtId="0" fontId="11" fillId="7" borderId="0" xfId="0" applyFont="1" applyFill="1" applyBorder="1" applyAlignment="1">
      <alignment horizontal="center" vertical="center" textRotation="90" wrapText="1"/>
    </xf>
    <xf numFmtId="0" fontId="11" fillId="7" borderId="20" xfId="0" applyFont="1" applyFill="1" applyBorder="1" applyAlignment="1">
      <alignment horizontal="center" vertical="center" textRotation="90" wrapText="1"/>
    </xf>
    <xf numFmtId="0" fontId="11" fillId="7" borderId="11" xfId="0" applyFont="1" applyFill="1" applyBorder="1" applyAlignment="1">
      <alignment horizontal="center" vertical="center" textRotation="90" wrapText="1"/>
    </xf>
    <xf numFmtId="0" fontId="11" fillId="7" borderId="12" xfId="0" applyFont="1" applyFill="1" applyBorder="1" applyAlignment="1">
      <alignment horizontal="center" vertical="center" textRotation="90" wrapText="1"/>
    </xf>
    <xf numFmtId="0" fontId="11" fillId="7" borderId="28" xfId="0" applyFont="1" applyFill="1" applyBorder="1" applyAlignment="1">
      <alignment horizontal="center" vertical="center" textRotation="90" wrapText="1"/>
    </xf>
    <xf numFmtId="0" fontId="15" fillId="0" borderId="5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8" fillId="0" borderId="8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left" vertical="center"/>
    </xf>
    <xf numFmtId="0" fontId="15" fillId="7" borderId="10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20" fillId="7" borderId="5" xfId="0" applyFont="1" applyFill="1" applyBorder="1" applyAlignment="1">
      <alignment horizontal="center" vertical="center" wrapText="1"/>
    </xf>
    <xf numFmtId="0" fontId="20" fillId="7" borderId="21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18" fillId="0" borderId="6" xfId="0" applyFont="1" applyBorder="1" applyAlignment="1" applyProtection="1">
      <alignment horizontal="center" vertical="center"/>
    </xf>
    <xf numFmtId="0" fontId="18" fillId="0" borderId="32" xfId="0" applyFont="1" applyBorder="1" applyAlignment="1" applyProtection="1">
      <alignment horizontal="center" vertical="center"/>
    </xf>
    <xf numFmtId="0" fontId="12" fillId="8" borderId="2" xfId="0" applyFont="1" applyFill="1" applyBorder="1" applyAlignment="1">
      <alignment vertical="center" wrapText="1"/>
    </xf>
    <xf numFmtId="0" fontId="12" fillId="8" borderId="9" xfId="0" applyFont="1" applyFill="1" applyBorder="1" applyAlignment="1">
      <alignment vertical="center" wrapText="1"/>
    </xf>
    <xf numFmtId="0" fontId="12" fillId="8" borderId="11" xfId="0" applyFont="1" applyFill="1" applyBorder="1" applyAlignment="1">
      <alignment vertical="center" wrapText="1"/>
    </xf>
    <xf numFmtId="0" fontId="12" fillId="8" borderId="28" xfId="0" applyFont="1" applyFill="1" applyBorder="1" applyAlignment="1">
      <alignment vertical="center" wrapText="1"/>
    </xf>
    <xf numFmtId="0" fontId="12" fillId="8" borderId="22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8" fillId="0" borderId="7" xfId="0" applyFont="1" applyBorder="1" applyAlignment="1" applyProtection="1">
      <alignment horizontal="center" vertical="center"/>
    </xf>
    <xf numFmtId="0" fontId="18" fillId="0" borderId="25" xfId="0" applyFont="1" applyBorder="1" applyAlignment="1" applyProtection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21" fillId="8" borderId="2" xfId="0" applyFont="1" applyFill="1" applyBorder="1" applyAlignment="1">
      <alignment horizontal="center" vertical="center" shrinkToFit="1"/>
    </xf>
    <xf numFmtId="0" fontId="21" fillId="8" borderId="11" xfId="0" applyFont="1" applyFill="1" applyBorder="1" applyAlignment="1">
      <alignment horizontal="center" vertical="center" shrinkToFit="1"/>
    </xf>
    <xf numFmtId="0" fontId="12" fillId="8" borderId="22" xfId="0" applyFont="1" applyFill="1" applyBorder="1" applyAlignment="1">
      <alignment horizontal="center" vertical="center" wrapText="1" shrinkToFit="1"/>
    </xf>
    <xf numFmtId="0" fontId="12" fillId="8" borderId="23" xfId="0" applyFont="1" applyFill="1" applyBorder="1" applyAlignment="1">
      <alignment horizontal="center" vertical="center" wrapText="1" shrinkToFit="1"/>
    </xf>
    <xf numFmtId="0" fontId="15" fillId="0" borderId="5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33" fillId="0" borderId="2" xfId="0" applyFont="1" applyFill="1" applyBorder="1" applyAlignment="1">
      <alignment horizontal="left" vertical="center" shrinkToFit="1"/>
    </xf>
    <xf numFmtId="0" fontId="33" fillId="0" borderId="26" xfId="0" applyFont="1" applyFill="1" applyBorder="1" applyAlignment="1">
      <alignment horizontal="left" vertical="center" shrinkToFit="1"/>
    </xf>
    <xf numFmtId="0" fontId="33" fillId="0" borderId="9" xfId="0" applyFont="1" applyFill="1" applyBorder="1" applyAlignment="1">
      <alignment horizontal="left" vertical="center" shrinkToFit="1"/>
    </xf>
    <xf numFmtId="0" fontId="33" fillId="0" borderId="2" xfId="0" applyFont="1" applyFill="1" applyBorder="1" applyAlignment="1">
      <alignment horizontal="left" vertical="center"/>
    </xf>
    <xf numFmtId="0" fontId="33" fillId="0" borderId="26" xfId="0" applyFont="1" applyFill="1" applyBorder="1" applyAlignment="1">
      <alignment horizontal="left" vertical="center"/>
    </xf>
    <xf numFmtId="0" fontId="33" fillId="0" borderId="9" xfId="0" applyFont="1" applyFill="1" applyBorder="1" applyAlignment="1">
      <alignment horizontal="left" vertical="center"/>
    </xf>
    <xf numFmtId="14" fontId="15" fillId="0" borderId="5" xfId="0" applyNumberFormat="1" applyFont="1" applyBorder="1" applyAlignment="1">
      <alignment horizontal="left" vertical="center"/>
    </xf>
    <xf numFmtId="14" fontId="15" fillId="0" borderId="21" xfId="0" applyNumberFormat="1" applyFont="1" applyBorder="1" applyAlignment="1">
      <alignment horizontal="left" vertical="center"/>
    </xf>
    <xf numFmtId="14" fontId="15" fillId="0" borderId="10" xfId="0" applyNumberFormat="1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27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22" fillId="9" borderId="5" xfId="0" applyFont="1" applyFill="1" applyBorder="1" applyAlignment="1">
      <alignment horizontal="center" vertical="center"/>
    </xf>
    <xf numFmtId="0" fontId="22" fillId="9" borderId="21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10" xfId="0" applyFont="1" applyFill="1" applyBorder="1" applyAlignment="1">
      <alignment horizontal="center" vertical="center"/>
    </xf>
    <xf numFmtId="14" fontId="12" fillId="0" borderId="5" xfId="0" applyNumberFormat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5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6" fillId="0" borderId="8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14" fontId="13" fillId="0" borderId="5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left" vertical="center" wrapText="1"/>
    </xf>
    <xf numFmtId="0" fontId="23" fillId="8" borderId="5" xfId="0" applyFont="1" applyFill="1" applyBorder="1" applyAlignment="1">
      <alignment horizontal="center" vertical="center"/>
    </xf>
    <xf numFmtId="0" fontId="23" fillId="8" borderId="10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</cellXfs>
  <cellStyles count="8">
    <cellStyle name="Euro" xfId="1"/>
    <cellStyle name="Lien hypertexte" xfId="5" builtinId="8"/>
    <cellStyle name="Monétaire 2" xfId="6"/>
    <cellStyle name="Normal" xfId="0" builtinId="0"/>
    <cellStyle name="Normal 2" xfId="2"/>
    <cellStyle name="Normal 3" xfId="3"/>
    <cellStyle name="Normal 61" xfId="4"/>
    <cellStyle name="Pourcentage 2" xfId="7"/>
  </cellStyles>
  <dxfs count="30">
    <dxf>
      <font>
        <b/>
        <i val="0"/>
      </font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409575</xdr:colOff>
      <xdr:row>0</xdr:row>
      <xdr:rowOff>19050</xdr:rowOff>
    </xdr:from>
    <xdr:to>
      <xdr:col>3</xdr:col>
      <xdr:colOff>1273575</xdr:colOff>
      <xdr:row>3</xdr:row>
      <xdr:rowOff>6750</xdr:rowOff>
    </xdr:to>
    <xdr:pic>
      <xdr:nvPicPr>
        <xdr:cNvPr id="3" name="Image 2" descr="F:\GRIMP\Logo.JPEG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19050"/>
          <a:ext cx="864000" cy="8640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3</xdr:row>
          <xdr:rowOff>28575</xdr:rowOff>
        </xdr:from>
        <xdr:to>
          <xdr:col>3</xdr:col>
          <xdr:colOff>1676400</xdr:colOff>
          <xdr:row>4</xdr:row>
          <xdr:rowOff>38100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5</xdr:row>
          <xdr:rowOff>57150</xdr:rowOff>
        </xdr:from>
        <xdr:to>
          <xdr:col>3</xdr:col>
          <xdr:colOff>1666875</xdr:colOff>
          <xdr:row>7</xdr:row>
          <xdr:rowOff>66675</xdr:rowOff>
        </xdr:to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Impression Automatique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438150</xdr:colOff>
      <xdr:row>12</xdr:row>
      <xdr:rowOff>9525</xdr:rowOff>
    </xdr:from>
    <xdr:to>
      <xdr:col>3</xdr:col>
      <xdr:colOff>1256332</xdr:colOff>
      <xdr:row>16</xdr:row>
      <xdr:rowOff>33225</xdr:rowOff>
    </xdr:to>
    <xdr:pic macro="[0]!Sortir">
      <xdr:nvPicPr>
        <xdr:cNvPr id="5" name="BtnExit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3019425"/>
          <a:ext cx="818182" cy="9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47625</xdr:rowOff>
    </xdr:from>
    <xdr:to>
      <xdr:col>2</xdr:col>
      <xdr:colOff>129450</xdr:colOff>
      <xdr:row>1</xdr:row>
      <xdr:rowOff>520125</xdr:rowOff>
    </xdr:to>
    <xdr:pic>
      <xdr:nvPicPr>
        <xdr:cNvPr id="2" name="Image 1" descr="2019%20blason%20sdis25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47625"/>
          <a:ext cx="720000" cy="104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142875</xdr:colOff>
      <xdr:row>0</xdr:row>
      <xdr:rowOff>57150</xdr:rowOff>
    </xdr:from>
    <xdr:to>
      <xdr:col>15</xdr:col>
      <xdr:colOff>291525</xdr:colOff>
      <xdr:row>1</xdr:row>
      <xdr:rowOff>529650</xdr:rowOff>
    </xdr:to>
    <xdr:pic>
      <xdr:nvPicPr>
        <xdr:cNvPr id="3" name="Image 2" descr="F:\GRIMP\Logo.JPEG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57150"/>
          <a:ext cx="1044000" cy="104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352425</xdr:colOff>
      <xdr:row>44</xdr:row>
      <xdr:rowOff>95250</xdr:rowOff>
    </xdr:from>
    <xdr:to>
      <xdr:col>14</xdr:col>
      <xdr:colOff>53400</xdr:colOff>
      <xdr:row>51</xdr:row>
      <xdr:rowOff>120075</xdr:rowOff>
    </xdr:to>
    <xdr:pic>
      <xdr:nvPicPr>
        <xdr:cNvPr id="4" name="Image 3" descr="F:\GRIMP\Logo.JPEG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9286875"/>
          <a:ext cx="1044000" cy="104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440971</xdr:colOff>
      <xdr:row>0</xdr:row>
      <xdr:rowOff>42333</xdr:rowOff>
    </xdr:from>
    <xdr:to>
      <xdr:col>8</xdr:col>
      <xdr:colOff>1160971</xdr:colOff>
      <xdr:row>0</xdr:row>
      <xdr:rowOff>762333</xdr:rowOff>
    </xdr:to>
    <xdr:pic>
      <xdr:nvPicPr>
        <xdr:cNvPr id="3" name="Image 2" descr="F:\GRIMP\Logo.JPEG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0554" y="42333"/>
          <a:ext cx="720000" cy="72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486834</xdr:colOff>
      <xdr:row>0</xdr:row>
      <xdr:rowOff>31749</xdr:rowOff>
    </xdr:from>
    <xdr:to>
      <xdr:col>1</xdr:col>
      <xdr:colOff>1011120</xdr:colOff>
      <xdr:row>0</xdr:row>
      <xdr:rowOff>787749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31749"/>
          <a:ext cx="524286" cy="756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1</xdr:row>
      <xdr:rowOff>104775</xdr:rowOff>
    </xdr:from>
    <xdr:to>
      <xdr:col>0</xdr:col>
      <xdr:colOff>1419225</xdr:colOff>
      <xdr:row>5</xdr:row>
      <xdr:rowOff>219075</xdr:rowOff>
    </xdr:to>
    <xdr:pic>
      <xdr:nvPicPr>
        <xdr:cNvPr id="18559" name="Image 1">
          <a:extLst>
            <a:ext uri="{FF2B5EF4-FFF2-40B4-BE49-F238E27FC236}">
              <a16:creationId xmlns:a16="http://schemas.microsoft.com/office/drawing/2014/main" id="{00000000-0008-0000-0300-00007F4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428625"/>
          <a:ext cx="971550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4</xdr:row>
          <xdr:rowOff>38100</xdr:rowOff>
        </xdr:from>
        <xdr:to>
          <xdr:col>6</xdr:col>
          <xdr:colOff>542925</xdr:colOff>
          <xdr:row>4</xdr:row>
          <xdr:rowOff>257175</xdr:rowOff>
        </xdr:to>
        <xdr:sp macro="" textlink="">
          <xdr:nvSpPr>
            <xdr:cNvPr id="18548" name="Check Box 116" hidden="1">
              <a:extLst>
                <a:ext uri="{63B3BB69-23CF-44E3-9099-C40C66FF867C}">
                  <a14:compatExt spid="_x0000_s18548"/>
                </a:ext>
                <a:ext uri="{FF2B5EF4-FFF2-40B4-BE49-F238E27FC236}">
                  <a16:creationId xmlns:a16="http://schemas.microsoft.com/office/drawing/2014/main" id="{00000000-0008-0000-0300-00007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38100</xdr:rowOff>
        </xdr:from>
        <xdr:to>
          <xdr:col>10</xdr:col>
          <xdr:colOff>428625</xdr:colOff>
          <xdr:row>4</xdr:row>
          <xdr:rowOff>257175</xdr:rowOff>
        </xdr:to>
        <xdr:sp macro="" textlink="">
          <xdr:nvSpPr>
            <xdr:cNvPr id="18550" name="Check Box 118" hidden="1">
              <a:extLst>
                <a:ext uri="{63B3BB69-23CF-44E3-9099-C40C66FF867C}">
                  <a14:compatExt spid="_x0000_s18550"/>
                </a:ext>
                <a:ext uri="{FF2B5EF4-FFF2-40B4-BE49-F238E27FC236}">
                  <a16:creationId xmlns:a16="http://schemas.microsoft.com/office/drawing/2014/main" id="{00000000-0008-0000-0300-00007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1</xdr:row>
      <xdr:rowOff>104775</xdr:rowOff>
    </xdr:from>
    <xdr:to>
      <xdr:col>0</xdr:col>
      <xdr:colOff>1419225</xdr:colOff>
      <xdr:row>5</xdr:row>
      <xdr:rowOff>219075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428625"/>
          <a:ext cx="971550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4</xdr:row>
          <xdr:rowOff>38100</xdr:rowOff>
        </xdr:from>
        <xdr:to>
          <xdr:col>6</xdr:col>
          <xdr:colOff>542925</xdr:colOff>
          <xdr:row>4</xdr:row>
          <xdr:rowOff>257175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38100</xdr:rowOff>
        </xdr:from>
        <xdr:to>
          <xdr:col>10</xdr:col>
          <xdr:colOff>447675</xdr:colOff>
          <xdr:row>4</xdr:row>
          <xdr:rowOff>257175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20016" name="Line 2">
          <a:extLst>
            <a:ext uri="{FF2B5EF4-FFF2-40B4-BE49-F238E27FC236}">
              <a16:creationId xmlns:a16="http://schemas.microsoft.com/office/drawing/2014/main" id="{00000000-0008-0000-0500-0000304E0000}"/>
            </a:ext>
          </a:extLst>
        </xdr:cNvPr>
        <xdr:cNvSpPr>
          <a:spLocks noChangeShapeType="1"/>
        </xdr:cNvSpPr>
      </xdr:nvSpPr>
      <xdr:spPr bwMode="auto">
        <a:xfrm>
          <a:off x="5314950" y="7534275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20017" name="Line 3">
          <a:extLst>
            <a:ext uri="{FF2B5EF4-FFF2-40B4-BE49-F238E27FC236}">
              <a16:creationId xmlns:a16="http://schemas.microsoft.com/office/drawing/2014/main" id="{00000000-0008-0000-0500-0000314E0000}"/>
            </a:ext>
          </a:extLst>
        </xdr:cNvPr>
        <xdr:cNvSpPr>
          <a:spLocks noChangeShapeType="1"/>
        </xdr:cNvSpPr>
      </xdr:nvSpPr>
      <xdr:spPr bwMode="auto">
        <a:xfrm flipV="1">
          <a:off x="5314950" y="7534275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457200</xdr:colOff>
      <xdr:row>21</xdr:row>
      <xdr:rowOff>0</xdr:rowOff>
    </xdr:from>
    <xdr:to>
      <xdr:col>13</xdr:col>
      <xdr:colOff>0</xdr:colOff>
      <xdr:row>21</xdr:row>
      <xdr:rowOff>0</xdr:rowOff>
    </xdr:to>
    <xdr:sp macro="" textlink="">
      <xdr:nvSpPr>
        <xdr:cNvPr id="20018" name="Line 4">
          <a:extLst>
            <a:ext uri="{FF2B5EF4-FFF2-40B4-BE49-F238E27FC236}">
              <a16:creationId xmlns:a16="http://schemas.microsoft.com/office/drawing/2014/main" id="{00000000-0008-0000-0500-0000324E0000}"/>
            </a:ext>
          </a:extLst>
        </xdr:cNvPr>
        <xdr:cNvSpPr>
          <a:spLocks noChangeShapeType="1"/>
        </xdr:cNvSpPr>
      </xdr:nvSpPr>
      <xdr:spPr bwMode="auto">
        <a:xfrm>
          <a:off x="12239625" y="7534275"/>
          <a:ext cx="1238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0</xdr:rowOff>
    </xdr:from>
    <xdr:to>
      <xdr:col>13</xdr:col>
      <xdr:colOff>28575</xdr:colOff>
      <xdr:row>21</xdr:row>
      <xdr:rowOff>0</xdr:rowOff>
    </xdr:to>
    <xdr:sp macro="" textlink="">
      <xdr:nvSpPr>
        <xdr:cNvPr id="20019" name="Line 5">
          <a:extLst>
            <a:ext uri="{FF2B5EF4-FFF2-40B4-BE49-F238E27FC236}">
              <a16:creationId xmlns:a16="http://schemas.microsoft.com/office/drawing/2014/main" id="{00000000-0008-0000-0500-0000334E0000}"/>
            </a:ext>
          </a:extLst>
        </xdr:cNvPr>
        <xdr:cNvSpPr>
          <a:spLocks noChangeShapeType="1"/>
        </xdr:cNvSpPr>
      </xdr:nvSpPr>
      <xdr:spPr bwMode="auto">
        <a:xfrm flipV="1">
          <a:off x="12630150" y="7534275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714375</xdr:colOff>
      <xdr:row>1</xdr:row>
      <xdr:rowOff>114300</xdr:rowOff>
    </xdr:from>
    <xdr:to>
      <xdr:col>1</xdr:col>
      <xdr:colOff>133350</xdr:colOff>
      <xdr:row>4</xdr:row>
      <xdr:rowOff>219075</xdr:rowOff>
    </xdr:to>
    <xdr:pic>
      <xdr:nvPicPr>
        <xdr:cNvPr id="20020" name="Image 6">
          <a:extLst>
            <a:ext uri="{FF2B5EF4-FFF2-40B4-BE49-F238E27FC236}">
              <a16:creationId xmlns:a16="http://schemas.microsoft.com/office/drawing/2014/main" id="{00000000-0008-0000-0500-0000344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38150"/>
          <a:ext cx="7429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bonnet-traiteur.com" TargetMode="External"/><Relationship Id="rId13" Type="http://schemas.openxmlformats.org/officeDocument/2006/relationships/hyperlink" Target="mailto:lechaletdemagali@orange.fr" TargetMode="External"/><Relationship Id="rId18" Type="http://schemas.openxmlformats.org/officeDocument/2006/relationships/hyperlink" Target="mailto:hotelacascade@wanadoo.fr" TargetMode="External"/><Relationship Id="rId3" Type="http://schemas.openxmlformats.org/officeDocument/2006/relationships/hyperlink" Target="mailto:phethalon@gmail.com" TargetMode="External"/><Relationship Id="rId7" Type="http://schemas.openxmlformats.org/officeDocument/2006/relationships/hyperlink" Target="mailto:david.rebouillat@laposte.net" TargetMode="External"/><Relationship Id="rId12" Type="http://schemas.openxmlformats.org/officeDocument/2006/relationships/hyperlink" Target="mailto:chezmarieetpatricia@gmail.com" TargetMode="External"/><Relationship Id="rId17" Type="http://schemas.openxmlformats.org/officeDocument/2006/relationships/hyperlink" Target="mailto:pontarlier@bailapizza.com" TargetMode="External"/><Relationship Id="rId2" Type="http://schemas.openxmlformats.org/officeDocument/2006/relationships/hyperlink" Target="mailto:1180@flunch.fr" TargetMode="External"/><Relationship Id="rId16" Type="http://schemas.openxmlformats.org/officeDocument/2006/relationships/hyperlink" Target="mailto:comtpabilite@rstaurant-pontarlier-lepergaud.fr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hotel.bellevue@free.fr" TargetMode="External"/><Relationship Id="rId6" Type="http://schemas.openxmlformats.org/officeDocument/2006/relationships/hyperlink" Target="mailto:audoubsgourmet2@orange.fr" TargetMode="External"/><Relationship Id="rId11" Type="http://schemas.openxmlformats.org/officeDocument/2006/relationships/hyperlink" Target="mailto:lechampsdeslys@wanadoo.fr" TargetMode="External"/><Relationship Id="rId5" Type="http://schemas.openxmlformats.org/officeDocument/2006/relationships/hyperlink" Target="mailto:lechristis@gmail.com" TargetMode="External"/><Relationship Id="rId15" Type="http://schemas.openxmlformats.org/officeDocument/2006/relationships/hyperlink" Target="mailto:pizzas25@free.fr" TargetMode="External"/><Relationship Id="rId10" Type="http://schemas.openxmlformats.org/officeDocument/2006/relationships/hyperlink" Target="mailto:pontarlier@courtepaille.com" TargetMode="External"/><Relationship Id="rId19" Type="http://schemas.openxmlformats.org/officeDocument/2006/relationships/hyperlink" Target="mailto:boillon.andre2@wanadoo.fr" TargetMode="External"/><Relationship Id="rId4" Type="http://schemas.openxmlformats.org/officeDocument/2006/relationships/hyperlink" Target="mailto:aubergetroulot@orange.fr" TargetMode="External"/><Relationship Id="rId9" Type="http://schemas.openxmlformats.org/officeDocument/2006/relationships/hyperlink" Target="mailto:buffaltitude2@wanadoo.fr" TargetMode="External"/><Relationship Id="rId14" Type="http://schemas.openxmlformats.org/officeDocument/2006/relationships/hyperlink" Target="mailto:av040280@elior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K82"/>
  <sheetViews>
    <sheetView showGridLines="0" tabSelected="1" zoomScaleNormal="100" workbookViewId="0">
      <selection activeCell="E6" sqref="E6:F6"/>
    </sheetView>
  </sheetViews>
  <sheetFormatPr baseColWidth="10" defaultColWidth="11.42578125" defaultRowHeight="15" x14ac:dyDescent="0.2"/>
  <cols>
    <col min="1" max="1" width="41" style="200" bestFit="1" customWidth="1"/>
    <col min="2" max="3" width="20.7109375" style="200" customWidth="1"/>
    <col min="4" max="4" width="25.7109375" style="200" customWidth="1"/>
    <col min="5" max="6" width="15.7109375" style="200" customWidth="1"/>
    <col min="7" max="7" width="1.7109375" style="200" customWidth="1"/>
    <col min="8" max="16384" width="11.42578125" style="200"/>
  </cols>
  <sheetData>
    <row r="1" spans="1:11" ht="35.1" customHeight="1" x14ac:dyDescent="0.2">
      <c r="A1" s="249" t="s">
        <v>420</v>
      </c>
      <c r="B1" s="221" t="s">
        <v>65</v>
      </c>
      <c r="C1" s="221" t="s">
        <v>66</v>
      </c>
      <c r="E1" s="298" t="s">
        <v>91</v>
      </c>
      <c r="F1" s="298"/>
      <c r="H1" s="300" t="s">
        <v>48</v>
      </c>
      <c r="I1" s="301"/>
      <c r="J1" s="302"/>
      <c r="K1" s="196" t="s">
        <v>63</v>
      </c>
    </row>
    <row r="2" spans="1:11" ht="30" customHeight="1" x14ac:dyDescent="0.2">
      <c r="A2" s="222" t="s">
        <v>64</v>
      </c>
      <c r="B2" s="87">
        <v>43961</v>
      </c>
      <c r="C2" s="87"/>
      <c r="E2" s="299" t="s">
        <v>72</v>
      </c>
      <c r="F2" s="299"/>
      <c r="H2" s="300" t="s">
        <v>125</v>
      </c>
      <c r="I2" s="301"/>
      <c r="J2" s="302"/>
      <c r="K2" s="196"/>
    </row>
    <row r="3" spans="1:11" ht="5.0999999999999996" customHeight="1" x14ac:dyDescent="0.2">
      <c r="A3" s="201"/>
    </row>
    <row r="4" spans="1:11" ht="30" customHeight="1" x14ac:dyDescent="0.2">
      <c r="A4" s="222" t="s">
        <v>106</v>
      </c>
      <c r="B4" s="303" t="s">
        <v>419</v>
      </c>
      <c r="C4" s="303"/>
      <c r="D4" s="224"/>
      <c r="E4" s="272" t="s">
        <v>169</v>
      </c>
      <c r="F4" s="274"/>
      <c r="H4" s="300" t="s">
        <v>123</v>
      </c>
      <c r="I4" s="301"/>
      <c r="J4" s="302"/>
      <c r="K4" s="168" t="str">
        <f>IF(C8="","",C8)</f>
        <v/>
      </c>
    </row>
    <row r="5" spans="1:11" ht="5.0999999999999996" customHeight="1" x14ac:dyDescent="0.2">
      <c r="A5" s="201"/>
      <c r="D5" s="223"/>
      <c r="H5" s="202"/>
      <c r="I5" s="202"/>
      <c r="J5" s="202"/>
    </row>
    <row r="6" spans="1:11" ht="30" customHeight="1" x14ac:dyDescent="0.2">
      <c r="A6" s="222" t="s">
        <v>107</v>
      </c>
      <c r="B6" s="285" t="s">
        <v>422</v>
      </c>
      <c r="C6" s="285"/>
      <c r="D6" s="224"/>
      <c r="E6" s="281" t="s">
        <v>423</v>
      </c>
      <c r="F6" s="282"/>
      <c r="H6" s="283" t="s">
        <v>157</v>
      </c>
      <c r="I6" s="284"/>
      <c r="J6" s="296">
        <f>IFERROR(LARGE(B2:C2,1),"")</f>
        <v>43961</v>
      </c>
      <c r="K6" s="297"/>
    </row>
    <row r="7" spans="1:11" ht="5.0999999999999996" customHeight="1" x14ac:dyDescent="0.2">
      <c r="A7" s="201"/>
      <c r="H7" s="202"/>
      <c r="I7" s="202"/>
      <c r="J7" s="203"/>
    </row>
    <row r="8" spans="1:11" s="205" customFormat="1" ht="30" customHeight="1" x14ac:dyDescent="0.2">
      <c r="A8" s="222" t="s">
        <v>15</v>
      </c>
      <c r="B8" s="243"/>
      <c r="C8" s="242"/>
      <c r="D8" s="204"/>
      <c r="E8" s="283" t="s">
        <v>156</v>
      </c>
      <c r="F8" s="293"/>
      <c r="H8" s="292" t="s">
        <v>163</v>
      </c>
      <c r="I8" s="292"/>
      <c r="J8" s="291" t="str">
        <f>IF(RATIO!L5="","",RATIO!L5)</f>
        <v/>
      </c>
      <c r="K8" s="291"/>
    </row>
    <row r="9" spans="1:11" ht="5.0999999999999996" customHeight="1" x14ac:dyDescent="0.2"/>
    <row r="10" spans="1:11" ht="30" customHeight="1" x14ac:dyDescent="0.2">
      <c r="A10" s="222" t="s">
        <v>120</v>
      </c>
      <c r="B10" s="288" t="s">
        <v>421</v>
      </c>
      <c r="C10" s="289"/>
      <c r="D10" s="153" t="str">
        <f>IF(AND(B10="",E10=""),"",IF(OR(B10="",E10=""),"&lt;=INDIQUER UN NOM OU SUPRIMER LES HEURES =&gt;",""))</f>
        <v>&lt;=INDIQUER UN NOM OU SUPRIMER LES HEURES =&gt;</v>
      </c>
      <c r="E10" s="128"/>
      <c r="F10" s="129" t="str">
        <f>IF(E10="","","Heures")</f>
        <v/>
      </c>
      <c r="H10" s="265" t="s">
        <v>162</v>
      </c>
      <c r="I10" s="258"/>
      <c r="J10" s="291" t="str">
        <f>IF(RATIO!L3="","",RATIO!L3)</f>
        <v/>
      </c>
      <c r="K10" s="291"/>
    </row>
    <row r="11" spans="1:11" ht="5.0999999999999996" customHeight="1" x14ac:dyDescent="0.2">
      <c r="B11" s="206"/>
      <c r="C11" s="206"/>
      <c r="D11" s="156"/>
    </row>
    <row r="12" spans="1:11" ht="30" customHeight="1" x14ac:dyDescent="0.2">
      <c r="A12" s="222" t="s">
        <v>131</v>
      </c>
      <c r="B12" s="288"/>
      <c r="C12" s="289"/>
      <c r="D12" s="153" t="str">
        <f t="shared" ref="D12:D16" si="0">IF(AND(B12="",E12=""),"",IF(OR(B12="",E12=""),"&lt;=INDIQUER UN NOM OU SUPRIMER LES HEURES =&gt;",""))</f>
        <v/>
      </c>
      <c r="E12" s="128"/>
      <c r="F12" s="129" t="str">
        <f>IF(E12="","","Heures")</f>
        <v/>
      </c>
      <c r="H12" s="269" t="s">
        <v>76</v>
      </c>
      <c r="I12" s="269"/>
      <c r="J12" s="291" t="str">
        <f>IF(RATIO!L2="","",RATIO!L2)</f>
        <v/>
      </c>
      <c r="K12" s="291"/>
    </row>
    <row r="13" spans="1:11" ht="5.0999999999999996" customHeight="1" x14ac:dyDescent="0.2">
      <c r="B13" s="206"/>
      <c r="C13" s="206"/>
      <c r="D13" s="156"/>
    </row>
    <row r="14" spans="1:11" ht="30" customHeight="1" x14ac:dyDescent="0.2">
      <c r="A14" s="222" t="s">
        <v>132</v>
      </c>
      <c r="B14" s="288"/>
      <c r="C14" s="289"/>
      <c r="D14" s="153" t="str">
        <f t="shared" si="0"/>
        <v/>
      </c>
      <c r="E14" s="128"/>
      <c r="F14" s="129" t="str">
        <f>IF(E14="","","Heures")</f>
        <v/>
      </c>
      <c r="H14" s="269" t="s">
        <v>105</v>
      </c>
      <c r="I14" s="269"/>
      <c r="J14" s="291" t="str">
        <f>IF(RATIO!L4="","",RATIO!L4)</f>
        <v/>
      </c>
      <c r="K14" s="291"/>
    </row>
    <row r="15" spans="1:11" ht="5.0999999999999996" customHeight="1" x14ac:dyDescent="0.2">
      <c r="B15" s="206"/>
      <c r="C15" s="206"/>
      <c r="D15" s="156"/>
    </row>
    <row r="16" spans="1:11" ht="30" customHeight="1" x14ac:dyDescent="0.2">
      <c r="A16" s="222" t="s">
        <v>132</v>
      </c>
      <c r="B16" s="288"/>
      <c r="C16" s="289"/>
      <c r="D16" s="153" t="str">
        <f t="shared" si="0"/>
        <v/>
      </c>
      <c r="E16" s="128"/>
      <c r="F16" s="129" t="str">
        <f>IF(E16="","","Heures")</f>
        <v/>
      </c>
      <c r="H16" s="269" t="s">
        <v>155</v>
      </c>
      <c r="I16" s="269"/>
      <c r="J16" s="257" t="str">
        <f>IF(RATIO!L6=0,"",RATIO!L6)</f>
        <v/>
      </c>
      <c r="K16" s="257"/>
    </row>
    <row r="17" spans="1:11" ht="5.0999999999999996" customHeight="1" x14ac:dyDescent="0.2">
      <c r="A17" s="207"/>
      <c r="B17" s="208"/>
      <c r="C17" s="208"/>
      <c r="D17" s="152"/>
      <c r="E17" s="152"/>
      <c r="F17" s="152"/>
    </row>
    <row r="18" spans="1:11" ht="21.75" customHeight="1" x14ac:dyDescent="0.2">
      <c r="A18" s="287" t="str">
        <f>IF(RATIO!N3="","",CONCATENATE("RATIO NON CONFORME =&gt; ",RATIO!N3))</f>
        <v/>
      </c>
      <c r="B18" s="287"/>
      <c r="C18" s="287"/>
      <c r="D18" s="287"/>
      <c r="E18" s="287"/>
      <c r="F18" s="287"/>
      <c r="G18" s="287"/>
      <c r="H18" s="287"/>
      <c r="I18" s="287"/>
      <c r="J18" s="287"/>
      <c r="K18" s="287"/>
    </row>
    <row r="19" spans="1:11" ht="5.0999999999999996" customHeight="1" x14ac:dyDescent="0.2"/>
    <row r="20" spans="1:11" ht="15" customHeight="1" x14ac:dyDescent="0.2">
      <c r="A20" s="269" t="s">
        <v>57</v>
      </c>
      <c r="B20" s="265" t="s">
        <v>379</v>
      </c>
      <c r="C20" s="265" t="s">
        <v>136</v>
      </c>
      <c r="D20" s="265"/>
      <c r="E20" s="265" t="s">
        <v>154</v>
      </c>
      <c r="F20" s="265"/>
      <c r="G20" s="265"/>
      <c r="H20" s="265"/>
      <c r="I20" s="265"/>
      <c r="J20" s="265"/>
      <c r="K20" s="265"/>
    </row>
    <row r="21" spans="1:11" ht="15" customHeight="1" x14ac:dyDescent="0.2">
      <c r="A21" s="269"/>
      <c r="B21" s="265"/>
      <c r="C21" s="265"/>
      <c r="D21" s="265"/>
      <c r="E21" s="265"/>
      <c r="F21" s="265"/>
      <c r="G21" s="265"/>
      <c r="H21" s="265"/>
      <c r="I21" s="265"/>
      <c r="J21" s="265"/>
      <c r="K21" s="265"/>
    </row>
    <row r="22" spans="1:11" ht="15" customHeight="1" x14ac:dyDescent="0.2">
      <c r="A22" s="196"/>
      <c r="B22" s="196"/>
      <c r="C22" s="286"/>
      <c r="D22" s="286"/>
      <c r="E22" s="266" t="str">
        <f>IF(A22="","",VLOOKUP(A22,'Ordre alphabétique FLF'!$F$2:$P$21,11,FALSE))</f>
        <v/>
      </c>
      <c r="F22" s="266"/>
      <c r="G22" s="266"/>
      <c r="H22" s="266"/>
      <c r="I22" s="266"/>
      <c r="J22" s="266"/>
      <c r="K22" s="266"/>
    </row>
    <row r="23" spans="1:11" ht="15" customHeight="1" x14ac:dyDescent="0.2">
      <c r="A23" s="212"/>
      <c r="B23" s="212"/>
      <c r="C23" s="290"/>
      <c r="D23" s="290"/>
      <c r="E23" s="267" t="str">
        <f>IF(A23="","",VLOOKUP(A23,'Ordre alphabétique FLF'!$F$2:$P$21,11,FALSE))</f>
        <v/>
      </c>
      <c r="F23" s="267"/>
      <c r="G23" s="267"/>
      <c r="H23" s="267"/>
      <c r="I23" s="267"/>
      <c r="J23" s="267"/>
      <c r="K23" s="267"/>
    </row>
    <row r="24" spans="1:11" ht="15" customHeight="1" x14ac:dyDescent="0.2">
      <c r="A24" s="196"/>
      <c r="B24" s="196"/>
      <c r="C24" s="286"/>
      <c r="D24" s="286"/>
      <c r="E24" s="266" t="str">
        <f>IF(A24="","",VLOOKUP(A24,'Ordre alphabétique FLF'!$F$2:$P$21,11,FALSE))</f>
        <v/>
      </c>
      <c r="F24" s="266"/>
      <c r="G24" s="266"/>
      <c r="H24" s="266"/>
      <c r="I24" s="266"/>
      <c r="J24" s="266"/>
      <c r="K24" s="266"/>
    </row>
    <row r="25" spans="1:11" ht="15" customHeight="1" x14ac:dyDescent="0.2">
      <c r="A25" s="212"/>
      <c r="B25" s="212"/>
      <c r="C25" s="290"/>
      <c r="D25" s="290"/>
      <c r="E25" s="267" t="str">
        <f>IF(A25="","",VLOOKUP(A25,'Ordre alphabétique FLF'!$F$2:$P$21,11,FALSE))</f>
        <v/>
      </c>
      <c r="F25" s="267"/>
      <c r="G25" s="267"/>
      <c r="H25" s="267"/>
      <c r="I25" s="267"/>
      <c r="J25" s="267"/>
      <c r="K25" s="267"/>
    </row>
    <row r="26" spans="1:11" ht="15" customHeight="1" x14ac:dyDescent="0.2">
      <c r="A26" s="196"/>
      <c r="B26" s="196"/>
      <c r="C26" s="286"/>
      <c r="D26" s="286"/>
      <c r="E26" s="266" t="str">
        <f>IF(A26="","",VLOOKUP(A26,'Ordre alphabétique FLF'!$F$2:$P$21,11,FALSE))</f>
        <v/>
      </c>
      <c r="F26" s="266"/>
      <c r="G26" s="266"/>
      <c r="H26" s="266"/>
      <c r="I26" s="266"/>
      <c r="J26" s="266"/>
      <c r="K26" s="266"/>
    </row>
    <row r="27" spans="1:11" ht="15" customHeight="1" x14ac:dyDescent="0.2">
      <c r="A27" s="212"/>
      <c r="B27" s="212"/>
      <c r="C27" s="290"/>
      <c r="D27" s="290"/>
      <c r="E27" s="267" t="str">
        <f>IF(A27="","",VLOOKUP(A27,'Ordre alphabétique FLF'!$F$2:$P$21,11,FALSE))</f>
        <v/>
      </c>
      <c r="F27" s="267"/>
      <c r="G27" s="267"/>
      <c r="H27" s="267"/>
      <c r="I27" s="267"/>
      <c r="J27" s="267"/>
      <c r="K27" s="267"/>
    </row>
    <row r="28" spans="1:11" ht="15" customHeight="1" x14ac:dyDescent="0.2">
      <c r="A28" s="196"/>
      <c r="B28" s="196"/>
      <c r="C28" s="286"/>
      <c r="D28" s="286"/>
      <c r="E28" s="266" t="str">
        <f>IF(A28="","",VLOOKUP(A28,'Ordre alphabétique FLF'!$F$2:$P$21,11,FALSE))</f>
        <v/>
      </c>
      <c r="F28" s="266"/>
      <c r="G28" s="266"/>
      <c r="H28" s="266"/>
      <c r="I28" s="266"/>
      <c r="J28" s="266"/>
      <c r="K28" s="266"/>
    </row>
    <row r="29" spans="1:11" ht="15" customHeight="1" x14ac:dyDescent="0.2">
      <c r="A29" s="212"/>
      <c r="B29" s="212"/>
      <c r="C29" s="290"/>
      <c r="D29" s="290"/>
      <c r="E29" s="267" t="str">
        <f>IF(A29="","",VLOOKUP(A29,'Ordre alphabétique FLF'!$F$2:$P$21,11,FALSE))</f>
        <v/>
      </c>
      <c r="F29" s="267"/>
      <c r="G29" s="267"/>
      <c r="H29" s="267"/>
      <c r="I29" s="267"/>
      <c r="J29" s="267"/>
      <c r="K29" s="267"/>
    </row>
    <row r="30" spans="1:11" ht="15" customHeight="1" x14ac:dyDescent="0.2">
      <c r="A30" s="196"/>
      <c r="B30" s="196"/>
      <c r="C30" s="286"/>
      <c r="D30" s="286"/>
      <c r="E30" s="266" t="str">
        <f>IF(A30="","",VLOOKUP(A30,'Ordre alphabétique FLF'!$F$2:$P$21,11,FALSE))</f>
        <v/>
      </c>
      <c r="F30" s="266"/>
      <c r="G30" s="266"/>
      <c r="H30" s="266"/>
      <c r="I30" s="266"/>
      <c r="J30" s="266"/>
      <c r="K30" s="266"/>
    </row>
    <row r="31" spans="1:11" ht="15" customHeight="1" x14ac:dyDescent="0.2">
      <c r="A31" s="212"/>
      <c r="B31" s="212"/>
      <c r="C31" s="290"/>
      <c r="D31" s="290"/>
      <c r="E31" s="267" t="str">
        <f>IF(A31="","",VLOOKUP(A31,'Ordre alphabétique FLF'!$F$2:$P$21,11,FALSE))</f>
        <v/>
      </c>
      <c r="F31" s="267"/>
      <c r="G31" s="267"/>
      <c r="H31" s="267"/>
      <c r="I31" s="267"/>
      <c r="J31" s="267"/>
      <c r="K31" s="267"/>
    </row>
    <row r="32" spans="1:11" ht="15" customHeight="1" x14ac:dyDescent="0.2">
      <c r="A32" s="196"/>
      <c r="B32" s="196"/>
      <c r="C32" s="286"/>
      <c r="D32" s="286"/>
      <c r="E32" s="266" t="str">
        <f>IF(A32="","",VLOOKUP(A32,'Ordre alphabétique FLF'!$F$2:$P$21,11,FALSE))</f>
        <v/>
      </c>
      <c r="F32" s="266"/>
      <c r="G32" s="266"/>
      <c r="H32" s="266"/>
      <c r="I32" s="266"/>
      <c r="J32" s="266"/>
      <c r="K32" s="266"/>
    </row>
    <row r="33" spans="1:11" ht="15" customHeight="1" x14ac:dyDescent="0.2">
      <c r="A33" s="212"/>
      <c r="B33" s="212"/>
      <c r="C33" s="290"/>
      <c r="D33" s="290"/>
      <c r="E33" s="267" t="str">
        <f>IF(A33="","",VLOOKUP(A33,'Ordre alphabétique FLF'!$F$2:$P$21,11,FALSE))</f>
        <v/>
      </c>
      <c r="F33" s="267"/>
      <c r="G33" s="267"/>
      <c r="H33" s="267"/>
      <c r="I33" s="267"/>
      <c r="J33" s="267"/>
      <c r="K33" s="267"/>
    </row>
    <row r="34" spans="1:11" ht="15" customHeight="1" x14ac:dyDescent="0.2">
      <c r="A34" s="196"/>
      <c r="B34" s="196"/>
      <c r="C34" s="286"/>
      <c r="D34" s="286"/>
      <c r="E34" s="266" t="str">
        <f>IF(A34="","",VLOOKUP(A34,'Ordre alphabétique FLF'!$F$2:$P$21,11,FALSE))</f>
        <v/>
      </c>
      <c r="F34" s="266"/>
      <c r="G34" s="266"/>
      <c r="H34" s="266"/>
      <c r="I34" s="266"/>
      <c r="J34" s="266"/>
      <c r="K34" s="266"/>
    </row>
    <row r="35" spans="1:11" ht="15" customHeight="1" x14ac:dyDescent="0.2">
      <c r="A35" s="212"/>
      <c r="B35" s="212"/>
      <c r="C35" s="290"/>
      <c r="D35" s="290"/>
      <c r="E35" s="267" t="str">
        <f>IF(A35="","",VLOOKUP(A35,'Ordre alphabétique FLF'!$F$2:$P$21,11,FALSE))</f>
        <v/>
      </c>
      <c r="F35" s="267"/>
      <c r="G35" s="267"/>
      <c r="H35" s="267"/>
      <c r="I35" s="267"/>
      <c r="J35" s="267"/>
      <c r="K35" s="267"/>
    </row>
    <row r="36" spans="1:11" ht="15" customHeight="1" x14ac:dyDescent="0.2">
      <c r="A36" s="196"/>
      <c r="B36" s="196"/>
      <c r="C36" s="286"/>
      <c r="D36" s="286"/>
      <c r="E36" s="266" t="str">
        <f>IF(A36="","",VLOOKUP(A36,'Ordre alphabétique FLF'!$F$2:$P$21,11,FALSE))</f>
        <v/>
      </c>
      <c r="F36" s="266"/>
      <c r="G36" s="266"/>
      <c r="H36" s="266"/>
      <c r="I36" s="266"/>
      <c r="J36" s="266"/>
      <c r="K36" s="266"/>
    </row>
    <row r="37" spans="1:11" ht="15" customHeight="1" x14ac:dyDescent="0.2">
      <c r="A37" s="212"/>
      <c r="B37" s="212"/>
      <c r="C37" s="290"/>
      <c r="D37" s="290"/>
      <c r="E37" s="267" t="str">
        <f>IF(A37="","",VLOOKUP(A37,'Ordre alphabétique FLF'!$F$2:$P$21,11,FALSE))</f>
        <v/>
      </c>
      <c r="F37" s="267"/>
      <c r="G37" s="267"/>
      <c r="H37" s="267"/>
      <c r="I37" s="267"/>
      <c r="J37" s="267"/>
      <c r="K37" s="267"/>
    </row>
    <row r="38" spans="1:11" ht="27" customHeight="1" x14ac:dyDescent="0.2">
      <c r="A38" s="209"/>
      <c r="B38" s="251" t="str">
        <f>IF(B39="","","  Personnel(s) non GRIMP. Exemple : Mr le Maire, Entreprise, Organisme extérieur, Association,…")</f>
        <v/>
      </c>
      <c r="C38" s="251"/>
      <c r="D38" s="251"/>
      <c r="E38" s="251"/>
      <c r="F38" s="251"/>
      <c r="G38" s="251"/>
      <c r="H38" s="251"/>
      <c r="I38" s="251"/>
      <c r="J38" s="251"/>
      <c r="K38" s="251"/>
    </row>
    <row r="39" spans="1:11" ht="36" customHeight="1" x14ac:dyDescent="0.2">
      <c r="A39" s="221" t="s">
        <v>168</v>
      </c>
      <c r="B39" s="252"/>
      <c r="C39" s="252"/>
      <c r="D39" s="252"/>
      <c r="E39" s="252"/>
      <c r="F39" s="252"/>
      <c r="G39" s="252"/>
      <c r="H39" s="252"/>
      <c r="I39" s="252"/>
      <c r="J39" s="252"/>
      <c r="K39" s="252"/>
    </row>
    <row r="40" spans="1:11" ht="15" customHeight="1" x14ac:dyDescent="0.2">
      <c r="A40" s="209"/>
      <c r="B40" s="209"/>
      <c r="C40" s="209"/>
      <c r="D40" s="209"/>
      <c r="E40" s="209"/>
      <c r="F40" s="209"/>
      <c r="G40" s="209"/>
      <c r="H40" s="209"/>
    </row>
    <row r="41" spans="1:11" ht="30.75" customHeight="1" x14ac:dyDescent="0.2">
      <c r="A41" s="221" t="s">
        <v>358</v>
      </c>
      <c r="C41" s="258" t="s">
        <v>351</v>
      </c>
      <c r="D41" s="259"/>
      <c r="E41" s="259"/>
      <c r="F41" s="256" t="s">
        <v>391</v>
      </c>
      <c r="G41" s="257"/>
      <c r="H41" s="257"/>
      <c r="I41" s="257"/>
      <c r="J41" s="257"/>
      <c r="K41" s="257"/>
    </row>
    <row r="42" spans="1:11" ht="30" customHeight="1" x14ac:dyDescent="0.2">
      <c r="A42" s="268"/>
      <c r="C42" s="222" t="s">
        <v>353</v>
      </c>
      <c r="D42" s="260"/>
      <c r="E42" s="261"/>
      <c r="F42" s="264"/>
      <c r="G42" s="264"/>
      <c r="H42" s="264"/>
      <c r="I42" s="264"/>
      <c r="J42" s="264"/>
      <c r="K42" s="264"/>
    </row>
    <row r="43" spans="1:11" ht="27" customHeight="1" x14ac:dyDescent="0.2">
      <c r="A43" s="268"/>
      <c r="C43" s="222" t="s">
        <v>352</v>
      </c>
      <c r="D43" s="262" t="str">
        <f>IF(D42="","",IF(VLOOKUP(D42,RESTAURANT!$A$2:$G$190,3,FALSE)="","",VLOOKUP(D42,RESTAURANT!$A$2:$G$190,3,FALSE)))</f>
        <v/>
      </c>
      <c r="E43" s="263"/>
      <c r="F43" s="264"/>
      <c r="G43" s="264"/>
      <c r="H43" s="264"/>
      <c r="I43" s="264"/>
      <c r="J43" s="264"/>
      <c r="K43" s="264"/>
    </row>
    <row r="44" spans="1:11" ht="27" customHeight="1" x14ac:dyDescent="0.2">
      <c r="A44" s="268"/>
      <c r="C44" s="222" t="s">
        <v>354</v>
      </c>
      <c r="D44" s="262" t="str">
        <f>IF(D42="","",IF(VLOOKUP(D42,RESTAURANT!$A$2:$G$190,4,FALSE)="","",VLOOKUP(D42,RESTAURANT!$A$2:$G$190,4,FALSE)))</f>
        <v/>
      </c>
      <c r="E44" s="263"/>
      <c r="F44" s="264"/>
      <c r="G44" s="264"/>
      <c r="H44" s="264"/>
      <c r="I44" s="264"/>
      <c r="J44" s="264"/>
      <c r="K44" s="264"/>
    </row>
    <row r="45" spans="1:11" ht="27" customHeight="1" x14ac:dyDescent="0.2">
      <c r="A45" s="268"/>
      <c r="C45" s="222" t="s">
        <v>355</v>
      </c>
      <c r="D45" s="277" t="str">
        <f>IF(D42="","",IF(VLOOKUP(D42,RESTAURANT!$A$2:$G$190,5,FALSE)="","",VLOOKUP(D42,RESTAURANT!$A$2:$G$190,5,FALSE)))</f>
        <v/>
      </c>
      <c r="E45" s="278"/>
      <c r="F45" s="275"/>
      <c r="G45" s="275"/>
      <c r="H45" s="275"/>
      <c r="I45" s="275"/>
      <c r="J45" s="275"/>
      <c r="K45" s="275"/>
    </row>
    <row r="46" spans="1:11" ht="27" customHeight="1" x14ac:dyDescent="0.2">
      <c r="A46" s="268"/>
      <c r="C46" s="222" t="s">
        <v>356</v>
      </c>
      <c r="D46" s="279" t="str">
        <f>IF(D42="","",IF(VLOOKUP(D42,RESTAURANT!$A$2:$G$190,6,FALSE)="","",VLOOKUP(D42,RESTAURANT!$A$2:$G$190,6,FALSE)))</f>
        <v/>
      </c>
      <c r="E46" s="280"/>
      <c r="F46" s="276"/>
      <c r="G46" s="264"/>
      <c r="H46" s="264"/>
      <c r="I46" s="264"/>
      <c r="J46" s="264"/>
      <c r="K46" s="264"/>
    </row>
    <row r="47" spans="1:11" ht="27" customHeight="1" x14ac:dyDescent="0.2">
      <c r="A47" s="268"/>
      <c r="B47" s="210"/>
      <c r="C47" s="222" t="s">
        <v>357</v>
      </c>
      <c r="D47" s="262" t="str">
        <f>IF(D42="","",IF(VLOOKUP(D42,RESTAURANT!$A$2:$G$190,7,FALSE)="","",VLOOKUP(D42,RESTAURANT!$A$2:$G$190,7,FALSE)))</f>
        <v/>
      </c>
      <c r="E47" s="263"/>
      <c r="F47" s="264"/>
      <c r="G47" s="264"/>
      <c r="H47" s="264"/>
      <c r="I47" s="264"/>
      <c r="J47" s="264"/>
      <c r="K47" s="264"/>
    </row>
    <row r="48" spans="1:11" ht="9" customHeight="1" x14ac:dyDescent="0.2">
      <c r="A48" s="270"/>
      <c r="B48" s="271"/>
      <c r="C48" s="270"/>
      <c r="D48" s="270"/>
      <c r="E48" s="270"/>
      <c r="F48" s="271"/>
      <c r="G48" s="271"/>
      <c r="H48" s="271"/>
      <c r="I48" s="271"/>
    </row>
    <row r="49" spans="1:11" ht="20.100000000000001" customHeight="1" x14ac:dyDescent="0.2">
      <c r="A49" s="221" t="s">
        <v>360</v>
      </c>
      <c r="B49" s="210"/>
      <c r="C49" s="269" t="s">
        <v>368</v>
      </c>
      <c r="D49" s="269"/>
      <c r="E49" s="269"/>
      <c r="F49" s="269" t="s">
        <v>369</v>
      </c>
      <c r="G49" s="269"/>
      <c r="H49" s="269"/>
      <c r="I49" s="269"/>
      <c r="J49" s="269"/>
      <c r="K49" s="269"/>
    </row>
    <row r="50" spans="1:11" ht="20.100000000000001" customHeight="1" x14ac:dyDescent="0.2">
      <c r="A50" s="93"/>
      <c r="C50" s="221" t="s">
        <v>363</v>
      </c>
      <c r="D50" s="269" t="s">
        <v>364</v>
      </c>
      <c r="E50" s="269"/>
      <c r="F50" s="272" t="s">
        <v>363</v>
      </c>
      <c r="G50" s="274"/>
      <c r="H50" s="272" t="s">
        <v>364</v>
      </c>
      <c r="I50" s="273"/>
      <c r="J50" s="273"/>
      <c r="K50" s="274"/>
    </row>
    <row r="51" spans="1:11" ht="20.100000000000001" customHeight="1" x14ac:dyDescent="0.2">
      <c r="A51" s="221" t="s">
        <v>361</v>
      </c>
      <c r="C51" s="93" t="s">
        <v>365</v>
      </c>
      <c r="D51" s="253"/>
      <c r="E51" s="255"/>
      <c r="F51" s="281" t="s">
        <v>370</v>
      </c>
      <c r="G51" s="282"/>
      <c r="H51" s="253"/>
      <c r="I51" s="254"/>
      <c r="J51" s="254"/>
      <c r="K51" s="255"/>
    </row>
    <row r="52" spans="1:11" ht="20.100000000000001" customHeight="1" x14ac:dyDescent="0.2">
      <c r="A52" s="93"/>
      <c r="C52" s="93" t="s">
        <v>366</v>
      </c>
      <c r="D52" s="253"/>
      <c r="E52" s="255"/>
      <c r="F52" s="281" t="s">
        <v>371</v>
      </c>
      <c r="G52" s="282"/>
      <c r="H52" s="253"/>
      <c r="I52" s="254"/>
      <c r="J52" s="254"/>
      <c r="K52" s="255"/>
    </row>
    <row r="53" spans="1:11" ht="20.100000000000001" customHeight="1" x14ac:dyDescent="0.2">
      <c r="A53" s="221" t="s">
        <v>362</v>
      </c>
      <c r="C53" s="93" t="s">
        <v>367</v>
      </c>
      <c r="D53" s="253"/>
      <c r="E53" s="255"/>
      <c r="F53" s="281"/>
      <c r="G53" s="282"/>
      <c r="H53" s="253"/>
      <c r="I53" s="254"/>
      <c r="J53" s="254"/>
      <c r="K53" s="255"/>
    </row>
    <row r="54" spans="1:11" ht="20.100000000000001" customHeight="1" x14ac:dyDescent="0.2">
      <c r="A54" s="93"/>
      <c r="C54" s="196"/>
      <c r="D54" s="253"/>
      <c r="E54" s="255"/>
      <c r="F54" s="281"/>
      <c r="G54" s="282"/>
      <c r="H54" s="253"/>
      <c r="I54" s="254"/>
      <c r="J54" s="254"/>
      <c r="K54" s="255"/>
    </row>
    <row r="55" spans="1:11" ht="15" customHeight="1" x14ac:dyDescent="0.2">
      <c r="A55" s="209"/>
      <c r="D55" s="209"/>
      <c r="E55" s="209"/>
      <c r="F55" s="209"/>
      <c r="G55" s="209"/>
      <c r="H55" s="209"/>
    </row>
    <row r="56" spans="1:11" ht="20.100000000000001" customHeight="1" x14ac:dyDescent="0.2">
      <c r="A56" s="209"/>
      <c r="C56" s="221" t="s">
        <v>372</v>
      </c>
      <c r="D56" s="264"/>
      <c r="E56" s="264"/>
      <c r="F56" s="264"/>
      <c r="G56" s="264"/>
      <c r="H56" s="264"/>
      <c r="I56" s="264"/>
      <c r="J56" s="264"/>
      <c r="K56" s="264"/>
    </row>
    <row r="58" spans="1:11" hidden="1" x14ac:dyDescent="0.2">
      <c r="A58" s="211" t="str">
        <f>CONCATENATE(B8," ",C8," - ",B4," - ",B10," - ")</f>
        <v xml:space="preserve">  - les fins - TOTO - </v>
      </c>
      <c r="B58" s="211"/>
      <c r="C58" s="211"/>
      <c r="D58" s="211"/>
      <c r="E58" s="211"/>
      <c r="F58" s="211"/>
      <c r="G58" s="211"/>
      <c r="H58" s="211"/>
      <c r="I58" s="211"/>
      <c r="J58" s="211"/>
      <c r="K58" s="211"/>
    </row>
    <row r="59" spans="1:11" hidden="1" x14ac:dyDescent="0.2"/>
    <row r="60" spans="1:11" hidden="1" x14ac:dyDescent="0.2">
      <c r="A60" s="241"/>
    </row>
    <row r="61" spans="1:11" hidden="1" x14ac:dyDescent="0.2">
      <c r="A61"/>
      <c r="B61"/>
      <c r="C61"/>
      <c r="D61" s="294" t="s">
        <v>406</v>
      </c>
      <c r="E61" s="295"/>
      <c r="F61" s="295"/>
    </row>
    <row r="62" spans="1:11" hidden="1" x14ac:dyDescent="0.2">
      <c r="A62"/>
      <c r="B62"/>
      <c r="C62"/>
      <c r="D62" s="295"/>
      <c r="E62" s="295"/>
      <c r="F62" s="295"/>
    </row>
    <row r="63" spans="1:11" hidden="1" x14ac:dyDescent="0.2">
      <c r="A63" s="245" t="s">
        <v>404</v>
      </c>
      <c r="B63" s="245" t="s">
        <v>405</v>
      </c>
      <c r="C63"/>
      <c r="D63"/>
      <c r="E63"/>
      <c r="F63"/>
    </row>
    <row r="64" spans="1:11" hidden="1" x14ac:dyDescent="0.2">
      <c r="A64" s="146" t="s">
        <v>392</v>
      </c>
      <c r="B64" s="146">
        <v>0</v>
      </c>
      <c r="C64" s="244" t="s">
        <v>407</v>
      </c>
      <c r="D64"/>
      <c r="E64"/>
      <c r="F64"/>
    </row>
    <row r="65" spans="1:6" hidden="1" x14ac:dyDescent="0.2">
      <c r="A65" s="146" t="s">
        <v>393</v>
      </c>
      <c r="B65" s="146">
        <v>0</v>
      </c>
      <c r="C65" s="244" t="s">
        <v>407</v>
      </c>
      <c r="D65"/>
      <c r="E65"/>
      <c r="F65"/>
    </row>
    <row r="66" spans="1:6" hidden="1" x14ac:dyDescent="0.2">
      <c r="A66" s="146" t="s">
        <v>394</v>
      </c>
      <c r="B66" s="146">
        <v>0</v>
      </c>
      <c r="C66" s="244" t="s">
        <v>407</v>
      </c>
      <c r="D66"/>
      <c r="E66"/>
      <c r="F66"/>
    </row>
    <row r="67" spans="1:6" hidden="1" x14ac:dyDescent="0.2">
      <c r="A67" s="146" t="s">
        <v>364</v>
      </c>
      <c r="B67" s="146">
        <v>1</v>
      </c>
      <c r="C67" s="246" t="s">
        <v>407</v>
      </c>
      <c r="D67"/>
      <c r="E67"/>
      <c r="F67"/>
    </row>
    <row r="68" spans="1:6" hidden="1" x14ac:dyDescent="0.2">
      <c r="A68" s="146" t="s">
        <v>395</v>
      </c>
      <c r="B68" s="146">
        <v>0</v>
      </c>
      <c r="C68" s="246" t="s">
        <v>407</v>
      </c>
      <c r="D68"/>
      <c r="E68"/>
      <c r="F68"/>
    </row>
    <row r="69" spans="1:6" hidden="1" x14ac:dyDescent="0.2">
      <c r="A69" s="146" t="s">
        <v>396</v>
      </c>
      <c r="B69" s="146">
        <v>0</v>
      </c>
      <c r="C69" s="246" t="s">
        <v>407</v>
      </c>
      <c r="D69"/>
      <c r="E69"/>
      <c r="F69"/>
    </row>
    <row r="70" spans="1:6" hidden="1" x14ac:dyDescent="0.2">
      <c r="A70" s="146" t="s">
        <v>397</v>
      </c>
      <c r="B70" s="146">
        <v>0</v>
      </c>
      <c r="C70" s="246" t="s">
        <v>407</v>
      </c>
      <c r="D70"/>
      <c r="E70"/>
      <c r="F70"/>
    </row>
    <row r="71" spans="1:6" hidden="1" x14ac:dyDescent="0.2">
      <c r="A71" s="146" t="s">
        <v>398</v>
      </c>
      <c r="B71" s="146">
        <v>1</v>
      </c>
      <c r="C71" s="246" t="s">
        <v>407</v>
      </c>
      <c r="D71"/>
      <c r="E71"/>
      <c r="F71"/>
    </row>
    <row r="72" spans="1:6" hidden="1" x14ac:dyDescent="0.2">
      <c r="A72" s="146" t="s">
        <v>399</v>
      </c>
      <c r="B72" s="146">
        <v>1</v>
      </c>
      <c r="C72" s="246" t="s">
        <v>407</v>
      </c>
      <c r="D72"/>
      <c r="E72"/>
      <c r="F72"/>
    </row>
    <row r="73" spans="1:6" hidden="1" x14ac:dyDescent="0.2">
      <c r="A73" s="146" t="s">
        <v>400</v>
      </c>
      <c r="B73" s="146" t="e">
        <f ca="1">IF('LISTE NOM POUR FLF'!F14="",0,1)</f>
        <v>#N/A</v>
      </c>
      <c r="C73" s="246" t="s">
        <v>408</v>
      </c>
      <c r="D73"/>
      <c r="E73"/>
      <c r="F73"/>
    </row>
    <row r="74" spans="1:6" hidden="1" x14ac:dyDescent="0.2">
      <c r="A74" s="146" t="s">
        <v>401</v>
      </c>
      <c r="B74" s="146" t="e">
        <f ca="1">IF('LISTE NOM POUR FLF'!G2="",0,1)</f>
        <v>#N/A</v>
      </c>
      <c r="C74" s="246" t="s">
        <v>408</v>
      </c>
      <c r="D74"/>
      <c r="E74"/>
      <c r="F74"/>
    </row>
    <row r="75" spans="1:6" hidden="1" x14ac:dyDescent="0.2">
      <c r="A75" s="146" t="s">
        <v>402</v>
      </c>
      <c r="B75" s="146">
        <v>0</v>
      </c>
      <c r="C75" s="246" t="s">
        <v>407</v>
      </c>
      <c r="D75"/>
      <c r="E75"/>
      <c r="F75"/>
    </row>
    <row r="76" spans="1:6" hidden="1" x14ac:dyDescent="0.2">
      <c r="A76" s="146" t="s">
        <v>403</v>
      </c>
      <c r="B76" s="146">
        <v>0</v>
      </c>
      <c r="C76" s="246" t="s">
        <v>407</v>
      </c>
      <c r="D76"/>
      <c r="E76"/>
      <c r="F76"/>
    </row>
    <row r="77" spans="1:6" hidden="1" x14ac:dyDescent="0.2"/>
    <row r="82" spans="1:1" x14ac:dyDescent="0.2">
      <c r="A82" s="241"/>
    </row>
  </sheetData>
  <sheetProtection password="D901" sheet="1" objects="1" scenarios="1" selectLockedCells="1"/>
  <mergeCells count="100">
    <mergeCell ref="D61:F62"/>
    <mergeCell ref="J6:K6"/>
    <mergeCell ref="E1:F1"/>
    <mergeCell ref="E2:F2"/>
    <mergeCell ref="H1:J1"/>
    <mergeCell ref="H2:J2"/>
    <mergeCell ref="H4:J4"/>
    <mergeCell ref="E4:F4"/>
    <mergeCell ref="E6:F6"/>
    <mergeCell ref="C31:D31"/>
    <mergeCell ref="C22:D22"/>
    <mergeCell ref="C23:D23"/>
    <mergeCell ref="C24:D24"/>
    <mergeCell ref="C25:D25"/>
    <mergeCell ref="C26:D26"/>
    <mergeCell ref="B4:C4"/>
    <mergeCell ref="E36:K36"/>
    <mergeCell ref="J10:K10"/>
    <mergeCell ref="A20:A21"/>
    <mergeCell ref="B20:B21"/>
    <mergeCell ref="B14:C14"/>
    <mergeCell ref="B16:C16"/>
    <mergeCell ref="C20:D21"/>
    <mergeCell ref="B10:C10"/>
    <mergeCell ref="J8:K8"/>
    <mergeCell ref="E34:K34"/>
    <mergeCell ref="E35:K35"/>
    <mergeCell ref="H10:I10"/>
    <mergeCell ref="H8:I8"/>
    <mergeCell ref="H12:I12"/>
    <mergeCell ref="H14:I14"/>
    <mergeCell ref="H16:I16"/>
    <mergeCell ref="E8:F8"/>
    <mergeCell ref="J14:K14"/>
    <mergeCell ref="J16:K16"/>
    <mergeCell ref="E33:K33"/>
    <mergeCell ref="H6:I6"/>
    <mergeCell ref="B6:C6"/>
    <mergeCell ref="C30:D30"/>
    <mergeCell ref="E37:K37"/>
    <mergeCell ref="A18:K18"/>
    <mergeCell ref="B12:C12"/>
    <mergeCell ref="C37:D37"/>
    <mergeCell ref="C32:D32"/>
    <mergeCell ref="C33:D33"/>
    <mergeCell ref="C34:D34"/>
    <mergeCell ref="C35:D35"/>
    <mergeCell ref="C36:D36"/>
    <mergeCell ref="C27:D27"/>
    <mergeCell ref="C28:D28"/>
    <mergeCell ref="C29:D29"/>
    <mergeCell ref="J12:K12"/>
    <mergeCell ref="D53:E53"/>
    <mergeCell ref="D54:E54"/>
    <mergeCell ref="F53:G53"/>
    <mergeCell ref="F54:G54"/>
    <mergeCell ref="F50:G50"/>
    <mergeCell ref="F51:G51"/>
    <mergeCell ref="F52:G52"/>
    <mergeCell ref="A42:A47"/>
    <mergeCell ref="D50:E50"/>
    <mergeCell ref="C49:E49"/>
    <mergeCell ref="A48:I48"/>
    <mergeCell ref="F49:K49"/>
    <mergeCell ref="H50:K50"/>
    <mergeCell ref="F42:K42"/>
    <mergeCell ref="F43:K43"/>
    <mergeCell ref="F44:K44"/>
    <mergeCell ref="D47:E47"/>
    <mergeCell ref="F45:K45"/>
    <mergeCell ref="F46:K46"/>
    <mergeCell ref="F47:K47"/>
    <mergeCell ref="D44:E44"/>
    <mergeCell ref="D45:E45"/>
    <mergeCell ref="D46:E46"/>
    <mergeCell ref="D56:K56"/>
    <mergeCell ref="E20:K21"/>
    <mergeCell ref="E22:K22"/>
    <mergeCell ref="E23:K23"/>
    <mergeCell ref="E24:K24"/>
    <mergeCell ref="E25:K25"/>
    <mergeCell ref="E26:K26"/>
    <mergeCell ref="E27:K27"/>
    <mergeCell ref="E28:K28"/>
    <mergeCell ref="E29:K29"/>
    <mergeCell ref="E30:K30"/>
    <mergeCell ref="E31:K31"/>
    <mergeCell ref="E32:K32"/>
    <mergeCell ref="H53:K53"/>
    <mergeCell ref="H54:K54"/>
    <mergeCell ref="D51:E51"/>
    <mergeCell ref="B38:K38"/>
    <mergeCell ref="B39:K39"/>
    <mergeCell ref="H52:K52"/>
    <mergeCell ref="D52:E52"/>
    <mergeCell ref="H51:K51"/>
    <mergeCell ref="F41:K41"/>
    <mergeCell ref="C41:E41"/>
    <mergeCell ref="D42:E42"/>
    <mergeCell ref="D43:E43"/>
  </mergeCells>
  <conditionalFormatting sqref="A18">
    <cfRule type="containsText" dxfId="29" priority="12" operator="containsText" text="RATIO">
      <formula>NOT(ISERROR(SEARCH("RATIO",A18)))</formula>
    </cfRule>
  </conditionalFormatting>
  <conditionalFormatting sqref="B10 B12 B14 A22:A37 B16">
    <cfRule type="duplicateValues" dxfId="28" priority="5"/>
  </conditionalFormatting>
  <conditionalFormatting sqref="B2 B4 B6 B8 C8 B10 F10 E10 E6 K2">
    <cfRule type="containsBlanks" dxfId="27" priority="4">
      <formula>LEN(TRIM(B2))=0</formula>
    </cfRule>
  </conditionalFormatting>
  <conditionalFormatting sqref="B64:B76">
    <cfRule type="containsText" dxfId="26" priority="3" operator="containsText" text="1">
      <formula>NOT(ISERROR(SEARCH("1",B64)))</formula>
    </cfRule>
  </conditionalFormatting>
  <conditionalFormatting sqref="E22:K37">
    <cfRule type="containsText" dxfId="25" priority="2" operator="containsText" text="formateur">
      <formula>NOT(ISERROR(SEARCH("formateur",E22)))</formula>
    </cfRule>
  </conditionalFormatting>
  <conditionalFormatting sqref="J8:K8">
    <cfRule type="cellIs" dxfId="24" priority="1" operator="greaterThan">
      <formula>0</formula>
    </cfRule>
  </conditionalFormatting>
  <dataValidations count="9">
    <dataValidation type="list" allowBlank="1" showInputMessage="1" showErrorMessage="1" sqref="E2:F2">
      <formula1>CIS</formula1>
    </dataValidation>
    <dataValidation type="list" allowBlank="1" showInputMessage="1" showErrorMessage="1" sqref="A22:A37">
      <formula1>INDIRECT($E$2)</formula1>
    </dataValidation>
    <dataValidation type="list" allowBlank="1" showInputMessage="1" showErrorMessage="1" sqref="K1">
      <formula1>"X"</formula1>
    </dataValidation>
    <dataValidation type="whole" allowBlank="1" showInputMessage="1" showErrorMessage="1" sqref="K2">
      <formula1>0</formula1>
      <formula2>80</formula2>
    </dataValidation>
    <dataValidation type="list" allowBlank="1" showInputMessage="1" showErrorMessage="1" sqref="B8">
      <formula1>"FMPA,CAO"</formula1>
    </dataValidation>
    <dataValidation type="list" allowBlank="1" showInputMessage="1" showErrorMessage="1" sqref="B14:C14 B12:C12 B10 B16:C17">
      <formula1>IMP_3</formula1>
    </dataValidation>
    <dataValidation type="whole" allowBlank="1" showInputMessage="1" showErrorMessage="1" sqref="E10 E12 E14 B22:B37 E16:E17">
      <formula1>0</formula1>
      <formula2>100</formula2>
    </dataValidation>
    <dataValidation type="list" allowBlank="1" showInputMessage="1" showErrorMessage="1" sqref="E6">
      <formula1>"OUEST,SUD,EST"</formula1>
    </dataValidation>
    <dataValidation type="list" allowBlank="1" showInputMessage="1" showErrorMessage="1" sqref="C8">
      <formula1>"GRIMP,GIH"</formula1>
    </dataValidation>
  </dataValidations>
  <printOptions horizontalCentered="1"/>
  <pageMargins left="0.39370078740157483" right="0.39370078740157483" top="0.19685039370078741" bottom="0.19685039370078741" header="0.31496062992125984" footer="0.31496062992125984"/>
  <pageSetup paperSize="8" orientation="landscape" horizontalDpi="4294967293" verticalDpi="1200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9" r:id="rId4" name="Button 75">
              <controlPr defaultSize="0" print="0" autoFill="0" autoPict="0" macro="[0]!SauverEnPDF">
                <anchor moveWithCells="1" sizeWithCells="1">
                  <from>
                    <xdr:col>3</xdr:col>
                    <xdr:colOff>57150</xdr:colOff>
                    <xdr:row>3</xdr:row>
                    <xdr:rowOff>28575</xdr:rowOff>
                  </from>
                  <to>
                    <xdr:col>3</xdr:col>
                    <xdr:colOff>1676400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" name="Button 92">
              <controlPr defaultSize="0" print="0" autoFill="0" autoPict="0" macro="[0]!SauverEnPDF">
                <anchor moveWithCells="1" sizeWithCells="1">
                  <from>
                    <xdr:col>3</xdr:col>
                    <xdr:colOff>47625</xdr:colOff>
                    <xdr:row>5</xdr:row>
                    <xdr:rowOff>57150</xdr:rowOff>
                  </from>
                  <to>
                    <xdr:col>3</xdr:col>
                    <xdr:colOff>1666875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OFFSET(RESTAURANT!$A:$A,1, 0, COUNTA(RESTAURANT!$A:$A  ) -1 -COUNTIF( OFFSET(RESTAURANT!$A:$A, 1, 0, COUNTA(RESTAURANT!$A:$A  ) -1 ), "" ) )</xm:f>
          </x14:formula1>
          <xm:sqref>D42:E42</xm:sqref>
        </x14:dataValidation>
        <x14:dataValidation type="list" allowBlank="1" showInputMessage="1" showErrorMessage="1">
          <x14:formula1>
            <xm:f>'Ordre alphabétique FLF'!$L$2:$L$21</xm:f>
          </x14:formula1>
          <xm:sqref>A50 A52 A54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G193"/>
  <sheetViews>
    <sheetView showGridLines="0" topLeftCell="B1" workbookViewId="0">
      <pane ySplit="1" topLeftCell="A66" activePane="bottomLeft" state="frozen"/>
      <selection activeCell="B1" sqref="B1"/>
      <selection pane="bottomLeft" activeCell="B2" sqref="B2:G190"/>
    </sheetView>
  </sheetViews>
  <sheetFormatPr baseColWidth="10" defaultColWidth="11.42578125" defaultRowHeight="27.75" customHeight="1" x14ac:dyDescent="0.2"/>
  <cols>
    <col min="1" max="1" width="48.7109375" style="236" hidden="1" customWidth="1"/>
    <col min="2" max="2" width="30.85546875" style="238" customWidth="1"/>
    <col min="3" max="3" width="40.7109375" style="238" customWidth="1"/>
    <col min="4" max="4" width="30.42578125" style="238" customWidth="1"/>
    <col min="5" max="5" width="13.42578125" style="239" customWidth="1"/>
    <col min="6" max="6" width="41.7109375" style="238" customWidth="1"/>
    <col min="7" max="7" width="22" style="236" customWidth="1"/>
    <col min="8" max="16384" width="11.42578125" style="236"/>
  </cols>
  <sheetData>
    <row r="1" spans="1:7" ht="27.75" customHeight="1" x14ac:dyDescent="0.2">
      <c r="A1" s="234" t="s">
        <v>383</v>
      </c>
      <c r="B1" s="234" t="s">
        <v>237</v>
      </c>
      <c r="C1" s="234" t="s">
        <v>238</v>
      </c>
      <c r="D1" s="234" t="s">
        <v>409</v>
      </c>
      <c r="E1" s="235" t="s">
        <v>239</v>
      </c>
      <c r="F1" s="247" t="s">
        <v>240</v>
      </c>
      <c r="G1" s="234" t="s">
        <v>241</v>
      </c>
    </row>
    <row r="2" spans="1:7" ht="27.75" customHeight="1" x14ac:dyDescent="0.2">
      <c r="A2" s="237" t="str">
        <f t="shared" ref="A2:A33" si="0">IF(B2="","",CONCATENATE(B2,IF(D2="",""," à "),D2))</f>
        <v>Au bon Plaisirs - Traiteur à Frasne</v>
      </c>
      <c r="B2" s="225" t="s">
        <v>172</v>
      </c>
      <c r="C2" s="225"/>
      <c r="D2" s="225" t="s">
        <v>307</v>
      </c>
      <c r="E2" s="226"/>
      <c r="F2" s="225"/>
      <c r="G2" s="227"/>
    </row>
    <row r="3" spans="1:7" ht="27.75" customHeight="1" x14ac:dyDescent="0.2">
      <c r="A3" s="237" t="str">
        <f t="shared" si="0"/>
        <v>Au Doubs Gourmet - Traiteur à Doubs</v>
      </c>
      <c r="B3" s="225" t="s">
        <v>175</v>
      </c>
      <c r="C3" s="225"/>
      <c r="D3" s="228" t="s">
        <v>300</v>
      </c>
      <c r="E3" s="226" t="s">
        <v>301</v>
      </c>
      <c r="F3" s="229" t="s">
        <v>302</v>
      </c>
      <c r="G3" s="227"/>
    </row>
    <row r="4" spans="1:7" ht="27.75" customHeight="1" x14ac:dyDescent="0.2">
      <c r="A4" s="237" t="str">
        <f t="shared" si="0"/>
        <v>Au Lion de Belfort à Pont de Roide</v>
      </c>
      <c r="B4" s="225" t="s">
        <v>173</v>
      </c>
      <c r="C4" s="225"/>
      <c r="D4" s="225" t="s">
        <v>262</v>
      </c>
      <c r="E4" s="226" t="s">
        <v>263</v>
      </c>
      <c r="F4" s="225"/>
      <c r="G4" s="227"/>
    </row>
    <row r="5" spans="1:7" ht="27.75" customHeight="1" x14ac:dyDescent="0.2">
      <c r="A5" s="237" t="str">
        <f t="shared" si="0"/>
        <v>Auberge des Montagnards à MONTPERREUX</v>
      </c>
      <c r="B5" s="225" t="s">
        <v>178</v>
      </c>
      <c r="C5" s="225" t="s">
        <v>346</v>
      </c>
      <c r="D5" s="228" t="s">
        <v>384</v>
      </c>
      <c r="E5" s="226">
        <v>381894219</v>
      </c>
      <c r="F5" s="225"/>
      <c r="G5" s="227" t="s">
        <v>347</v>
      </c>
    </row>
    <row r="6" spans="1:7" ht="27.75" customHeight="1" x14ac:dyDescent="0.2">
      <c r="A6" s="237" t="str">
        <f t="shared" si="0"/>
        <v>Auberge Du Coude à Labergement-Sainte-Marie</v>
      </c>
      <c r="B6" s="225" t="s">
        <v>180</v>
      </c>
      <c r="C6" s="225" t="s">
        <v>298</v>
      </c>
      <c r="D6" s="228" t="s">
        <v>385</v>
      </c>
      <c r="E6" s="166">
        <v>381693157</v>
      </c>
      <c r="F6" s="167" t="s">
        <v>299</v>
      </c>
      <c r="G6" s="227"/>
    </row>
    <row r="7" spans="1:7" ht="27.75" customHeight="1" x14ac:dyDescent="0.2">
      <c r="A7" s="237" t="str">
        <f t="shared" si="0"/>
        <v>Auberge du Moine à Renedale</v>
      </c>
      <c r="B7" s="225" t="s">
        <v>182</v>
      </c>
      <c r="C7" s="225"/>
      <c r="D7" s="225" t="s">
        <v>344</v>
      </c>
      <c r="E7" s="226"/>
      <c r="F7" s="225"/>
      <c r="G7" s="227"/>
    </row>
    <row r="8" spans="1:7" ht="27.75" customHeight="1" x14ac:dyDescent="0.2">
      <c r="A8" s="237" t="str">
        <f t="shared" si="0"/>
        <v xml:space="preserve">Auberge du Troulot à Mandeure </v>
      </c>
      <c r="B8" s="225" t="s">
        <v>176</v>
      </c>
      <c r="C8" s="225"/>
      <c r="D8" s="225" t="s">
        <v>252</v>
      </c>
      <c r="E8" s="226" t="s">
        <v>254</v>
      </c>
      <c r="F8" s="230" t="s">
        <v>255</v>
      </c>
      <c r="G8" s="227"/>
    </row>
    <row r="9" spans="1:7" ht="27.75" customHeight="1" x14ac:dyDescent="0.2">
      <c r="A9" s="237" t="str">
        <f t="shared" si="0"/>
        <v>AUBERGE FLEURIE  à BIEF</v>
      </c>
      <c r="B9" s="225" t="s">
        <v>179</v>
      </c>
      <c r="C9" s="225"/>
      <c r="D9" s="225" t="s">
        <v>281</v>
      </c>
      <c r="E9" s="226"/>
      <c r="F9" s="231"/>
      <c r="G9" s="227"/>
    </row>
    <row r="10" spans="1:7" ht="27.75" customHeight="1" x14ac:dyDescent="0.2">
      <c r="A10" s="237" t="str">
        <f t="shared" si="0"/>
        <v>Autour du Monde à Les Hôpitaux Neufs</v>
      </c>
      <c r="B10" s="225" t="s">
        <v>184</v>
      </c>
      <c r="C10" s="225"/>
      <c r="D10" s="225" t="s">
        <v>304</v>
      </c>
      <c r="E10" s="226" t="s">
        <v>305</v>
      </c>
      <c r="F10" s="230" t="s">
        <v>306</v>
      </c>
      <c r="G10" s="227"/>
    </row>
    <row r="11" spans="1:7" ht="27.75" customHeight="1" x14ac:dyDescent="0.2">
      <c r="A11" s="237" t="str">
        <f t="shared" si="0"/>
        <v>BAILA Pizza à Pontarlier</v>
      </c>
      <c r="B11" s="225" t="s">
        <v>186</v>
      </c>
      <c r="C11" s="225"/>
      <c r="D11" s="228" t="s">
        <v>322</v>
      </c>
      <c r="E11" s="226">
        <v>381896854</v>
      </c>
      <c r="F11" s="230" t="s">
        <v>345</v>
      </c>
      <c r="G11" s="227"/>
    </row>
    <row r="12" spans="1:7" ht="27.75" customHeight="1" x14ac:dyDescent="0.2">
      <c r="A12" s="237" t="str">
        <f t="shared" si="0"/>
        <v>Baraque des violons à Tarcenay</v>
      </c>
      <c r="B12" s="225" t="s">
        <v>188</v>
      </c>
      <c r="C12" s="225"/>
      <c r="D12" s="228" t="s">
        <v>390</v>
      </c>
      <c r="E12" s="226" t="s">
        <v>312</v>
      </c>
      <c r="F12" s="225"/>
      <c r="G12" s="227"/>
    </row>
    <row r="13" spans="1:7" ht="27.75" customHeight="1" x14ac:dyDescent="0.2">
      <c r="A13" s="237" t="str">
        <f t="shared" si="0"/>
        <v>Bonnet Traiteur à Pontarlier</v>
      </c>
      <c r="B13" s="225" t="s">
        <v>190</v>
      </c>
      <c r="C13" s="225"/>
      <c r="D13" s="228" t="s">
        <v>322</v>
      </c>
      <c r="E13" s="226"/>
      <c r="F13" s="230" t="s">
        <v>311</v>
      </c>
      <c r="G13" s="227"/>
    </row>
    <row r="14" spans="1:7" ht="27.75" customHeight="1" x14ac:dyDescent="0.2">
      <c r="A14" s="237" t="str">
        <f t="shared" si="0"/>
        <v>Boucherie Gourmande à Pont de Roide</v>
      </c>
      <c r="B14" s="225" t="s">
        <v>181</v>
      </c>
      <c r="C14" s="225"/>
      <c r="D14" s="225" t="s">
        <v>262</v>
      </c>
      <c r="E14" s="226" t="s">
        <v>264</v>
      </c>
      <c r="F14" s="225"/>
      <c r="G14" s="227"/>
    </row>
    <row r="15" spans="1:7" ht="27.75" customHeight="1" x14ac:dyDescent="0.2">
      <c r="A15" s="237" t="str">
        <f t="shared" si="0"/>
        <v>Boucherie Mercier à Valentigney</v>
      </c>
      <c r="B15" s="225" t="s">
        <v>183</v>
      </c>
      <c r="C15" s="225"/>
      <c r="D15" s="225" t="s">
        <v>256</v>
      </c>
      <c r="E15" s="226" t="s">
        <v>257</v>
      </c>
      <c r="F15" s="225"/>
      <c r="G15" s="227"/>
    </row>
    <row r="16" spans="1:7" ht="27.75" customHeight="1" x14ac:dyDescent="0.2">
      <c r="A16" s="237" t="str">
        <f t="shared" si="0"/>
        <v xml:space="preserve">Boucherie Rosalès/Julien à Mandeure </v>
      </c>
      <c r="B16" s="225" t="s">
        <v>185</v>
      </c>
      <c r="C16" s="225"/>
      <c r="D16" s="225" t="s">
        <v>252</v>
      </c>
      <c r="E16" s="226" t="s">
        <v>253</v>
      </c>
      <c r="F16" s="225"/>
      <c r="G16" s="227"/>
    </row>
    <row r="17" spans="1:7" ht="27.75" customHeight="1" x14ac:dyDescent="0.2">
      <c r="A17" s="237" t="str">
        <f t="shared" si="0"/>
        <v xml:space="preserve">Brasserie le Quesako à Maîche </v>
      </c>
      <c r="B17" s="225" t="s">
        <v>187</v>
      </c>
      <c r="C17" s="225"/>
      <c r="D17" s="225" t="s">
        <v>270</v>
      </c>
      <c r="E17" s="226" t="s">
        <v>273</v>
      </c>
      <c r="F17" s="230" t="s">
        <v>274</v>
      </c>
      <c r="G17" s="227"/>
    </row>
    <row r="18" spans="1:7" ht="27.75" customHeight="1" x14ac:dyDescent="0.2">
      <c r="A18" s="237" t="str">
        <f t="shared" si="0"/>
        <v>Buffalo Grill à Pontarlier</v>
      </c>
      <c r="B18" s="225" t="s">
        <v>192</v>
      </c>
      <c r="C18" s="225" t="s">
        <v>313</v>
      </c>
      <c r="D18" s="228" t="s">
        <v>322</v>
      </c>
      <c r="E18" s="226" t="s">
        <v>314</v>
      </c>
      <c r="F18" s="230" t="s">
        <v>315</v>
      </c>
      <c r="G18" s="227"/>
    </row>
    <row r="19" spans="1:7" ht="27.75" customHeight="1" x14ac:dyDescent="0.2">
      <c r="A19" s="237" t="str">
        <f t="shared" si="0"/>
        <v>CAFETERIA DU CHÂTEAU à L'Isle sur le Doubs</v>
      </c>
      <c r="B19" s="225" t="s">
        <v>189</v>
      </c>
      <c r="C19" s="225"/>
      <c r="D19" s="225" t="s">
        <v>267</v>
      </c>
      <c r="E19" s="226"/>
      <c r="F19" s="231"/>
      <c r="G19" s="227"/>
    </row>
    <row r="20" spans="1:7" ht="27.75" customHeight="1" x14ac:dyDescent="0.2">
      <c r="A20" s="237" t="str">
        <f t="shared" si="0"/>
        <v>Cafétéria du Château  à L'Isle sur le Doubs</v>
      </c>
      <c r="B20" s="225" t="s">
        <v>191</v>
      </c>
      <c r="C20" s="225"/>
      <c r="D20" s="225" t="s">
        <v>267</v>
      </c>
      <c r="E20" s="226" t="s">
        <v>269</v>
      </c>
      <c r="F20" s="225"/>
      <c r="G20" s="227"/>
    </row>
    <row r="21" spans="1:7" ht="27.75" customHeight="1" x14ac:dyDescent="0.2">
      <c r="A21" s="237" t="str">
        <f t="shared" si="0"/>
        <v>Cercle mixte Gendarmerie à Besançon</v>
      </c>
      <c r="B21" s="225" t="s">
        <v>171</v>
      </c>
      <c r="C21" s="225"/>
      <c r="D21" s="225" t="s">
        <v>290</v>
      </c>
      <c r="E21" s="226" t="s">
        <v>291</v>
      </c>
      <c r="F21" s="225"/>
      <c r="G21" s="227"/>
    </row>
    <row r="22" spans="1:7" ht="27.75" customHeight="1" x14ac:dyDescent="0.2">
      <c r="A22" s="237" t="str">
        <f t="shared" si="0"/>
        <v>Chez Marie et Patricia à Nans sur Sainte-Anne</v>
      </c>
      <c r="B22" s="225" t="s">
        <v>174</v>
      </c>
      <c r="C22" s="225"/>
      <c r="D22" s="225" t="s">
        <v>295</v>
      </c>
      <c r="E22" s="232" t="s">
        <v>296</v>
      </c>
      <c r="F22" s="230" t="s">
        <v>297</v>
      </c>
      <c r="G22" s="227"/>
    </row>
    <row r="23" spans="1:7" ht="27.75" customHeight="1" x14ac:dyDescent="0.2">
      <c r="A23" s="237" t="str">
        <f t="shared" si="0"/>
        <v>Chez Steph à Frasne</v>
      </c>
      <c r="B23" s="225" t="s">
        <v>194</v>
      </c>
      <c r="C23" s="225"/>
      <c r="D23" s="225" t="s">
        <v>307</v>
      </c>
      <c r="E23" s="226">
        <v>953518530</v>
      </c>
      <c r="F23" s="225"/>
      <c r="G23" s="227"/>
    </row>
    <row r="24" spans="1:7" ht="27.75" customHeight="1" x14ac:dyDescent="0.2">
      <c r="A24" s="237" t="str">
        <f t="shared" si="0"/>
        <v>Christis Bar à Mathay</v>
      </c>
      <c r="B24" s="225" t="s">
        <v>193</v>
      </c>
      <c r="C24" s="225"/>
      <c r="D24" s="225" t="s">
        <v>258</v>
      </c>
      <c r="E24" s="226" t="s">
        <v>259</v>
      </c>
      <c r="F24" s="230" t="s">
        <v>260</v>
      </c>
      <c r="G24" s="227"/>
    </row>
    <row r="25" spans="1:7" ht="27.75" customHeight="1" x14ac:dyDescent="0.2">
      <c r="A25" s="237" t="str">
        <f t="shared" si="0"/>
        <v>Combes des Cives à Chapelle des Bois</v>
      </c>
      <c r="B25" s="225" t="s">
        <v>196</v>
      </c>
      <c r="C25" s="225"/>
      <c r="D25" s="225" t="s">
        <v>343</v>
      </c>
      <c r="E25" s="226"/>
      <c r="F25" s="225"/>
      <c r="G25" s="227"/>
    </row>
    <row r="26" spans="1:7" ht="27.75" customHeight="1" x14ac:dyDescent="0.2">
      <c r="A26" s="237" t="str">
        <f t="shared" si="0"/>
        <v>CORA Bethoncourt à Montbéliard</v>
      </c>
      <c r="B26" s="225" t="s">
        <v>195</v>
      </c>
      <c r="C26" s="225"/>
      <c r="D26" s="228" t="s">
        <v>386</v>
      </c>
      <c r="E26" s="226" t="s">
        <v>244</v>
      </c>
      <c r="F26" s="225"/>
      <c r="G26" s="227"/>
    </row>
    <row r="27" spans="1:7" ht="27.75" customHeight="1" x14ac:dyDescent="0.2">
      <c r="A27" s="237" t="str">
        <f t="shared" si="0"/>
        <v>CROUS Montbéliard à Montbéliard</v>
      </c>
      <c r="B27" s="225" t="s">
        <v>350</v>
      </c>
      <c r="C27" s="225"/>
      <c r="D27" s="228" t="s">
        <v>386</v>
      </c>
      <c r="E27" s="226" t="s">
        <v>245</v>
      </c>
      <c r="F27" s="225"/>
      <c r="G27" s="227"/>
    </row>
    <row r="28" spans="1:7" ht="27.75" customHeight="1" x14ac:dyDescent="0.2">
      <c r="A28" s="237" t="str">
        <f t="shared" si="0"/>
        <v>Ecole de Police Montbéliard à Montbéliard</v>
      </c>
      <c r="B28" s="225" t="s">
        <v>198</v>
      </c>
      <c r="C28" s="225"/>
      <c r="D28" s="228" t="s">
        <v>386</v>
      </c>
      <c r="E28" s="226" t="s">
        <v>246</v>
      </c>
      <c r="F28" s="225"/>
      <c r="G28" s="227"/>
    </row>
    <row r="29" spans="1:7" ht="27.75" customHeight="1" x14ac:dyDescent="0.2">
      <c r="A29" s="237" t="str">
        <f t="shared" si="0"/>
        <v>Esat Les Saveurs du Val à Morteau</v>
      </c>
      <c r="B29" s="225" t="s">
        <v>197</v>
      </c>
      <c r="C29" s="225"/>
      <c r="D29" s="225" t="s">
        <v>309</v>
      </c>
      <c r="E29" s="226" t="s">
        <v>327</v>
      </c>
      <c r="F29" s="225"/>
      <c r="G29" s="227"/>
    </row>
    <row r="30" spans="1:7" ht="27.75" customHeight="1" x14ac:dyDescent="0.2">
      <c r="A30" s="237" t="str">
        <f t="shared" si="0"/>
        <v>Espace Morteau à Morteau</v>
      </c>
      <c r="B30" s="225" t="s">
        <v>199</v>
      </c>
      <c r="C30" s="225"/>
      <c r="D30" s="225" t="s">
        <v>309</v>
      </c>
      <c r="E30" s="226" t="s">
        <v>328</v>
      </c>
      <c r="F30" s="225"/>
      <c r="G30" s="227"/>
    </row>
    <row r="31" spans="1:7" ht="27.75" customHeight="1" x14ac:dyDescent="0.2">
      <c r="A31" s="237" t="str">
        <f t="shared" si="0"/>
        <v>FLUNCH Montbéliard à Montbéliard</v>
      </c>
      <c r="B31" s="225" t="s">
        <v>170</v>
      </c>
      <c r="C31" s="225"/>
      <c r="D31" s="228" t="s">
        <v>386</v>
      </c>
      <c r="E31" s="226" t="s">
        <v>242</v>
      </c>
      <c r="F31" s="167" t="s">
        <v>243</v>
      </c>
      <c r="G31" s="227"/>
    </row>
    <row r="32" spans="1:7" ht="27.75" customHeight="1" x14ac:dyDescent="0.2">
      <c r="A32" s="237" t="str">
        <f t="shared" si="0"/>
        <v>Hotel du Jura à Audincourt</v>
      </c>
      <c r="B32" s="225" t="s">
        <v>200</v>
      </c>
      <c r="C32" s="225"/>
      <c r="D32" s="228" t="s">
        <v>387</v>
      </c>
      <c r="E32" s="226" t="s">
        <v>247</v>
      </c>
      <c r="F32" s="225"/>
      <c r="G32" s="227"/>
    </row>
    <row r="33" spans="1:7" ht="27.75" customHeight="1" x14ac:dyDescent="0.2">
      <c r="A33" s="237" t="str">
        <f t="shared" si="0"/>
        <v>La Balance à Hérimoncourt</v>
      </c>
      <c r="B33" s="225" t="s">
        <v>202</v>
      </c>
      <c r="C33" s="225"/>
      <c r="D33" s="225" t="s">
        <v>248</v>
      </c>
      <c r="E33" s="226" t="s">
        <v>249</v>
      </c>
      <c r="F33" s="225"/>
      <c r="G33" s="227"/>
    </row>
    <row r="34" spans="1:7" ht="27.75" customHeight="1" x14ac:dyDescent="0.2">
      <c r="A34" s="237" t="str">
        <f t="shared" ref="A34:A65" si="1">IF(B34="","",CONCATENATE(B34,IF(D34="",""," à "),D34))</f>
        <v xml:space="preserve">La Boucherie à Exincourt </v>
      </c>
      <c r="B34" s="225" t="s">
        <v>204</v>
      </c>
      <c r="C34" s="225"/>
      <c r="D34" s="225" t="s">
        <v>250</v>
      </c>
      <c r="E34" s="226" t="s">
        <v>251</v>
      </c>
      <c r="F34" s="225"/>
      <c r="G34" s="227"/>
    </row>
    <row r="35" spans="1:7" ht="27.75" customHeight="1" x14ac:dyDescent="0.2">
      <c r="A35" s="237" t="str">
        <f t="shared" si="1"/>
        <v>La Cascade à Mouthier Hautepierre</v>
      </c>
      <c r="B35" s="225" t="s">
        <v>201</v>
      </c>
      <c r="C35" s="225"/>
      <c r="D35" s="225" t="s">
        <v>319</v>
      </c>
      <c r="E35" s="226" t="s">
        <v>320</v>
      </c>
      <c r="F35" s="230" t="s">
        <v>321</v>
      </c>
      <c r="G35" s="227"/>
    </row>
    <row r="36" spans="1:7" ht="27.75" customHeight="1" x14ac:dyDescent="0.2">
      <c r="A36" s="237" t="str">
        <f t="shared" si="1"/>
        <v>La Clé d'Or  à Grand Charmond</v>
      </c>
      <c r="B36" s="225" t="s">
        <v>206</v>
      </c>
      <c r="C36" s="225"/>
      <c r="D36" s="225" t="s">
        <v>286</v>
      </c>
      <c r="E36" s="226" t="s">
        <v>287</v>
      </c>
      <c r="F36" s="225"/>
      <c r="G36" s="227"/>
    </row>
    <row r="37" spans="1:7" ht="27.75" customHeight="1" x14ac:dyDescent="0.2">
      <c r="A37" s="237" t="str">
        <f t="shared" si="1"/>
        <v>La Courtepaille à Pontarlier</v>
      </c>
      <c r="B37" s="225" t="s">
        <v>203</v>
      </c>
      <c r="C37" s="225"/>
      <c r="D37" s="228" t="s">
        <v>322</v>
      </c>
      <c r="E37" s="226" t="s">
        <v>316</v>
      </c>
      <c r="F37" s="230" t="s">
        <v>317</v>
      </c>
      <c r="G37" s="227" t="s">
        <v>318</v>
      </c>
    </row>
    <row r="38" spans="1:7" ht="27.75" customHeight="1" x14ac:dyDescent="0.2">
      <c r="A38" s="237" t="str">
        <f t="shared" si="1"/>
        <v>La Récré à Damprichard</v>
      </c>
      <c r="B38" s="225" t="s">
        <v>208</v>
      </c>
      <c r="C38" s="225"/>
      <c r="D38" s="225" t="s">
        <v>275</v>
      </c>
      <c r="E38" s="226" t="s">
        <v>276</v>
      </c>
      <c r="F38" s="225"/>
      <c r="G38" s="227"/>
    </row>
    <row r="39" spans="1:7" ht="27.75" customHeight="1" x14ac:dyDescent="0.2">
      <c r="A39" s="237" t="str">
        <f t="shared" si="1"/>
        <v>La Spatule II à Métabief</v>
      </c>
      <c r="B39" s="225" t="s">
        <v>205</v>
      </c>
      <c r="C39" s="225"/>
      <c r="D39" s="225" t="s">
        <v>342</v>
      </c>
      <c r="E39" s="226"/>
      <c r="F39" s="225"/>
      <c r="G39" s="227"/>
    </row>
    <row r="40" spans="1:7" ht="27.75" customHeight="1" x14ac:dyDescent="0.2">
      <c r="A40" s="237" t="str">
        <f t="shared" si="1"/>
        <v>L'Affuteur de Crocs à Morteau</v>
      </c>
      <c r="B40" s="225" t="s">
        <v>207</v>
      </c>
      <c r="C40" s="225"/>
      <c r="D40" s="225" t="s">
        <v>309</v>
      </c>
      <c r="E40" s="226" t="s">
        <v>310</v>
      </c>
      <c r="F40" s="225"/>
      <c r="G40" s="227"/>
    </row>
    <row r="41" spans="1:7" ht="27.75" customHeight="1" x14ac:dyDescent="0.2">
      <c r="A41" s="237" t="str">
        <f t="shared" si="1"/>
        <v>L'AGAPE à L'Isle sur le Doubs</v>
      </c>
      <c r="B41" s="225" t="s">
        <v>210</v>
      </c>
      <c r="C41" s="225"/>
      <c r="D41" s="225" t="s">
        <v>267</v>
      </c>
      <c r="E41" s="226" t="s">
        <v>268</v>
      </c>
      <c r="F41" s="225"/>
      <c r="G41" s="227"/>
    </row>
    <row r="42" spans="1:7" ht="27.75" customHeight="1" x14ac:dyDescent="0.2">
      <c r="A42" s="237" t="str">
        <f t="shared" si="1"/>
        <v>L'Arc en ciel à Frasne</v>
      </c>
      <c r="B42" s="225" t="s">
        <v>209</v>
      </c>
      <c r="C42" s="225"/>
      <c r="D42" s="225" t="s">
        <v>307</v>
      </c>
      <c r="E42" s="226" t="s">
        <v>308</v>
      </c>
      <c r="F42" s="225"/>
      <c r="G42" s="227"/>
    </row>
    <row r="43" spans="1:7" ht="27.75" customHeight="1" x14ac:dyDescent="0.2">
      <c r="A43" s="237" t="str">
        <f t="shared" si="1"/>
        <v>Le Bellevue à St Hippolyte</v>
      </c>
      <c r="B43" s="225" t="s">
        <v>212</v>
      </c>
      <c r="C43" s="225"/>
      <c r="D43" s="225" t="s">
        <v>278</v>
      </c>
      <c r="E43" s="226"/>
      <c r="F43" s="230" t="s">
        <v>279</v>
      </c>
      <c r="G43" s="227"/>
    </row>
    <row r="44" spans="1:7" ht="27.75" customHeight="1" x14ac:dyDescent="0.2">
      <c r="A44" s="237" t="str">
        <f t="shared" si="1"/>
        <v>Le Campanile à Pontarlier</v>
      </c>
      <c r="B44" s="225" t="s">
        <v>211</v>
      </c>
      <c r="C44" s="225"/>
      <c r="D44" s="228" t="s">
        <v>322</v>
      </c>
      <c r="E44" s="226" t="s">
        <v>323</v>
      </c>
      <c r="F44" s="225"/>
      <c r="G44" s="227"/>
    </row>
    <row r="45" spans="1:7" ht="27.75" customHeight="1" x14ac:dyDescent="0.2">
      <c r="A45" s="237" t="str">
        <f t="shared" si="1"/>
        <v>Le Chalet de Magali à Chaffois</v>
      </c>
      <c r="B45" s="225" t="s">
        <v>213</v>
      </c>
      <c r="C45" s="225"/>
      <c r="D45" s="225" t="s">
        <v>324</v>
      </c>
      <c r="E45" s="226" t="s">
        <v>325</v>
      </c>
      <c r="F45" s="230" t="s">
        <v>326</v>
      </c>
      <c r="G45" s="227"/>
    </row>
    <row r="46" spans="1:7" ht="27.75" customHeight="1" x14ac:dyDescent="0.2">
      <c r="A46" s="237" t="str">
        <f t="shared" si="1"/>
        <v>Le Champ des Lys à Amancey</v>
      </c>
      <c r="B46" s="225" t="s">
        <v>177</v>
      </c>
      <c r="C46" s="225"/>
      <c r="D46" s="225" t="s">
        <v>292</v>
      </c>
      <c r="E46" s="226" t="s">
        <v>293</v>
      </c>
      <c r="F46" s="230" t="s">
        <v>294</v>
      </c>
      <c r="G46" s="227"/>
    </row>
    <row r="47" spans="1:7" ht="27.75" customHeight="1" x14ac:dyDescent="0.2">
      <c r="A47" s="237" t="str">
        <f t="shared" si="1"/>
        <v>LE CHRISTIS à Mathay</v>
      </c>
      <c r="B47" s="225" t="s">
        <v>214</v>
      </c>
      <c r="C47" s="225"/>
      <c r="D47" s="228" t="s">
        <v>258</v>
      </c>
      <c r="E47" s="226"/>
      <c r="F47" s="231"/>
      <c r="G47" s="227"/>
    </row>
    <row r="48" spans="1:7" ht="27.75" customHeight="1" x14ac:dyDescent="0.2">
      <c r="A48" s="237" t="str">
        <f t="shared" si="1"/>
        <v>Le Faubourg 
( A éviter, sur-facturation) à Montbéliard</v>
      </c>
      <c r="B48" s="233" t="s">
        <v>288</v>
      </c>
      <c r="C48" s="225"/>
      <c r="D48" s="228" t="s">
        <v>386</v>
      </c>
      <c r="E48" s="232" t="s">
        <v>289</v>
      </c>
      <c r="F48" s="225"/>
      <c r="G48" s="227"/>
    </row>
    <row r="49" spans="1:7" ht="27.75" customHeight="1" x14ac:dyDescent="0.2">
      <c r="A49" s="237" t="str">
        <f t="shared" si="1"/>
        <v>Le Palais de Montbéliard à Montbéliard</v>
      </c>
      <c r="B49" s="225" t="s">
        <v>217</v>
      </c>
      <c r="C49" s="225"/>
      <c r="D49" s="228" t="s">
        <v>386</v>
      </c>
      <c r="E49" s="226"/>
      <c r="F49" s="225"/>
      <c r="G49" s="227"/>
    </row>
    <row r="50" spans="1:7" ht="27.75" customHeight="1" x14ac:dyDescent="0.2">
      <c r="A50" s="237" t="str">
        <f t="shared" si="1"/>
        <v>Le Pergaud (cinéma Olympia) à Pontarlier</v>
      </c>
      <c r="B50" s="225" t="s">
        <v>215</v>
      </c>
      <c r="C50" s="225"/>
      <c r="D50" s="225" t="s">
        <v>322</v>
      </c>
      <c r="E50" s="226" t="s">
        <v>340</v>
      </c>
      <c r="F50" s="167" t="s">
        <v>341</v>
      </c>
      <c r="G50" s="227"/>
    </row>
    <row r="51" spans="1:7" ht="27.75" customHeight="1" x14ac:dyDescent="0.2">
      <c r="A51" s="237" t="str">
        <f t="shared" si="1"/>
        <v>Le Pétrain Riberirau - Boulangerie à Pontarlier</v>
      </c>
      <c r="B51" s="225" t="s">
        <v>216</v>
      </c>
      <c r="C51" s="225"/>
      <c r="D51" s="225" t="s">
        <v>322</v>
      </c>
      <c r="E51" s="226" t="s">
        <v>338</v>
      </c>
      <c r="F51" s="225"/>
      <c r="G51" s="227"/>
    </row>
    <row r="52" spans="1:7" ht="27.75" customHeight="1" x14ac:dyDescent="0.2">
      <c r="A52" s="237" t="str">
        <f t="shared" si="1"/>
        <v xml:space="preserve">Le Picvert à Maîche </v>
      </c>
      <c r="B52" s="225" t="s">
        <v>219</v>
      </c>
      <c r="C52" s="225"/>
      <c r="D52" s="225" t="s">
        <v>270</v>
      </c>
      <c r="E52" s="226" t="s">
        <v>272</v>
      </c>
      <c r="F52" s="225"/>
      <c r="G52" s="227"/>
    </row>
    <row r="53" spans="1:7" ht="27.75" customHeight="1" x14ac:dyDescent="0.2">
      <c r="A53" s="237" t="str">
        <f t="shared" si="1"/>
        <v xml:space="preserve">LE PICVERT BAR  à Maîche </v>
      </c>
      <c r="B53" s="225" t="s">
        <v>221</v>
      </c>
      <c r="C53" s="225"/>
      <c r="D53" s="225" t="s">
        <v>270</v>
      </c>
      <c r="E53" s="226"/>
      <c r="F53" s="231"/>
      <c r="G53" s="227"/>
    </row>
    <row r="54" spans="1:7" ht="27.75" customHeight="1" x14ac:dyDescent="0.2">
      <c r="A54" s="237" t="str">
        <f t="shared" si="1"/>
        <v>LE SAINT HIPPOLYTE   à SAINT HIPPOLYTE</v>
      </c>
      <c r="B54" s="225" t="s">
        <v>223</v>
      </c>
      <c r="C54" s="225"/>
      <c r="D54" s="225" t="s">
        <v>283</v>
      </c>
      <c r="E54" s="226"/>
      <c r="F54" s="231"/>
      <c r="G54" s="227"/>
    </row>
    <row r="55" spans="1:7" ht="27.75" customHeight="1" x14ac:dyDescent="0.2">
      <c r="A55" s="237" t="str">
        <f t="shared" si="1"/>
        <v>LES BALCONS DE LA PERCHE à MONTENOIS</v>
      </c>
      <c r="B55" s="225" t="s">
        <v>225</v>
      </c>
      <c r="C55" s="225"/>
      <c r="D55" s="225" t="s">
        <v>284</v>
      </c>
      <c r="E55" s="226"/>
      <c r="F55" s="231"/>
      <c r="G55" s="227"/>
    </row>
    <row r="56" spans="1:7" ht="27.75" customHeight="1" x14ac:dyDescent="0.2">
      <c r="A56" s="237" t="str">
        <f t="shared" si="1"/>
        <v>Les Fauvettes à Levier</v>
      </c>
      <c r="B56" s="225" t="s">
        <v>218</v>
      </c>
      <c r="C56" s="225"/>
      <c r="D56" s="225" t="s">
        <v>329</v>
      </c>
      <c r="E56" s="226" t="s">
        <v>330</v>
      </c>
      <c r="F56" s="225"/>
      <c r="G56" s="227"/>
    </row>
    <row r="57" spans="1:7" ht="27.75" customHeight="1" x14ac:dyDescent="0.2">
      <c r="A57" s="237" t="str">
        <f t="shared" si="1"/>
        <v>Les Papillons à Pontarlier</v>
      </c>
      <c r="B57" s="225" t="s">
        <v>220</v>
      </c>
      <c r="C57" s="225" t="s">
        <v>339</v>
      </c>
      <c r="D57" s="225" t="s">
        <v>322</v>
      </c>
      <c r="E57" s="226"/>
      <c r="F57" s="225"/>
      <c r="G57" s="227"/>
    </row>
    <row r="58" spans="1:7" ht="27.75" customHeight="1" x14ac:dyDescent="0.2">
      <c r="A58" s="237" t="str">
        <f t="shared" si="1"/>
        <v xml:space="preserve">Les Sapins  à Maîche </v>
      </c>
      <c r="B58" s="225" t="s">
        <v>227</v>
      </c>
      <c r="C58" s="225"/>
      <c r="D58" s="225" t="s">
        <v>270</v>
      </c>
      <c r="E58" s="226" t="s">
        <v>271</v>
      </c>
      <c r="F58" s="225"/>
      <c r="G58" s="227"/>
    </row>
    <row r="59" spans="1:7" ht="27.75" customHeight="1" x14ac:dyDescent="0.2">
      <c r="A59" s="237" t="str">
        <f t="shared" si="1"/>
        <v>Les Terrasses à St Hippolyte</v>
      </c>
      <c r="B59" s="225" t="s">
        <v>229</v>
      </c>
      <c r="C59" s="225"/>
      <c r="D59" s="225" t="s">
        <v>278</v>
      </c>
      <c r="E59" s="226" t="s">
        <v>280</v>
      </c>
      <c r="F59" s="225"/>
      <c r="G59" s="227"/>
    </row>
    <row r="60" spans="1:7" ht="27.75" customHeight="1" x14ac:dyDescent="0.2">
      <c r="A60" s="237" t="str">
        <f t="shared" si="1"/>
        <v>Pizzeria le Bas d'ville à Morteau</v>
      </c>
      <c r="B60" s="225" t="s">
        <v>222</v>
      </c>
      <c r="C60" s="225"/>
      <c r="D60" s="225" t="s">
        <v>309</v>
      </c>
      <c r="E60" s="226" t="s">
        <v>335</v>
      </c>
      <c r="F60" s="230" t="s">
        <v>336</v>
      </c>
      <c r="G60" s="227" t="s">
        <v>337</v>
      </c>
    </row>
    <row r="61" spans="1:7" ht="27.75" customHeight="1" x14ac:dyDescent="0.2">
      <c r="A61" s="237" t="str">
        <f t="shared" si="1"/>
        <v>POFAFICI (TONY) à LOUGRES</v>
      </c>
      <c r="B61" s="225" t="s">
        <v>231</v>
      </c>
      <c r="C61" s="225"/>
      <c r="D61" s="225" t="s">
        <v>285</v>
      </c>
      <c r="E61" s="226"/>
      <c r="F61" s="231"/>
      <c r="G61" s="227"/>
    </row>
    <row r="62" spans="1:7" ht="27.75" customHeight="1" x14ac:dyDescent="0.2">
      <c r="A62" s="237" t="str">
        <f t="shared" si="1"/>
        <v>POFAFICI chez Tonin à Lougres</v>
      </c>
      <c r="B62" s="225" t="s">
        <v>232</v>
      </c>
      <c r="C62" s="225"/>
      <c r="D62" s="225" t="s">
        <v>265</v>
      </c>
      <c r="E62" s="226" t="s">
        <v>266</v>
      </c>
      <c r="F62" s="225"/>
      <c r="G62" s="227"/>
    </row>
    <row r="63" spans="1:7" ht="27.75" customHeight="1" x14ac:dyDescent="0.2">
      <c r="A63" s="237" t="str">
        <f t="shared" si="1"/>
        <v>Restaurant d'A Côté - Leclerc à Houtaud</v>
      </c>
      <c r="B63" s="225" t="s">
        <v>224</v>
      </c>
      <c r="C63" s="225"/>
      <c r="D63" s="228" t="s">
        <v>388</v>
      </c>
      <c r="E63" s="226" t="s">
        <v>303</v>
      </c>
      <c r="F63" s="231"/>
      <c r="G63" s="227"/>
    </row>
    <row r="64" spans="1:7" ht="27.75" customHeight="1" x14ac:dyDescent="0.2">
      <c r="A64" s="237" t="str">
        <f t="shared" si="1"/>
        <v>Restaurant Hyper U - Doubs à Doubs</v>
      </c>
      <c r="B64" s="225" t="s">
        <v>226</v>
      </c>
      <c r="C64" s="225"/>
      <c r="D64" s="225" t="s">
        <v>300</v>
      </c>
      <c r="E64" s="226" t="s">
        <v>331</v>
      </c>
      <c r="F64" s="225"/>
      <c r="G64" s="227"/>
    </row>
    <row r="65" spans="1:7" ht="27.75" customHeight="1" x14ac:dyDescent="0.2">
      <c r="A65" s="237" t="str">
        <f t="shared" si="1"/>
        <v>Restaurant Municipal (Elres/Elior) à Pontarlier</v>
      </c>
      <c r="B65" s="225" t="s">
        <v>228</v>
      </c>
      <c r="C65" s="225" t="s">
        <v>332</v>
      </c>
      <c r="D65" s="228" t="s">
        <v>322</v>
      </c>
      <c r="E65" s="226" t="s">
        <v>333</v>
      </c>
      <c r="F65" s="230" t="s">
        <v>334</v>
      </c>
      <c r="G65" s="227"/>
    </row>
    <row r="66" spans="1:7" ht="27.75" customHeight="1" x14ac:dyDescent="0.2">
      <c r="A66" s="237" t="str">
        <f t="shared" ref="A66:A97" si="2">IF(B66="","",CONCATENATE(B66,IF(D66="",""," à "),D66))</f>
        <v>RESTO LE CRUZOE  à OUGNEY DOUVOT</v>
      </c>
      <c r="B66" s="225" t="s">
        <v>233</v>
      </c>
      <c r="C66" s="225"/>
      <c r="D66" s="225" t="s">
        <v>282</v>
      </c>
      <c r="E66" s="226"/>
      <c r="F66" s="231"/>
      <c r="G66" s="227"/>
    </row>
    <row r="67" spans="1:7" ht="27.75" customHeight="1" x14ac:dyDescent="0.2">
      <c r="A67" s="237" t="str">
        <f t="shared" si="2"/>
        <v>Resto PANIZZA à Damprichard</v>
      </c>
      <c r="B67" s="225" t="s">
        <v>234</v>
      </c>
      <c r="C67" s="225"/>
      <c r="D67" s="225" t="s">
        <v>275</v>
      </c>
      <c r="E67" s="226" t="s">
        <v>277</v>
      </c>
      <c r="F67" s="225"/>
      <c r="G67" s="227"/>
    </row>
    <row r="68" spans="1:7" ht="27.75" customHeight="1" x14ac:dyDescent="0.2">
      <c r="A68" s="237" t="str">
        <f t="shared" si="2"/>
        <v>SARL Andre et fils le commerce à GUYANS-VENNES</v>
      </c>
      <c r="B68" s="225" t="s">
        <v>230</v>
      </c>
      <c r="C68" s="225" t="s">
        <v>348</v>
      </c>
      <c r="D68" s="228" t="s">
        <v>389</v>
      </c>
      <c r="E68" s="226">
        <v>381435209</v>
      </c>
      <c r="F68" s="230" t="s">
        <v>349</v>
      </c>
      <c r="G68" s="227"/>
    </row>
    <row r="69" spans="1:7" ht="27.75" customHeight="1" x14ac:dyDescent="0.2">
      <c r="A69" s="237" t="str">
        <f t="shared" si="2"/>
        <v>Table de Gustave à Ornans</v>
      </c>
      <c r="B69" s="225" t="s">
        <v>126</v>
      </c>
      <c r="C69" s="225"/>
      <c r="D69" s="225" t="s">
        <v>121</v>
      </c>
      <c r="E69" s="226"/>
      <c r="F69" s="225"/>
      <c r="G69" s="227"/>
    </row>
    <row r="70" spans="1:7" ht="27.75" customHeight="1" x14ac:dyDescent="0.2">
      <c r="A70" s="237" t="str">
        <f t="shared" si="2"/>
        <v>Traiteur Verdot à Mathay</v>
      </c>
      <c r="B70" s="225" t="s">
        <v>235</v>
      </c>
      <c r="C70" s="225"/>
      <c r="D70" s="225" t="s">
        <v>258</v>
      </c>
      <c r="E70" s="226" t="s">
        <v>261</v>
      </c>
      <c r="F70" s="225"/>
      <c r="G70" s="227"/>
    </row>
    <row r="71" spans="1:7" ht="27.75" customHeight="1" x14ac:dyDescent="0.2">
      <c r="A71" s="237" t="str">
        <f t="shared" si="2"/>
        <v>VERDOT PHILIPPE TRAITEUR à Mathay</v>
      </c>
      <c r="B71" s="225" t="s">
        <v>236</v>
      </c>
      <c r="C71" s="225"/>
      <c r="D71" s="225" t="s">
        <v>258</v>
      </c>
      <c r="E71" s="226"/>
      <c r="F71" s="231"/>
      <c r="G71" s="227"/>
    </row>
    <row r="72" spans="1:7" ht="27.75" customHeight="1" x14ac:dyDescent="0.2">
      <c r="A72" s="237" t="str">
        <f t="shared" si="2"/>
        <v/>
      </c>
      <c r="B72" s="250"/>
      <c r="C72" s="225"/>
      <c r="D72" s="250"/>
      <c r="E72" s="226"/>
      <c r="F72" s="225"/>
      <c r="G72" s="227"/>
    </row>
    <row r="73" spans="1:7" ht="27.75" customHeight="1" x14ac:dyDescent="0.2">
      <c r="A73" s="237" t="str">
        <f t="shared" si="2"/>
        <v/>
      </c>
      <c r="B73" s="248"/>
      <c r="C73" s="225"/>
      <c r="D73" s="225"/>
      <c r="E73" s="226"/>
      <c r="F73" s="225"/>
      <c r="G73" s="227"/>
    </row>
    <row r="74" spans="1:7" ht="27.75" customHeight="1" x14ac:dyDescent="0.2">
      <c r="A74" s="237" t="str">
        <f t="shared" si="2"/>
        <v/>
      </c>
      <c r="B74" s="225"/>
      <c r="C74" s="225"/>
      <c r="D74" s="225"/>
      <c r="E74" s="226"/>
      <c r="F74" s="225"/>
      <c r="G74" s="227"/>
    </row>
    <row r="75" spans="1:7" ht="27.75" customHeight="1" x14ac:dyDescent="0.2">
      <c r="A75" s="237" t="str">
        <f t="shared" si="2"/>
        <v/>
      </c>
      <c r="B75" s="225"/>
      <c r="C75" s="225"/>
      <c r="D75" s="225"/>
      <c r="E75" s="226"/>
      <c r="F75" s="225"/>
      <c r="G75" s="227"/>
    </row>
    <row r="76" spans="1:7" ht="27.75" customHeight="1" x14ac:dyDescent="0.2">
      <c r="A76" s="237" t="str">
        <f t="shared" si="2"/>
        <v/>
      </c>
      <c r="B76" s="225"/>
      <c r="C76" s="225"/>
      <c r="D76" s="225"/>
      <c r="E76" s="226"/>
      <c r="F76" s="225"/>
      <c r="G76" s="227"/>
    </row>
    <row r="77" spans="1:7" ht="27.75" customHeight="1" x14ac:dyDescent="0.2">
      <c r="A77" s="237" t="str">
        <f t="shared" si="2"/>
        <v/>
      </c>
      <c r="B77" s="225"/>
      <c r="C77" s="225"/>
      <c r="D77" s="225"/>
      <c r="E77" s="226"/>
      <c r="F77" s="225"/>
      <c r="G77" s="227"/>
    </row>
    <row r="78" spans="1:7" ht="27.75" customHeight="1" x14ac:dyDescent="0.2">
      <c r="A78" s="237" t="str">
        <f t="shared" si="2"/>
        <v/>
      </c>
      <c r="B78" s="225"/>
      <c r="C78" s="225"/>
      <c r="D78" s="225"/>
      <c r="E78" s="226"/>
      <c r="F78" s="225"/>
      <c r="G78" s="227"/>
    </row>
    <row r="79" spans="1:7" ht="27.75" customHeight="1" x14ac:dyDescent="0.2">
      <c r="A79" s="237" t="str">
        <f t="shared" si="2"/>
        <v/>
      </c>
      <c r="B79" s="225"/>
      <c r="C79" s="225"/>
      <c r="D79" s="225"/>
      <c r="E79" s="226"/>
      <c r="F79" s="225"/>
      <c r="G79" s="227"/>
    </row>
    <row r="80" spans="1:7" ht="27.75" customHeight="1" x14ac:dyDescent="0.2">
      <c r="A80" s="237" t="str">
        <f t="shared" si="2"/>
        <v/>
      </c>
      <c r="B80" s="225"/>
      <c r="C80" s="225"/>
      <c r="D80" s="225"/>
      <c r="E80" s="226"/>
      <c r="F80" s="225"/>
      <c r="G80" s="227"/>
    </row>
    <row r="81" spans="1:7" ht="27.75" customHeight="1" x14ac:dyDescent="0.2">
      <c r="A81" s="237" t="str">
        <f t="shared" si="2"/>
        <v/>
      </c>
      <c r="B81" s="225"/>
      <c r="C81" s="225"/>
      <c r="D81" s="225"/>
      <c r="E81" s="226"/>
      <c r="F81" s="225"/>
      <c r="G81" s="227"/>
    </row>
    <row r="82" spans="1:7" ht="27.75" customHeight="1" x14ac:dyDescent="0.2">
      <c r="A82" s="237" t="str">
        <f t="shared" si="2"/>
        <v/>
      </c>
      <c r="B82" s="225"/>
      <c r="C82" s="225"/>
      <c r="D82" s="225"/>
      <c r="E82" s="226"/>
      <c r="F82" s="225"/>
      <c r="G82" s="227"/>
    </row>
    <row r="83" spans="1:7" ht="27.75" customHeight="1" x14ac:dyDescent="0.2">
      <c r="A83" s="237" t="str">
        <f t="shared" si="2"/>
        <v/>
      </c>
      <c r="B83" s="225"/>
      <c r="C83" s="225"/>
      <c r="D83" s="225"/>
      <c r="E83" s="226"/>
      <c r="F83" s="225"/>
      <c r="G83" s="227"/>
    </row>
    <row r="84" spans="1:7" ht="27.75" customHeight="1" x14ac:dyDescent="0.2">
      <c r="A84" s="237" t="str">
        <f t="shared" si="2"/>
        <v/>
      </c>
      <c r="B84" s="225"/>
      <c r="C84" s="225"/>
      <c r="D84" s="225"/>
      <c r="E84" s="226"/>
      <c r="F84" s="225"/>
      <c r="G84" s="227"/>
    </row>
    <row r="85" spans="1:7" ht="27.75" customHeight="1" x14ac:dyDescent="0.2">
      <c r="A85" s="237" t="str">
        <f t="shared" si="2"/>
        <v/>
      </c>
      <c r="B85" s="225"/>
      <c r="C85" s="225"/>
      <c r="D85" s="225"/>
      <c r="E85" s="226"/>
      <c r="F85" s="225"/>
      <c r="G85" s="227"/>
    </row>
    <row r="86" spans="1:7" ht="27.75" customHeight="1" x14ac:dyDescent="0.2">
      <c r="A86" s="237" t="str">
        <f t="shared" si="2"/>
        <v/>
      </c>
      <c r="B86" s="225"/>
      <c r="C86" s="225"/>
      <c r="D86" s="225"/>
      <c r="E86" s="226"/>
      <c r="F86" s="225"/>
      <c r="G86" s="227"/>
    </row>
    <row r="87" spans="1:7" ht="27.75" customHeight="1" x14ac:dyDescent="0.2">
      <c r="A87" s="237" t="str">
        <f t="shared" si="2"/>
        <v/>
      </c>
      <c r="B87" s="225"/>
      <c r="C87" s="225"/>
      <c r="D87" s="225"/>
      <c r="E87" s="226"/>
      <c r="F87" s="225"/>
      <c r="G87" s="227"/>
    </row>
    <row r="88" spans="1:7" ht="27.75" customHeight="1" x14ac:dyDescent="0.2">
      <c r="A88" s="237" t="str">
        <f t="shared" si="2"/>
        <v/>
      </c>
      <c r="B88" s="225"/>
      <c r="C88" s="225"/>
      <c r="D88" s="225"/>
      <c r="E88" s="226"/>
      <c r="F88" s="225"/>
      <c r="G88" s="227"/>
    </row>
    <row r="89" spans="1:7" ht="27.75" customHeight="1" x14ac:dyDescent="0.2">
      <c r="A89" s="237" t="str">
        <f t="shared" si="2"/>
        <v/>
      </c>
      <c r="B89" s="225"/>
      <c r="C89" s="225"/>
      <c r="D89" s="225"/>
      <c r="E89" s="226"/>
      <c r="F89" s="225"/>
      <c r="G89" s="227"/>
    </row>
    <row r="90" spans="1:7" ht="27.75" customHeight="1" x14ac:dyDescent="0.2">
      <c r="A90" s="237" t="str">
        <f t="shared" si="2"/>
        <v/>
      </c>
      <c r="B90" s="225"/>
      <c r="C90" s="225"/>
      <c r="D90" s="225"/>
      <c r="E90" s="226"/>
      <c r="F90" s="225"/>
      <c r="G90" s="227"/>
    </row>
    <row r="91" spans="1:7" ht="27.75" customHeight="1" x14ac:dyDescent="0.2">
      <c r="A91" s="237" t="str">
        <f t="shared" si="2"/>
        <v/>
      </c>
      <c r="B91" s="225"/>
      <c r="C91" s="225"/>
      <c r="D91" s="225"/>
      <c r="E91" s="226"/>
      <c r="F91" s="225"/>
      <c r="G91" s="227"/>
    </row>
    <row r="92" spans="1:7" ht="27.75" customHeight="1" x14ac:dyDescent="0.2">
      <c r="A92" s="237" t="str">
        <f t="shared" si="2"/>
        <v/>
      </c>
      <c r="B92" s="225"/>
      <c r="C92" s="225"/>
      <c r="D92" s="225"/>
      <c r="E92" s="226"/>
      <c r="F92" s="225"/>
      <c r="G92" s="227"/>
    </row>
    <row r="93" spans="1:7" ht="27.75" customHeight="1" x14ac:dyDescent="0.2">
      <c r="A93" s="237" t="str">
        <f t="shared" si="2"/>
        <v/>
      </c>
      <c r="B93" s="225"/>
      <c r="C93" s="225"/>
      <c r="D93" s="225"/>
      <c r="E93" s="226"/>
      <c r="F93" s="225"/>
      <c r="G93" s="227"/>
    </row>
    <row r="94" spans="1:7" ht="27.75" customHeight="1" x14ac:dyDescent="0.2">
      <c r="A94" s="237" t="str">
        <f t="shared" si="2"/>
        <v/>
      </c>
      <c r="B94" s="225"/>
      <c r="C94" s="225"/>
      <c r="D94" s="225"/>
      <c r="E94" s="226"/>
      <c r="F94" s="225"/>
      <c r="G94" s="227"/>
    </row>
    <row r="95" spans="1:7" ht="27.75" customHeight="1" x14ac:dyDescent="0.2">
      <c r="A95" s="237" t="str">
        <f t="shared" si="2"/>
        <v/>
      </c>
      <c r="B95" s="225"/>
      <c r="C95" s="225"/>
      <c r="D95" s="225"/>
      <c r="E95" s="226"/>
      <c r="F95" s="225"/>
      <c r="G95" s="227"/>
    </row>
    <row r="96" spans="1:7" ht="27.75" customHeight="1" x14ac:dyDescent="0.2">
      <c r="A96" s="237" t="str">
        <f t="shared" si="2"/>
        <v/>
      </c>
      <c r="B96" s="225"/>
      <c r="C96" s="225"/>
      <c r="D96" s="225"/>
      <c r="E96" s="226"/>
      <c r="F96" s="225"/>
      <c r="G96" s="227"/>
    </row>
    <row r="97" spans="1:7" ht="27.75" customHeight="1" x14ac:dyDescent="0.2">
      <c r="A97" s="237" t="str">
        <f t="shared" si="2"/>
        <v/>
      </c>
      <c r="B97" s="225"/>
      <c r="C97" s="225"/>
      <c r="D97" s="225"/>
      <c r="E97" s="226"/>
      <c r="F97" s="225"/>
      <c r="G97" s="227"/>
    </row>
    <row r="98" spans="1:7" ht="27.75" customHeight="1" x14ac:dyDescent="0.2">
      <c r="A98" s="237" t="str">
        <f t="shared" ref="A98:A129" si="3">IF(B98="","",CONCATENATE(B98,IF(D98="",""," à "),D98))</f>
        <v/>
      </c>
      <c r="B98" s="225"/>
      <c r="C98" s="225"/>
      <c r="D98" s="225"/>
      <c r="E98" s="226"/>
      <c r="F98" s="225"/>
      <c r="G98" s="227"/>
    </row>
    <row r="99" spans="1:7" ht="27.75" customHeight="1" x14ac:dyDescent="0.2">
      <c r="A99" s="237" t="str">
        <f t="shared" si="3"/>
        <v/>
      </c>
      <c r="B99" s="225"/>
      <c r="C99" s="225"/>
      <c r="D99" s="225"/>
      <c r="E99" s="226"/>
      <c r="F99" s="225"/>
      <c r="G99" s="227"/>
    </row>
    <row r="100" spans="1:7" ht="27.75" customHeight="1" x14ac:dyDescent="0.2">
      <c r="A100" s="237" t="str">
        <f t="shared" si="3"/>
        <v/>
      </c>
      <c r="B100" s="225"/>
      <c r="C100" s="225"/>
      <c r="D100" s="225"/>
      <c r="E100" s="226"/>
      <c r="F100" s="225"/>
      <c r="G100" s="227"/>
    </row>
    <row r="101" spans="1:7" ht="27.75" customHeight="1" x14ac:dyDescent="0.2">
      <c r="A101" s="237" t="str">
        <f t="shared" si="3"/>
        <v/>
      </c>
      <c r="B101" s="225"/>
      <c r="C101" s="225"/>
      <c r="D101" s="225"/>
      <c r="E101" s="226"/>
      <c r="F101" s="225"/>
      <c r="G101" s="227"/>
    </row>
    <row r="102" spans="1:7" ht="27.75" customHeight="1" x14ac:dyDescent="0.2">
      <c r="A102" s="237" t="str">
        <f t="shared" si="3"/>
        <v/>
      </c>
      <c r="B102" s="225"/>
      <c r="C102" s="225"/>
      <c r="D102" s="225"/>
      <c r="E102" s="226"/>
      <c r="F102" s="225"/>
      <c r="G102" s="227"/>
    </row>
    <row r="103" spans="1:7" ht="27.75" customHeight="1" x14ac:dyDescent="0.2">
      <c r="A103" s="237" t="str">
        <f t="shared" si="3"/>
        <v/>
      </c>
      <c r="B103" s="225"/>
      <c r="C103" s="225"/>
      <c r="D103" s="225"/>
      <c r="E103" s="226"/>
      <c r="F103" s="225"/>
      <c r="G103" s="227"/>
    </row>
    <row r="104" spans="1:7" ht="27.75" customHeight="1" x14ac:dyDescent="0.2">
      <c r="A104" s="237" t="str">
        <f t="shared" si="3"/>
        <v/>
      </c>
      <c r="B104" s="225"/>
      <c r="C104" s="225"/>
      <c r="D104" s="225"/>
      <c r="E104" s="226"/>
      <c r="F104" s="225"/>
      <c r="G104" s="227"/>
    </row>
    <row r="105" spans="1:7" ht="27.75" customHeight="1" x14ac:dyDescent="0.2">
      <c r="A105" s="237" t="str">
        <f t="shared" si="3"/>
        <v/>
      </c>
      <c r="B105" s="225"/>
      <c r="C105" s="225"/>
      <c r="D105" s="225"/>
      <c r="E105" s="226"/>
      <c r="F105" s="225"/>
      <c r="G105" s="227"/>
    </row>
    <row r="106" spans="1:7" ht="27.75" customHeight="1" x14ac:dyDescent="0.2">
      <c r="A106" s="237" t="str">
        <f t="shared" si="3"/>
        <v/>
      </c>
      <c r="B106" s="225"/>
      <c r="C106" s="225"/>
      <c r="D106" s="225"/>
      <c r="E106" s="226"/>
      <c r="F106" s="225"/>
      <c r="G106" s="227"/>
    </row>
    <row r="107" spans="1:7" ht="27.75" customHeight="1" x14ac:dyDescent="0.2">
      <c r="A107" s="237" t="str">
        <f t="shared" si="3"/>
        <v/>
      </c>
      <c r="B107" s="225"/>
      <c r="C107" s="225"/>
      <c r="D107" s="225"/>
      <c r="E107" s="226"/>
      <c r="F107" s="225"/>
      <c r="G107" s="227"/>
    </row>
    <row r="108" spans="1:7" ht="27.75" customHeight="1" x14ac:dyDescent="0.2">
      <c r="A108" s="237" t="str">
        <f t="shared" si="3"/>
        <v/>
      </c>
      <c r="B108" s="225"/>
      <c r="C108" s="225"/>
      <c r="D108" s="225"/>
      <c r="E108" s="226"/>
      <c r="F108" s="225"/>
      <c r="G108" s="227"/>
    </row>
    <row r="109" spans="1:7" ht="27.75" customHeight="1" x14ac:dyDescent="0.2">
      <c r="A109" s="237" t="str">
        <f t="shared" si="3"/>
        <v/>
      </c>
      <c r="B109" s="225"/>
      <c r="C109" s="225"/>
      <c r="D109" s="225"/>
      <c r="E109" s="226"/>
      <c r="F109" s="225"/>
      <c r="G109" s="227"/>
    </row>
    <row r="110" spans="1:7" ht="27.75" customHeight="1" x14ac:dyDescent="0.2">
      <c r="A110" s="237" t="str">
        <f t="shared" si="3"/>
        <v/>
      </c>
      <c r="B110" s="225"/>
      <c r="C110" s="225"/>
      <c r="D110" s="225"/>
      <c r="E110" s="226"/>
      <c r="F110" s="225"/>
      <c r="G110" s="227"/>
    </row>
    <row r="111" spans="1:7" ht="27.75" customHeight="1" x14ac:dyDescent="0.2">
      <c r="A111" s="237" t="str">
        <f t="shared" si="3"/>
        <v/>
      </c>
      <c r="B111" s="225"/>
      <c r="C111" s="225"/>
      <c r="D111" s="225"/>
      <c r="E111" s="226"/>
      <c r="F111" s="225"/>
      <c r="G111" s="227"/>
    </row>
    <row r="112" spans="1:7" ht="27.75" customHeight="1" x14ac:dyDescent="0.2">
      <c r="A112" s="237" t="str">
        <f t="shared" si="3"/>
        <v/>
      </c>
      <c r="B112" s="225"/>
      <c r="C112" s="225"/>
      <c r="D112" s="225"/>
      <c r="E112" s="226"/>
      <c r="F112" s="225"/>
      <c r="G112" s="227"/>
    </row>
    <row r="113" spans="1:7" ht="27.75" customHeight="1" x14ac:dyDescent="0.2">
      <c r="A113" s="237" t="str">
        <f t="shared" si="3"/>
        <v/>
      </c>
      <c r="B113" s="225"/>
      <c r="C113" s="225"/>
      <c r="D113" s="225"/>
      <c r="E113" s="226"/>
      <c r="F113" s="225"/>
      <c r="G113" s="227"/>
    </row>
    <row r="114" spans="1:7" ht="27.75" customHeight="1" x14ac:dyDescent="0.2">
      <c r="A114" s="237" t="str">
        <f t="shared" si="3"/>
        <v/>
      </c>
      <c r="B114" s="225"/>
      <c r="C114" s="225"/>
      <c r="D114" s="225"/>
      <c r="E114" s="226"/>
      <c r="F114" s="225"/>
      <c r="G114" s="227"/>
    </row>
    <row r="115" spans="1:7" ht="27.75" customHeight="1" x14ac:dyDescent="0.2">
      <c r="A115" s="237" t="str">
        <f t="shared" si="3"/>
        <v/>
      </c>
      <c r="B115" s="225"/>
      <c r="C115" s="225"/>
      <c r="D115" s="225"/>
      <c r="E115" s="226"/>
      <c r="F115" s="225"/>
      <c r="G115" s="227"/>
    </row>
    <row r="116" spans="1:7" ht="27.75" customHeight="1" x14ac:dyDescent="0.2">
      <c r="A116" s="237" t="str">
        <f t="shared" si="3"/>
        <v/>
      </c>
      <c r="B116" s="225"/>
      <c r="C116" s="225"/>
      <c r="D116" s="225"/>
      <c r="E116" s="226"/>
      <c r="F116" s="225"/>
      <c r="G116" s="227"/>
    </row>
    <row r="117" spans="1:7" ht="27.75" customHeight="1" x14ac:dyDescent="0.2">
      <c r="A117" s="237" t="str">
        <f t="shared" si="3"/>
        <v/>
      </c>
      <c r="B117" s="225"/>
      <c r="C117" s="225"/>
      <c r="D117" s="225"/>
      <c r="E117" s="226"/>
      <c r="F117" s="225"/>
      <c r="G117" s="227"/>
    </row>
    <row r="118" spans="1:7" ht="27.75" customHeight="1" x14ac:dyDescent="0.2">
      <c r="A118" s="237" t="str">
        <f t="shared" si="3"/>
        <v/>
      </c>
      <c r="B118" s="225"/>
      <c r="C118" s="225"/>
      <c r="D118" s="225"/>
      <c r="E118" s="226"/>
      <c r="F118" s="225"/>
      <c r="G118" s="227"/>
    </row>
    <row r="119" spans="1:7" ht="27.75" customHeight="1" x14ac:dyDescent="0.2">
      <c r="A119" s="237" t="str">
        <f t="shared" si="3"/>
        <v/>
      </c>
      <c r="B119" s="225"/>
      <c r="C119" s="225"/>
      <c r="D119" s="225"/>
      <c r="E119" s="226"/>
      <c r="F119" s="225"/>
      <c r="G119" s="227"/>
    </row>
    <row r="120" spans="1:7" ht="27.75" customHeight="1" x14ac:dyDescent="0.2">
      <c r="A120" s="237" t="str">
        <f t="shared" si="3"/>
        <v/>
      </c>
      <c r="B120" s="225"/>
      <c r="C120" s="225"/>
      <c r="D120" s="225"/>
      <c r="E120" s="226"/>
      <c r="F120" s="225"/>
      <c r="G120" s="227"/>
    </row>
    <row r="121" spans="1:7" ht="27.75" customHeight="1" x14ac:dyDescent="0.2">
      <c r="A121" s="237" t="str">
        <f t="shared" si="3"/>
        <v/>
      </c>
      <c r="B121" s="225"/>
      <c r="C121" s="225"/>
      <c r="D121" s="225"/>
      <c r="E121" s="226"/>
      <c r="F121" s="225"/>
      <c r="G121" s="227"/>
    </row>
    <row r="122" spans="1:7" ht="27.75" customHeight="1" x14ac:dyDescent="0.2">
      <c r="A122" s="237" t="str">
        <f t="shared" si="3"/>
        <v/>
      </c>
      <c r="B122" s="225"/>
      <c r="C122" s="225"/>
      <c r="D122" s="225"/>
      <c r="E122" s="226"/>
      <c r="F122" s="225"/>
      <c r="G122" s="227"/>
    </row>
    <row r="123" spans="1:7" ht="27.75" customHeight="1" x14ac:dyDescent="0.2">
      <c r="A123" s="237" t="str">
        <f t="shared" si="3"/>
        <v/>
      </c>
      <c r="B123" s="225"/>
      <c r="C123" s="225"/>
      <c r="D123" s="225"/>
      <c r="E123" s="226"/>
      <c r="F123" s="225"/>
      <c r="G123" s="227"/>
    </row>
    <row r="124" spans="1:7" ht="27.75" customHeight="1" x14ac:dyDescent="0.2">
      <c r="A124" s="237" t="str">
        <f t="shared" si="3"/>
        <v/>
      </c>
      <c r="B124" s="225"/>
      <c r="C124" s="225"/>
      <c r="D124" s="225"/>
      <c r="E124" s="226"/>
      <c r="F124" s="225"/>
      <c r="G124" s="227"/>
    </row>
    <row r="125" spans="1:7" ht="27.75" customHeight="1" x14ac:dyDescent="0.2">
      <c r="A125" s="237" t="str">
        <f t="shared" si="3"/>
        <v/>
      </c>
      <c r="B125" s="225"/>
      <c r="C125" s="225"/>
      <c r="D125" s="225"/>
      <c r="E125" s="226"/>
      <c r="F125" s="225"/>
      <c r="G125" s="227"/>
    </row>
    <row r="126" spans="1:7" ht="27.75" customHeight="1" x14ac:dyDescent="0.2">
      <c r="A126" s="237" t="str">
        <f t="shared" si="3"/>
        <v/>
      </c>
      <c r="B126" s="225"/>
      <c r="C126" s="225"/>
      <c r="D126" s="225"/>
      <c r="E126" s="226"/>
      <c r="F126" s="225"/>
      <c r="G126" s="227"/>
    </row>
    <row r="127" spans="1:7" ht="27.75" customHeight="1" x14ac:dyDescent="0.2">
      <c r="A127" s="237" t="str">
        <f t="shared" si="3"/>
        <v/>
      </c>
      <c r="B127" s="225"/>
      <c r="C127" s="225"/>
      <c r="D127" s="225"/>
      <c r="E127" s="226"/>
      <c r="F127" s="225"/>
      <c r="G127" s="227"/>
    </row>
    <row r="128" spans="1:7" ht="27.75" customHeight="1" x14ac:dyDescent="0.2">
      <c r="A128" s="237" t="str">
        <f t="shared" si="3"/>
        <v/>
      </c>
      <c r="B128" s="225"/>
      <c r="C128" s="225"/>
      <c r="D128" s="225"/>
      <c r="E128" s="226"/>
      <c r="F128" s="225"/>
      <c r="G128" s="227"/>
    </row>
    <row r="129" spans="1:7" ht="27.75" customHeight="1" x14ac:dyDescent="0.2">
      <c r="A129" s="237" t="str">
        <f t="shared" si="3"/>
        <v/>
      </c>
      <c r="B129" s="225"/>
      <c r="C129" s="225"/>
      <c r="D129" s="225"/>
      <c r="E129" s="226"/>
      <c r="F129" s="225"/>
      <c r="G129" s="227"/>
    </row>
    <row r="130" spans="1:7" ht="27.75" customHeight="1" x14ac:dyDescent="0.2">
      <c r="A130" s="237" t="str">
        <f t="shared" ref="A130:A161" si="4">IF(B130="","",CONCATENATE(B130,IF(D130="",""," à "),D130))</f>
        <v/>
      </c>
      <c r="B130" s="225"/>
      <c r="C130" s="225"/>
      <c r="D130" s="225"/>
      <c r="E130" s="226"/>
      <c r="F130" s="225"/>
      <c r="G130" s="227"/>
    </row>
    <row r="131" spans="1:7" ht="27.75" customHeight="1" x14ac:dyDescent="0.2">
      <c r="A131" s="237" t="str">
        <f t="shared" si="4"/>
        <v/>
      </c>
      <c r="B131" s="225"/>
      <c r="C131" s="225"/>
      <c r="D131" s="225"/>
      <c r="E131" s="226"/>
      <c r="F131" s="225"/>
      <c r="G131" s="227"/>
    </row>
    <row r="132" spans="1:7" ht="27.75" customHeight="1" x14ac:dyDescent="0.2">
      <c r="A132" s="237" t="str">
        <f t="shared" si="4"/>
        <v/>
      </c>
      <c r="B132" s="225"/>
      <c r="C132" s="225"/>
      <c r="D132" s="225"/>
      <c r="E132" s="226"/>
      <c r="F132" s="225"/>
      <c r="G132" s="227"/>
    </row>
    <row r="133" spans="1:7" ht="27.75" customHeight="1" x14ac:dyDescent="0.2">
      <c r="A133" s="237" t="str">
        <f t="shared" si="4"/>
        <v/>
      </c>
      <c r="B133" s="225"/>
      <c r="C133" s="225"/>
      <c r="D133" s="225"/>
      <c r="E133" s="226"/>
      <c r="F133" s="225"/>
      <c r="G133" s="227"/>
    </row>
    <row r="134" spans="1:7" ht="27.75" customHeight="1" x14ac:dyDescent="0.2">
      <c r="A134" s="237" t="str">
        <f t="shared" si="4"/>
        <v/>
      </c>
      <c r="B134" s="225"/>
      <c r="C134" s="225"/>
      <c r="D134" s="225"/>
      <c r="E134" s="226"/>
      <c r="F134" s="225"/>
      <c r="G134" s="227"/>
    </row>
    <row r="135" spans="1:7" ht="27.75" customHeight="1" x14ac:dyDescent="0.2">
      <c r="A135" s="237" t="str">
        <f t="shared" si="4"/>
        <v/>
      </c>
      <c r="B135" s="225"/>
      <c r="C135" s="225"/>
      <c r="D135" s="225"/>
      <c r="E135" s="226"/>
      <c r="F135" s="225"/>
      <c r="G135" s="227"/>
    </row>
    <row r="136" spans="1:7" ht="27.75" customHeight="1" x14ac:dyDescent="0.2">
      <c r="A136" s="237" t="str">
        <f t="shared" si="4"/>
        <v/>
      </c>
      <c r="B136" s="225"/>
      <c r="C136" s="225"/>
      <c r="D136" s="225"/>
      <c r="E136" s="226"/>
      <c r="F136" s="225"/>
      <c r="G136" s="227"/>
    </row>
    <row r="137" spans="1:7" ht="27.75" customHeight="1" x14ac:dyDescent="0.2">
      <c r="A137" s="237" t="str">
        <f t="shared" si="4"/>
        <v/>
      </c>
      <c r="B137" s="225"/>
      <c r="C137" s="225"/>
      <c r="D137" s="225"/>
      <c r="E137" s="226"/>
      <c r="F137" s="225"/>
      <c r="G137" s="227"/>
    </row>
    <row r="138" spans="1:7" ht="27.75" customHeight="1" x14ac:dyDescent="0.2">
      <c r="A138" s="237" t="str">
        <f t="shared" si="4"/>
        <v/>
      </c>
      <c r="B138" s="225"/>
      <c r="C138" s="225"/>
      <c r="D138" s="225"/>
      <c r="E138" s="226"/>
      <c r="F138" s="225"/>
      <c r="G138" s="227"/>
    </row>
    <row r="139" spans="1:7" ht="27.75" customHeight="1" x14ac:dyDescent="0.2">
      <c r="A139" s="237" t="str">
        <f t="shared" si="4"/>
        <v/>
      </c>
      <c r="B139" s="225"/>
      <c r="C139" s="225"/>
      <c r="D139" s="225"/>
      <c r="E139" s="226"/>
      <c r="F139" s="225"/>
      <c r="G139" s="227"/>
    </row>
    <row r="140" spans="1:7" ht="27.75" customHeight="1" x14ac:dyDescent="0.2">
      <c r="A140" s="237" t="str">
        <f t="shared" si="4"/>
        <v/>
      </c>
      <c r="B140" s="225"/>
      <c r="C140" s="225"/>
      <c r="D140" s="225"/>
      <c r="E140" s="226"/>
      <c r="F140" s="225"/>
      <c r="G140" s="227"/>
    </row>
    <row r="141" spans="1:7" ht="27.75" customHeight="1" x14ac:dyDescent="0.2">
      <c r="A141" s="237" t="str">
        <f t="shared" si="4"/>
        <v/>
      </c>
      <c r="B141" s="225"/>
      <c r="C141" s="225"/>
      <c r="D141" s="225"/>
      <c r="E141" s="226"/>
      <c r="F141" s="225"/>
      <c r="G141" s="227"/>
    </row>
    <row r="142" spans="1:7" ht="27.75" customHeight="1" x14ac:dyDescent="0.2">
      <c r="A142" s="237" t="str">
        <f t="shared" si="4"/>
        <v/>
      </c>
      <c r="B142" s="225"/>
      <c r="C142" s="225"/>
      <c r="D142" s="225"/>
      <c r="E142" s="226"/>
      <c r="F142" s="225"/>
      <c r="G142" s="227"/>
    </row>
    <row r="143" spans="1:7" ht="27.75" customHeight="1" x14ac:dyDescent="0.2">
      <c r="A143" s="237" t="str">
        <f t="shared" si="4"/>
        <v/>
      </c>
      <c r="B143" s="225"/>
      <c r="C143" s="225"/>
      <c r="D143" s="225"/>
      <c r="E143" s="226"/>
      <c r="F143" s="225"/>
      <c r="G143" s="227"/>
    </row>
    <row r="144" spans="1:7" ht="27.75" customHeight="1" x14ac:dyDescent="0.2">
      <c r="A144" s="237" t="str">
        <f t="shared" si="4"/>
        <v/>
      </c>
      <c r="B144" s="225"/>
      <c r="C144" s="225"/>
      <c r="D144" s="225"/>
      <c r="E144" s="226"/>
      <c r="F144" s="225"/>
      <c r="G144" s="227"/>
    </row>
    <row r="145" spans="1:7" ht="27.75" customHeight="1" x14ac:dyDescent="0.2">
      <c r="A145" s="237" t="str">
        <f t="shared" si="4"/>
        <v/>
      </c>
      <c r="B145" s="225"/>
      <c r="C145" s="225"/>
      <c r="D145" s="225"/>
      <c r="E145" s="226"/>
      <c r="F145" s="225"/>
      <c r="G145" s="227"/>
    </row>
    <row r="146" spans="1:7" ht="27.75" customHeight="1" x14ac:dyDescent="0.2">
      <c r="A146" s="237" t="str">
        <f t="shared" si="4"/>
        <v/>
      </c>
      <c r="B146" s="225"/>
      <c r="C146" s="225"/>
      <c r="D146" s="225"/>
      <c r="E146" s="226"/>
      <c r="F146" s="225"/>
      <c r="G146" s="227"/>
    </row>
    <row r="147" spans="1:7" ht="27.75" customHeight="1" x14ac:dyDescent="0.2">
      <c r="A147" s="237" t="str">
        <f t="shared" si="4"/>
        <v/>
      </c>
      <c r="B147" s="225"/>
      <c r="C147" s="225"/>
      <c r="D147" s="225"/>
      <c r="E147" s="226"/>
      <c r="F147" s="225"/>
      <c r="G147" s="227"/>
    </row>
    <row r="148" spans="1:7" ht="27.75" customHeight="1" x14ac:dyDescent="0.2">
      <c r="A148" s="237" t="str">
        <f t="shared" si="4"/>
        <v/>
      </c>
      <c r="B148" s="225"/>
      <c r="C148" s="225"/>
      <c r="D148" s="225"/>
      <c r="E148" s="226"/>
      <c r="F148" s="225"/>
      <c r="G148" s="227"/>
    </row>
    <row r="149" spans="1:7" ht="27.75" customHeight="1" x14ac:dyDescent="0.2">
      <c r="A149" s="237" t="str">
        <f t="shared" si="4"/>
        <v/>
      </c>
      <c r="B149" s="225"/>
      <c r="C149" s="225"/>
      <c r="D149" s="225"/>
      <c r="E149" s="226"/>
      <c r="F149" s="225"/>
      <c r="G149" s="227"/>
    </row>
    <row r="150" spans="1:7" ht="27.75" customHeight="1" x14ac:dyDescent="0.2">
      <c r="A150" s="237" t="str">
        <f t="shared" si="4"/>
        <v/>
      </c>
      <c r="B150" s="225"/>
      <c r="C150" s="225"/>
      <c r="D150" s="225"/>
      <c r="E150" s="226"/>
      <c r="F150" s="225"/>
      <c r="G150" s="227"/>
    </row>
    <row r="151" spans="1:7" ht="27.75" customHeight="1" x14ac:dyDescent="0.2">
      <c r="A151" s="237" t="str">
        <f t="shared" si="4"/>
        <v/>
      </c>
      <c r="B151" s="225"/>
      <c r="C151" s="225"/>
      <c r="D151" s="225"/>
      <c r="E151" s="226"/>
      <c r="F151" s="225"/>
      <c r="G151" s="227"/>
    </row>
    <row r="152" spans="1:7" ht="27.75" customHeight="1" x14ac:dyDescent="0.2">
      <c r="A152" s="237" t="str">
        <f t="shared" si="4"/>
        <v/>
      </c>
      <c r="B152" s="225"/>
      <c r="C152" s="225"/>
      <c r="D152" s="225"/>
      <c r="E152" s="226"/>
      <c r="F152" s="225"/>
      <c r="G152" s="227"/>
    </row>
    <row r="153" spans="1:7" ht="27.75" customHeight="1" x14ac:dyDescent="0.2">
      <c r="A153" s="237" t="str">
        <f t="shared" si="4"/>
        <v/>
      </c>
      <c r="B153" s="225"/>
      <c r="C153" s="225"/>
      <c r="D153" s="225"/>
      <c r="E153" s="226"/>
      <c r="F153" s="225"/>
      <c r="G153" s="227"/>
    </row>
    <row r="154" spans="1:7" ht="27.75" customHeight="1" x14ac:dyDescent="0.2">
      <c r="A154" s="237" t="str">
        <f t="shared" si="4"/>
        <v/>
      </c>
      <c r="B154" s="225"/>
      <c r="C154" s="225"/>
      <c r="D154" s="225"/>
      <c r="E154" s="226"/>
      <c r="F154" s="225"/>
      <c r="G154" s="227"/>
    </row>
    <row r="155" spans="1:7" ht="27.75" customHeight="1" x14ac:dyDescent="0.2">
      <c r="A155" s="237" t="str">
        <f t="shared" si="4"/>
        <v/>
      </c>
      <c r="B155" s="225"/>
      <c r="C155" s="225"/>
      <c r="D155" s="225"/>
      <c r="E155" s="226"/>
      <c r="F155" s="225"/>
      <c r="G155" s="227"/>
    </row>
    <row r="156" spans="1:7" ht="27.75" customHeight="1" x14ac:dyDescent="0.2">
      <c r="A156" s="237" t="str">
        <f t="shared" si="4"/>
        <v/>
      </c>
      <c r="B156" s="225"/>
      <c r="C156" s="225"/>
      <c r="D156" s="225"/>
      <c r="E156" s="226"/>
      <c r="F156" s="225"/>
      <c r="G156" s="227"/>
    </row>
    <row r="157" spans="1:7" ht="27.75" customHeight="1" x14ac:dyDescent="0.2">
      <c r="A157" s="237" t="str">
        <f t="shared" si="4"/>
        <v/>
      </c>
      <c r="B157" s="225"/>
      <c r="C157" s="225"/>
      <c r="D157" s="225"/>
      <c r="E157" s="226"/>
      <c r="F157" s="225"/>
      <c r="G157" s="227"/>
    </row>
    <row r="158" spans="1:7" ht="27.75" customHeight="1" x14ac:dyDescent="0.2">
      <c r="A158" s="237" t="str">
        <f t="shared" si="4"/>
        <v/>
      </c>
      <c r="B158" s="225"/>
      <c r="C158" s="225"/>
      <c r="D158" s="225"/>
      <c r="E158" s="226"/>
      <c r="F158" s="225"/>
      <c r="G158" s="227"/>
    </row>
    <row r="159" spans="1:7" ht="27.75" customHeight="1" x14ac:dyDescent="0.2">
      <c r="A159" s="237" t="str">
        <f t="shared" si="4"/>
        <v/>
      </c>
      <c r="B159" s="225"/>
      <c r="C159" s="225"/>
      <c r="D159" s="225"/>
      <c r="E159" s="226"/>
      <c r="F159" s="225"/>
      <c r="G159" s="227"/>
    </row>
    <row r="160" spans="1:7" ht="27.75" customHeight="1" x14ac:dyDescent="0.2">
      <c r="A160" s="237" t="str">
        <f t="shared" si="4"/>
        <v/>
      </c>
      <c r="B160" s="225"/>
      <c r="C160" s="225"/>
      <c r="D160" s="225"/>
      <c r="E160" s="226"/>
      <c r="F160" s="225"/>
      <c r="G160" s="227"/>
    </row>
    <row r="161" spans="1:7" ht="27.75" customHeight="1" x14ac:dyDescent="0.2">
      <c r="A161" s="237" t="str">
        <f t="shared" si="4"/>
        <v/>
      </c>
      <c r="B161" s="225"/>
      <c r="C161" s="225"/>
      <c r="D161" s="225"/>
      <c r="E161" s="226"/>
      <c r="F161" s="225"/>
      <c r="G161" s="227"/>
    </row>
    <row r="162" spans="1:7" ht="27.75" customHeight="1" x14ac:dyDescent="0.2">
      <c r="A162" s="237" t="str">
        <f t="shared" ref="A162:A190" si="5">IF(B162="","",CONCATENATE(B162,IF(D162="",""," à "),D162))</f>
        <v/>
      </c>
      <c r="B162" s="225"/>
      <c r="C162" s="225"/>
      <c r="D162" s="225"/>
      <c r="E162" s="226"/>
      <c r="F162" s="225"/>
      <c r="G162" s="227"/>
    </row>
    <row r="163" spans="1:7" ht="27.75" customHeight="1" x14ac:dyDescent="0.2">
      <c r="A163" s="237" t="str">
        <f t="shared" si="5"/>
        <v/>
      </c>
      <c r="B163" s="225"/>
      <c r="C163" s="225"/>
      <c r="D163" s="225"/>
      <c r="E163" s="226"/>
      <c r="F163" s="225"/>
      <c r="G163" s="227"/>
    </row>
    <row r="164" spans="1:7" ht="27.75" customHeight="1" x14ac:dyDescent="0.2">
      <c r="A164" s="237" t="str">
        <f t="shared" si="5"/>
        <v/>
      </c>
      <c r="B164" s="225"/>
      <c r="C164" s="225"/>
      <c r="D164" s="225"/>
      <c r="E164" s="226"/>
      <c r="F164" s="225"/>
      <c r="G164" s="227"/>
    </row>
    <row r="165" spans="1:7" ht="27.75" customHeight="1" x14ac:dyDescent="0.2">
      <c r="A165" s="237" t="str">
        <f t="shared" si="5"/>
        <v/>
      </c>
      <c r="B165" s="225"/>
      <c r="C165" s="225"/>
      <c r="D165" s="225"/>
      <c r="E165" s="226"/>
      <c r="F165" s="225"/>
      <c r="G165" s="227"/>
    </row>
    <row r="166" spans="1:7" ht="27.75" customHeight="1" x14ac:dyDescent="0.2">
      <c r="A166" s="237" t="str">
        <f t="shared" si="5"/>
        <v/>
      </c>
      <c r="B166" s="225"/>
      <c r="C166" s="225"/>
      <c r="D166" s="225"/>
      <c r="E166" s="226"/>
      <c r="F166" s="225"/>
      <c r="G166" s="227"/>
    </row>
    <row r="167" spans="1:7" ht="27.75" customHeight="1" x14ac:dyDescent="0.2">
      <c r="A167" s="237" t="str">
        <f t="shared" si="5"/>
        <v/>
      </c>
      <c r="B167" s="225"/>
      <c r="C167" s="225"/>
      <c r="D167" s="225"/>
      <c r="E167" s="226"/>
      <c r="F167" s="225"/>
      <c r="G167" s="227"/>
    </row>
    <row r="168" spans="1:7" ht="27.75" customHeight="1" x14ac:dyDescent="0.2">
      <c r="A168" s="237" t="str">
        <f t="shared" si="5"/>
        <v/>
      </c>
      <c r="B168" s="225"/>
      <c r="C168" s="225"/>
      <c r="D168" s="225"/>
      <c r="E168" s="226"/>
      <c r="F168" s="225"/>
      <c r="G168" s="227"/>
    </row>
    <row r="169" spans="1:7" ht="27.75" customHeight="1" x14ac:dyDescent="0.2">
      <c r="A169" s="237" t="str">
        <f t="shared" si="5"/>
        <v/>
      </c>
      <c r="B169" s="225"/>
      <c r="C169" s="225"/>
      <c r="D169" s="225"/>
      <c r="E169" s="226"/>
      <c r="F169" s="225"/>
      <c r="G169" s="227"/>
    </row>
    <row r="170" spans="1:7" ht="27.75" customHeight="1" x14ac:dyDescent="0.2">
      <c r="A170" s="237" t="str">
        <f t="shared" si="5"/>
        <v/>
      </c>
      <c r="B170" s="225"/>
      <c r="C170" s="225"/>
      <c r="D170" s="225"/>
      <c r="E170" s="226"/>
      <c r="F170" s="225"/>
      <c r="G170" s="227"/>
    </row>
    <row r="171" spans="1:7" ht="27.75" customHeight="1" x14ac:dyDescent="0.2">
      <c r="A171" s="237" t="str">
        <f t="shared" si="5"/>
        <v/>
      </c>
      <c r="B171" s="225"/>
      <c r="C171" s="225"/>
      <c r="D171" s="225"/>
      <c r="E171" s="226"/>
      <c r="F171" s="225"/>
      <c r="G171" s="227"/>
    </row>
    <row r="172" spans="1:7" ht="27.75" customHeight="1" x14ac:dyDescent="0.2">
      <c r="A172" s="237" t="str">
        <f t="shared" si="5"/>
        <v/>
      </c>
      <c r="B172" s="225"/>
      <c r="C172" s="225"/>
      <c r="D172" s="225"/>
      <c r="E172" s="226"/>
      <c r="F172" s="225"/>
      <c r="G172" s="227"/>
    </row>
    <row r="173" spans="1:7" ht="27.75" customHeight="1" x14ac:dyDescent="0.2">
      <c r="A173" s="237" t="str">
        <f t="shared" si="5"/>
        <v/>
      </c>
      <c r="B173" s="225"/>
      <c r="C173" s="225"/>
      <c r="D173" s="225"/>
      <c r="E173" s="226"/>
      <c r="F173" s="225"/>
      <c r="G173" s="227"/>
    </row>
    <row r="174" spans="1:7" ht="27.75" customHeight="1" x14ac:dyDescent="0.2">
      <c r="A174" s="237" t="str">
        <f t="shared" si="5"/>
        <v/>
      </c>
      <c r="B174" s="225"/>
      <c r="C174" s="225"/>
      <c r="D174" s="225"/>
      <c r="E174" s="226"/>
      <c r="F174" s="225"/>
      <c r="G174" s="227"/>
    </row>
    <row r="175" spans="1:7" ht="27.75" customHeight="1" x14ac:dyDescent="0.2">
      <c r="A175" s="237" t="str">
        <f t="shared" si="5"/>
        <v/>
      </c>
      <c r="B175" s="225"/>
      <c r="C175" s="225"/>
      <c r="D175" s="225"/>
      <c r="E175" s="226"/>
      <c r="F175" s="225"/>
      <c r="G175" s="227"/>
    </row>
    <row r="176" spans="1:7" ht="27.75" customHeight="1" x14ac:dyDescent="0.2">
      <c r="A176" s="237" t="str">
        <f t="shared" si="5"/>
        <v/>
      </c>
      <c r="B176" s="225"/>
      <c r="C176" s="225"/>
      <c r="D176" s="225"/>
      <c r="E176" s="226"/>
      <c r="F176" s="225"/>
      <c r="G176" s="227"/>
    </row>
    <row r="177" spans="1:7" ht="27.75" customHeight="1" x14ac:dyDescent="0.2">
      <c r="A177" s="237" t="str">
        <f t="shared" si="5"/>
        <v/>
      </c>
      <c r="B177" s="225"/>
      <c r="C177" s="225"/>
      <c r="D177" s="225"/>
      <c r="E177" s="226"/>
      <c r="F177" s="225"/>
      <c r="G177" s="227"/>
    </row>
    <row r="178" spans="1:7" ht="27.75" customHeight="1" x14ac:dyDescent="0.2">
      <c r="A178" s="237" t="str">
        <f t="shared" si="5"/>
        <v/>
      </c>
      <c r="B178" s="225"/>
      <c r="C178" s="225"/>
      <c r="D178" s="225"/>
      <c r="E178" s="226"/>
      <c r="F178" s="225"/>
      <c r="G178" s="227"/>
    </row>
    <row r="179" spans="1:7" ht="27.75" customHeight="1" x14ac:dyDescent="0.2">
      <c r="A179" s="237" t="str">
        <f t="shared" si="5"/>
        <v/>
      </c>
      <c r="B179" s="225"/>
      <c r="C179" s="225"/>
      <c r="D179" s="225"/>
      <c r="E179" s="226"/>
      <c r="F179" s="225"/>
      <c r="G179" s="227"/>
    </row>
    <row r="180" spans="1:7" ht="27.75" customHeight="1" x14ac:dyDescent="0.2">
      <c r="A180" s="237" t="str">
        <f t="shared" si="5"/>
        <v/>
      </c>
      <c r="B180" s="225"/>
      <c r="C180" s="225"/>
      <c r="D180" s="225"/>
      <c r="E180" s="226"/>
      <c r="F180" s="225"/>
      <c r="G180" s="227"/>
    </row>
    <row r="181" spans="1:7" ht="27.75" customHeight="1" x14ac:dyDescent="0.2">
      <c r="A181" s="237" t="str">
        <f t="shared" si="5"/>
        <v/>
      </c>
      <c r="B181" s="225"/>
      <c r="C181" s="225"/>
      <c r="D181" s="225"/>
      <c r="E181" s="226"/>
      <c r="F181" s="225"/>
      <c r="G181" s="227"/>
    </row>
    <row r="182" spans="1:7" ht="27.75" customHeight="1" x14ac:dyDescent="0.2">
      <c r="A182" s="237" t="str">
        <f t="shared" si="5"/>
        <v/>
      </c>
      <c r="B182" s="225"/>
      <c r="C182" s="225"/>
      <c r="D182" s="225"/>
      <c r="E182" s="226"/>
      <c r="F182" s="225"/>
      <c r="G182" s="227"/>
    </row>
    <row r="183" spans="1:7" ht="27.75" customHeight="1" x14ac:dyDescent="0.2">
      <c r="A183" s="237" t="str">
        <f t="shared" si="5"/>
        <v/>
      </c>
      <c r="B183" s="225"/>
      <c r="C183" s="225"/>
      <c r="D183" s="225"/>
      <c r="E183" s="226"/>
      <c r="F183" s="225"/>
      <c r="G183" s="227"/>
    </row>
    <row r="184" spans="1:7" ht="27.75" customHeight="1" x14ac:dyDescent="0.2">
      <c r="A184" s="237" t="str">
        <f t="shared" si="5"/>
        <v/>
      </c>
      <c r="B184" s="225"/>
      <c r="C184" s="225"/>
      <c r="D184" s="225"/>
      <c r="E184" s="226"/>
      <c r="F184" s="225"/>
      <c r="G184" s="227"/>
    </row>
    <row r="185" spans="1:7" ht="27.75" customHeight="1" x14ac:dyDescent="0.2">
      <c r="A185" s="237" t="str">
        <f t="shared" si="5"/>
        <v/>
      </c>
      <c r="B185" s="225"/>
      <c r="C185" s="225"/>
      <c r="D185" s="225"/>
      <c r="E185" s="226"/>
      <c r="F185" s="225"/>
      <c r="G185" s="227"/>
    </row>
    <row r="186" spans="1:7" ht="27.75" customHeight="1" x14ac:dyDescent="0.2">
      <c r="A186" s="237" t="str">
        <f t="shared" si="5"/>
        <v/>
      </c>
      <c r="B186" s="225"/>
      <c r="C186" s="225"/>
      <c r="D186" s="225"/>
      <c r="E186" s="226"/>
      <c r="F186" s="225"/>
      <c r="G186" s="227"/>
    </row>
    <row r="187" spans="1:7" ht="27.75" customHeight="1" x14ac:dyDescent="0.2">
      <c r="A187" s="237" t="str">
        <f t="shared" si="5"/>
        <v/>
      </c>
      <c r="B187" s="225"/>
      <c r="C187" s="225"/>
      <c r="D187" s="225"/>
      <c r="E187" s="226"/>
      <c r="F187" s="225"/>
      <c r="G187" s="227"/>
    </row>
    <row r="188" spans="1:7" ht="27.75" customHeight="1" x14ac:dyDescent="0.2">
      <c r="A188" s="237" t="str">
        <f t="shared" si="5"/>
        <v/>
      </c>
      <c r="B188" s="225"/>
      <c r="C188" s="225"/>
      <c r="D188" s="225"/>
      <c r="E188" s="226"/>
      <c r="F188" s="225"/>
      <c r="G188" s="227"/>
    </row>
    <row r="189" spans="1:7" ht="27.75" customHeight="1" x14ac:dyDescent="0.2">
      <c r="A189" s="237" t="str">
        <f t="shared" si="5"/>
        <v/>
      </c>
      <c r="B189" s="225"/>
      <c r="C189" s="225"/>
      <c r="D189" s="225"/>
      <c r="E189" s="226"/>
      <c r="F189" s="225"/>
      <c r="G189" s="227"/>
    </row>
    <row r="190" spans="1:7" ht="27.75" customHeight="1" x14ac:dyDescent="0.2">
      <c r="A190" s="237" t="str">
        <f t="shared" si="5"/>
        <v/>
      </c>
      <c r="B190" s="225"/>
      <c r="C190" s="225"/>
      <c r="D190" s="225"/>
      <c r="E190" s="226"/>
      <c r="F190" s="225"/>
      <c r="G190" s="227"/>
    </row>
    <row r="193" spans="2:2" ht="27.75" customHeight="1" x14ac:dyDescent="0.2">
      <c r="B193" s="240"/>
    </row>
  </sheetData>
  <sheetProtection algorithmName="SHA-512" hashValue="RWHmKp6qfFQNGeUGZg5Gkq+U5eLKiE77ImqUgt/Pejs7h2BiKGGjZRaeB3ZYF9pPyICXAv/wEsy+r17VjlCICg==" saltValue="3vcKj1AIv1JtW+RA8X3CBg==" spinCount="100000" sheet="1" objects="1" scenarios="1" selectLockedCells="1"/>
  <sortState ref="B2:G190">
    <sortCondition ref="B2"/>
  </sortState>
  <conditionalFormatting sqref="B2:B190">
    <cfRule type="duplicateValues" dxfId="23" priority="1"/>
  </conditionalFormatting>
  <hyperlinks>
    <hyperlink ref="F43" r:id="rId1"/>
    <hyperlink ref="F31" r:id="rId2" display="1180@flunch.fr_x000a_"/>
    <hyperlink ref="F17" r:id="rId3"/>
    <hyperlink ref="F8" r:id="rId4"/>
    <hyperlink ref="F24" r:id="rId5"/>
    <hyperlink ref="F3" r:id="rId6"/>
    <hyperlink ref="F10" r:id="rId7"/>
    <hyperlink ref="F13" r:id="rId8"/>
    <hyperlink ref="F18" r:id="rId9"/>
    <hyperlink ref="F37" r:id="rId10"/>
    <hyperlink ref="F46" r:id="rId11"/>
    <hyperlink ref="F22" r:id="rId12"/>
    <hyperlink ref="F45" r:id="rId13"/>
    <hyperlink ref="F65" r:id="rId14"/>
    <hyperlink ref="F60" r:id="rId15"/>
    <hyperlink ref="F50" r:id="rId16" display="comtpabilite@rstaurant-pontarlier-lepergaud.fr_x000a_"/>
    <hyperlink ref="F11" r:id="rId17"/>
    <hyperlink ref="F35" r:id="rId18"/>
    <hyperlink ref="F68" r:id="rId19"/>
  </hyperlinks>
  <pageMargins left="0.7" right="0.7" top="0.75" bottom="0.75" header="0.3" footer="0.3"/>
  <pageSetup paperSize="9" orientation="portrait" verticalDpi="0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U96"/>
  <sheetViews>
    <sheetView showGridLines="0" zoomScaleNormal="100" workbookViewId="0">
      <selection activeCell="C27" sqref="C27:D27"/>
    </sheetView>
  </sheetViews>
  <sheetFormatPr baseColWidth="10" defaultRowHeight="12.75" x14ac:dyDescent="0.2"/>
  <cols>
    <col min="1" max="16" width="6.7109375" style="145" customWidth="1"/>
    <col min="17" max="17" width="11.42578125" style="145"/>
    <col min="18" max="21" width="11.42578125" style="145" hidden="1" customWidth="1"/>
    <col min="22" max="16384" width="11.42578125" style="145"/>
  </cols>
  <sheetData>
    <row r="1" spans="1:21" ht="45" customHeight="1" x14ac:dyDescent="0.2">
      <c r="A1" s="319"/>
      <c r="B1" s="319"/>
      <c r="C1" s="319"/>
      <c r="D1" s="322" t="str">
        <f>IF(DONNEES!C8="","",CONCATENATE(DONNEES!B8," ",DONNEES!C8))</f>
        <v/>
      </c>
      <c r="E1" s="322"/>
      <c r="F1" s="322"/>
      <c r="G1" s="322"/>
      <c r="H1" s="322"/>
      <c r="I1" s="322"/>
      <c r="J1" s="322"/>
      <c r="K1" s="322"/>
      <c r="L1" s="322"/>
      <c r="M1" s="322"/>
      <c r="N1" s="319"/>
      <c r="O1" s="319"/>
      <c r="P1" s="319"/>
    </row>
    <row r="2" spans="1:21" ht="45" customHeight="1" x14ac:dyDescent="0.2">
      <c r="A2" s="319"/>
      <c r="B2" s="319"/>
      <c r="C2" s="319"/>
      <c r="D2" s="318" t="str">
        <f>IF(DONNEES!E6="","",CONCATENATE(DONNEES!E4," ",DONNEES!E6))</f>
        <v>GROUPEMENT EST</v>
      </c>
      <c r="E2" s="318"/>
      <c r="F2" s="318"/>
      <c r="G2" s="318"/>
      <c r="H2" s="318"/>
      <c r="I2" s="318"/>
      <c r="J2" s="318"/>
      <c r="K2" s="318"/>
      <c r="L2" s="318"/>
      <c r="M2" s="318"/>
      <c r="N2" s="319"/>
      <c r="O2" s="319"/>
      <c r="P2" s="319"/>
    </row>
    <row r="3" spans="1:21" ht="27" customHeight="1" x14ac:dyDescent="0.2">
      <c r="D3" s="320">
        <f>IF(DONNEES!B2="","",DONNEES!B2)</f>
        <v>43961</v>
      </c>
      <c r="E3" s="320"/>
      <c r="F3" s="320"/>
      <c r="G3" s="320"/>
      <c r="H3" s="320"/>
      <c r="I3" s="320"/>
      <c r="J3" s="320"/>
      <c r="K3" s="320"/>
      <c r="L3" s="320"/>
      <c r="M3" s="320"/>
    </row>
    <row r="5" spans="1:21" ht="20.100000000000001" customHeight="1" x14ac:dyDescent="0.2">
      <c r="A5" s="313" t="s">
        <v>166</v>
      </c>
      <c r="B5" s="313"/>
      <c r="C5" s="313"/>
      <c r="D5" s="308" t="str">
        <f>IF(DONNEES!B4="","",DONNEES!B4)</f>
        <v>les fins</v>
      </c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</row>
    <row r="6" spans="1:21" s="163" customFormat="1" ht="20.100000000000001" customHeight="1" x14ac:dyDescent="0.2">
      <c r="A6" s="313"/>
      <c r="B6" s="313"/>
      <c r="C6" s="313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</row>
    <row r="7" spans="1:21" ht="5.0999999999999996" customHeight="1" x14ac:dyDescent="0.2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</row>
    <row r="8" spans="1:21" ht="20.100000000000001" customHeight="1" x14ac:dyDescent="0.2">
      <c r="A8" s="313" t="s">
        <v>165</v>
      </c>
      <c r="B8" s="313"/>
      <c r="C8" s="308" t="str">
        <f>IF(DONNEES!B6="","",DONNEES!B6)</f>
        <v>MonSite</v>
      </c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</row>
    <row r="9" spans="1:21" ht="20.100000000000001" customHeight="1" x14ac:dyDescent="0.2">
      <c r="A9" s="313"/>
      <c r="B9" s="313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</row>
    <row r="10" spans="1:21" ht="5.0999999999999996" customHeight="1" x14ac:dyDescent="0.2">
      <c r="A10" s="165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</row>
    <row r="11" spans="1:21" ht="20.100000000000001" customHeight="1" x14ac:dyDescent="0.2">
      <c r="A11" s="313" t="s">
        <v>100</v>
      </c>
      <c r="B11" s="313"/>
      <c r="C11" s="313"/>
      <c r="D11" s="316" t="str">
        <f>IF(DONNEES!J10="","",CONCATENATE(SUM(DONNEES!J10,DONNEES!J8)," IMP3  "))</f>
        <v/>
      </c>
      <c r="E11" s="316"/>
      <c r="F11" s="308" t="str">
        <f>CONCATENATE(IF(DONNEES!J12="","",CONCATENATE("&amp; ",DONNEES!J12," IMP2  ")),IF(DONNEES!J14="","",CONCATENATE("&amp; ",DONNEES!J14," IMP1")))</f>
        <v/>
      </c>
      <c r="G11" s="308"/>
      <c r="H11" s="308"/>
      <c r="I11" s="315" t="str">
        <f>DONNEES!A18</f>
        <v/>
      </c>
      <c r="J11" s="315"/>
      <c r="K11" s="315"/>
      <c r="L11" s="315"/>
      <c r="M11" s="315"/>
      <c r="N11" s="315"/>
      <c r="O11" s="315"/>
      <c r="P11" s="315"/>
      <c r="R11" s="304" t="s">
        <v>381</v>
      </c>
      <c r="S11" s="304"/>
      <c r="T11" s="304"/>
      <c r="U11" s="304"/>
    </row>
    <row r="12" spans="1:21" ht="6.75" customHeight="1" x14ac:dyDescent="0.2">
      <c r="A12" s="163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</row>
    <row r="13" spans="1:21" ht="15" customHeight="1" x14ac:dyDescent="0.2">
      <c r="A13" s="317" t="e">
        <f>CONCATENATE('Ordre alphabétique FLF'!K2," ",'Ordre alphabétique FLF'!F2)</f>
        <v>#N/A</v>
      </c>
      <c r="B13" s="317"/>
      <c r="C13" s="317"/>
      <c r="D13" s="317"/>
      <c r="E13" s="317" t="str">
        <f>CONCATENATE('Ordre alphabétique FLF'!K7," ",'Ordre alphabétique FLF'!F7)</f>
        <v xml:space="preserve"> </v>
      </c>
      <c r="F13" s="317"/>
      <c r="G13" s="317"/>
      <c r="H13" s="317"/>
      <c r="I13" s="317" t="str">
        <f>CONCATENATE('Ordre alphabétique FLF'!K12," ",'Ordre alphabétique FLF'!F12)</f>
        <v xml:space="preserve"> </v>
      </c>
      <c r="J13" s="317"/>
      <c r="K13" s="317"/>
      <c r="L13" s="317"/>
      <c r="M13" s="317" t="str">
        <f>CONCATENATE('Ordre alphabétique FLF'!K17," ",'Ordre alphabétique FLF'!F17)</f>
        <v xml:space="preserve"> </v>
      </c>
      <c r="N13" s="317"/>
      <c r="O13" s="317"/>
      <c r="P13" s="317"/>
      <c r="R13" s="161" t="e">
        <f>IF(VLOOKUP('Ordre alphabétique FLF'!F2,PERSONNELS!$A$2:$G$100,4,FALSE)="IMP 3","IMP 3","")</f>
        <v>#N/A</v>
      </c>
      <c r="S13" s="161" t="e">
        <f>IF(VLOOKUP('Ordre alphabétique FLF'!F7,PERSONNELS!$A$2:$G$100,4,FALSE)="IMP 3","IMP 3","")</f>
        <v>#N/A</v>
      </c>
      <c r="T13" s="161" t="e">
        <f>IF(VLOOKUP('Ordre alphabétique FLF'!F12,PERSONNELS!$A$2:$G$100,4,FALSE)="IMP 3","IMP 3","")</f>
        <v>#N/A</v>
      </c>
      <c r="U13" s="161" t="e">
        <f>IF(VLOOKUP('Ordre alphabétique FLF'!F17,PERSONNELS!$A$2:$G$100,4,FALSE)="IMP 3","IMP 3","")</f>
        <v>#N/A</v>
      </c>
    </row>
    <row r="14" spans="1:21" ht="15" customHeight="1" x14ac:dyDescent="0.2">
      <c r="A14" s="317" t="str">
        <f>CONCATENATE('Ordre alphabétique FLF'!K3," ",'Ordre alphabétique FLF'!F3)</f>
        <v xml:space="preserve"> </v>
      </c>
      <c r="B14" s="317"/>
      <c r="C14" s="317"/>
      <c r="D14" s="317"/>
      <c r="E14" s="317" t="str">
        <f>CONCATENATE('Ordre alphabétique FLF'!K8," ",'Ordre alphabétique FLF'!F8)</f>
        <v xml:space="preserve"> </v>
      </c>
      <c r="F14" s="317"/>
      <c r="G14" s="317"/>
      <c r="H14" s="317"/>
      <c r="I14" s="317" t="str">
        <f>CONCATENATE('Ordre alphabétique FLF'!K13," ",'Ordre alphabétique FLF'!F13)</f>
        <v xml:space="preserve"> </v>
      </c>
      <c r="J14" s="317"/>
      <c r="K14" s="317"/>
      <c r="L14" s="317"/>
      <c r="M14" s="317" t="str">
        <f>CONCATENATE('Ordre alphabétique FLF'!K18," ",'Ordre alphabétique FLF'!F18)</f>
        <v xml:space="preserve"> </v>
      </c>
      <c r="N14" s="317"/>
      <c r="O14" s="317"/>
      <c r="P14" s="317"/>
      <c r="R14" s="161" t="e">
        <f>IF(VLOOKUP('Ordre alphabétique FLF'!F3,PERSONNELS!$A$2:$G$100,4,FALSE)="IMP 3","IMP 3","")</f>
        <v>#N/A</v>
      </c>
      <c r="S14" s="161" t="e">
        <f>IF(VLOOKUP('Ordre alphabétique FLF'!F8,PERSONNELS!$A$2:$G$100,4,FALSE)="IMP 3","IMP 3","")</f>
        <v>#N/A</v>
      </c>
      <c r="T14" s="161" t="e">
        <f>IF(VLOOKUP('Ordre alphabétique FLF'!F13,PERSONNELS!$A$2:$G$100,4,FALSE)="IMP 3","IMP 3","")</f>
        <v>#N/A</v>
      </c>
      <c r="U14" s="161" t="e">
        <f>IF(VLOOKUP('Ordre alphabétique FLF'!F18,PERSONNELS!$A$2:$G$100,4,FALSE)="IMP 3","IMP 3","")</f>
        <v>#N/A</v>
      </c>
    </row>
    <row r="15" spans="1:21" ht="15" customHeight="1" x14ac:dyDescent="0.2">
      <c r="A15" s="317" t="str">
        <f>CONCATENATE('Ordre alphabétique FLF'!K4," ",'Ordre alphabétique FLF'!F4)</f>
        <v xml:space="preserve"> </v>
      </c>
      <c r="B15" s="317"/>
      <c r="C15" s="317"/>
      <c r="D15" s="317"/>
      <c r="E15" s="317" t="str">
        <f>CONCATENATE('Ordre alphabétique FLF'!K9," ",'Ordre alphabétique FLF'!F9)</f>
        <v xml:space="preserve"> </v>
      </c>
      <c r="F15" s="317"/>
      <c r="G15" s="317"/>
      <c r="H15" s="317"/>
      <c r="I15" s="317" t="str">
        <f>CONCATENATE('Ordre alphabétique FLF'!K14," ",'Ordre alphabétique FLF'!F14)</f>
        <v xml:space="preserve"> </v>
      </c>
      <c r="J15" s="317"/>
      <c r="K15" s="317"/>
      <c r="L15" s="317"/>
      <c r="M15" s="317" t="str">
        <f>CONCATENATE('Ordre alphabétique FLF'!K19," ",'Ordre alphabétique FLF'!F19)</f>
        <v xml:space="preserve"> </v>
      </c>
      <c r="N15" s="317"/>
      <c r="O15" s="317"/>
      <c r="P15" s="317"/>
      <c r="R15" s="161" t="e">
        <f>IF(VLOOKUP('Ordre alphabétique FLF'!F4,PERSONNELS!$A$2:$G$100,4,FALSE)="IMP 3","IMP 3","")</f>
        <v>#N/A</v>
      </c>
      <c r="S15" s="161" t="e">
        <f>IF(VLOOKUP('Ordre alphabétique FLF'!F9,PERSONNELS!$A$2:$G$100,4,FALSE)="IMP 3","IMP 3","")</f>
        <v>#N/A</v>
      </c>
      <c r="T15" s="161" t="e">
        <f>IF(VLOOKUP('Ordre alphabétique FLF'!F14,PERSONNELS!$A$2:$G$100,4,FALSE)="IMP 3","IMP 3","")</f>
        <v>#N/A</v>
      </c>
      <c r="U15" s="161" t="e">
        <f>IF(VLOOKUP('Ordre alphabétique FLF'!F19,PERSONNELS!$A$2:$G$100,4,FALSE)="IMP 3","IMP 3","")</f>
        <v>#N/A</v>
      </c>
    </row>
    <row r="16" spans="1:21" ht="15" customHeight="1" x14ac:dyDescent="0.2">
      <c r="A16" s="317" t="str">
        <f>CONCATENATE('Ordre alphabétique FLF'!K5," ",'Ordre alphabétique FLF'!F5)</f>
        <v xml:space="preserve"> </v>
      </c>
      <c r="B16" s="317"/>
      <c r="C16" s="317"/>
      <c r="D16" s="317"/>
      <c r="E16" s="317" t="str">
        <f>CONCATENATE('Ordre alphabétique FLF'!K10," ",'Ordre alphabétique FLF'!F10)</f>
        <v xml:space="preserve"> </v>
      </c>
      <c r="F16" s="317"/>
      <c r="G16" s="317"/>
      <c r="H16" s="317"/>
      <c r="I16" s="317" t="str">
        <f>CONCATENATE('Ordre alphabétique FLF'!K15," ",'Ordre alphabétique FLF'!F15)</f>
        <v xml:space="preserve"> </v>
      </c>
      <c r="J16" s="317"/>
      <c r="K16" s="317"/>
      <c r="L16" s="317"/>
      <c r="M16" s="317" t="str">
        <f>CONCATENATE('Ordre alphabétique FLF'!K20," ",'Ordre alphabétique FLF'!F20)</f>
        <v xml:space="preserve"> </v>
      </c>
      <c r="N16" s="317"/>
      <c r="O16" s="317"/>
      <c r="P16" s="317"/>
      <c r="R16" s="161" t="e">
        <f>IF(VLOOKUP('Ordre alphabétique FLF'!F5,PERSONNELS!$A$2:$G$100,4,FALSE)="IMP 3","IMP 3","")</f>
        <v>#N/A</v>
      </c>
      <c r="S16" s="161" t="e">
        <f>IF(VLOOKUP('Ordre alphabétique FLF'!F10,PERSONNELS!$A$2:$G$100,4,FALSE)="IMP 3","IMP 3","")</f>
        <v>#N/A</v>
      </c>
      <c r="T16" s="161" t="e">
        <f>IF(VLOOKUP('Ordre alphabétique FLF'!F15,PERSONNELS!$A$2:$G$100,4,FALSE)="IMP 3","IMP 3","")</f>
        <v>#N/A</v>
      </c>
      <c r="U16" s="161" t="e">
        <f>IF(VLOOKUP('Ordre alphabétique FLF'!F20,PERSONNELS!$A$2:$G$100,4,FALSE)="IMP 3","IMP 3","")</f>
        <v>#N/A</v>
      </c>
    </row>
    <row r="17" spans="1:21" ht="15" customHeight="1" x14ac:dyDescent="0.2">
      <c r="A17" s="317" t="str">
        <f>CONCATENATE('Ordre alphabétique FLF'!K6," ",'Ordre alphabétique FLF'!F6)</f>
        <v xml:space="preserve"> </v>
      </c>
      <c r="B17" s="317"/>
      <c r="C17" s="317"/>
      <c r="D17" s="317"/>
      <c r="E17" s="317" t="str">
        <f>CONCATENATE('Ordre alphabétique FLF'!K11," ",'Ordre alphabétique FLF'!F11)</f>
        <v xml:space="preserve"> </v>
      </c>
      <c r="F17" s="317"/>
      <c r="G17" s="317"/>
      <c r="H17" s="317"/>
      <c r="I17" s="317" t="str">
        <f>CONCATENATE('Ordre alphabétique FLF'!K16," ",'Ordre alphabétique FLF'!F16)</f>
        <v xml:space="preserve"> </v>
      </c>
      <c r="J17" s="317"/>
      <c r="K17" s="317"/>
      <c r="L17" s="317"/>
      <c r="M17" s="317" t="str">
        <f>CONCATENATE('Ordre alphabétique FLF'!K21," ",'Ordre alphabétique FLF'!F21)</f>
        <v xml:space="preserve"> </v>
      </c>
      <c r="N17" s="317"/>
      <c r="O17" s="317"/>
      <c r="P17" s="317"/>
      <c r="R17" s="161" t="e">
        <f>IF(VLOOKUP('Ordre alphabétique FLF'!F6,PERSONNELS!$A$2:$G$100,4,FALSE)="IMP 3","IMP 3","")</f>
        <v>#N/A</v>
      </c>
      <c r="S17" s="161" t="e">
        <f>IF(VLOOKUP('Ordre alphabétique FLF'!F11,PERSONNELS!$A$2:$G$100,4,FALSE)="IMP 3","IMP 3","")</f>
        <v>#N/A</v>
      </c>
      <c r="T17" s="161" t="e">
        <f>IF(VLOOKUP('Ordre alphabétique FLF'!F16,PERSONNELS!$A$2:$G$100,4,FALSE)="IMP 3","IMP 3","")</f>
        <v>#N/A</v>
      </c>
      <c r="U17" s="161" t="e">
        <f>IF(VLOOKUP('Ordre alphabétique FLF'!F21,PERSONNELS!$A$2:$G$100,4,FALSE)="IMP 3","IMP 3","")</f>
        <v>#N/A</v>
      </c>
    </row>
    <row r="18" spans="1:21" ht="14.25" x14ac:dyDescent="0.2">
      <c r="A18" s="163"/>
      <c r="B18" s="163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</row>
    <row r="19" spans="1:21" ht="20.100000000000001" customHeight="1" x14ac:dyDescent="0.2">
      <c r="A19" s="313" t="s">
        <v>168</v>
      </c>
      <c r="B19" s="313"/>
      <c r="C19" s="313"/>
      <c r="D19" s="313"/>
      <c r="E19" s="313"/>
      <c r="F19" s="321" t="str">
        <f>IF(DONNEES!B39="","",DONNEES!B39)</f>
        <v/>
      </c>
      <c r="G19" s="321"/>
      <c r="H19" s="321"/>
      <c r="I19" s="321"/>
      <c r="J19" s="321"/>
      <c r="K19" s="321"/>
      <c r="L19" s="321"/>
      <c r="M19" s="321"/>
      <c r="N19" s="321"/>
      <c r="O19" s="321"/>
      <c r="P19" s="321"/>
    </row>
    <row r="20" spans="1:21" ht="20.100000000000001" customHeight="1" x14ac:dyDescent="0.2">
      <c r="A20" s="313"/>
      <c r="B20" s="313"/>
      <c r="C20" s="313"/>
      <c r="D20" s="313"/>
      <c r="E20" s="313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</row>
    <row r="21" spans="1:21" ht="14.25" x14ac:dyDescent="0.2">
      <c r="A21" s="163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</row>
    <row r="22" spans="1:21" ht="20.100000000000001" customHeight="1" x14ac:dyDescent="0.2">
      <c r="A22" s="314" t="s">
        <v>101</v>
      </c>
      <c r="B22" s="314"/>
      <c r="C22" s="321" t="str">
        <f>IF(DONNEES!A42="","",DONNEES!A42)</f>
        <v/>
      </c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</row>
    <row r="23" spans="1:21" ht="20.100000000000001" customHeight="1" x14ac:dyDescent="0.2">
      <c r="A23" s="314"/>
      <c r="B23" s="314"/>
      <c r="C23" s="321"/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</row>
    <row r="24" spans="1:21" ht="14.25" x14ac:dyDescent="0.2">
      <c r="A24" s="163"/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</row>
    <row r="25" spans="1:21" ht="14.25" x14ac:dyDescent="0.2">
      <c r="A25" s="314" t="s">
        <v>102</v>
      </c>
      <c r="B25" s="314"/>
      <c r="C25" s="163"/>
      <c r="D25" s="163"/>
      <c r="E25" s="163"/>
      <c r="F25" s="163"/>
      <c r="G25" s="163"/>
      <c r="H25" s="163"/>
      <c r="I25" s="163"/>
      <c r="J25" s="163"/>
      <c r="K25" s="163"/>
      <c r="L25" s="163"/>
      <c r="M25" s="163"/>
      <c r="N25" s="163"/>
      <c r="O25" s="163"/>
      <c r="P25" s="163"/>
    </row>
    <row r="26" spans="1:21" ht="14.25" x14ac:dyDescent="0.2">
      <c r="A26" s="314"/>
      <c r="B26" s="314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</row>
    <row r="27" spans="1:21" ht="14.25" x14ac:dyDescent="0.2">
      <c r="A27" s="163"/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  <row r="28" spans="1:21" ht="14.25" x14ac:dyDescent="0.2">
      <c r="A28" s="163"/>
      <c r="B28" s="312" t="s">
        <v>372</v>
      </c>
      <c r="C28" s="312"/>
      <c r="D28" s="312"/>
      <c r="E28" s="308" t="str">
        <f>IF(DONNEES!D56="","",DONNEES!D56)</f>
        <v/>
      </c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</row>
    <row r="29" spans="1:21" ht="14.25" x14ac:dyDescent="0.2">
      <c r="A29" s="163"/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</row>
    <row r="30" spans="1:21" ht="14.25" x14ac:dyDescent="0.2">
      <c r="A30" s="163"/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</row>
    <row r="31" spans="1:21" ht="14.25" x14ac:dyDescent="0.2">
      <c r="A31" s="163"/>
      <c r="B31" s="310" t="s">
        <v>103</v>
      </c>
      <c r="C31" s="310"/>
      <c r="D31" s="310"/>
      <c r="E31" s="311" t="str">
        <f>IF(DONNEES!C51="","",DONNEES!C51)</f>
        <v>07h00 - 07h20</v>
      </c>
      <c r="F31" s="311"/>
      <c r="G31" s="311"/>
      <c r="H31" s="308" t="str">
        <f>IF(DONNEES!D51="","",DONNEES!D51)</f>
        <v/>
      </c>
      <c r="I31" s="308"/>
      <c r="J31" s="308"/>
      <c r="K31" s="308"/>
      <c r="L31" s="308"/>
      <c r="M31" s="308"/>
      <c r="N31" s="308"/>
      <c r="O31" s="308"/>
      <c r="P31" s="308"/>
    </row>
    <row r="32" spans="1:21" ht="14.25" x14ac:dyDescent="0.2">
      <c r="A32" s="163"/>
      <c r="B32" s="310"/>
      <c r="C32" s="310"/>
      <c r="D32" s="310"/>
      <c r="E32" s="311" t="str">
        <f>IF(DONNEES!C52="","",DONNEES!C52)</f>
        <v>07h20 - 08h00</v>
      </c>
      <c r="F32" s="311"/>
      <c r="G32" s="311"/>
      <c r="H32" s="308" t="str">
        <f>IF(DONNEES!D52="","",DONNEES!D52)</f>
        <v/>
      </c>
      <c r="I32" s="308"/>
      <c r="J32" s="308"/>
      <c r="K32" s="308"/>
      <c r="L32" s="308"/>
      <c r="M32" s="308"/>
      <c r="N32" s="308"/>
      <c r="O32" s="308"/>
      <c r="P32" s="308"/>
    </row>
    <row r="33" spans="1:16" ht="14.25" x14ac:dyDescent="0.2">
      <c r="A33" s="163"/>
      <c r="B33" s="310"/>
      <c r="C33" s="310"/>
      <c r="D33" s="310"/>
      <c r="E33" s="311" t="str">
        <f>IF(DONNEES!C53="","",DONNEES!C53)</f>
        <v>08h00 - 12h00</v>
      </c>
      <c r="F33" s="311"/>
      <c r="G33" s="311"/>
      <c r="H33" s="308" t="str">
        <f>IF(DONNEES!D53="","",DONNEES!D53)</f>
        <v/>
      </c>
      <c r="I33" s="308"/>
      <c r="J33" s="308"/>
      <c r="K33" s="308"/>
      <c r="L33" s="308"/>
      <c r="M33" s="308"/>
      <c r="N33" s="308"/>
      <c r="O33" s="308"/>
      <c r="P33" s="308"/>
    </row>
    <row r="34" spans="1:16" ht="14.25" x14ac:dyDescent="0.2">
      <c r="A34" s="163"/>
      <c r="B34" s="310"/>
      <c r="C34" s="310"/>
      <c r="D34" s="310"/>
      <c r="E34" s="311" t="str">
        <f>IF(DONNEES!C54="","",DONNEES!C54)</f>
        <v/>
      </c>
      <c r="F34" s="311"/>
      <c r="G34" s="311"/>
      <c r="H34" s="308" t="str">
        <f>IF(DONNEES!D54="","",DONNEES!D54)</f>
        <v/>
      </c>
      <c r="I34" s="308"/>
      <c r="J34" s="308"/>
      <c r="K34" s="308"/>
      <c r="L34" s="308"/>
      <c r="M34" s="308"/>
      <c r="N34" s="308"/>
      <c r="O34" s="308"/>
      <c r="P34" s="308"/>
    </row>
    <row r="35" spans="1:16" ht="14.25" x14ac:dyDescent="0.2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</row>
    <row r="36" spans="1:16" ht="14.25" x14ac:dyDescent="0.2">
      <c r="A36" s="163"/>
      <c r="B36" s="305" t="s">
        <v>373</v>
      </c>
      <c r="C36" s="305"/>
      <c r="D36" s="305"/>
      <c r="F36" s="308" t="str">
        <f>IF(DONNEES!D42="",IF(DONNEES!F42="","",DONNEES!F42),DONNEES!D42)</f>
        <v/>
      </c>
      <c r="G36" s="308"/>
      <c r="H36" s="308"/>
      <c r="I36" s="308"/>
      <c r="J36" s="308"/>
      <c r="K36" s="308"/>
      <c r="L36" s="308"/>
      <c r="M36" s="308"/>
      <c r="N36" s="308"/>
      <c r="O36" s="308"/>
      <c r="P36" s="308"/>
    </row>
    <row r="37" spans="1:16" ht="14.25" x14ac:dyDescent="0.2">
      <c r="A37" s="163"/>
      <c r="B37" s="305"/>
      <c r="C37" s="305"/>
      <c r="D37" s="305"/>
      <c r="F37" s="308" t="str">
        <f>IF(DONNEES!D43="",IF(DONNEES!F43="","",CONCATENATE(DONNEES!F43," ",IF(DONNEES!F44="","",DONNEES!F44))),CONCATENATE(IF(DONNEES!D43="","",DONNEES!D43)," ",IF(DONNEES!D44="","",DONNEES!D44)))</f>
        <v/>
      </c>
      <c r="G37" s="308"/>
      <c r="H37" s="308"/>
      <c r="I37" s="308"/>
      <c r="J37" s="308"/>
      <c r="K37" s="308"/>
      <c r="L37" s="308"/>
      <c r="M37" s="308"/>
      <c r="N37" s="308"/>
      <c r="O37" s="308"/>
      <c r="P37" s="308"/>
    </row>
    <row r="38" spans="1:16" ht="14.25" x14ac:dyDescent="0.2">
      <c r="A38" s="163"/>
      <c r="B38" s="305"/>
      <c r="C38" s="305"/>
      <c r="D38" s="305"/>
      <c r="F38" s="308" t="str">
        <f>IF(DONNEES!D47="",IF(DONNEES!F47="","",DONNEES!F47),DONNEES!D47)</f>
        <v/>
      </c>
      <c r="G38" s="308"/>
      <c r="H38" s="308"/>
      <c r="I38" s="308"/>
      <c r="J38" s="308"/>
      <c r="K38" s="308"/>
      <c r="L38" s="308"/>
      <c r="M38" s="308"/>
      <c r="N38" s="308"/>
      <c r="O38" s="308"/>
      <c r="P38" s="308"/>
    </row>
    <row r="39" spans="1:16" ht="14.25" x14ac:dyDescent="0.2">
      <c r="A39" s="163"/>
      <c r="B39" s="305"/>
      <c r="C39" s="305"/>
      <c r="D39" s="305"/>
      <c r="F39" s="309" t="str">
        <f>IF(DONNEES!D45="",IF(DONNEES!F45="","",DONNEES!F45),DONNEES!D45)</f>
        <v/>
      </c>
      <c r="G39" s="309"/>
      <c r="H39" s="309"/>
      <c r="I39" s="309"/>
      <c r="J39" s="309"/>
      <c r="K39" s="309"/>
      <c r="L39" s="309"/>
      <c r="M39" s="309"/>
      <c r="N39" s="309"/>
      <c r="O39" s="309"/>
      <c r="P39" s="309"/>
    </row>
    <row r="40" spans="1:16" ht="14.25" x14ac:dyDescent="0.2">
      <c r="A40" s="163"/>
      <c r="B40" s="305"/>
      <c r="C40" s="305"/>
      <c r="D40" s="305"/>
      <c r="F40" s="308" t="str">
        <f>IF(DONNEES!D46="",IF(DONNEES!F46="","",DONNEES!F46),DONNEES!D46)</f>
        <v/>
      </c>
      <c r="G40" s="308"/>
      <c r="H40" s="308"/>
      <c r="I40" s="308"/>
      <c r="J40" s="308"/>
      <c r="K40" s="308"/>
      <c r="L40" s="308"/>
      <c r="M40" s="308"/>
      <c r="N40" s="308"/>
      <c r="O40" s="308"/>
      <c r="P40" s="308"/>
    </row>
    <row r="41" spans="1:16" ht="14.25" x14ac:dyDescent="0.2">
      <c r="A41" s="163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</row>
    <row r="42" spans="1:16" ht="14.25" x14ac:dyDescent="0.2">
      <c r="A42" s="163"/>
      <c r="B42" s="310" t="s">
        <v>374</v>
      </c>
      <c r="C42" s="310"/>
      <c r="D42" s="310"/>
      <c r="E42" s="311" t="str">
        <f>IF(DONNEES!F51="","",DONNEES!F51)</f>
        <v>13h30 - 16h00</v>
      </c>
      <c r="F42" s="311"/>
      <c r="G42" s="311"/>
      <c r="H42" s="308" t="str">
        <f>IF(DONNEES!H51="","",DONNEES!H51)</f>
        <v/>
      </c>
      <c r="I42" s="308"/>
      <c r="J42" s="308"/>
      <c r="K42" s="308"/>
      <c r="L42" s="308"/>
      <c r="M42" s="308"/>
      <c r="N42" s="308"/>
      <c r="O42" s="308"/>
      <c r="P42" s="308"/>
    </row>
    <row r="43" spans="1:16" ht="14.25" x14ac:dyDescent="0.2">
      <c r="A43" s="163"/>
      <c r="B43" s="310"/>
      <c r="C43" s="310"/>
      <c r="D43" s="310"/>
      <c r="E43" s="311" t="str">
        <f>IF(DONNEES!F52="","",DONNEES!F52)</f>
        <v>16h00 - 16h30</v>
      </c>
      <c r="F43" s="311"/>
      <c r="G43" s="311"/>
      <c r="H43" s="308" t="str">
        <f>IF(DONNEES!H52="","",DONNEES!H52)</f>
        <v/>
      </c>
      <c r="I43" s="308"/>
      <c r="J43" s="308"/>
      <c r="K43" s="308"/>
      <c r="L43" s="308"/>
      <c r="M43" s="308"/>
      <c r="N43" s="308"/>
      <c r="O43" s="308"/>
      <c r="P43" s="308"/>
    </row>
    <row r="44" spans="1:16" ht="14.25" x14ac:dyDescent="0.2">
      <c r="A44" s="163"/>
      <c r="B44" s="310"/>
      <c r="C44" s="310"/>
      <c r="D44" s="310"/>
      <c r="E44" s="311" t="str">
        <f>IF(DONNEES!F53="","",DONNEES!F53)</f>
        <v/>
      </c>
      <c r="F44" s="311"/>
      <c r="G44" s="311"/>
      <c r="H44" s="308" t="str">
        <f>IF(DONNEES!H53="","",DONNEES!H53)</f>
        <v/>
      </c>
      <c r="I44" s="308"/>
      <c r="J44" s="308"/>
      <c r="K44" s="308"/>
      <c r="L44" s="308"/>
      <c r="M44" s="308"/>
      <c r="N44" s="308"/>
      <c r="O44" s="308"/>
      <c r="P44" s="308"/>
    </row>
    <row r="45" spans="1:16" ht="14.25" x14ac:dyDescent="0.2">
      <c r="A45" s="163"/>
      <c r="B45" s="310"/>
      <c r="C45" s="310"/>
      <c r="D45" s="310"/>
      <c r="E45" s="311" t="str">
        <f>IF(DONNEES!F54="","",DONNEES!F54)</f>
        <v/>
      </c>
      <c r="F45" s="311"/>
      <c r="G45" s="311"/>
      <c r="H45" s="308" t="str">
        <f>IF(DONNEES!H54="","",DONNEES!H54)</f>
        <v/>
      </c>
      <c r="I45" s="308"/>
      <c r="J45" s="308"/>
      <c r="K45" s="308"/>
      <c r="L45" s="308"/>
      <c r="M45" s="308"/>
      <c r="N45" s="308"/>
      <c r="O45" s="308"/>
      <c r="P45" s="308"/>
    </row>
    <row r="46" spans="1:16" ht="14.25" x14ac:dyDescent="0.2">
      <c r="A46" s="163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</row>
    <row r="47" spans="1:16" ht="14.25" x14ac:dyDescent="0.2">
      <c r="A47" s="308" t="s">
        <v>375</v>
      </c>
      <c r="B47" s="308"/>
      <c r="C47" s="308"/>
      <c r="D47" s="308"/>
      <c r="E47" s="308" t="str">
        <f>IF(DONNEES!A50="","",DONNEES!A50)</f>
        <v/>
      </c>
      <c r="F47" s="308"/>
      <c r="G47" s="308"/>
      <c r="H47" s="308"/>
      <c r="I47" s="308"/>
      <c r="J47" s="163"/>
      <c r="K47" s="163"/>
      <c r="L47" s="163"/>
      <c r="M47" s="163"/>
      <c r="N47" s="163"/>
      <c r="O47" s="163"/>
      <c r="P47" s="163"/>
    </row>
    <row r="48" spans="1:16" ht="5.0999999999999996" customHeight="1" x14ac:dyDescent="0.2">
      <c r="A48" s="165"/>
      <c r="B48" s="165"/>
      <c r="C48" s="165"/>
      <c r="D48" s="165"/>
      <c r="E48" s="165"/>
      <c r="F48" s="165"/>
      <c r="G48" s="165"/>
      <c r="H48" s="165"/>
      <c r="I48" s="165"/>
      <c r="J48" s="163"/>
      <c r="K48" s="163"/>
      <c r="L48" s="163"/>
      <c r="M48" s="163"/>
      <c r="N48" s="163"/>
      <c r="O48" s="163"/>
      <c r="P48" s="163"/>
    </row>
    <row r="49" spans="1:16" ht="14.25" x14ac:dyDescent="0.2">
      <c r="A49" s="308" t="s">
        <v>376</v>
      </c>
      <c r="B49" s="308"/>
      <c r="C49" s="308"/>
      <c r="D49" s="308"/>
      <c r="E49" s="308" t="str">
        <f>IF(DONNEES!A52="","",DONNEES!A52)</f>
        <v/>
      </c>
      <c r="F49" s="308"/>
      <c r="G49" s="308"/>
      <c r="H49" s="308"/>
      <c r="I49" s="308"/>
      <c r="J49" s="163"/>
      <c r="K49" s="163"/>
      <c r="L49" s="163"/>
      <c r="M49" s="163"/>
      <c r="N49" s="163"/>
      <c r="O49" s="163"/>
      <c r="P49" s="163"/>
    </row>
    <row r="50" spans="1:16" ht="5.0999999999999996" customHeight="1" x14ac:dyDescent="0.2">
      <c r="A50" s="165"/>
      <c r="B50" s="165"/>
      <c r="C50" s="165"/>
      <c r="D50" s="165"/>
      <c r="E50" s="165"/>
      <c r="F50" s="165"/>
      <c r="G50" s="165"/>
      <c r="H50" s="165"/>
      <c r="I50" s="165"/>
      <c r="J50" s="163"/>
      <c r="K50" s="163"/>
      <c r="L50" s="163"/>
      <c r="M50" s="163"/>
      <c r="N50" s="163"/>
      <c r="O50" s="163"/>
      <c r="P50" s="163"/>
    </row>
    <row r="51" spans="1:16" ht="14.25" x14ac:dyDescent="0.2">
      <c r="A51" s="308" t="s">
        <v>104</v>
      </c>
      <c r="B51" s="308"/>
      <c r="C51" s="308"/>
      <c r="D51" s="308"/>
      <c r="E51" s="308" t="str">
        <f>IF(DONNEES!A54="","",DONNEES!A54)</f>
        <v/>
      </c>
      <c r="F51" s="308"/>
      <c r="G51" s="308"/>
      <c r="H51" s="308"/>
      <c r="I51" s="308"/>
      <c r="J51" s="163"/>
      <c r="K51" s="163"/>
      <c r="L51" s="163"/>
      <c r="M51" s="163"/>
      <c r="N51" s="163"/>
      <c r="O51" s="163"/>
      <c r="P51" s="163"/>
    </row>
    <row r="52" spans="1:16" ht="14.25" x14ac:dyDescent="0.2">
      <c r="A52" s="165"/>
      <c r="B52" s="165"/>
      <c r="C52" s="165"/>
      <c r="D52" s="165"/>
      <c r="E52" s="165"/>
      <c r="F52" s="165"/>
      <c r="G52" s="165"/>
      <c r="H52" s="165"/>
      <c r="I52" s="165"/>
      <c r="J52" s="163"/>
      <c r="K52" s="163"/>
      <c r="L52" s="163"/>
      <c r="M52" s="163"/>
      <c r="N52" s="163"/>
      <c r="O52" s="163"/>
      <c r="P52" s="163"/>
    </row>
    <row r="53" spans="1:16" ht="15" x14ac:dyDescent="0.2">
      <c r="A53" s="163"/>
      <c r="B53" s="163"/>
      <c r="C53" s="163"/>
      <c r="D53" s="163"/>
      <c r="E53" s="163"/>
      <c r="F53" s="163"/>
      <c r="G53" s="163"/>
      <c r="H53" s="163"/>
      <c r="I53" s="163"/>
      <c r="J53" s="163"/>
      <c r="K53" s="306" t="e">
        <f>IF(DONNEES!B10="","",VLOOKUP(DONNEES!B10,'Ordre alphabétique FLF'!F2:L21,7,FALSE))</f>
        <v>#N/A</v>
      </c>
      <c r="L53" s="306"/>
      <c r="M53" s="306"/>
      <c r="N53" s="306"/>
      <c r="O53" s="306"/>
      <c r="P53" s="306"/>
    </row>
    <row r="54" spans="1:16" ht="15" x14ac:dyDescent="0.2">
      <c r="A54" s="163"/>
      <c r="B54" s="163"/>
      <c r="C54" s="163"/>
      <c r="D54" s="163"/>
      <c r="E54" s="163"/>
      <c r="F54" s="163"/>
      <c r="G54" s="163"/>
      <c r="H54" s="163"/>
      <c r="I54" s="163"/>
      <c r="J54" s="163"/>
      <c r="K54" s="307" t="e">
        <f>IF(DONNEES!B10="","",IF(VLOOKUP(DONNEES!B10,PERSONNELS!A2:G100,7,FALSE)="","",VLOOKUP(DONNEES!B10,PERSONNELS!A2:G100,7,FALSE)))</f>
        <v>#N/A</v>
      </c>
      <c r="L54" s="307"/>
      <c r="M54" s="307"/>
      <c r="N54" s="307"/>
      <c r="O54" s="307"/>
      <c r="P54" s="307"/>
    </row>
    <row r="55" spans="1:16" ht="14.25" x14ac:dyDescent="0.2">
      <c r="A55" s="163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</row>
    <row r="56" spans="1:16" ht="14.25" x14ac:dyDescent="0.2">
      <c r="A56" s="163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</row>
    <row r="57" spans="1:16" ht="14.25" x14ac:dyDescent="0.2">
      <c r="A57" s="163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</row>
    <row r="58" spans="1:16" ht="14.25" x14ac:dyDescent="0.2">
      <c r="A58" s="163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</row>
    <row r="59" spans="1:16" ht="14.25" x14ac:dyDescent="0.2">
      <c r="A59" s="163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</row>
    <row r="60" spans="1:16" ht="14.25" x14ac:dyDescent="0.2">
      <c r="A60" s="163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</row>
    <row r="61" spans="1:16" ht="14.25" x14ac:dyDescent="0.2">
      <c r="A61" s="163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</row>
    <row r="62" spans="1:16" ht="14.25" x14ac:dyDescent="0.2">
      <c r="A62" s="163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</row>
    <row r="63" spans="1:16" ht="14.25" x14ac:dyDescent="0.2">
      <c r="A63" s="163"/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</row>
    <row r="64" spans="1:16" ht="14.25" x14ac:dyDescent="0.2">
      <c r="A64" s="163"/>
      <c r="B64" s="163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  <c r="P64" s="163"/>
    </row>
    <row r="65" spans="1:16" ht="14.25" x14ac:dyDescent="0.2">
      <c r="A65" s="163"/>
      <c r="B65" s="163"/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</row>
    <row r="66" spans="1:16" ht="14.25" x14ac:dyDescent="0.2">
      <c r="A66" s="163"/>
      <c r="B66" s="163"/>
      <c r="C66" s="163"/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  <c r="P66" s="163"/>
    </row>
    <row r="67" spans="1:16" ht="14.25" x14ac:dyDescent="0.2">
      <c r="A67" s="163"/>
      <c r="B67" s="163"/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3"/>
    </row>
    <row r="68" spans="1:16" ht="14.25" x14ac:dyDescent="0.2">
      <c r="A68" s="163"/>
      <c r="B68" s="163"/>
      <c r="C68" s="163"/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63"/>
      <c r="P68" s="163"/>
    </row>
    <row r="69" spans="1:16" ht="14.25" x14ac:dyDescent="0.2">
      <c r="A69" s="163"/>
      <c r="B69" s="163"/>
      <c r="C69" s="163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3"/>
      <c r="O69" s="163"/>
      <c r="P69" s="163"/>
    </row>
    <row r="70" spans="1:16" ht="14.25" x14ac:dyDescent="0.2">
      <c r="A70" s="163"/>
      <c r="B70" s="163"/>
      <c r="C70" s="163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63"/>
      <c r="P70" s="163"/>
    </row>
    <row r="71" spans="1:16" ht="14.25" x14ac:dyDescent="0.2">
      <c r="A71" s="163"/>
      <c r="B71" s="163"/>
      <c r="C71" s="163"/>
      <c r="D71" s="163"/>
      <c r="E71" s="163"/>
      <c r="F71" s="163"/>
      <c r="G71" s="163"/>
      <c r="H71" s="163"/>
      <c r="I71" s="163"/>
      <c r="J71" s="163"/>
      <c r="K71" s="163"/>
      <c r="L71" s="163"/>
      <c r="M71" s="163"/>
      <c r="N71" s="163"/>
      <c r="O71" s="163"/>
      <c r="P71" s="163"/>
    </row>
    <row r="72" spans="1:16" ht="14.25" x14ac:dyDescent="0.2">
      <c r="A72" s="163"/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  <c r="P72" s="163"/>
    </row>
    <row r="73" spans="1:16" ht="14.25" x14ac:dyDescent="0.2">
      <c r="A73" s="163"/>
      <c r="B73" s="163"/>
      <c r="C73" s="163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63"/>
      <c r="P73" s="163"/>
    </row>
    <row r="74" spans="1:16" ht="14.25" x14ac:dyDescent="0.2">
      <c r="A74" s="163"/>
      <c r="B74" s="163"/>
      <c r="C74" s="163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3"/>
      <c r="O74" s="163"/>
      <c r="P74" s="163"/>
    </row>
    <row r="75" spans="1:16" ht="14.25" x14ac:dyDescent="0.2">
      <c r="A75" s="163"/>
      <c r="B75" s="163"/>
      <c r="C75" s="163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63"/>
      <c r="P75" s="163"/>
    </row>
    <row r="76" spans="1:16" ht="14.25" x14ac:dyDescent="0.2">
      <c r="A76" s="163"/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  <c r="P76" s="163"/>
    </row>
    <row r="77" spans="1:16" ht="14.25" x14ac:dyDescent="0.2">
      <c r="A77" s="163"/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  <c r="P77" s="163"/>
    </row>
    <row r="78" spans="1:16" ht="14.25" x14ac:dyDescent="0.2">
      <c r="A78" s="163"/>
      <c r="B78" s="163"/>
      <c r="C78" s="163"/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63"/>
      <c r="P78" s="163"/>
    </row>
    <row r="79" spans="1:16" ht="14.25" x14ac:dyDescent="0.2">
      <c r="A79" s="163"/>
      <c r="B79" s="163"/>
      <c r="C79" s="163"/>
      <c r="D79" s="163"/>
      <c r="E79" s="163"/>
      <c r="F79" s="163"/>
      <c r="G79" s="163"/>
      <c r="H79" s="163"/>
      <c r="I79" s="163"/>
      <c r="J79" s="163"/>
      <c r="K79" s="163"/>
      <c r="L79" s="163"/>
      <c r="M79" s="163"/>
      <c r="N79" s="163"/>
      <c r="O79" s="163"/>
      <c r="P79" s="163"/>
    </row>
    <row r="80" spans="1:16" ht="14.25" x14ac:dyDescent="0.2">
      <c r="A80" s="163"/>
      <c r="B80" s="163"/>
      <c r="C80" s="163"/>
      <c r="D80" s="163"/>
      <c r="E80" s="163"/>
      <c r="F80" s="163"/>
      <c r="G80" s="163"/>
      <c r="H80" s="163"/>
      <c r="I80" s="163"/>
      <c r="J80" s="163"/>
      <c r="K80" s="163"/>
      <c r="L80" s="163"/>
      <c r="M80" s="163"/>
      <c r="N80" s="163"/>
      <c r="O80" s="163"/>
      <c r="P80" s="163"/>
    </row>
    <row r="81" spans="1:16" ht="14.25" x14ac:dyDescent="0.2">
      <c r="A81" s="163"/>
      <c r="B81" s="163"/>
      <c r="C81" s="163"/>
      <c r="D81" s="163"/>
      <c r="E81" s="163"/>
      <c r="F81" s="163"/>
      <c r="G81" s="163"/>
      <c r="H81" s="163"/>
      <c r="I81" s="163"/>
      <c r="J81" s="163"/>
      <c r="K81" s="163"/>
      <c r="L81" s="163"/>
      <c r="M81" s="163"/>
      <c r="N81" s="163"/>
      <c r="O81" s="163"/>
      <c r="P81" s="163"/>
    </row>
    <row r="82" spans="1:16" ht="14.25" x14ac:dyDescent="0.2">
      <c r="A82" s="163"/>
      <c r="B82" s="163"/>
      <c r="C82" s="163"/>
      <c r="D82" s="163"/>
      <c r="E82" s="163"/>
      <c r="F82" s="163"/>
      <c r="G82" s="163"/>
      <c r="H82" s="163"/>
      <c r="I82" s="163"/>
      <c r="J82" s="163"/>
      <c r="K82" s="163"/>
      <c r="L82" s="163"/>
      <c r="M82" s="163"/>
      <c r="N82" s="163"/>
      <c r="O82" s="163"/>
      <c r="P82" s="163"/>
    </row>
    <row r="83" spans="1:16" ht="14.25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</row>
    <row r="84" spans="1:16" ht="14.25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</row>
    <row r="85" spans="1:16" ht="14.25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</row>
    <row r="86" spans="1:16" ht="14.25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</row>
    <row r="87" spans="1:16" ht="14.25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</row>
    <row r="88" spans="1:16" ht="14.25" x14ac:dyDescent="0.2">
      <c r="A88" s="163"/>
      <c r="B88" s="163"/>
      <c r="C88" s="163"/>
      <c r="D88" s="163"/>
      <c r="E88" s="163"/>
      <c r="F88" s="163"/>
      <c r="G88" s="163"/>
      <c r="H88" s="163"/>
      <c r="I88" s="163"/>
      <c r="J88" s="163"/>
      <c r="K88" s="163"/>
      <c r="L88" s="163"/>
      <c r="M88" s="163"/>
      <c r="N88" s="163"/>
      <c r="O88" s="163"/>
      <c r="P88" s="163"/>
    </row>
    <row r="89" spans="1:16" ht="14.25" x14ac:dyDescent="0.2">
      <c r="A89" s="163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163"/>
      <c r="M89" s="163"/>
      <c r="N89" s="163"/>
      <c r="O89" s="163"/>
      <c r="P89" s="163"/>
    </row>
    <row r="90" spans="1:16" ht="14.25" x14ac:dyDescent="0.2">
      <c r="A90" s="163"/>
      <c r="B90" s="163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  <c r="O90" s="163"/>
      <c r="P90" s="163"/>
    </row>
    <row r="91" spans="1:16" ht="14.25" x14ac:dyDescent="0.2">
      <c r="A91" s="163"/>
      <c r="B91" s="163"/>
      <c r="C91" s="163"/>
      <c r="D91" s="163"/>
      <c r="E91" s="163"/>
      <c r="F91" s="163"/>
      <c r="G91" s="163"/>
      <c r="H91" s="163"/>
      <c r="I91" s="163"/>
      <c r="J91" s="163"/>
      <c r="K91" s="163"/>
      <c r="L91" s="163"/>
      <c r="M91" s="163"/>
      <c r="N91" s="163"/>
      <c r="O91" s="163"/>
      <c r="P91" s="163"/>
    </row>
    <row r="92" spans="1:16" ht="14.25" x14ac:dyDescent="0.2">
      <c r="A92" s="163"/>
      <c r="B92" s="163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3"/>
    </row>
    <row r="93" spans="1:16" ht="14.25" x14ac:dyDescent="0.2">
      <c r="A93" s="163"/>
      <c r="B93" s="163"/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163"/>
    </row>
    <row r="94" spans="1:16" ht="14.25" x14ac:dyDescent="0.2">
      <c r="A94" s="163"/>
      <c r="B94" s="163"/>
      <c r="C94" s="163"/>
      <c r="D94" s="163"/>
      <c r="E94" s="163"/>
      <c r="F94" s="163"/>
      <c r="G94" s="163"/>
      <c r="H94" s="163"/>
      <c r="I94" s="163"/>
      <c r="J94" s="163"/>
      <c r="K94" s="163"/>
      <c r="L94" s="163"/>
      <c r="M94" s="163"/>
      <c r="N94" s="163"/>
      <c r="O94" s="163"/>
      <c r="P94" s="163"/>
    </row>
    <row r="95" spans="1:16" ht="14.25" x14ac:dyDescent="0.2">
      <c r="A95" s="163"/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3"/>
    </row>
    <row r="96" spans="1:16" ht="14.25" x14ac:dyDescent="0.2">
      <c r="A96" s="163"/>
      <c r="B96" s="163"/>
      <c r="C96" s="163"/>
      <c r="D96" s="163"/>
      <c r="E96" s="163"/>
      <c r="F96" s="163"/>
      <c r="G96" s="163"/>
      <c r="H96" s="163"/>
      <c r="I96" s="163"/>
      <c r="J96" s="163"/>
      <c r="K96" s="163"/>
      <c r="L96" s="163"/>
      <c r="M96" s="163"/>
      <c r="N96" s="163"/>
      <c r="O96" s="163"/>
      <c r="P96" s="163"/>
    </row>
  </sheetData>
  <sheetProtection algorithmName="SHA-512" hashValue="a3IHREpaO9B2kCB2VgKeAfWD8WFYH/SL9pbZLBkikNWhTZ+WvJ5kkdiq8s8oSgsgakhcFb1uKKXXNF3PpcIBYQ==" saltValue="+1zzmlC6PMF+8djKMsPJxQ==" spinCount="100000" sheet="1" objects="1" scenarios="1" selectLockedCells="1" selectUnlockedCells="1"/>
  <mergeCells count="73">
    <mergeCell ref="E15:H15"/>
    <mergeCell ref="E16:H16"/>
    <mergeCell ref="E17:H17"/>
    <mergeCell ref="A13:D13"/>
    <mergeCell ref="A14:D14"/>
    <mergeCell ref="A15:D15"/>
    <mergeCell ref="D2:M2"/>
    <mergeCell ref="N1:P2"/>
    <mergeCell ref="A1:C2"/>
    <mergeCell ref="D3:M3"/>
    <mergeCell ref="A22:B23"/>
    <mergeCell ref="C22:P23"/>
    <mergeCell ref="A19:E20"/>
    <mergeCell ref="F19:P20"/>
    <mergeCell ref="A5:C6"/>
    <mergeCell ref="D1:M1"/>
    <mergeCell ref="A11:C11"/>
    <mergeCell ref="I13:L13"/>
    <mergeCell ref="I14:L14"/>
    <mergeCell ref="I15:L15"/>
    <mergeCell ref="I16:L16"/>
    <mergeCell ref="I17:L17"/>
    <mergeCell ref="A8:B9"/>
    <mergeCell ref="C8:P9"/>
    <mergeCell ref="D5:P6"/>
    <mergeCell ref="A25:B26"/>
    <mergeCell ref="I11:P11"/>
    <mergeCell ref="D11:E11"/>
    <mergeCell ref="F11:H11"/>
    <mergeCell ref="M13:P13"/>
    <mergeCell ref="M14:P14"/>
    <mergeCell ref="M15:P15"/>
    <mergeCell ref="M16:P16"/>
    <mergeCell ref="M17:P17"/>
    <mergeCell ref="A16:D16"/>
    <mergeCell ref="A17:D17"/>
    <mergeCell ref="E13:H13"/>
    <mergeCell ref="E14:H14"/>
    <mergeCell ref="H31:P31"/>
    <mergeCell ref="H32:P32"/>
    <mergeCell ref="H33:P33"/>
    <mergeCell ref="H34:P34"/>
    <mergeCell ref="B28:D28"/>
    <mergeCell ref="E28:P28"/>
    <mergeCell ref="E31:G31"/>
    <mergeCell ref="E32:G32"/>
    <mergeCell ref="E33:G33"/>
    <mergeCell ref="E34:G34"/>
    <mergeCell ref="B31:D34"/>
    <mergeCell ref="E42:G42"/>
    <mergeCell ref="E43:G43"/>
    <mergeCell ref="E44:G44"/>
    <mergeCell ref="E45:G45"/>
    <mergeCell ref="H42:P42"/>
    <mergeCell ref="H43:P43"/>
    <mergeCell ref="H44:P44"/>
    <mergeCell ref="H45:P45"/>
    <mergeCell ref="R11:U11"/>
    <mergeCell ref="B36:D40"/>
    <mergeCell ref="K53:P53"/>
    <mergeCell ref="K54:P54"/>
    <mergeCell ref="F36:P36"/>
    <mergeCell ref="F37:P37"/>
    <mergeCell ref="F38:P38"/>
    <mergeCell ref="F39:P39"/>
    <mergeCell ref="F40:P40"/>
    <mergeCell ref="A47:D47"/>
    <mergeCell ref="A49:D49"/>
    <mergeCell ref="A51:D51"/>
    <mergeCell ref="E47:I47"/>
    <mergeCell ref="E49:I49"/>
    <mergeCell ref="E51:I51"/>
    <mergeCell ref="B42:D45"/>
  </mergeCells>
  <conditionalFormatting sqref="A13:D13">
    <cfRule type="expression" dxfId="22" priority="20">
      <formula>$R$13="IMP 3"</formula>
    </cfRule>
  </conditionalFormatting>
  <conditionalFormatting sqref="A14:D14">
    <cfRule type="expression" dxfId="21" priority="19">
      <formula>$R$14="IMP 3"</formula>
    </cfRule>
  </conditionalFormatting>
  <conditionalFormatting sqref="A15:D15">
    <cfRule type="expression" dxfId="20" priority="18">
      <formula>$R$15="IMP 3"</formula>
    </cfRule>
  </conditionalFormatting>
  <conditionalFormatting sqref="A16:D16">
    <cfRule type="expression" dxfId="19" priority="17">
      <formula>$R$16="IMP 3"</formula>
    </cfRule>
  </conditionalFormatting>
  <conditionalFormatting sqref="A17:D17">
    <cfRule type="expression" dxfId="18" priority="16">
      <formula>$R$17="IMP 3"</formula>
    </cfRule>
  </conditionalFormatting>
  <conditionalFormatting sqref="E13:H13">
    <cfRule type="expression" dxfId="17" priority="15">
      <formula>$S$13="IMP 3"</formula>
    </cfRule>
  </conditionalFormatting>
  <conditionalFormatting sqref="E14:H14">
    <cfRule type="expression" dxfId="16" priority="14">
      <formula>$S$14="IMP 3"</formula>
    </cfRule>
  </conditionalFormatting>
  <conditionalFormatting sqref="E15:H15">
    <cfRule type="expression" dxfId="15" priority="13">
      <formula>$S$15="IMP 3"</formula>
    </cfRule>
  </conditionalFormatting>
  <conditionalFormatting sqref="E16:H16">
    <cfRule type="expression" dxfId="14" priority="12">
      <formula>$S$16="IMP 3"</formula>
    </cfRule>
  </conditionalFormatting>
  <conditionalFormatting sqref="E17:H17">
    <cfRule type="expression" dxfId="13" priority="11">
      <formula>$S$17="IMP 3"</formula>
    </cfRule>
  </conditionalFormatting>
  <conditionalFormatting sqref="I13:L13">
    <cfRule type="expression" dxfId="12" priority="10">
      <formula>$T$13="IMP 3"</formula>
    </cfRule>
  </conditionalFormatting>
  <conditionalFormatting sqref="I14:L14">
    <cfRule type="expression" dxfId="11" priority="9">
      <formula>$T$14="IMP 3"</formula>
    </cfRule>
  </conditionalFormatting>
  <conditionalFormatting sqref="I15:L15">
    <cfRule type="expression" dxfId="10" priority="8">
      <formula>$T$15="IMP 3"</formula>
    </cfRule>
  </conditionalFormatting>
  <conditionalFormatting sqref="I16:L16">
    <cfRule type="expression" dxfId="9" priority="7">
      <formula>$T$16="IMP 3"</formula>
    </cfRule>
  </conditionalFormatting>
  <conditionalFormatting sqref="I17:L17">
    <cfRule type="expression" dxfId="8" priority="6">
      <formula>$T$17="IMP 3"</formula>
    </cfRule>
  </conditionalFormatting>
  <conditionalFormatting sqref="M13:P13">
    <cfRule type="expression" dxfId="7" priority="5">
      <formula>$U$13="IMP 3"</formula>
    </cfRule>
  </conditionalFormatting>
  <conditionalFormatting sqref="M14:P14">
    <cfRule type="expression" dxfId="6" priority="4">
      <formula>$U$14="IMP 3"</formula>
    </cfRule>
  </conditionalFormatting>
  <conditionalFormatting sqref="M15:P15">
    <cfRule type="expression" dxfId="5" priority="3">
      <formula>$U$15="IMP 3"</formula>
    </cfRule>
  </conditionalFormatting>
  <conditionalFormatting sqref="M16:P16">
    <cfRule type="expression" dxfId="4" priority="2">
      <formula>$U$16="IMP 3"</formula>
    </cfRule>
  </conditionalFormatting>
  <conditionalFormatting sqref="M17:P17">
    <cfRule type="expression" dxfId="3" priority="1">
      <formula>$U$17="IMP 3"</formula>
    </cfRule>
  </conditionalFormatting>
  <printOptions horizontalCentered="1"/>
  <pageMargins left="0.19685039370078741" right="0.19685039370078741" top="0.19685039370078741" bottom="0.19685039370078741" header="0" footer="0"/>
  <pageSetup paperSize="9" scale="9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2"/>
  <sheetViews>
    <sheetView topLeftCell="C1" workbookViewId="0">
      <selection activeCell="L6" sqref="L6"/>
    </sheetView>
  </sheetViews>
  <sheetFormatPr baseColWidth="10" defaultRowHeight="12.75" x14ac:dyDescent="0.2"/>
  <cols>
    <col min="1" max="1" width="35.28515625" style="144" customWidth="1"/>
    <col min="2" max="5" width="11.42578125" style="144"/>
    <col min="6" max="6" width="14" style="144" bestFit="1" customWidth="1"/>
    <col min="7" max="7" width="30.140625" style="144" bestFit="1" customWidth="1"/>
    <col min="8" max="8" width="23.28515625" style="144" customWidth="1"/>
    <col min="9" max="13" width="11.42578125" style="144"/>
    <col min="14" max="14" width="30.140625" style="144" bestFit="1" customWidth="1"/>
    <col min="15" max="16384" width="11.42578125" style="144"/>
  </cols>
  <sheetData>
    <row r="1" spans="1:14" x14ac:dyDescent="0.2">
      <c r="A1" s="149" t="s">
        <v>57</v>
      </c>
      <c r="B1" s="147" t="s">
        <v>28</v>
      </c>
      <c r="C1" s="148" t="s">
        <v>146</v>
      </c>
      <c r="D1" s="148" t="s">
        <v>147</v>
      </c>
      <c r="E1" s="148" t="s">
        <v>67</v>
      </c>
      <c r="F1" s="146" t="s">
        <v>380</v>
      </c>
      <c r="H1" s="323" t="s">
        <v>150</v>
      </c>
      <c r="I1" s="323"/>
      <c r="K1" s="151"/>
      <c r="L1" s="148" t="s">
        <v>151</v>
      </c>
      <c r="M1" s="148" t="s">
        <v>152</v>
      </c>
      <c r="N1" s="148" t="s">
        <v>153</v>
      </c>
    </row>
    <row r="2" spans="1:14" x14ac:dyDescent="0.2">
      <c r="A2" s="154" t="str">
        <f>IF(DONNEES!B10="","",DONNEES!B10)</f>
        <v>TOTO</v>
      </c>
      <c r="B2" s="154" t="str">
        <f>IF(DONNEES!B10="","","OUI")</f>
        <v>OUI</v>
      </c>
      <c r="C2" s="154">
        <f>IF(DONNEES!B10="","",DONNEES!E10)</f>
        <v>0</v>
      </c>
      <c r="D2" s="154">
        <f>IF(A2="","",IF(B2="oui",C2*1.25,""))</f>
        <v>0</v>
      </c>
      <c r="E2" s="154" t="e">
        <f>IF(A2="","",VLOOKUP(A2,PERSONNELS!$A$2:$G$100,4,FALSE))</f>
        <v>#N/A</v>
      </c>
      <c r="F2" s="146"/>
      <c r="H2" s="148" t="s">
        <v>148</v>
      </c>
      <c r="I2" s="148" t="s">
        <v>149</v>
      </c>
      <c r="K2" s="148" t="s">
        <v>76</v>
      </c>
      <c r="L2" s="146" t="str">
        <f>IF(COUNTIF($E$2:$E$21,"IMP 2")=0,"",COUNTIF($E$2:$E$21,"IMP 2"))</f>
        <v/>
      </c>
      <c r="M2" s="146"/>
      <c r="N2" s="146"/>
    </row>
    <row r="3" spans="1:14" x14ac:dyDescent="0.2">
      <c r="A3" s="154" t="str">
        <f>IF(DONNEES!B12="","",DONNEES!B12)</f>
        <v/>
      </c>
      <c r="B3" s="154" t="str">
        <f>IF(DONNEES!B12="","","OUI")</f>
        <v/>
      </c>
      <c r="C3" s="154" t="str">
        <f>IF(DONNEES!B12="","",DONNEES!E12)</f>
        <v/>
      </c>
      <c r="D3" s="154" t="str">
        <f>IF(A3="","",IF(B3="oui",C3*1.25,""))</f>
        <v/>
      </c>
      <c r="E3" s="154" t="str">
        <f>IF(A3="","",VLOOKUP(A3,PERSONNELS!$A$2:$G$100,4,FALSE))</f>
        <v/>
      </c>
      <c r="F3" s="146"/>
      <c r="H3" s="146">
        <v>1</v>
      </c>
      <c r="I3" s="146">
        <v>1</v>
      </c>
      <c r="K3" s="148" t="s">
        <v>68</v>
      </c>
      <c r="L3" s="146" t="str">
        <f>IF(COUNTIF($E$2:$E$5,"IMP 3")=0,"",COUNTIF($E$2:$E$5,"IMP 3"))</f>
        <v/>
      </c>
      <c r="M3" s="146" t="str">
        <f>IF(L2="","",VLOOKUP(L2,H3:I18,2,FALSE))</f>
        <v/>
      </c>
      <c r="N3" s="146" t="str">
        <f>IF(M3="","",IF(L3&gt;M3,"RETIRER DES FORMATEUR(S)",IF(L3&lt;M3,"RAJOUTER DES FORMATEUR(S)",IF(L3=M3,"",))))</f>
        <v/>
      </c>
    </row>
    <row r="4" spans="1:14" x14ac:dyDescent="0.2">
      <c r="A4" s="155" t="str">
        <f>IF(DONNEES!B14="","",DONNEES!B14)</f>
        <v/>
      </c>
      <c r="B4" s="155" t="str">
        <f>IF(DONNEES!B14="","","OUI")</f>
        <v/>
      </c>
      <c r="C4" s="155" t="str">
        <f>IF(DONNEES!B14="","",DONNEES!E14)</f>
        <v/>
      </c>
      <c r="D4" s="155" t="str">
        <f>IF(A4="","",IF(B4="oui",C4,""))</f>
        <v/>
      </c>
      <c r="E4" s="155" t="str">
        <f>IF(A4="","",VLOOKUP(A4,PERSONNELS!$A$2:$G$100,4,FALSE))</f>
        <v/>
      </c>
      <c r="F4" s="146"/>
      <c r="H4" s="146">
        <v>2</v>
      </c>
      <c r="I4" s="146">
        <v>1</v>
      </c>
      <c r="K4" s="148" t="s">
        <v>105</v>
      </c>
      <c r="L4" s="146" t="str">
        <f>IF(COUNTIF($E$2:$E$21,"IMP 1")=0,"",COUNTIF($E$2:$E$21,"IMP 1"))</f>
        <v/>
      </c>
    </row>
    <row r="5" spans="1:14" x14ac:dyDescent="0.2">
      <c r="A5" s="155" t="str">
        <f>IF(DONNEES!B16="","",DONNEES!B16)</f>
        <v/>
      </c>
      <c r="B5" s="155" t="str">
        <f>IF(DONNEES!B16="","","OUI")</f>
        <v/>
      </c>
      <c r="C5" s="155" t="str">
        <f>IF(DONNEES!B16="","",DONNEES!E16)</f>
        <v/>
      </c>
      <c r="D5" s="155" t="str">
        <f>IF(A5="","",IF(B5="oui",C5,""))</f>
        <v/>
      </c>
      <c r="E5" s="155" t="str">
        <f>IF(A5="","",VLOOKUP(A5,PERSONNELS!$A$2:$G$100,4,FALSE))</f>
        <v/>
      </c>
      <c r="F5" s="146"/>
      <c r="H5" s="146">
        <v>3</v>
      </c>
      <c r="I5" s="146">
        <v>1</v>
      </c>
      <c r="K5" s="148" t="s">
        <v>164</v>
      </c>
      <c r="L5" s="146" t="str">
        <f>IF(COUNTIF($E$6:$E$21,"IMP 3")=0,"",COUNTIF($E$6:$E$21,"IMP 3"))</f>
        <v/>
      </c>
    </row>
    <row r="6" spans="1:14" x14ac:dyDescent="0.2">
      <c r="A6" s="146" t="str">
        <f>IF(DONNEES!A22="","",DONNEES!A22)</f>
        <v/>
      </c>
      <c r="B6" s="146" t="str">
        <f>IF(DONNEES!C22="","",DONNEES!C22)</f>
        <v/>
      </c>
      <c r="C6" s="146" t="str">
        <f>IF(DONNEES!B22="","",DONNEES!B22)</f>
        <v/>
      </c>
      <c r="D6" s="162" t="str">
        <f t="shared" ref="D6:D21" si="0">IF(A6="","",IF(B6="oui",C6,""))</f>
        <v/>
      </c>
      <c r="E6" s="146" t="str">
        <f>IF(A6="","",VLOOKUP(A6,PERSONNELS!$A$2:$G$100,4,FALSE))</f>
        <v/>
      </c>
      <c r="F6" s="171" t="str">
        <f>IF(DONNEES!C22="","",DONNEES!C22)</f>
        <v/>
      </c>
      <c r="H6" s="146">
        <v>4</v>
      </c>
      <c r="I6" s="146">
        <v>1</v>
      </c>
      <c r="L6" s="144">
        <f>SUM(L2:L5)</f>
        <v>0</v>
      </c>
    </row>
    <row r="7" spans="1:14" x14ac:dyDescent="0.2">
      <c r="A7" s="146" t="str">
        <f>IF(DONNEES!A23="","",DONNEES!A23)</f>
        <v/>
      </c>
      <c r="B7" s="146" t="str">
        <f>IF(DONNEES!C23="","",DONNEES!C23)</f>
        <v/>
      </c>
      <c r="C7" s="150" t="str">
        <f>IF(DONNEES!B23="","",DONNEES!B23)</f>
        <v/>
      </c>
      <c r="D7" s="162" t="str">
        <f t="shared" si="0"/>
        <v/>
      </c>
      <c r="E7" s="146" t="str">
        <f>IF(A7="","",VLOOKUP(A7,PERSONNELS!$A$2:$G$100,4,FALSE))</f>
        <v/>
      </c>
      <c r="F7" s="171" t="str">
        <f>IF(DONNEES!C23="","",DONNEES!C23)</f>
        <v/>
      </c>
      <c r="H7" s="146">
        <v>5</v>
      </c>
      <c r="I7" s="146">
        <v>2</v>
      </c>
    </row>
    <row r="8" spans="1:14" x14ac:dyDescent="0.2">
      <c r="A8" s="146" t="str">
        <f>IF(DONNEES!A24="","",DONNEES!A24)</f>
        <v/>
      </c>
      <c r="B8" s="146" t="str">
        <f>IF(DONNEES!C24="","",DONNEES!C24)</f>
        <v/>
      </c>
      <c r="C8" s="150" t="str">
        <f>IF(DONNEES!B24="","",DONNEES!B24)</f>
        <v/>
      </c>
      <c r="D8" s="162" t="str">
        <f t="shared" si="0"/>
        <v/>
      </c>
      <c r="E8" s="146" t="str">
        <f>IF(A8="","",VLOOKUP(A8,PERSONNELS!$A$2:$G$100,4,FALSE))</f>
        <v/>
      </c>
      <c r="F8" s="171" t="str">
        <f>IF(DONNEES!C24="","",DONNEES!C24)</f>
        <v/>
      </c>
      <c r="H8" s="146">
        <v>6</v>
      </c>
      <c r="I8" s="146">
        <v>2</v>
      </c>
    </row>
    <row r="9" spans="1:14" x14ac:dyDescent="0.2">
      <c r="A9" s="146" t="str">
        <f>IF(DONNEES!A25="","",DONNEES!A25)</f>
        <v/>
      </c>
      <c r="B9" s="146" t="str">
        <f>IF(DONNEES!C25="","",DONNEES!C25)</f>
        <v/>
      </c>
      <c r="C9" s="150" t="str">
        <f>IF(DONNEES!B25="","",DONNEES!B25)</f>
        <v/>
      </c>
      <c r="D9" s="162" t="str">
        <f t="shared" si="0"/>
        <v/>
      </c>
      <c r="E9" s="146" t="str">
        <f>IF(A9="","",VLOOKUP(A9,PERSONNELS!$A$2:$G$100,4,FALSE))</f>
        <v/>
      </c>
      <c r="F9" s="171" t="str">
        <f>IF(DONNEES!C25="","",DONNEES!C25)</f>
        <v/>
      </c>
      <c r="H9" s="146">
        <v>7</v>
      </c>
      <c r="I9" s="146">
        <v>2</v>
      </c>
    </row>
    <row r="10" spans="1:14" x14ac:dyDescent="0.2">
      <c r="A10" s="146" t="str">
        <f>IF(DONNEES!A26="","",DONNEES!A26)</f>
        <v/>
      </c>
      <c r="B10" s="146" t="str">
        <f>IF(DONNEES!C26="","",DONNEES!C26)</f>
        <v/>
      </c>
      <c r="C10" s="150" t="str">
        <f>IF(DONNEES!B26="","",DONNEES!B26)</f>
        <v/>
      </c>
      <c r="D10" s="162" t="str">
        <f t="shared" si="0"/>
        <v/>
      </c>
      <c r="E10" s="146" t="str">
        <f>IF(A10="","",VLOOKUP(A10,PERSONNELS!$A$2:$G$100,4,FALSE))</f>
        <v/>
      </c>
      <c r="F10" s="171" t="str">
        <f>IF(DONNEES!C26="","",DONNEES!C26)</f>
        <v/>
      </c>
      <c r="H10" s="146">
        <v>8</v>
      </c>
      <c r="I10" s="146">
        <v>2</v>
      </c>
    </row>
    <row r="11" spans="1:14" x14ac:dyDescent="0.2">
      <c r="A11" s="146" t="str">
        <f>IF(DONNEES!A27="","",DONNEES!A27)</f>
        <v/>
      </c>
      <c r="B11" s="146" t="str">
        <f>IF(DONNEES!C27="","",DONNEES!C27)</f>
        <v/>
      </c>
      <c r="C11" s="150" t="str">
        <f>IF(DONNEES!B27="","",DONNEES!B27)</f>
        <v/>
      </c>
      <c r="D11" s="162" t="str">
        <f t="shared" si="0"/>
        <v/>
      </c>
      <c r="E11" s="146" t="str">
        <f>IF(A11="","",VLOOKUP(A11,PERSONNELS!$A$2:$G$100,4,FALSE))</f>
        <v/>
      </c>
      <c r="F11" s="171" t="str">
        <f>IF(DONNEES!C27="","",DONNEES!C27)</f>
        <v/>
      </c>
      <c r="H11" s="146">
        <v>9</v>
      </c>
      <c r="I11" s="146">
        <v>3</v>
      </c>
    </row>
    <row r="12" spans="1:14" x14ac:dyDescent="0.2">
      <c r="A12" s="146" t="str">
        <f>IF(DONNEES!A28="","",DONNEES!A28)</f>
        <v/>
      </c>
      <c r="B12" s="146" t="str">
        <f>IF(DONNEES!C28="","",DONNEES!C28)</f>
        <v/>
      </c>
      <c r="C12" s="150" t="str">
        <f>IF(DONNEES!B28="","",DONNEES!B28)</f>
        <v/>
      </c>
      <c r="D12" s="162" t="str">
        <f t="shared" si="0"/>
        <v/>
      </c>
      <c r="E12" s="146" t="str">
        <f>IF(A12="","",VLOOKUP(A12,PERSONNELS!$A$2:$G$100,4,FALSE))</f>
        <v/>
      </c>
      <c r="F12" s="171" t="str">
        <f>IF(DONNEES!C28="","",DONNEES!C28)</f>
        <v/>
      </c>
      <c r="H12" s="146">
        <v>10</v>
      </c>
      <c r="I12" s="146">
        <v>3</v>
      </c>
    </row>
    <row r="13" spans="1:14" x14ac:dyDescent="0.2">
      <c r="A13" s="146" t="str">
        <f>IF(DONNEES!A29="","",DONNEES!A29)</f>
        <v/>
      </c>
      <c r="B13" s="146" t="str">
        <f>IF(DONNEES!C29="","",DONNEES!C29)</f>
        <v/>
      </c>
      <c r="C13" s="150" t="str">
        <f>IF(DONNEES!B29="","",DONNEES!B29)</f>
        <v/>
      </c>
      <c r="D13" s="162" t="str">
        <f t="shared" si="0"/>
        <v/>
      </c>
      <c r="E13" s="146" t="str">
        <f>IF(A13="","",VLOOKUP(A13,PERSONNELS!$A$2:$G$100,4,FALSE))</f>
        <v/>
      </c>
      <c r="F13" s="171" t="str">
        <f>IF(DONNEES!C29="","",DONNEES!C29)</f>
        <v/>
      </c>
      <c r="H13" s="146">
        <v>11</v>
      </c>
      <c r="I13" s="146">
        <v>3</v>
      </c>
    </row>
    <row r="14" spans="1:14" x14ac:dyDescent="0.2">
      <c r="A14" s="146" t="str">
        <f>IF(DONNEES!A30="","",DONNEES!A30)</f>
        <v/>
      </c>
      <c r="B14" s="146" t="str">
        <f>IF(DONNEES!C30="","",DONNEES!C30)</f>
        <v/>
      </c>
      <c r="C14" s="150" t="str">
        <f>IF(DONNEES!B30="","",DONNEES!B30)</f>
        <v/>
      </c>
      <c r="D14" s="162" t="str">
        <f t="shared" si="0"/>
        <v/>
      </c>
      <c r="E14" s="146" t="str">
        <f>IF(A14="","",VLOOKUP(A14,PERSONNELS!$A$2:$G$100,4,FALSE))</f>
        <v/>
      </c>
      <c r="F14" s="171" t="str">
        <f>IF(DONNEES!C30="","",DONNEES!C30)</f>
        <v/>
      </c>
      <c r="H14" s="146">
        <v>12</v>
      </c>
      <c r="I14" s="146">
        <v>3</v>
      </c>
    </row>
    <row r="15" spans="1:14" x14ac:dyDescent="0.2">
      <c r="A15" s="146" t="str">
        <f>IF(DONNEES!A31="","",DONNEES!A31)</f>
        <v/>
      </c>
      <c r="B15" s="146" t="str">
        <f>IF(DONNEES!C31="","",DONNEES!C31)</f>
        <v/>
      </c>
      <c r="C15" s="150" t="str">
        <f>IF(DONNEES!B31="","",DONNEES!B31)</f>
        <v/>
      </c>
      <c r="D15" s="162" t="str">
        <f t="shared" si="0"/>
        <v/>
      </c>
      <c r="E15" s="146" t="str">
        <f>IF(A15="","",VLOOKUP(A15,PERSONNELS!$A$2:$G$100,4,FALSE))</f>
        <v/>
      </c>
      <c r="F15" s="171" t="str">
        <f>IF(DONNEES!C31="","",DONNEES!C31)</f>
        <v/>
      </c>
      <c r="H15" s="146">
        <v>13</v>
      </c>
      <c r="I15" s="146">
        <v>4</v>
      </c>
    </row>
    <row r="16" spans="1:14" x14ac:dyDescent="0.2">
      <c r="A16" s="146" t="str">
        <f>IF(DONNEES!A32="","",DONNEES!A32)</f>
        <v/>
      </c>
      <c r="B16" s="146" t="str">
        <f>IF(DONNEES!C32="","",DONNEES!C32)</f>
        <v/>
      </c>
      <c r="C16" s="150" t="str">
        <f>IF(DONNEES!B32="","",DONNEES!B32)</f>
        <v/>
      </c>
      <c r="D16" s="162" t="str">
        <f t="shared" si="0"/>
        <v/>
      </c>
      <c r="E16" s="146" t="str">
        <f>IF(A16="","",VLOOKUP(A16,PERSONNELS!$A$2:$G$100,4,FALSE))</f>
        <v/>
      </c>
      <c r="F16" s="171" t="str">
        <f>IF(DONNEES!C32="","",DONNEES!C32)</f>
        <v/>
      </c>
      <c r="H16" s="146">
        <v>14</v>
      </c>
      <c r="I16" s="146">
        <v>4</v>
      </c>
    </row>
    <row r="17" spans="1:9" x14ac:dyDescent="0.2">
      <c r="A17" s="146" t="str">
        <f>IF(DONNEES!A33="","",DONNEES!A33)</f>
        <v/>
      </c>
      <c r="B17" s="146" t="str">
        <f>IF(DONNEES!C33="","",DONNEES!C33)</f>
        <v/>
      </c>
      <c r="C17" s="150" t="str">
        <f>IF(DONNEES!B33="","",DONNEES!B33)</f>
        <v/>
      </c>
      <c r="D17" s="162" t="str">
        <f t="shared" si="0"/>
        <v/>
      </c>
      <c r="E17" s="146" t="str">
        <f>IF(A17="","",VLOOKUP(A17,PERSONNELS!$A$2:$G$100,4,FALSE))</f>
        <v/>
      </c>
      <c r="F17" s="171" t="str">
        <f>IF(DONNEES!C33="","",DONNEES!C33)</f>
        <v/>
      </c>
      <c r="H17" s="146">
        <v>15</v>
      </c>
      <c r="I17" s="146">
        <v>4</v>
      </c>
    </row>
    <row r="18" spans="1:9" x14ac:dyDescent="0.2">
      <c r="A18" s="146" t="str">
        <f>IF(DONNEES!A34="","",DONNEES!A34)</f>
        <v/>
      </c>
      <c r="B18" s="146" t="str">
        <f>IF(DONNEES!C34="","",DONNEES!C34)</f>
        <v/>
      </c>
      <c r="C18" s="150" t="str">
        <f>IF(DONNEES!B34="","",DONNEES!B34)</f>
        <v/>
      </c>
      <c r="D18" s="162" t="str">
        <f t="shared" si="0"/>
        <v/>
      </c>
      <c r="E18" s="146" t="str">
        <f>IF(A18="","",VLOOKUP(A18,PERSONNELS!$A$2:$G$100,4,FALSE))</f>
        <v/>
      </c>
      <c r="F18" s="171" t="str">
        <f>IF(DONNEES!C34="","",DONNEES!C34)</f>
        <v/>
      </c>
      <c r="H18" s="146">
        <v>16</v>
      </c>
      <c r="I18" s="146">
        <v>4</v>
      </c>
    </row>
    <row r="19" spans="1:9" x14ac:dyDescent="0.2">
      <c r="A19" s="146" t="str">
        <f>IF(DONNEES!A35="","",DONNEES!A35)</f>
        <v/>
      </c>
      <c r="B19" s="146" t="str">
        <f>IF(DONNEES!C35="","",DONNEES!C35)</f>
        <v/>
      </c>
      <c r="C19" s="150" t="str">
        <f>IF(DONNEES!B35="","",DONNEES!B35)</f>
        <v/>
      </c>
      <c r="D19" s="162" t="str">
        <f t="shared" si="0"/>
        <v/>
      </c>
      <c r="E19" s="146" t="str">
        <f>IF(A19="","",VLOOKUP(A19,PERSONNELS!$A$2:$G$100,4,FALSE))</f>
        <v/>
      </c>
      <c r="F19" s="171" t="str">
        <f>IF(DONNEES!C35="","",DONNEES!C35)</f>
        <v/>
      </c>
    </row>
    <row r="20" spans="1:9" x14ac:dyDescent="0.2">
      <c r="A20" s="146" t="str">
        <f>IF(DONNEES!A36="","",DONNEES!A36)</f>
        <v/>
      </c>
      <c r="B20" s="146" t="str">
        <f>IF(DONNEES!C36="","",DONNEES!C36)</f>
        <v/>
      </c>
      <c r="C20" s="150" t="str">
        <f>IF(DONNEES!B36="","",DONNEES!B36)</f>
        <v/>
      </c>
      <c r="D20" s="162" t="str">
        <f t="shared" si="0"/>
        <v/>
      </c>
      <c r="E20" s="146" t="str">
        <f>IF(A20="","",VLOOKUP(A20,PERSONNELS!$A$2:$G$100,4,FALSE))</f>
        <v/>
      </c>
      <c r="F20" s="171" t="str">
        <f>IF(DONNEES!C36="","",DONNEES!C36)</f>
        <v/>
      </c>
    </row>
    <row r="21" spans="1:9" x14ac:dyDescent="0.2">
      <c r="A21" s="146" t="str">
        <f>IF(DONNEES!A37="","",DONNEES!A37)</f>
        <v/>
      </c>
      <c r="B21" s="146" t="str">
        <f>IF(DONNEES!C37="","",DONNEES!C37)</f>
        <v/>
      </c>
      <c r="C21" s="150" t="str">
        <f>IF(DONNEES!B37="","",DONNEES!B37)</f>
        <v/>
      </c>
      <c r="D21" s="162" t="str">
        <f t="shared" si="0"/>
        <v/>
      </c>
      <c r="E21" s="146" t="str">
        <f>IF(A21="","",VLOOKUP(A21,PERSONNELS!$A$2:$G$100,4,FALSE))</f>
        <v/>
      </c>
      <c r="F21" s="171" t="str">
        <f>IF(DONNEES!C37="","",DONNEES!C37)</f>
        <v/>
      </c>
    </row>
    <row r="22" spans="1:9" x14ac:dyDescent="0.2">
      <c r="A22" s="151"/>
      <c r="B22" s="151"/>
      <c r="C22" s="151"/>
    </row>
  </sheetData>
  <sheetProtection algorithmName="SHA-512" hashValue="cOg7iquLXJBMokPnvq4rl41lorO0TYIgOOo4y7QVrpisLHUWXpZJ2DluyRX8NeQRxFZPaBJo6Mhqy9/JO7RNIA==" saltValue="BeH0xvoxx9AQFwZh2ayfHA==" spinCount="100000" sheet="1" objects="1" scenarios="1"/>
  <mergeCells count="1">
    <mergeCell ref="H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Q26"/>
  <sheetViews>
    <sheetView workbookViewId="0">
      <selection activeCell="F3" sqref="F3"/>
    </sheetView>
  </sheetViews>
  <sheetFormatPr baseColWidth="10" defaultRowHeight="15" x14ac:dyDescent="0.25"/>
  <cols>
    <col min="1" max="1" width="11.42578125" style="98"/>
    <col min="2" max="2" width="20.140625" style="98" customWidth="1"/>
    <col min="3" max="5" width="11.42578125" style="98"/>
    <col min="6" max="6" width="42.85546875" style="98" customWidth="1"/>
    <col min="7" max="7" width="11.42578125" style="98"/>
    <col min="8" max="8" width="12.28515625" style="98" bestFit="1" customWidth="1"/>
    <col min="9" max="9" width="11.42578125" style="98"/>
    <col min="10" max="10" width="13" style="98" bestFit="1" customWidth="1"/>
    <col min="11" max="11" width="11.42578125" style="98"/>
    <col min="12" max="12" width="26.140625" style="98" bestFit="1" customWidth="1"/>
    <col min="13" max="13" width="41.5703125" style="98" bestFit="1" customWidth="1"/>
    <col min="14" max="14" width="27.85546875" style="98" bestFit="1" customWidth="1"/>
    <col min="15" max="15" width="26.7109375" style="98" bestFit="1" customWidth="1"/>
    <col min="16" max="16" width="70.5703125" style="98" customWidth="1"/>
    <col min="17" max="17" width="40.42578125" style="98" customWidth="1"/>
    <col min="18" max="16384" width="11.42578125" style="98"/>
  </cols>
  <sheetData>
    <row r="1" spans="1:17" x14ac:dyDescent="0.25">
      <c r="G1" s="159" t="s">
        <v>158</v>
      </c>
      <c r="H1" s="159" t="s">
        <v>13</v>
      </c>
      <c r="I1" s="159" t="s">
        <v>159</v>
      </c>
      <c r="J1" s="159" t="s">
        <v>160</v>
      </c>
      <c r="K1" s="164" t="s">
        <v>167</v>
      </c>
      <c r="L1" s="169" t="s">
        <v>359</v>
      </c>
      <c r="M1" s="170" t="s">
        <v>68</v>
      </c>
      <c r="N1" s="170" t="s">
        <v>105</v>
      </c>
      <c r="O1" s="164" t="s">
        <v>377</v>
      </c>
      <c r="P1" s="164" t="s">
        <v>378</v>
      </c>
      <c r="Q1" s="164" t="s">
        <v>135</v>
      </c>
    </row>
    <row r="2" spans="1:17" x14ac:dyDescent="0.25">
      <c r="A2" s="113">
        <f>C2</f>
        <v>20</v>
      </c>
      <c r="B2" s="113" t="str">
        <f>IF(DONNEES!B10="","",DONNEES!B10)</f>
        <v>TOTO</v>
      </c>
      <c r="C2" s="113">
        <f>IF(B2="","",COUNTIF(Noms_ordre_alphabetique,"&lt;="&amp;B2))</f>
        <v>20</v>
      </c>
      <c r="E2" s="113">
        <f>C25</f>
        <v>20</v>
      </c>
      <c r="F2" s="158" t="str">
        <f>IF(E2=0,"",VLOOKUP(E2,$A$2:$C$21,2,FALSE))</f>
        <v>TOTO</v>
      </c>
      <c r="G2" s="118" t="e">
        <f>IF(F2="","",VLOOKUP($F2,PERSONNELS!$A$2:$G$100,3,FALSE))</f>
        <v>#N/A</v>
      </c>
      <c r="H2" s="118" t="str">
        <f>IF(F2="","",VLOOKUP(F2,RATIO!$A$2:$E$21,2,FALSE))</f>
        <v>OUI</v>
      </c>
      <c r="I2" s="118">
        <f>IF(F2="","",VLOOKUP(F2,RATIO!$A$2:$E$21,3,FALSE))</f>
        <v>0</v>
      </c>
      <c r="J2" s="118">
        <f>IF(F2="","",VLOOKUP(F2,RATIO!$A$2:$E$21,4,FALSE))</f>
        <v>0</v>
      </c>
      <c r="K2" s="118" t="e">
        <f>IF(F2="","",VLOOKUP(F2,PERSONNELS!$A$2:$G$100,2,FALSE))</f>
        <v>#N/A</v>
      </c>
      <c r="L2" s="113" t="e">
        <f>CONCATENATE(K2," ",F2)</f>
        <v>#N/A</v>
      </c>
      <c r="M2" s="113" t="e">
        <f>IF(F2="","",IF(VLOOKUP(F2,PERSONNELS!$A$2:$G$100,4,FALSE)="IMP 3","Attention IMP 3 pas en position de formateur",""))</f>
        <v>#N/A</v>
      </c>
      <c r="N2" s="113" t="e">
        <f>IF(F2="","",IF(VLOOKUP(F2,PERSONNELS!$A$2:$G$100,4,FALSE)="IMP 1","Attention IMP 1 dans l'effectif",""))</f>
        <v>#N/A</v>
      </c>
      <c r="O2" s="113" t="e">
        <f>IF(F2="","",IF(VLOOKUP(F2,PERSONNELS!$A$2:$G$100,6,FALSE)="","",VLOOKUP(F2,PERSONNELS!$A$2:$G$100,6,FALSE)))</f>
        <v>#N/A</v>
      </c>
      <c r="P2" s="113" t="e">
        <f>IF(F2="","",CONCATENATE(IF(M2="",IF(N2="","",N2),M2),IF(M2&amp;N2="","",IF(O2="",""," &amp; ")),IF(O2="","",O2)))</f>
        <v>#N/A</v>
      </c>
      <c r="Q2" s="117" t="str">
        <f>IF(F2="","",IF(VLOOKUP(F2,RATIO!$A$2:$F$21,6,FALSE)="","",VLOOKUP(F2,RATIO!$A$2:$F$21,6,FALSE)))</f>
        <v/>
      </c>
    </row>
    <row r="3" spans="1:17" x14ac:dyDescent="0.25">
      <c r="A3" s="113" t="str">
        <f t="shared" ref="A3:A21" si="0">C3</f>
        <v/>
      </c>
      <c r="B3" s="113" t="str">
        <f>IF(DONNEES!B12="","",DONNEES!B12)</f>
        <v/>
      </c>
      <c r="C3" s="113" t="str">
        <f t="shared" ref="C3:C21" si="1">IF(B3="","",COUNTIF(Noms_ordre_alphabetique,"&lt;="&amp;B3))</f>
        <v/>
      </c>
      <c r="E3" s="113" t="str">
        <f t="shared" ref="E3:E21" si="2">IF(E2="","",IF(E2+1&gt;$C$26,"",E2+1))</f>
        <v/>
      </c>
      <c r="F3" s="158" t="str">
        <f t="shared" ref="F3:F21" si="3">IF(E3="","",VLOOKUP(E3,$A$2:$C$21,2,FALSE))</f>
        <v/>
      </c>
      <c r="G3" s="118" t="str">
        <f>IF(F3="","",VLOOKUP($F3,PERSONNELS!$A$2:$G$100,3,FALSE))</f>
        <v/>
      </c>
      <c r="H3" s="118" t="str">
        <f>IF(F3="","",VLOOKUP(F3,RATIO!$A$2:$E$21,2,FALSE))</f>
        <v/>
      </c>
      <c r="I3" s="118" t="str">
        <f>IF(F3="","",VLOOKUP(F3,RATIO!$A$2:$E$21,3,FALSE))</f>
        <v/>
      </c>
      <c r="J3" s="118" t="str">
        <f>IF(F3="","",VLOOKUP(F3,RATIO!$A$2:$E$21,4,FALSE))</f>
        <v/>
      </c>
      <c r="K3" s="118" t="str">
        <f>IF(F3="","",VLOOKUP(F3,PERSONNELS!$A$2:$G$100,2,FALSE))</f>
        <v/>
      </c>
      <c r="L3" s="113" t="str">
        <f t="shared" ref="L3:L21" si="4">CONCATENATE(K3," ",F3)</f>
        <v xml:space="preserve"> </v>
      </c>
      <c r="M3" s="113" t="str">
        <f>IF(F3="","",IF(VLOOKUP(F3,PERSONNELS!$A$2:$G$100,4,FALSE)="IMP 3","Attention IMP 3 pas en position de formateur",""))</f>
        <v/>
      </c>
      <c r="N3" s="113" t="str">
        <f>IF(F3="","",IF(VLOOKUP(F3,PERSONNELS!$A$2:$G$100,4,FALSE)="IMP 1","Attention IMP 1 dans l'effectif",""))</f>
        <v/>
      </c>
      <c r="O3" s="113" t="str">
        <f>IF(F3="","",IF(VLOOKUP(F3,PERSONNELS!$A$2:$G$100,6,FALSE)="","",VLOOKUP(F3,PERSONNELS!$A$2:$G$100,6,FALSE)))</f>
        <v/>
      </c>
      <c r="P3" s="113" t="str">
        <f t="shared" ref="P3:P21" si="5">IF(F3="","",CONCATENATE(IF(M3="",IF(N3="","",N3),M3),IF(M3&amp;N3="","",IF(O3="",""," &amp; ")),IF(O3="","",O3)))</f>
        <v/>
      </c>
      <c r="Q3" s="117" t="str">
        <f>IF(F3="","",IF(VLOOKUP(F3,RATIO!$A$2:$F$21,6,FALSE)="","",VLOOKUP(F3,RATIO!$A$2:$F$21,6,FALSE)))</f>
        <v/>
      </c>
    </row>
    <row r="4" spans="1:17" x14ac:dyDescent="0.25">
      <c r="A4" s="113" t="str">
        <f t="shared" si="0"/>
        <v/>
      </c>
      <c r="B4" s="113" t="str">
        <f>IF(DONNEES!B14="","",DONNEES!B14)</f>
        <v/>
      </c>
      <c r="C4" s="113" t="str">
        <f t="shared" si="1"/>
        <v/>
      </c>
      <c r="E4" s="113" t="str">
        <f t="shared" si="2"/>
        <v/>
      </c>
      <c r="F4" s="158" t="str">
        <f t="shared" si="3"/>
        <v/>
      </c>
      <c r="G4" s="118" t="str">
        <f>IF(F4="","",VLOOKUP($F4,PERSONNELS!$A$2:$G$100,3,FALSE))</f>
        <v/>
      </c>
      <c r="H4" s="118" t="str">
        <f>IF(F4="","",VLOOKUP(F4,RATIO!$A$2:$E$21,2,FALSE))</f>
        <v/>
      </c>
      <c r="I4" s="118" t="str">
        <f>IF(F4="","",VLOOKUP(F4,RATIO!$A$2:$E$21,3,FALSE))</f>
        <v/>
      </c>
      <c r="J4" s="118" t="str">
        <f>IF(F4="","",VLOOKUP(F4,RATIO!$A$2:$E$21,4,FALSE))</f>
        <v/>
      </c>
      <c r="K4" s="118" t="str">
        <f>IF(F4="","",VLOOKUP(F4,PERSONNELS!$A$2:$G$100,2,FALSE))</f>
        <v/>
      </c>
      <c r="L4" s="113" t="str">
        <f t="shared" si="4"/>
        <v xml:space="preserve"> </v>
      </c>
      <c r="M4" s="113" t="str">
        <f>IF(F4="","",IF(VLOOKUP(F4,PERSONNELS!$A$2:$G$100,4,FALSE)="IMP 3","Attention IMP 3 pas en position de formateur",""))</f>
        <v/>
      </c>
      <c r="N4" s="113" t="str">
        <f>IF(F4="","",IF(VLOOKUP(F4,PERSONNELS!$A$2:$G$100,4,FALSE)="IMP 1","Attention IMP 1 dans l'effectif",""))</f>
        <v/>
      </c>
      <c r="O4" s="113" t="str">
        <f>IF(F4="","",IF(VLOOKUP(F4,PERSONNELS!$A$2:$G$100,6,FALSE)="","",VLOOKUP(F4,PERSONNELS!$A$2:$G$100,6,FALSE)))</f>
        <v/>
      </c>
      <c r="P4" s="113" t="str">
        <f t="shared" si="5"/>
        <v/>
      </c>
      <c r="Q4" s="117" t="str">
        <f>IF(F4="","",IF(VLOOKUP(F4,RATIO!$A$2:$F$21,6,FALSE)="","",VLOOKUP(F4,RATIO!$A$2:$F$21,6,FALSE)))</f>
        <v/>
      </c>
    </row>
    <row r="5" spans="1:17" x14ac:dyDescent="0.25">
      <c r="A5" s="113" t="str">
        <f t="shared" si="0"/>
        <v/>
      </c>
      <c r="B5" s="113" t="str">
        <f>IF(DONNEES!B16="","",DONNEES!B16)</f>
        <v/>
      </c>
      <c r="C5" s="113" t="str">
        <f t="shared" si="1"/>
        <v/>
      </c>
      <c r="E5" s="113" t="str">
        <f t="shared" si="2"/>
        <v/>
      </c>
      <c r="F5" s="158" t="str">
        <f t="shared" si="3"/>
        <v/>
      </c>
      <c r="G5" s="118" t="str">
        <f>IF(F5="","",VLOOKUP($F5,PERSONNELS!$A$2:$G$100,3,FALSE))</f>
        <v/>
      </c>
      <c r="H5" s="118" t="str">
        <f>IF(F5="","",VLOOKUP(F5,RATIO!$A$2:$E$21,2,FALSE))</f>
        <v/>
      </c>
      <c r="I5" s="118" t="str">
        <f>IF(F5="","",VLOOKUP(F5,RATIO!$A$2:$E$21,3,FALSE))</f>
        <v/>
      </c>
      <c r="J5" s="118" t="str">
        <f>IF(F5="","",VLOOKUP(F5,RATIO!$A$2:$E$21,4,FALSE))</f>
        <v/>
      </c>
      <c r="K5" s="118" t="str">
        <f>IF(F5="","",VLOOKUP(F5,PERSONNELS!$A$2:$G$100,2,FALSE))</f>
        <v/>
      </c>
      <c r="L5" s="113" t="str">
        <f t="shared" si="4"/>
        <v xml:space="preserve"> </v>
      </c>
      <c r="M5" s="113" t="str">
        <f>IF(F5="","",IF(VLOOKUP(F5,PERSONNELS!$A$2:$G$100,4,FALSE)="IMP 3","Attention IMP 3 pas en position de formateur",""))</f>
        <v/>
      </c>
      <c r="N5" s="113" t="str">
        <f>IF(F5="","",IF(VLOOKUP(F5,PERSONNELS!$A$2:$G$100,4,FALSE)="IMP 1","Attention IMP 1 dans l'effectif",""))</f>
        <v/>
      </c>
      <c r="O5" s="113" t="str">
        <f>IF(F5="","",IF(VLOOKUP(F5,PERSONNELS!$A$2:$G$100,6,FALSE)="","",VLOOKUP(F5,PERSONNELS!$A$2:$G$100,6,FALSE)))</f>
        <v/>
      </c>
      <c r="P5" s="113" t="str">
        <f t="shared" si="5"/>
        <v/>
      </c>
      <c r="Q5" s="117" t="str">
        <f>IF(F5="","",IF(VLOOKUP(F5,RATIO!$A$2:$F$21,6,FALSE)="","",VLOOKUP(F5,RATIO!$A$2:$F$21,6,FALSE)))</f>
        <v/>
      </c>
    </row>
    <row r="6" spans="1:17" x14ac:dyDescent="0.25">
      <c r="A6" s="113" t="str">
        <f t="shared" si="0"/>
        <v/>
      </c>
      <c r="B6" s="113" t="str">
        <f>IF(DONNEES!A22="","",DONNEES!A22)</f>
        <v/>
      </c>
      <c r="C6" s="113" t="str">
        <f t="shared" si="1"/>
        <v/>
      </c>
      <c r="E6" s="113" t="str">
        <f t="shared" si="2"/>
        <v/>
      </c>
      <c r="F6" s="158" t="str">
        <f t="shared" si="3"/>
        <v/>
      </c>
      <c r="G6" s="118" t="str">
        <f>IF(F6="","",VLOOKUP($F6,PERSONNELS!$A$2:$G$100,3,FALSE))</f>
        <v/>
      </c>
      <c r="H6" s="118" t="str">
        <f>IF(F6="","",VLOOKUP(F6,RATIO!$A$2:$E$21,2,FALSE))</f>
        <v/>
      </c>
      <c r="I6" s="118" t="str">
        <f>IF(F6="","",VLOOKUP(F6,RATIO!$A$2:$E$21,3,FALSE))</f>
        <v/>
      </c>
      <c r="J6" s="118" t="str">
        <f>IF(F6="","",VLOOKUP(F6,RATIO!$A$2:$E$21,4,FALSE))</f>
        <v/>
      </c>
      <c r="K6" s="118" t="str">
        <f>IF(F6="","",VLOOKUP(F6,PERSONNELS!$A$2:$G$100,2,FALSE))</f>
        <v/>
      </c>
      <c r="L6" s="113" t="str">
        <f t="shared" si="4"/>
        <v xml:space="preserve"> </v>
      </c>
      <c r="M6" s="113" t="str">
        <f>IF(F6="","",IF(VLOOKUP(F6,PERSONNELS!$A$2:$G$100,4,FALSE)="IMP 3","Attention IMP 3 pas en position de formateur",""))</f>
        <v/>
      </c>
      <c r="N6" s="113" t="str">
        <f>IF(F6="","",IF(VLOOKUP(F6,PERSONNELS!$A$2:$G$100,4,FALSE)="IMP 1","Attention IMP 1 dans l'effectif",""))</f>
        <v/>
      </c>
      <c r="O6" s="113" t="str">
        <f>IF(F6="","",IF(VLOOKUP(F6,PERSONNELS!$A$2:$G$100,6,FALSE)="","",VLOOKUP(F6,PERSONNELS!$A$2:$G$100,6,FALSE)))</f>
        <v/>
      </c>
      <c r="P6" s="113" t="str">
        <f t="shared" si="5"/>
        <v/>
      </c>
      <c r="Q6" s="117" t="str">
        <f>IF(F6="","",IF(VLOOKUP(F6,RATIO!$A$2:$F$21,6,FALSE)="","",VLOOKUP(F6,RATIO!$A$2:$F$21,6,FALSE)))</f>
        <v/>
      </c>
    </row>
    <row r="7" spans="1:17" x14ac:dyDescent="0.25">
      <c r="A7" s="113" t="str">
        <f t="shared" si="0"/>
        <v/>
      </c>
      <c r="B7" s="113" t="str">
        <f>IF(DONNEES!A23="","",DONNEES!A23)</f>
        <v/>
      </c>
      <c r="C7" s="113" t="str">
        <f t="shared" si="1"/>
        <v/>
      </c>
      <c r="E7" s="113" t="str">
        <f t="shared" si="2"/>
        <v/>
      </c>
      <c r="F7" s="158" t="str">
        <f t="shared" si="3"/>
        <v/>
      </c>
      <c r="G7" s="118" t="str">
        <f>IF(F7="","",VLOOKUP($F7,PERSONNELS!$A$2:$G$100,3,FALSE))</f>
        <v/>
      </c>
      <c r="H7" s="118" t="str">
        <f>IF(F7="","",VLOOKUP(F7,RATIO!$A$2:$E$21,2,FALSE))</f>
        <v/>
      </c>
      <c r="I7" s="118" t="str">
        <f>IF(F7="","",VLOOKUP(F7,RATIO!$A$2:$E$21,3,FALSE))</f>
        <v/>
      </c>
      <c r="J7" s="118" t="str">
        <f>IF(F7="","",VLOOKUP(F7,RATIO!$A$2:$E$21,4,FALSE))</f>
        <v/>
      </c>
      <c r="K7" s="118" t="str">
        <f>IF(F7="","",VLOOKUP(F7,PERSONNELS!$A$2:$G$100,2,FALSE))</f>
        <v/>
      </c>
      <c r="L7" s="113" t="str">
        <f t="shared" si="4"/>
        <v xml:space="preserve"> </v>
      </c>
      <c r="M7" s="113" t="str">
        <f>IF(F7="","",IF(VLOOKUP(F7,PERSONNELS!$A$2:$G$100,4,FALSE)="IMP 3","Attention IMP 3 pas en position de formateur",""))</f>
        <v/>
      </c>
      <c r="N7" s="113" t="str">
        <f>IF(F7="","",IF(VLOOKUP(F7,PERSONNELS!$A$2:$G$100,4,FALSE)="IMP 1","Attention IMP 1 dans l'effectif",""))</f>
        <v/>
      </c>
      <c r="O7" s="113" t="str">
        <f>IF(F7="","",IF(VLOOKUP(F7,PERSONNELS!$A$2:$G$100,6,FALSE)="","",VLOOKUP(F7,PERSONNELS!$A$2:$G$100,6,FALSE)))</f>
        <v/>
      </c>
      <c r="P7" s="113" t="str">
        <f t="shared" si="5"/>
        <v/>
      </c>
      <c r="Q7" s="117" t="str">
        <f>IF(F7="","",IF(VLOOKUP(F7,RATIO!$A$2:$F$21,6,FALSE)="","",VLOOKUP(F7,RATIO!$A$2:$F$21,6,FALSE)))</f>
        <v/>
      </c>
    </row>
    <row r="8" spans="1:17" x14ac:dyDescent="0.25">
      <c r="A8" s="113" t="str">
        <f t="shared" si="0"/>
        <v/>
      </c>
      <c r="B8" s="113" t="str">
        <f>IF(DONNEES!A24="","",DONNEES!A24)</f>
        <v/>
      </c>
      <c r="C8" s="113" t="str">
        <f t="shared" si="1"/>
        <v/>
      </c>
      <c r="E8" s="113" t="str">
        <f t="shared" si="2"/>
        <v/>
      </c>
      <c r="F8" s="158" t="str">
        <f t="shared" si="3"/>
        <v/>
      </c>
      <c r="G8" s="118" t="str">
        <f>IF(F8="","",VLOOKUP($F8,PERSONNELS!$A$2:$G$100,3,FALSE))</f>
        <v/>
      </c>
      <c r="H8" s="118" t="str">
        <f>IF(F8="","",VLOOKUP(F8,RATIO!$A$2:$E$21,2,FALSE))</f>
        <v/>
      </c>
      <c r="I8" s="118" t="str">
        <f>IF(F8="","",VLOOKUP(F8,RATIO!$A$2:$E$21,3,FALSE))</f>
        <v/>
      </c>
      <c r="J8" s="118" t="str">
        <f>IF(F8="","",VLOOKUP(F8,RATIO!$A$2:$E$21,4,FALSE))</f>
        <v/>
      </c>
      <c r="K8" s="118" t="str">
        <f>IF(F8="","",VLOOKUP(F8,PERSONNELS!$A$2:$G$100,2,FALSE))</f>
        <v/>
      </c>
      <c r="L8" s="113" t="str">
        <f t="shared" si="4"/>
        <v xml:space="preserve"> </v>
      </c>
      <c r="M8" s="113" t="str">
        <f>IF(F8="","",IF(VLOOKUP(F8,PERSONNELS!$A$2:$G$100,4,FALSE)="IMP 3","Attention IMP 3 pas en position de formateur",""))</f>
        <v/>
      </c>
      <c r="N8" s="113" t="str">
        <f>IF(F8="","",IF(VLOOKUP(F8,PERSONNELS!$A$2:$G$100,4,FALSE)="IMP 1","Attention IMP 1 dans l'effectif",""))</f>
        <v/>
      </c>
      <c r="O8" s="113" t="str">
        <f>IF(F8="","",IF(VLOOKUP(F8,PERSONNELS!$A$2:$G$100,6,FALSE)="","",VLOOKUP(F8,PERSONNELS!$A$2:$G$100,6,FALSE)))</f>
        <v/>
      </c>
      <c r="P8" s="113" t="str">
        <f t="shared" si="5"/>
        <v/>
      </c>
      <c r="Q8" s="117" t="str">
        <f>IF(F8="","",IF(VLOOKUP(F8,RATIO!$A$2:$F$21,6,FALSE)="","",VLOOKUP(F8,RATIO!$A$2:$F$21,6,FALSE)))</f>
        <v/>
      </c>
    </row>
    <row r="9" spans="1:17" x14ac:dyDescent="0.25">
      <c r="A9" s="113" t="str">
        <f t="shared" si="0"/>
        <v/>
      </c>
      <c r="B9" s="113" t="str">
        <f>IF(DONNEES!A25="","",DONNEES!A25)</f>
        <v/>
      </c>
      <c r="C9" s="113" t="str">
        <f t="shared" si="1"/>
        <v/>
      </c>
      <c r="E9" s="113" t="str">
        <f t="shared" si="2"/>
        <v/>
      </c>
      <c r="F9" s="158" t="str">
        <f t="shared" si="3"/>
        <v/>
      </c>
      <c r="G9" s="118" t="str">
        <f>IF(F9="","",VLOOKUP($F9,PERSONNELS!$A$2:$G$100,3,FALSE))</f>
        <v/>
      </c>
      <c r="H9" s="118" t="str">
        <f>IF(F9="","",VLOOKUP(F9,RATIO!$A$2:$E$21,2,FALSE))</f>
        <v/>
      </c>
      <c r="I9" s="118" t="str">
        <f>IF(F9="","",VLOOKUP(F9,RATIO!$A$2:$E$21,3,FALSE))</f>
        <v/>
      </c>
      <c r="J9" s="118" t="str">
        <f>IF(F9="","",VLOOKUP(F9,RATIO!$A$2:$E$21,4,FALSE))</f>
        <v/>
      </c>
      <c r="K9" s="118" t="str">
        <f>IF(F9="","",VLOOKUP(F9,PERSONNELS!$A$2:$G$100,2,FALSE))</f>
        <v/>
      </c>
      <c r="L9" s="113" t="str">
        <f t="shared" si="4"/>
        <v xml:space="preserve"> </v>
      </c>
      <c r="M9" s="113" t="str">
        <f>IF(F9="","",IF(VLOOKUP(F9,PERSONNELS!$A$2:$G$100,4,FALSE)="IMP 3","Attention IMP 3 pas en position de formateur",""))</f>
        <v/>
      </c>
      <c r="N9" s="113" t="str">
        <f>IF(F9="","",IF(VLOOKUP(F9,PERSONNELS!$A$2:$G$100,4,FALSE)="IMP 1","Attention IMP 1 dans l'effectif",""))</f>
        <v/>
      </c>
      <c r="O9" s="113" t="str">
        <f>IF(F9="","",IF(VLOOKUP(F9,PERSONNELS!$A$2:$G$100,6,FALSE)="","",VLOOKUP(F9,PERSONNELS!$A$2:$G$100,6,FALSE)))</f>
        <v/>
      </c>
      <c r="P9" s="113" t="str">
        <f t="shared" si="5"/>
        <v/>
      </c>
      <c r="Q9" s="117" t="str">
        <f>IF(F9="","",IF(VLOOKUP(F9,RATIO!$A$2:$F$21,6,FALSE)="","",VLOOKUP(F9,RATIO!$A$2:$F$21,6,FALSE)))</f>
        <v/>
      </c>
    </row>
    <row r="10" spans="1:17" x14ac:dyDescent="0.25">
      <c r="A10" s="113" t="str">
        <f t="shared" si="0"/>
        <v/>
      </c>
      <c r="B10" s="113" t="str">
        <f>IF(DONNEES!A26="","",DONNEES!A26)</f>
        <v/>
      </c>
      <c r="C10" s="113" t="str">
        <f t="shared" si="1"/>
        <v/>
      </c>
      <c r="E10" s="113" t="str">
        <f t="shared" si="2"/>
        <v/>
      </c>
      <c r="F10" s="158" t="str">
        <f t="shared" si="3"/>
        <v/>
      </c>
      <c r="G10" s="118" t="str">
        <f>IF(F10="","",VLOOKUP($F10,PERSONNELS!$A$2:$G$100,3,FALSE))</f>
        <v/>
      </c>
      <c r="H10" s="118" t="str">
        <f>IF(F10="","",VLOOKUP(F10,RATIO!$A$2:$E$21,2,FALSE))</f>
        <v/>
      </c>
      <c r="I10" s="118" t="str">
        <f>IF(F10="","",VLOOKUP(F10,RATIO!$A$2:$E$21,3,FALSE))</f>
        <v/>
      </c>
      <c r="J10" s="118" t="str">
        <f>IF(F10="","",VLOOKUP(F10,RATIO!$A$2:$E$21,4,FALSE))</f>
        <v/>
      </c>
      <c r="K10" s="118" t="str">
        <f>IF(F10="","",VLOOKUP(F10,PERSONNELS!$A$2:$G$100,2,FALSE))</f>
        <v/>
      </c>
      <c r="L10" s="113" t="str">
        <f t="shared" si="4"/>
        <v xml:space="preserve"> </v>
      </c>
      <c r="M10" s="113" t="str">
        <f>IF(F10="","",IF(VLOOKUP(F10,PERSONNELS!$A$2:$G$100,4,FALSE)="IMP 3","Attention IMP 3 pas en position de formateur",""))</f>
        <v/>
      </c>
      <c r="N10" s="113" t="str">
        <f>IF(F10="","",IF(VLOOKUP(F10,PERSONNELS!$A$2:$G$100,4,FALSE)="IMP 1","Attention IMP 1 dans l'effectif",""))</f>
        <v/>
      </c>
      <c r="O10" s="113" t="str">
        <f>IF(F10="","",IF(VLOOKUP(F10,PERSONNELS!$A$2:$G$100,6,FALSE)="","",VLOOKUP(F10,PERSONNELS!$A$2:$G$100,6,FALSE)))</f>
        <v/>
      </c>
      <c r="P10" s="113" t="str">
        <f t="shared" si="5"/>
        <v/>
      </c>
      <c r="Q10" s="117" t="str">
        <f>IF(F10="","",IF(VLOOKUP(F10,RATIO!$A$2:$F$21,6,FALSE)="","",VLOOKUP(F10,RATIO!$A$2:$F$21,6,FALSE)))</f>
        <v/>
      </c>
    </row>
    <row r="11" spans="1:17" x14ac:dyDescent="0.25">
      <c r="A11" s="113" t="str">
        <f t="shared" si="0"/>
        <v/>
      </c>
      <c r="B11" s="113" t="str">
        <f>IF(DONNEES!A27="","",DONNEES!A27)</f>
        <v/>
      </c>
      <c r="C11" s="113" t="str">
        <f t="shared" si="1"/>
        <v/>
      </c>
      <c r="E11" s="113" t="str">
        <f t="shared" si="2"/>
        <v/>
      </c>
      <c r="F11" s="158" t="str">
        <f t="shared" si="3"/>
        <v/>
      </c>
      <c r="G11" s="118" t="str">
        <f>IF(F11="","",VLOOKUP($F11,PERSONNELS!$A$2:$G$100,3,FALSE))</f>
        <v/>
      </c>
      <c r="H11" s="118" t="str">
        <f>IF(F11="","",VLOOKUP(F11,RATIO!$A$2:$E$21,2,FALSE))</f>
        <v/>
      </c>
      <c r="I11" s="118" t="str">
        <f>IF(F11="","",VLOOKUP(F11,RATIO!$A$2:$E$21,3,FALSE))</f>
        <v/>
      </c>
      <c r="J11" s="118" t="str">
        <f>IF(F11="","",VLOOKUP(F11,RATIO!$A$2:$E$21,4,FALSE))</f>
        <v/>
      </c>
      <c r="K11" s="118" t="str">
        <f>IF(F11="","",VLOOKUP(F11,PERSONNELS!$A$2:$G$100,2,FALSE))</f>
        <v/>
      </c>
      <c r="L11" s="113" t="str">
        <f t="shared" si="4"/>
        <v xml:space="preserve"> </v>
      </c>
      <c r="M11" s="113" t="str">
        <f>IF(F11="","",IF(VLOOKUP(F11,PERSONNELS!$A$2:$G$100,4,FALSE)="IMP 3","Attention IMP 3 pas en position de formateur",""))</f>
        <v/>
      </c>
      <c r="N11" s="113" t="str">
        <f>IF(F11="","",IF(VLOOKUP(F11,PERSONNELS!$A$2:$G$100,4,FALSE)="IMP 1","Attention IMP 1 dans l'effectif",""))</f>
        <v/>
      </c>
      <c r="O11" s="113" t="str">
        <f>IF(F11="","",IF(VLOOKUP(F11,PERSONNELS!$A$2:$G$100,6,FALSE)="","",VLOOKUP(F11,PERSONNELS!$A$2:$G$100,6,FALSE)))</f>
        <v/>
      </c>
      <c r="P11" s="113" t="str">
        <f t="shared" si="5"/>
        <v/>
      </c>
      <c r="Q11" s="117" t="str">
        <f>IF(F11="","",IF(VLOOKUP(F11,RATIO!$A$2:$F$21,6,FALSE)="","",VLOOKUP(F11,RATIO!$A$2:$F$21,6,FALSE)))</f>
        <v/>
      </c>
    </row>
    <row r="12" spans="1:17" x14ac:dyDescent="0.25">
      <c r="A12" s="113" t="str">
        <f t="shared" si="0"/>
        <v/>
      </c>
      <c r="B12" s="113" t="str">
        <f>IF(DONNEES!A28="","",DONNEES!A28)</f>
        <v/>
      </c>
      <c r="C12" s="113" t="str">
        <f t="shared" si="1"/>
        <v/>
      </c>
      <c r="E12" s="113" t="str">
        <f t="shared" si="2"/>
        <v/>
      </c>
      <c r="F12" s="158" t="str">
        <f t="shared" si="3"/>
        <v/>
      </c>
      <c r="G12" s="118" t="str">
        <f>IF(F12="","",VLOOKUP($F12,PERSONNELS!$A$2:$G$100,3,FALSE))</f>
        <v/>
      </c>
      <c r="H12" s="118" t="str">
        <f>IF(F12="","",VLOOKUP(F12,RATIO!$A$2:$E$21,2,FALSE))</f>
        <v/>
      </c>
      <c r="I12" s="118" t="str">
        <f>IF(F12="","",VLOOKUP(F12,RATIO!$A$2:$E$21,3,FALSE))</f>
        <v/>
      </c>
      <c r="J12" s="118" t="str">
        <f>IF(F12="","",VLOOKUP(F12,RATIO!$A$2:$E$21,4,FALSE))</f>
        <v/>
      </c>
      <c r="K12" s="118" t="str">
        <f>IF(F12="","",VLOOKUP(F12,PERSONNELS!$A$2:$G$100,2,FALSE))</f>
        <v/>
      </c>
      <c r="L12" s="113" t="str">
        <f t="shared" si="4"/>
        <v xml:space="preserve"> </v>
      </c>
      <c r="M12" s="113" t="str">
        <f>IF(F12="","",IF(VLOOKUP(F12,PERSONNELS!$A$2:$G$100,4,FALSE)="IMP 3","Attention IMP 3 pas en position de formateur",""))</f>
        <v/>
      </c>
      <c r="N12" s="113" t="str">
        <f>IF(F12="","",IF(VLOOKUP(F12,PERSONNELS!$A$2:$G$100,4,FALSE)="IMP 1","Attention IMP 1 dans l'effectif",""))</f>
        <v/>
      </c>
      <c r="O12" s="113" t="str">
        <f>IF(F12="","",IF(VLOOKUP(F12,PERSONNELS!$A$2:$G$100,6,FALSE)="","",VLOOKUP(F12,PERSONNELS!$A$2:$G$100,6,FALSE)))</f>
        <v/>
      </c>
      <c r="P12" s="113" t="str">
        <f t="shared" si="5"/>
        <v/>
      </c>
      <c r="Q12" s="117" t="str">
        <f>IF(F12="","",IF(VLOOKUP(F12,RATIO!$A$2:$F$21,6,FALSE)="","",VLOOKUP(F12,RATIO!$A$2:$F$21,6,FALSE)))</f>
        <v/>
      </c>
    </row>
    <row r="13" spans="1:17" x14ac:dyDescent="0.25">
      <c r="A13" s="113" t="str">
        <f t="shared" si="0"/>
        <v/>
      </c>
      <c r="B13" s="113" t="str">
        <f>IF(DONNEES!A29="","",DONNEES!A29)</f>
        <v/>
      </c>
      <c r="C13" s="113" t="str">
        <f t="shared" si="1"/>
        <v/>
      </c>
      <c r="E13" s="113" t="str">
        <f t="shared" si="2"/>
        <v/>
      </c>
      <c r="F13" s="158" t="str">
        <f t="shared" si="3"/>
        <v/>
      </c>
      <c r="G13" s="118" t="str">
        <f>IF(F13="","",VLOOKUP($F13,PERSONNELS!$A$2:$G$100,3,FALSE))</f>
        <v/>
      </c>
      <c r="H13" s="118" t="str">
        <f>IF(F13="","",VLOOKUP(F13,RATIO!$A$2:$E$21,2,FALSE))</f>
        <v/>
      </c>
      <c r="I13" s="118" t="str">
        <f>IF(F13="","",VLOOKUP(F13,RATIO!$A$2:$E$21,3,FALSE))</f>
        <v/>
      </c>
      <c r="J13" s="118" t="str">
        <f>IF(F13="","",VLOOKUP(F13,RATIO!$A$2:$E$21,4,FALSE))</f>
        <v/>
      </c>
      <c r="K13" s="118" t="str">
        <f>IF(F13="","",VLOOKUP(F13,PERSONNELS!$A$2:$G$100,2,FALSE))</f>
        <v/>
      </c>
      <c r="L13" s="113" t="str">
        <f t="shared" si="4"/>
        <v xml:space="preserve"> </v>
      </c>
      <c r="M13" s="113" t="str">
        <f>IF(F13="","",IF(VLOOKUP(F13,PERSONNELS!$A$2:$G$100,4,FALSE)="IMP 3","Attention IMP 3 pas en position de formateur",""))</f>
        <v/>
      </c>
      <c r="N13" s="113" t="str">
        <f>IF(F13="","",IF(VLOOKUP(F13,PERSONNELS!$A$2:$G$100,4,FALSE)="IMP 1","Attention IMP 1 dans l'effectif",""))</f>
        <v/>
      </c>
      <c r="O13" s="113" t="str">
        <f>IF(F13="","",IF(VLOOKUP(F13,PERSONNELS!$A$2:$G$100,6,FALSE)="","",VLOOKUP(F13,PERSONNELS!$A$2:$G$100,6,FALSE)))</f>
        <v/>
      </c>
      <c r="P13" s="113" t="str">
        <f t="shared" si="5"/>
        <v/>
      </c>
      <c r="Q13" s="117" t="str">
        <f>IF(F13="","",IF(VLOOKUP(F13,RATIO!$A$2:$F$21,6,FALSE)="","",VLOOKUP(F13,RATIO!$A$2:$F$21,6,FALSE)))</f>
        <v/>
      </c>
    </row>
    <row r="14" spans="1:17" x14ac:dyDescent="0.25">
      <c r="A14" s="113" t="str">
        <f t="shared" si="0"/>
        <v/>
      </c>
      <c r="B14" s="113" t="str">
        <f>IF(DONNEES!A30="","",DONNEES!A30)</f>
        <v/>
      </c>
      <c r="C14" s="113" t="str">
        <f t="shared" si="1"/>
        <v/>
      </c>
      <c r="E14" s="113" t="str">
        <f t="shared" si="2"/>
        <v/>
      </c>
      <c r="F14" s="158" t="str">
        <f t="shared" si="3"/>
        <v/>
      </c>
      <c r="G14" s="118" t="str">
        <f>IF(F14="","",VLOOKUP($F14,PERSONNELS!$A$2:$G$100,3,FALSE))</f>
        <v/>
      </c>
      <c r="H14" s="118" t="str">
        <f>IF(F14="","",VLOOKUP(F14,RATIO!$A$2:$E$21,2,FALSE))</f>
        <v/>
      </c>
      <c r="I14" s="118" t="str">
        <f>IF(F14="","",VLOOKUP(F14,RATIO!$A$2:$E$21,3,FALSE))</f>
        <v/>
      </c>
      <c r="J14" s="118" t="str">
        <f>IF(F14="","",VLOOKUP(F14,RATIO!$A$2:$E$21,4,FALSE))</f>
        <v/>
      </c>
      <c r="K14" s="118" t="str">
        <f>IF(F14="","",VLOOKUP(F14,PERSONNELS!$A$2:$G$100,2,FALSE))</f>
        <v/>
      </c>
      <c r="L14" s="113" t="str">
        <f t="shared" si="4"/>
        <v xml:space="preserve"> </v>
      </c>
      <c r="M14" s="113" t="str">
        <f>IF(F14="","",IF(VLOOKUP(F14,PERSONNELS!$A$2:$G$100,4,FALSE)="IMP 3","Attention IMP 3 pas en position de formateur",""))</f>
        <v/>
      </c>
      <c r="N14" s="113" t="str">
        <f>IF(F14="","",IF(VLOOKUP(F14,PERSONNELS!$A$2:$G$100,4,FALSE)="IMP 1","Attention IMP 1 dans l'effectif",""))</f>
        <v/>
      </c>
      <c r="O14" s="113" t="str">
        <f>IF(F14="","",IF(VLOOKUP(F14,PERSONNELS!$A$2:$G$100,6,FALSE)="","",VLOOKUP(F14,PERSONNELS!$A$2:$G$100,6,FALSE)))</f>
        <v/>
      </c>
      <c r="P14" s="113" t="str">
        <f t="shared" si="5"/>
        <v/>
      </c>
      <c r="Q14" s="117" t="str">
        <f>IF(F14="","",IF(VLOOKUP(F14,RATIO!$A$2:$F$21,6,FALSE)="","",VLOOKUP(F14,RATIO!$A$2:$F$21,6,FALSE)))</f>
        <v/>
      </c>
    </row>
    <row r="15" spans="1:17" x14ac:dyDescent="0.25">
      <c r="A15" s="113" t="str">
        <f t="shared" si="0"/>
        <v/>
      </c>
      <c r="B15" s="113" t="str">
        <f>IF(DONNEES!A31="","",DONNEES!A31)</f>
        <v/>
      </c>
      <c r="C15" s="113" t="str">
        <f t="shared" si="1"/>
        <v/>
      </c>
      <c r="E15" s="113" t="str">
        <f t="shared" si="2"/>
        <v/>
      </c>
      <c r="F15" s="158" t="str">
        <f t="shared" si="3"/>
        <v/>
      </c>
      <c r="G15" s="118" t="str">
        <f>IF(F15="","",VLOOKUP($F15,PERSONNELS!$A$2:$G$100,3,FALSE))</f>
        <v/>
      </c>
      <c r="H15" s="118" t="str">
        <f>IF(F15="","",VLOOKUP(F15,RATIO!$A$2:$E$21,2,FALSE))</f>
        <v/>
      </c>
      <c r="I15" s="118" t="str">
        <f>IF(F15="","",VLOOKUP(F15,RATIO!$A$2:$E$21,3,FALSE))</f>
        <v/>
      </c>
      <c r="J15" s="118" t="str">
        <f>IF(F15="","",VLOOKUP(F15,RATIO!$A$2:$E$21,4,FALSE))</f>
        <v/>
      </c>
      <c r="K15" s="118" t="str">
        <f>IF(F15="","",VLOOKUP(F15,PERSONNELS!$A$2:$G$100,2,FALSE))</f>
        <v/>
      </c>
      <c r="L15" s="113" t="str">
        <f t="shared" si="4"/>
        <v xml:space="preserve"> </v>
      </c>
      <c r="M15" s="113" t="str">
        <f>IF(F15="","",IF(VLOOKUP(F15,PERSONNELS!$A$2:$G$100,4,FALSE)="IMP 3","Attention IMP 3 pas en position de formateur",""))</f>
        <v/>
      </c>
      <c r="N15" s="113" t="str">
        <f>IF(F15="","",IF(VLOOKUP(F15,PERSONNELS!$A$2:$G$100,4,FALSE)="IMP 1","Attention IMP 1 dans l'effectif",""))</f>
        <v/>
      </c>
      <c r="O15" s="113" t="str">
        <f>IF(F15="","",IF(VLOOKUP(F15,PERSONNELS!$A$2:$G$100,6,FALSE)="","",VLOOKUP(F15,PERSONNELS!$A$2:$G$100,6,FALSE)))</f>
        <v/>
      </c>
      <c r="P15" s="113" t="str">
        <f t="shared" si="5"/>
        <v/>
      </c>
      <c r="Q15" s="117" t="str">
        <f>IF(F15="","",IF(VLOOKUP(F15,RATIO!$A$2:$F$21,6,FALSE)="","",VLOOKUP(F15,RATIO!$A$2:$F$21,6,FALSE)))</f>
        <v/>
      </c>
    </row>
    <row r="16" spans="1:17" x14ac:dyDescent="0.25">
      <c r="A16" s="113" t="str">
        <f t="shared" si="0"/>
        <v/>
      </c>
      <c r="B16" s="113" t="str">
        <f>IF(DONNEES!A32="","",DONNEES!A32)</f>
        <v/>
      </c>
      <c r="C16" s="113" t="str">
        <f t="shared" si="1"/>
        <v/>
      </c>
      <c r="E16" s="113" t="str">
        <f t="shared" si="2"/>
        <v/>
      </c>
      <c r="F16" s="158" t="str">
        <f t="shared" si="3"/>
        <v/>
      </c>
      <c r="G16" s="118" t="str">
        <f>IF(F16="","",VLOOKUP($F16,PERSONNELS!$A$2:$G$100,3,FALSE))</f>
        <v/>
      </c>
      <c r="H16" s="118" t="str">
        <f>IF(F16="","",VLOOKUP(F16,RATIO!$A$2:$E$21,2,FALSE))</f>
        <v/>
      </c>
      <c r="I16" s="118" t="str">
        <f>IF(F16="","",VLOOKUP(F16,RATIO!$A$2:$E$21,3,FALSE))</f>
        <v/>
      </c>
      <c r="J16" s="118" t="str">
        <f>IF(F16="","",VLOOKUP(F16,RATIO!$A$2:$E$21,4,FALSE))</f>
        <v/>
      </c>
      <c r="K16" s="118" t="str">
        <f>IF(F16="","",VLOOKUP(F16,PERSONNELS!$A$2:$G$100,2,FALSE))</f>
        <v/>
      </c>
      <c r="L16" s="113" t="str">
        <f t="shared" si="4"/>
        <v xml:space="preserve"> </v>
      </c>
      <c r="M16" s="113" t="str">
        <f>IF(F16="","",IF(VLOOKUP(F16,PERSONNELS!$A$2:$G$100,4,FALSE)="IMP 3","Attention IMP 3 pas en position de formateur",""))</f>
        <v/>
      </c>
      <c r="N16" s="113" t="str">
        <f>IF(F16="","",IF(VLOOKUP(F16,PERSONNELS!$A$2:$G$100,4,FALSE)="IMP 1","Attention IMP 1 dans l'effectif",""))</f>
        <v/>
      </c>
      <c r="O16" s="113" t="str">
        <f>IF(F16="","",IF(VLOOKUP(F16,PERSONNELS!$A$2:$G$100,6,FALSE)="","",VLOOKUP(F16,PERSONNELS!$A$2:$G$100,6,FALSE)))</f>
        <v/>
      </c>
      <c r="P16" s="113" t="str">
        <f t="shared" si="5"/>
        <v/>
      </c>
      <c r="Q16" s="117" t="str">
        <f>IF(F16="","",IF(VLOOKUP(F16,RATIO!$A$2:$F$21,6,FALSE)="","",VLOOKUP(F16,RATIO!$A$2:$F$21,6,FALSE)))</f>
        <v/>
      </c>
    </row>
    <row r="17" spans="1:17" x14ac:dyDescent="0.25">
      <c r="A17" s="113" t="str">
        <f t="shared" si="0"/>
        <v/>
      </c>
      <c r="B17" s="113" t="str">
        <f>IF(DONNEES!A33="","",DONNEES!A33)</f>
        <v/>
      </c>
      <c r="C17" s="113" t="str">
        <f t="shared" si="1"/>
        <v/>
      </c>
      <c r="E17" s="113" t="str">
        <f t="shared" si="2"/>
        <v/>
      </c>
      <c r="F17" s="158" t="str">
        <f t="shared" si="3"/>
        <v/>
      </c>
      <c r="G17" s="118" t="str">
        <f>IF(F17="","",VLOOKUP($F17,PERSONNELS!$A$2:$G$100,3,FALSE))</f>
        <v/>
      </c>
      <c r="H17" s="118" t="str">
        <f>IF(F17="","",VLOOKUP(F17,RATIO!$A$2:$E$21,2,FALSE))</f>
        <v/>
      </c>
      <c r="I17" s="118" t="str">
        <f>IF(F17="","",VLOOKUP(F17,RATIO!$A$2:$E$21,3,FALSE))</f>
        <v/>
      </c>
      <c r="J17" s="118" t="str">
        <f>IF(F17="","",VLOOKUP(F17,RATIO!$A$2:$E$21,4,FALSE))</f>
        <v/>
      </c>
      <c r="K17" s="118" t="str">
        <f>IF(F17="","",VLOOKUP(F17,PERSONNELS!$A$2:$G$100,2,FALSE))</f>
        <v/>
      </c>
      <c r="L17" s="113" t="str">
        <f t="shared" si="4"/>
        <v xml:space="preserve"> </v>
      </c>
      <c r="M17" s="113" t="str">
        <f>IF(F17="","",IF(VLOOKUP(F17,PERSONNELS!$A$2:$G$100,4,FALSE)="IMP 3","Attention IMP 3 pas en position de formateur",""))</f>
        <v/>
      </c>
      <c r="N17" s="113" t="str">
        <f>IF(F17="","",IF(VLOOKUP(F17,PERSONNELS!$A$2:$G$100,4,FALSE)="IMP 1","Attention IMP 1 dans l'effectif",""))</f>
        <v/>
      </c>
      <c r="O17" s="113" t="str">
        <f>IF(F17="","",IF(VLOOKUP(F17,PERSONNELS!$A$2:$G$100,6,FALSE)="","",VLOOKUP(F17,PERSONNELS!$A$2:$G$100,6,FALSE)))</f>
        <v/>
      </c>
      <c r="P17" s="113" t="str">
        <f t="shared" si="5"/>
        <v/>
      </c>
      <c r="Q17" s="117" t="str">
        <f>IF(F17="","",IF(VLOOKUP(F17,RATIO!$A$2:$F$21,6,FALSE)="","",VLOOKUP(F17,RATIO!$A$2:$F$21,6,FALSE)))</f>
        <v/>
      </c>
    </row>
    <row r="18" spans="1:17" x14ac:dyDescent="0.25">
      <c r="A18" s="113" t="str">
        <f t="shared" si="0"/>
        <v/>
      </c>
      <c r="B18" s="113" t="str">
        <f>IF(DONNEES!A34="","",DONNEES!A34)</f>
        <v/>
      </c>
      <c r="C18" s="113" t="str">
        <f t="shared" si="1"/>
        <v/>
      </c>
      <c r="E18" s="113" t="str">
        <f t="shared" si="2"/>
        <v/>
      </c>
      <c r="F18" s="158" t="str">
        <f t="shared" si="3"/>
        <v/>
      </c>
      <c r="G18" s="118" t="str">
        <f>IF(F18="","",VLOOKUP($F18,PERSONNELS!$A$2:$G$100,3,FALSE))</f>
        <v/>
      </c>
      <c r="H18" s="118" t="str">
        <f>IF(F18="","",VLOOKUP(F18,RATIO!$A$2:$E$21,2,FALSE))</f>
        <v/>
      </c>
      <c r="I18" s="118" t="str">
        <f>IF(F18="","",VLOOKUP(F18,RATIO!$A$2:$E$21,3,FALSE))</f>
        <v/>
      </c>
      <c r="J18" s="118" t="str">
        <f>IF(F18="","",VLOOKUP(F18,RATIO!$A$2:$E$21,4,FALSE))</f>
        <v/>
      </c>
      <c r="K18" s="118" t="str">
        <f>IF(F18="","",VLOOKUP(F18,PERSONNELS!$A$2:$G$100,2,FALSE))</f>
        <v/>
      </c>
      <c r="L18" s="113" t="str">
        <f t="shared" si="4"/>
        <v xml:space="preserve"> </v>
      </c>
      <c r="M18" s="113" t="str">
        <f>IF(F18="","",IF(VLOOKUP(F18,PERSONNELS!$A$2:$G$100,4,FALSE)="IMP 3","Attention IMP 3 pas en position de formateur",""))</f>
        <v/>
      </c>
      <c r="N18" s="113" t="str">
        <f>IF(F18="","",IF(VLOOKUP(F18,PERSONNELS!$A$2:$G$100,4,FALSE)="IMP 1","Attention IMP 1 dans l'effectif",""))</f>
        <v/>
      </c>
      <c r="O18" s="113" t="str">
        <f>IF(F18="","",IF(VLOOKUP(F18,PERSONNELS!$A$2:$G$100,6,FALSE)="","",VLOOKUP(F18,PERSONNELS!$A$2:$G$100,6,FALSE)))</f>
        <v/>
      </c>
      <c r="P18" s="113" t="str">
        <f t="shared" si="5"/>
        <v/>
      </c>
      <c r="Q18" s="117" t="str">
        <f>IF(F18="","",IF(VLOOKUP(F18,RATIO!$A$2:$F$21,6,FALSE)="","",VLOOKUP(F18,RATIO!$A$2:$F$21,6,FALSE)))</f>
        <v/>
      </c>
    </row>
    <row r="19" spans="1:17" x14ac:dyDescent="0.25">
      <c r="A19" s="113" t="str">
        <f t="shared" si="0"/>
        <v/>
      </c>
      <c r="B19" s="113" t="str">
        <f>IF(DONNEES!A35="","",DONNEES!A35)</f>
        <v/>
      </c>
      <c r="C19" s="113" t="str">
        <f t="shared" si="1"/>
        <v/>
      </c>
      <c r="E19" s="113" t="str">
        <f t="shared" si="2"/>
        <v/>
      </c>
      <c r="F19" s="158" t="str">
        <f t="shared" si="3"/>
        <v/>
      </c>
      <c r="G19" s="118" t="str">
        <f>IF(F19="","",VLOOKUP($F19,PERSONNELS!$A$2:$G$100,3,FALSE))</f>
        <v/>
      </c>
      <c r="H19" s="118" t="str">
        <f>IF(F19="","",VLOOKUP(F19,RATIO!$A$2:$E$21,2,FALSE))</f>
        <v/>
      </c>
      <c r="I19" s="118" t="str">
        <f>IF(F19="","",VLOOKUP(F19,RATIO!$A$2:$E$21,3,FALSE))</f>
        <v/>
      </c>
      <c r="J19" s="118" t="str">
        <f>IF(F19="","",VLOOKUP(F19,RATIO!$A$2:$E$21,4,FALSE))</f>
        <v/>
      </c>
      <c r="K19" s="118" t="str">
        <f>IF(F19="","",VLOOKUP(F19,PERSONNELS!$A$2:$G$100,2,FALSE))</f>
        <v/>
      </c>
      <c r="L19" s="113" t="str">
        <f t="shared" si="4"/>
        <v xml:space="preserve"> </v>
      </c>
      <c r="M19" s="113" t="str">
        <f>IF(F19="","",IF(VLOOKUP(F19,PERSONNELS!$A$2:$G$100,4,FALSE)="IMP 3","Attention IMP 3 pas en position de formateur",""))</f>
        <v/>
      </c>
      <c r="N19" s="113" t="str">
        <f>IF(F19="","",IF(VLOOKUP(F19,PERSONNELS!$A$2:$G$100,4,FALSE)="IMP 1","Attention IMP 1 dans l'effectif",""))</f>
        <v/>
      </c>
      <c r="O19" s="113" t="str">
        <f>IF(F19="","",IF(VLOOKUP(F19,PERSONNELS!$A$2:$G$100,6,FALSE)="","",VLOOKUP(F19,PERSONNELS!$A$2:$G$100,6,FALSE)))</f>
        <v/>
      </c>
      <c r="P19" s="113" t="str">
        <f t="shared" si="5"/>
        <v/>
      </c>
      <c r="Q19" s="117" t="str">
        <f>IF(F19="","",IF(VLOOKUP(F19,RATIO!$A$2:$F$21,6,FALSE)="","",VLOOKUP(F19,RATIO!$A$2:$F$21,6,FALSE)))</f>
        <v/>
      </c>
    </row>
    <row r="20" spans="1:17" x14ac:dyDescent="0.25">
      <c r="A20" s="113" t="str">
        <f t="shared" si="0"/>
        <v/>
      </c>
      <c r="B20" s="113" t="str">
        <f>IF(DONNEES!A36="","",DONNEES!A36)</f>
        <v/>
      </c>
      <c r="C20" s="113" t="str">
        <f t="shared" si="1"/>
        <v/>
      </c>
      <c r="E20" s="113" t="str">
        <f t="shared" si="2"/>
        <v/>
      </c>
      <c r="F20" s="158" t="str">
        <f t="shared" si="3"/>
        <v/>
      </c>
      <c r="G20" s="118" t="str">
        <f>IF(F20="","",VLOOKUP($F20,PERSONNELS!$A$2:$G$100,3,FALSE))</f>
        <v/>
      </c>
      <c r="H20" s="118" t="str">
        <f>IF(F20="","",VLOOKUP(F20,RATIO!$A$2:$E$21,2,FALSE))</f>
        <v/>
      </c>
      <c r="I20" s="118" t="str">
        <f>IF(F20="","",VLOOKUP(F20,RATIO!$A$2:$E$21,3,FALSE))</f>
        <v/>
      </c>
      <c r="J20" s="118" t="str">
        <f>IF(F20="","",VLOOKUP(F20,RATIO!$A$2:$E$21,4,FALSE))</f>
        <v/>
      </c>
      <c r="K20" s="118" t="str">
        <f>IF(F20="","",VLOOKUP(F20,PERSONNELS!$A$2:$G$100,2,FALSE))</f>
        <v/>
      </c>
      <c r="L20" s="113" t="str">
        <f t="shared" si="4"/>
        <v xml:space="preserve"> </v>
      </c>
      <c r="M20" s="113" t="str">
        <f>IF(F20="","",IF(VLOOKUP(F20,PERSONNELS!$A$2:$G$100,4,FALSE)="IMP 3","Attention IMP 3 pas en position de formateur",""))</f>
        <v/>
      </c>
      <c r="N20" s="113" t="str">
        <f>IF(F20="","",IF(VLOOKUP(F20,PERSONNELS!$A$2:$G$100,4,FALSE)="IMP 1","Attention IMP 1 dans l'effectif",""))</f>
        <v/>
      </c>
      <c r="O20" s="113" t="str">
        <f>IF(F20="","",IF(VLOOKUP(F20,PERSONNELS!$A$2:$G$100,6,FALSE)="","",VLOOKUP(F20,PERSONNELS!$A$2:$G$100,6,FALSE)))</f>
        <v/>
      </c>
      <c r="P20" s="113" t="str">
        <f t="shared" si="5"/>
        <v/>
      </c>
      <c r="Q20" s="117" t="str">
        <f>IF(F20="","",IF(VLOOKUP(F20,RATIO!$A$2:$F$21,6,FALSE)="","",VLOOKUP(F20,RATIO!$A$2:$F$21,6,FALSE)))</f>
        <v/>
      </c>
    </row>
    <row r="21" spans="1:17" x14ac:dyDescent="0.25">
      <c r="A21" s="113" t="str">
        <f t="shared" si="0"/>
        <v/>
      </c>
      <c r="B21" s="113" t="str">
        <f>IF(DONNEES!A37="","",DONNEES!A37)</f>
        <v/>
      </c>
      <c r="C21" s="113" t="str">
        <f t="shared" si="1"/>
        <v/>
      </c>
      <c r="E21" s="113" t="str">
        <f t="shared" si="2"/>
        <v/>
      </c>
      <c r="F21" s="158" t="str">
        <f t="shared" si="3"/>
        <v/>
      </c>
      <c r="G21" s="118" t="str">
        <f>IF(F21="","",VLOOKUP($F21,PERSONNELS!$A$2:$G$100,3,FALSE))</f>
        <v/>
      </c>
      <c r="H21" s="118" t="str">
        <f>IF(F21="","",VLOOKUP(F21,RATIO!$A$2:$E$21,2,FALSE))</f>
        <v/>
      </c>
      <c r="I21" s="118" t="str">
        <f>IF(F21="","",VLOOKUP(F21,RATIO!$A$2:$E$21,3,FALSE))</f>
        <v/>
      </c>
      <c r="J21" s="118" t="str">
        <f>IF(F21="","",VLOOKUP(F21,RATIO!$A$2:$E$21,4,FALSE))</f>
        <v/>
      </c>
      <c r="K21" s="118" t="str">
        <f>IF(F21="","",VLOOKUP(F21,PERSONNELS!$A$2:$G$100,2,FALSE))</f>
        <v/>
      </c>
      <c r="L21" s="113" t="str">
        <f t="shared" si="4"/>
        <v xml:space="preserve"> </v>
      </c>
      <c r="M21" s="113" t="str">
        <f>IF(F21="","",IF(VLOOKUP(F21,PERSONNELS!$A$2:$G$100,4,FALSE)="IMP 3","Attention IMP 3 pas en position de formateur",""))</f>
        <v/>
      </c>
      <c r="N21" s="113" t="str">
        <f>IF(F21="","",IF(VLOOKUP(F21,PERSONNELS!$A$2:$G$100,4,FALSE)="IMP 1","Attention IMP 1 dans l'effectif",""))</f>
        <v/>
      </c>
      <c r="O21" s="113" t="str">
        <f>IF(F21="","",IF(VLOOKUP(F21,PERSONNELS!$A$2:$G$100,6,FALSE)="","",VLOOKUP(F21,PERSONNELS!$A$2:$G$100,6,FALSE)))</f>
        <v/>
      </c>
      <c r="P21" s="113" t="str">
        <f t="shared" si="5"/>
        <v/>
      </c>
      <c r="Q21" s="117" t="str">
        <f>IF(F21="","",IF(VLOOKUP(F21,RATIO!$A$2:$F$21,6,FALSE)="","",VLOOKUP(F21,RATIO!$A$2:$F$21,6,FALSE)))</f>
        <v/>
      </c>
    </row>
    <row r="22" spans="1:17" x14ac:dyDescent="0.25">
      <c r="F22" s="157"/>
      <c r="G22" s="157"/>
    </row>
    <row r="23" spans="1:17" x14ac:dyDescent="0.25">
      <c r="F23" s="157"/>
      <c r="G23" s="157"/>
    </row>
    <row r="24" spans="1:17" x14ac:dyDescent="0.25">
      <c r="F24" s="157"/>
      <c r="G24" s="157"/>
    </row>
    <row r="25" spans="1:17" x14ac:dyDescent="0.25">
      <c r="B25" s="113" t="s">
        <v>133</v>
      </c>
      <c r="C25" s="113">
        <f>MIN(C2:C21)</f>
        <v>20</v>
      </c>
    </row>
    <row r="26" spans="1:17" x14ac:dyDescent="0.25">
      <c r="B26" s="113" t="s">
        <v>134</v>
      </c>
      <c r="C26" s="113">
        <f>MAX(C2:C21)</f>
        <v>20</v>
      </c>
    </row>
  </sheetData>
  <sheetProtection algorithmName="SHA-512" hashValue="xwio+im4ztk5STP/08613oUT/pJ7yBR2oVhIkAnwQDY0yEisOGYTYFhlmiNAb1WSOY3h0nmCL40YydUyZPNXPA==" saltValue="ZqWGe/wW74vu2uJJTjyk5w==" spinCount="100000" sheet="1" objects="1" scenarios="1" selectLockedCells="1" selectUnlockedCells="1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H76"/>
  <sheetViews>
    <sheetView workbookViewId="0">
      <selection activeCell="F14" sqref="F14"/>
    </sheetView>
  </sheetViews>
  <sheetFormatPr baseColWidth="10" defaultRowHeight="15" x14ac:dyDescent="0.25"/>
  <cols>
    <col min="1" max="1" width="22.42578125" style="98" bestFit="1" customWidth="1"/>
    <col min="2" max="2" width="23.140625" style="98" bestFit="1" customWidth="1"/>
    <col min="3" max="3" width="11.42578125" style="98"/>
    <col min="4" max="4" width="35.85546875" style="98" customWidth="1"/>
    <col min="5" max="5" width="23" style="98" customWidth="1"/>
    <col min="6" max="6" width="21.42578125" style="98" customWidth="1"/>
    <col min="7" max="7" width="25" style="98" customWidth="1"/>
    <col min="8" max="16384" width="11.42578125" style="98"/>
  </cols>
  <sheetData>
    <row r="1" spans="1:8" x14ac:dyDescent="0.25">
      <c r="D1" s="103"/>
      <c r="F1" s="130" t="s">
        <v>60</v>
      </c>
      <c r="G1" s="130" t="s">
        <v>24</v>
      </c>
    </row>
    <row r="2" spans="1:8" x14ac:dyDescent="0.25">
      <c r="B2" s="118" t="s">
        <v>60</v>
      </c>
      <c r="C2" s="118" t="s">
        <v>24</v>
      </c>
      <c r="D2" s="131"/>
      <c r="E2" s="326" t="s">
        <v>137</v>
      </c>
      <c r="F2" s="132" t="e">
        <f ca="1">IF(E32="","",E32)</f>
        <v>#N/A</v>
      </c>
      <c r="G2" s="133" t="e">
        <f ca="1">IF(E57="","",E57)</f>
        <v>#N/A</v>
      </c>
      <c r="H2" s="327" t="s">
        <v>138</v>
      </c>
    </row>
    <row r="3" spans="1:8" x14ac:dyDescent="0.25">
      <c r="A3" s="113" t="str">
        <f>IF('Ordre alphabétique FLF'!F2="","",'Ordre alphabétique FLF'!F2)</f>
        <v>TOTO</v>
      </c>
      <c r="B3" s="118" t="e">
        <f>IF(A3="","",IF(VLOOKUP($A3,PERSONNELS!$A$2:$G$100,3,FALSE)=$B$2,"X",""))</f>
        <v>#N/A</v>
      </c>
      <c r="C3" s="118" t="e">
        <f>IF(A3="","",IF(VLOOKUP($A3,PERSONNELS!$A$2:$G$100,3,FALSE)=$C$2,"X",""))</f>
        <v>#N/A</v>
      </c>
      <c r="D3" s="134"/>
      <c r="E3" s="326"/>
      <c r="F3" s="132" t="e">
        <f t="shared" ref="F3:F21" ca="1" si="0">IF(E33="","",E33)</f>
        <v>#N/A</v>
      </c>
      <c r="G3" s="133" t="e">
        <f t="shared" ref="G3:G22" ca="1" si="1">IF(E58="","",E58)</f>
        <v>#N/A</v>
      </c>
      <c r="H3" s="327"/>
    </row>
    <row r="4" spans="1:8" x14ac:dyDescent="0.25">
      <c r="A4" s="113" t="str">
        <f>IF('Ordre alphabétique FLF'!F3="","",'Ordre alphabétique FLF'!F3)</f>
        <v/>
      </c>
      <c r="B4" s="118" t="str">
        <f>IF(A4="","",IF(VLOOKUP($A4,PERSONNELS!$A$2:$G$100,3,FALSE)=$B$2,"X",""))</f>
        <v/>
      </c>
      <c r="C4" s="118" t="str">
        <f>IF(A4="","",IF(VLOOKUP($A4,PERSONNELS!$A$2:$G$100,3,FALSE)=$C$2,"X",""))</f>
        <v/>
      </c>
      <c r="D4" s="134"/>
      <c r="E4" s="326"/>
      <c r="F4" s="132" t="e">
        <f t="shared" ca="1" si="0"/>
        <v>#N/A</v>
      </c>
      <c r="G4" s="133" t="e">
        <f t="shared" ca="1" si="1"/>
        <v>#N/A</v>
      </c>
      <c r="H4" s="327"/>
    </row>
    <row r="5" spans="1:8" x14ac:dyDescent="0.25">
      <c r="A5" s="113" t="str">
        <f>IF('Ordre alphabétique FLF'!F4="","",'Ordre alphabétique FLF'!F4)</f>
        <v/>
      </c>
      <c r="B5" s="118" t="str">
        <f>IF(A5="","",IF(VLOOKUP($A5,PERSONNELS!$A$2:$G$100,3,FALSE)=$B$2,"X",""))</f>
        <v/>
      </c>
      <c r="C5" s="118" t="str">
        <f>IF(A5="","",IF(VLOOKUP($A5,PERSONNELS!$A$2:$G$100,3,FALSE)=$C$2,"X",""))</f>
        <v/>
      </c>
      <c r="D5" s="134"/>
      <c r="E5" s="326"/>
      <c r="F5" s="132" t="e">
        <f t="shared" ca="1" si="0"/>
        <v>#N/A</v>
      </c>
      <c r="G5" s="133" t="e">
        <f t="shared" ca="1" si="1"/>
        <v>#N/A</v>
      </c>
      <c r="H5" s="327"/>
    </row>
    <row r="6" spans="1:8" x14ac:dyDescent="0.25">
      <c r="A6" s="113" t="str">
        <f>IF('Ordre alphabétique FLF'!F5="","",'Ordre alphabétique FLF'!F5)</f>
        <v/>
      </c>
      <c r="B6" s="118" t="str">
        <f>IF(A6="","",IF(VLOOKUP($A6,PERSONNELS!$A$2:$G$100,3,FALSE)=$B$2,"X",""))</f>
        <v/>
      </c>
      <c r="C6" s="118" t="str">
        <f>IF(A6="","",IF(VLOOKUP($A6,PERSONNELS!$A$2:$G$100,3,FALSE)=$C$2,"X",""))</f>
        <v/>
      </c>
      <c r="D6" s="134"/>
      <c r="E6" s="326"/>
      <c r="F6" s="132" t="e">
        <f t="shared" ca="1" si="0"/>
        <v>#N/A</v>
      </c>
      <c r="G6" s="133" t="e">
        <f t="shared" ca="1" si="1"/>
        <v>#N/A</v>
      </c>
      <c r="H6" s="327"/>
    </row>
    <row r="7" spans="1:8" x14ac:dyDescent="0.25">
      <c r="A7" s="113" t="str">
        <f>IF('Ordre alphabétique FLF'!F6="","",'Ordre alphabétique FLF'!F6)</f>
        <v/>
      </c>
      <c r="B7" s="118" t="str">
        <f>IF(A7="","",IF(VLOOKUP($A7,PERSONNELS!$A$2:$G$100,3,FALSE)=$B$2,"X",""))</f>
        <v/>
      </c>
      <c r="C7" s="118" t="str">
        <f>IF(A7="","",IF(VLOOKUP($A7,PERSONNELS!$A$2:$G$100,3,FALSE)=$C$2,"X",""))</f>
        <v/>
      </c>
      <c r="D7" s="134"/>
      <c r="E7" s="326"/>
      <c r="F7" s="132" t="e">
        <f t="shared" ca="1" si="0"/>
        <v>#N/A</v>
      </c>
      <c r="G7" s="133" t="e">
        <f t="shared" ca="1" si="1"/>
        <v>#N/A</v>
      </c>
      <c r="H7" s="327"/>
    </row>
    <row r="8" spans="1:8" x14ac:dyDescent="0.25">
      <c r="A8" s="113" t="str">
        <f>IF('Ordre alphabétique FLF'!F7="","",'Ordre alphabétique FLF'!F7)</f>
        <v/>
      </c>
      <c r="B8" s="118" t="str">
        <f>IF(A8="","",IF(VLOOKUP($A8,PERSONNELS!$A$2:$G$100,3,FALSE)=$B$2,"X",""))</f>
        <v/>
      </c>
      <c r="C8" s="118" t="str">
        <f>IF(A8="","",IF(VLOOKUP($A8,PERSONNELS!$A$2:$G$100,3,FALSE)=$C$2,"X",""))</f>
        <v/>
      </c>
      <c r="D8" s="134"/>
      <c r="E8" s="326"/>
      <c r="F8" s="132" t="e">
        <f t="shared" ca="1" si="0"/>
        <v>#N/A</v>
      </c>
      <c r="G8" s="133" t="e">
        <f t="shared" ca="1" si="1"/>
        <v>#N/A</v>
      </c>
      <c r="H8" s="327"/>
    </row>
    <row r="9" spans="1:8" x14ac:dyDescent="0.25">
      <c r="A9" s="113" t="str">
        <f>IF('Ordre alphabétique FLF'!F8="","",'Ordre alphabétique FLF'!F8)</f>
        <v/>
      </c>
      <c r="B9" s="118" t="str">
        <f>IF(A9="","",IF(VLOOKUP($A9,PERSONNELS!$A$2:$G$100,3,FALSE)=$B$2,"X",""))</f>
        <v/>
      </c>
      <c r="C9" s="118" t="str">
        <f>IF(A9="","",IF(VLOOKUP($A9,PERSONNELS!$A$2:$G$100,3,FALSE)=$C$2,"X",""))</f>
        <v/>
      </c>
      <c r="D9" s="134"/>
      <c r="E9" s="326"/>
      <c r="F9" s="132" t="e">
        <f t="shared" ca="1" si="0"/>
        <v>#N/A</v>
      </c>
      <c r="G9" s="133" t="e">
        <f t="shared" ca="1" si="1"/>
        <v>#N/A</v>
      </c>
      <c r="H9" s="327"/>
    </row>
    <row r="10" spans="1:8" x14ac:dyDescent="0.25">
      <c r="A10" s="113" t="str">
        <f>IF('Ordre alphabétique FLF'!F9="","",'Ordre alphabétique FLF'!F9)</f>
        <v/>
      </c>
      <c r="B10" s="118" t="str">
        <f>IF(A10="","",IF(VLOOKUP($A10,PERSONNELS!$A$2:$G$100,3,FALSE)=$B$2,"X",""))</f>
        <v/>
      </c>
      <c r="C10" s="118" t="str">
        <f>IF(A10="","",IF(VLOOKUP($A10,PERSONNELS!$A$2:$G$100,3,FALSE)=$C$2,"X",""))</f>
        <v/>
      </c>
      <c r="D10" s="134"/>
      <c r="E10" s="326"/>
      <c r="F10" s="132" t="e">
        <f t="shared" ca="1" si="0"/>
        <v>#N/A</v>
      </c>
      <c r="G10" s="133" t="e">
        <f t="shared" ca="1" si="1"/>
        <v>#N/A</v>
      </c>
      <c r="H10" s="327"/>
    </row>
    <row r="11" spans="1:8" x14ac:dyDescent="0.25">
      <c r="A11" s="113" t="str">
        <f>IF('Ordre alphabétique FLF'!F10="","",'Ordre alphabétique FLF'!F10)</f>
        <v/>
      </c>
      <c r="B11" s="118" t="str">
        <f>IF(A11="","",IF(VLOOKUP($A11,PERSONNELS!$A$2:$G$100,3,FALSE)=$B$2,"X",""))</f>
        <v/>
      </c>
      <c r="C11" s="118" t="str">
        <f>IF(A11="","",IF(VLOOKUP($A11,PERSONNELS!$A$2:$G$100,3,FALSE)=$C$2,"X",""))</f>
        <v/>
      </c>
      <c r="D11" s="134"/>
      <c r="E11" s="326"/>
      <c r="F11" s="132" t="e">
        <f t="shared" ca="1" si="0"/>
        <v>#N/A</v>
      </c>
      <c r="G11" s="133" t="e">
        <f t="shared" ca="1" si="1"/>
        <v>#N/A</v>
      </c>
      <c r="H11" s="327"/>
    </row>
    <row r="12" spans="1:8" x14ac:dyDescent="0.25">
      <c r="A12" s="113" t="str">
        <f>IF('Ordre alphabétique FLF'!F11="","",'Ordre alphabétique FLF'!F11)</f>
        <v/>
      </c>
      <c r="B12" s="118" t="str">
        <f>IF(A12="","",IF(VLOOKUP($A12,PERSONNELS!$A$2:$G$100,3,FALSE)=$B$2,"X",""))</f>
        <v/>
      </c>
      <c r="C12" s="118" t="str">
        <f>IF(A12="","",IF(VLOOKUP($A12,PERSONNELS!$A$2:$G$100,3,FALSE)=$C$2,"X",""))</f>
        <v/>
      </c>
      <c r="D12" s="134"/>
      <c r="E12" s="326"/>
      <c r="F12" s="132" t="e">
        <f t="shared" ca="1" si="0"/>
        <v>#N/A</v>
      </c>
      <c r="G12" s="133" t="e">
        <f t="shared" ca="1" si="1"/>
        <v>#N/A</v>
      </c>
      <c r="H12" s="327"/>
    </row>
    <row r="13" spans="1:8" x14ac:dyDescent="0.25">
      <c r="A13" s="113" t="str">
        <f>IF('Ordre alphabétique FLF'!F12="","",'Ordre alphabétique FLF'!F12)</f>
        <v/>
      </c>
      <c r="B13" s="118" t="str">
        <f>IF(A13="","",IF(VLOOKUP($A13,PERSONNELS!$A$2:$G$100,3,FALSE)=$B$2,"X",""))</f>
        <v/>
      </c>
      <c r="C13" s="118" t="str">
        <f>IF(A13="","",IF(VLOOKUP($A13,PERSONNELS!$A$2:$G$100,3,FALSE)=$C$2,"X",""))</f>
        <v/>
      </c>
      <c r="D13" s="134"/>
      <c r="E13" s="326"/>
      <c r="F13" s="132" t="e">
        <f t="shared" ca="1" si="0"/>
        <v>#N/A</v>
      </c>
      <c r="G13" s="133" t="e">
        <f t="shared" ca="1" si="1"/>
        <v>#N/A</v>
      </c>
      <c r="H13" s="327"/>
    </row>
    <row r="14" spans="1:8" x14ac:dyDescent="0.25">
      <c r="A14" s="113" t="str">
        <f>IF('Ordre alphabétique FLF'!F13="","",'Ordre alphabétique FLF'!F13)</f>
        <v/>
      </c>
      <c r="B14" s="118" t="str">
        <f>IF(A14="","",IF(VLOOKUP($A14,PERSONNELS!$A$2:$G$100,3,FALSE)=$B$2,"X",""))</f>
        <v/>
      </c>
      <c r="C14" s="118" t="str">
        <f>IF(A14="","",IF(VLOOKUP($A14,PERSONNELS!$A$2:$G$100,3,FALSE)=$C$2,"X",""))</f>
        <v/>
      </c>
      <c r="D14" s="134"/>
      <c r="E14" s="328" t="s">
        <v>139</v>
      </c>
      <c r="F14" s="135" t="e">
        <f t="shared" ca="1" si="0"/>
        <v>#N/A</v>
      </c>
      <c r="G14" s="133" t="e">
        <f t="shared" ca="1" si="1"/>
        <v>#N/A</v>
      </c>
      <c r="H14" s="327"/>
    </row>
    <row r="15" spans="1:8" x14ac:dyDescent="0.25">
      <c r="A15" s="113" t="str">
        <f>IF('Ordre alphabétique FLF'!F14="","",'Ordre alphabétique FLF'!F14)</f>
        <v/>
      </c>
      <c r="B15" s="118" t="str">
        <f>IF(A15="","",IF(VLOOKUP($A15,PERSONNELS!$A$2:$G$100,3,FALSE)=$B$2,"X",""))</f>
        <v/>
      </c>
      <c r="C15" s="118" t="str">
        <f>IF(A15="","",IF(VLOOKUP($A15,PERSONNELS!$A$2:$G$100,3,FALSE)=$C$2,"X",""))</f>
        <v/>
      </c>
      <c r="D15" s="134"/>
      <c r="E15" s="328"/>
      <c r="F15" s="135" t="e">
        <f t="shared" ca="1" si="0"/>
        <v>#N/A</v>
      </c>
      <c r="G15" s="136" t="e">
        <f t="shared" ca="1" si="1"/>
        <v>#N/A</v>
      </c>
      <c r="H15" s="329" t="s">
        <v>140</v>
      </c>
    </row>
    <row r="16" spans="1:8" x14ac:dyDescent="0.25">
      <c r="A16" s="113" t="str">
        <f>IF('Ordre alphabétique FLF'!F15="","",'Ordre alphabétique FLF'!F15)</f>
        <v/>
      </c>
      <c r="B16" s="118" t="str">
        <f>IF(A16="","",IF(VLOOKUP($A16,PERSONNELS!$A$2:$G$100,3,FALSE)=$B$2,"X",""))</f>
        <v/>
      </c>
      <c r="C16" s="118" t="str">
        <f>IF(A16="","",IF(VLOOKUP($A16,PERSONNELS!$A$2:$G$100,3,FALSE)=$C$2,"X",""))</f>
        <v/>
      </c>
      <c r="D16" s="134"/>
      <c r="E16" s="328"/>
      <c r="F16" s="135" t="e">
        <f t="shared" ca="1" si="0"/>
        <v>#N/A</v>
      </c>
      <c r="G16" s="136" t="e">
        <f t="shared" ca="1" si="1"/>
        <v>#N/A</v>
      </c>
      <c r="H16" s="330"/>
    </row>
    <row r="17" spans="1:8" x14ac:dyDescent="0.25">
      <c r="A17" s="113" t="str">
        <f>IF('Ordre alphabétique FLF'!F16="","",'Ordre alphabétique FLF'!F16)</f>
        <v/>
      </c>
      <c r="B17" s="118" t="str">
        <f>IF(A17="","",IF(VLOOKUP($A17,PERSONNELS!$A$2:$G$100,3,FALSE)=$B$2,"X",""))</f>
        <v/>
      </c>
      <c r="C17" s="118" t="str">
        <f>IF(A17="","",IF(VLOOKUP($A17,PERSONNELS!$A$2:$G$100,3,FALSE)=$C$2,"X",""))</f>
        <v/>
      </c>
      <c r="D17" s="134"/>
      <c r="E17" s="328"/>
      <c r="F17" s="135" t="e">
        <f t="shared" ca="1" si="0"/>
        <v>#N/A</v>
      </c>
      <c r="G17" s="136" t="e">
        <f t="shared" ca="1" si="1"/>
        <v>#N/A</v>
      </c>
      <c r="H17" s="330"/>
    </row>
    <row r="18" spans="1:8" x14ac:dyDescent="0.25">
      <c r="A18" s="113" t="str">
        <f>IF('Ordre alphabétique FLF'!F17="","",'Ordre alphabétique FLF'!F17)</f>
        <v/>
      </c>
      <c r="B18" s="118" t="str">
        <f>IF(A18="","",IF(VLOOKUP($A18,PERSONNELS!$A$2:$G$100,3,FALSE)=$B$2,"X",""))</f>
        <v/>
      </c>
      <c r="C18" s="118" t="str">
        <f>IF(A18="","",IF(VLOOKUP($A18,PERSONNELS!$A$2:$G$100,3,FALSE)=$C$2,"X",""))</f>
        <v/>
      </c>
      <c r="D18" s="134"/>
      <c r="E18" s="328"/>
      <c r="F18" s="135" t="e">
        <f t="shared" ca="1" si="0"/>
        <v>#N/A</v>
      </c>
      <c r="G18" s="136" t="e">
        <f t="shared" ca="1" si="1"/>
        <v>#N/A</v>
      </c>
      <c r="H18" s="330"/>
    </row>
    <row r="19" spans="1:8" x14ac:dyDescent="0.25">
      <c r="A19" s="113" t="str">
        <f>IF('Ordre alphabétique FLF'!F18="","",'Ordre alphabétique FLF'!F18)</f>
        <v/>
      </c>
      <c r="B19" s="118" t="str">
        <f>IF(A19="","",IF(VLOOKUP($A19,PERSONNELS!$A$2:$G$100,3,FALSE)=$B$2,"X",""))</f>
        <v/>
      </c>
      <c r="C19" s="118" t="str">
        <f>IF(A19="","",IF(VLOOKUP($A19,PERSONNELS!$A$2:$G$100,3,FALSE)=$C$2,"X",""))</f>
        <v/>
      </c>
      <c r="D19" s="134"/>
      <c r="E19" s="328"/>
      <c r="F19" s="135" t="e">
        <f t="shared" ca="1" si="0"/>
        <v>#N/A</v>
      </c>
      <c r="G19" s="136" t="e">
        <f t="shared" ca="1" si="1"/>
        <v>#N/A</v>
      </c>
      <c r="H19" s="330"/>
    </row>
    <row r="20" spans="1:8" x14ac:dyDescent="0.25">
      <c r="A20" s="113" t="str">
        <f>IF('Ordre alphabétique FLF'!F19="","",'Ordre alphabétique FLF'!F19)</f>
        <v/>
      </c>
      <c r="B20" s="118" t="str">
        <f>IF(A20="","",IF(VLOOKUP($A20,PERSONNELS!$A$2:$G$100,3,FALSE)=$B$2,"X",""))</f>
        <v/>
      </c>
      <c r="C20" s="118" t="str">
        <f>IF(A20="","",IF(VLOOKUP($A20,PERSONNELS!$A$2:$G$100,3,FALSE)=$C$2,"X",""))</f>
        <v/>
      </c>
      <c r="D20" s="134"/>
      <c r="E20" s="328"/>
      <c r="F20" s="135" t="e">
        <f t="shared" ca="1" si="0"/>
        <v>#N/A</v>
      </c>
      <c r="G20" s="136" t="e">
        <f t="shared" ca="1" si="1"/>
        <v>#N/A</v>
      </c>
      <c r="H20" s="330"/>
    </row>
    <row r="21" spans="1:8" x14ac:dyDescent="0.25">
      <c r="A21" s="113" t="str">
        <f>IF('Ordre alphabétique FLF'!F20="","",'Ordre alphabétique FLF'!F20)</f>
        <v/>
      </c>
      <c r="B21" s="118" t="str">
        <f>IF(A21="","",IF(VLOOKUP($A21,PERSONNELS!$A$2:$G$100,3,FALSE)=$B$2,"X",""))</f>
        <v/>
      </c>
      <c r="C21" s="118" t="str">
        <f>IF(A21="","",IF(VLOOKUP($A21,PERSONNELS!$A$2:$G$100,3,FALSE)=$C$2,"X",""))</f>
        <v/>
      </c>
      <c r="D21" s="103"/>
      <c r="E21" s="328"/>
      <c r="F21" s="135" t="e">
        <f t="shared" ca="1" si="0"/>
        <v>#N/A</v>
      </c>
      <c r="G21" s="136" t="e">
        <f t="shared" ca="1" si="1"/>
        <v>#N/A</v>
      </c>
      <c r="H21" s="330"/>
    </row>
    <row r="22" spans="1:8" x14ac:dyDescent="0.25">
      <c r="A22" s="113" t="str">
        <f>IF('Ordre alphabétique FLF'!F21="","",'Ordre alphabétique FLF'!F21)</f>
        <v/>
      </c>
      <c r="B22" s="118" t="str">
        <f>IF(A22="","",IF(VLOOKUP($A22,PERSONNELS!$A$2:$G$100,3,FALSE)=$B$2,"X",""))</f>
        <v/>
      </c>
      <c r="C22" s="118" t="str">
        <f>IF(A22="","",IF(VLOOKUP($A22,PERSONNELS!$A$2:$G$100,3,FALSE)=$C$2,"X",""))</f>
        <v/>
      </c>
      <c r="E22" s="328"/>
      <c r="F22" s="135"/>
      <c r="G22" s="136" t="str">
        <f t="shared" si="1"/>
        <v/>
      </c>
      <c r="H22" s="330"/>
    </row>
    <row r="23" spans="1:8" x14ac:dyDescent="0.25">
      <c r="A23" s="103"/>
      <c r="B23" s="103"/>
      <c r="C23" s="137"/>
    </row>
    <row r="28" spans="1:8" x14ac:dyDescent="0.25">
      <c r="A28" s="331" t="s">
        <v>60</v>
      </c>
      <c r="B28" s="332"/>
      <c r="C28" s="332"/>
      <c r="D28" s="332"/>
      <c r="E28" s="333"/>
    </row>
    <row r="29" spans="1:8" x14ac:dyDescent="0.25">
      <c r="A29" s="334" t="s">
        <v>141</v>
      </c>
      <c r="B29" s="335"/>
      <c r="C29" s="335"/>
      <c r="D29" s="335"/>
      <c r="E29" s="336"/>
    </row>
    <row r="30" spans="1:8" x14ac:dyDescent="0.25">
      <c r="A30" s="337" t="e">
        <f>CONCATENATE(C32,C33,C34,C35,C36,C37,C38,C39,C40,C41,C42,C43,C44,C45,C46,C47,C48,C49,C50,C51)</f>
        <v>#N/A</v>
      </c>
      <c r="B30" s="338"/>
      <c r="C30" s="338"/>
      <c r="D30" s="338"/>
      <c r="E30" s="339"/>
    </row>
    <row r="31" spans="1:8" x14ac:dyDescent="0.25">
      <c r="A31" s="138" t="s">
        <v>142</v>
      </c>
      <c r="B31" s="139" t="s">
        <v>143</v>
      </c>
      <c r="C31" s="139" t="s">
        <v>144</v>
      </c>
      <c r="D31" s="324" t="s">
        <v>145</v>
      </c>
      <c r="E31" s="325"/>
    </row>
    <row r="32" spans="1:8" x14ac:dyDescent="0.25">
      <c r="A32" s="113" t="str">
        <f>A3</f>
        <v>TOTO</v>
      </c>
      <c r="B32" s="140">
        <v>1</v>
      </c>
      <c r="C32" s="141" t="e">
        <f>IF(B3="x","01","")</f>
        <v>#N/A</v>
      </c>
      <c r="D32" s="142" t="e">
        <f>MID(A30,1,2)</f>
        <v>#N/A</v>
      </c>
      <c r="E32" s="143" t="e">
        <f ca="1">IF(MID(A30,1,2)&lt;&gt;"",OFFSET(A31,MID(A30,1,2),0),"")</f>
        <v>#N/A</v>
      </c>
    </row>
    <row r="33" spans="1:5" x14ac:dyDescent="0.25">
      <c r="A33" s="113" t="str">
        <f t="shared" ref="A33:A51" si="2">A4</f>
        <v/>
      </c>
      <c r="B33" s="140">
        <v>2</v>
      </c>
      <c r="C33" s="141" t="str">
        <f>IF(B4="x","02","")</f>
        <v/>
      </c>
      <c r="D33" s="142" t="e">
        <f>MID(A30,3,2)</f>
        <v>#N/A</v>
      </c>
      <c r="E33" s="143" t="e">
        <f ca="1">IF(MID(A30,3,2)&lt;&gt;"",OFFSET(A31,MID(A30,3,2),0),"")</f>
        <v>#N/A</v>
      </c>
    </row>
    <row r="34" spans="1:5" x14ac:dyDescent="0.25">
      <c r="A34" s="113" t="str">
        <f t="shared" si="2"/>
        <v/>
      </c>
      <c r="B34" s="140">
        <v>3</v>
      </c>
      <c r="C34" s="141" t="str">
        <f>IF(B5="x","03","")</f>
        <v/>
      </c>
      <c r="D34" s="142" t="e">
        <f>MID(A30,5,2)</f>
        <v>#N/A</v>
      </c>
      <c r="E34" s="143" t="e">
        <f ca="1">IF(MID(A30,5,2)&lt;&gt;"",OFFSET(A31,MID(A30,5,2),0),"")</f>
        <v>#N/A</v>
      </c>
    </row>
    <row r="35" spans="1:5" x14ac:dyDescent="0.25">
      <c r="A35" s="113" t="str">
        <f t="shared" si="2"/>
        <v/>
      </c>
      <c r="B35" s="140">
        <v>4</v>
      </c>
      <c r="C35" s="141" t="str">
        <f>IF(B6="x","04","")</f>
        <v/>
      </c>
      <c r="D35" s="142" t="e">
        <f>MID(A30,7,2)</f>
        <v>#N/A</v>
      </c>
      <c r="E35" s="143" t="e">
        <f ca="1">IF(MID(A30,7,2)&lt;&gt;"",OFFSET(A31,MID(A30,7,2),0),"")</f>
        <v>#N/A</v>
      </c>
    </row>
    <row r="36" spans="1:5" x14ac:dyDescent="0.25">
      <c r="A36" s="113" t="str">
        <f t="shared" si="2"/>
        <v/>
      </c>
      <c r="B36" s="140">
        <v>5</v>
      </c>
      <c r="C36" s="141" t="str">
        <f>IF(B7="x","05","")</f>
        <v/>
      </c>
      <c r="D36" s="142" t="e">
        <f>MID(A30,9,2)</f>
        <v>#N/A</v>
      </c>
      <c r="E36" s="143" t="e">
        <f ca="1">IF(MID(A30,9,2)&lt;&gt;"",OFFSET(A31,MID(A30,9,2),0),"")</f>
        <v>#N/A</v>
      </c>
    </row>
    <row r="37" spans="1:5" x14ac:dyDescent="0.25">
      <c r="A37" s="113" t="str">
        <f t="shared" si="2"/>
        <v/>
      </c>
      <c r="B37" s="140">
        <v>6</v>
      </c>
      <c r="C37" s="141" t="str">
        <f>IF(B8="x","06","")</f>
        <v/>
      </c>
      <c r="D37" s="142" t="e">
        <f>MID(A30,11,2)</f>
        <v>#N/A</v>
      </c>
      <c r="E37" s="143" t="e">
        <f ca="1">IF(MID(A30,11,2)&lt;&gt;"",OFFSET(A31,MID(A30,11,2),0),"")</f>
        <v>#N/A</v>
      </c>
    </row>
    <row r="38" spans="1:5" x14ac:dyDescent="0.25">
      <c r="A38" s="113" t="str">
        <f t="shared" si="2"/>
        <v/>
      </c>
      <c r="B38" s="140">
        <v>7</v>
      </c>
      <c r="C38" s="141" t="str">
        <f>IF(B9="x","07","")</f>
        <v/>
      </c>
      <c r="D38" s="142" t="e">
        <f>MID(A30,13,2)</f>
        <v>#N/A</v>
      </c>
      <c r="E38" s="143" t="e">
        <f ca="1">IF(MID(A30,13,2)&lt;&gt;"",OFFSET(A31,MID(A30,13,2),0),"")</f>
        <v>#N/A</v>
      </c>
    </row>
    <row r="39" spans="1:5" x14ac:dyDescent="0.25">
      <c r="A39" s="113" t="str">
        <f t="shared" si="2"/>
        <v/>
      </c>
      <c r="B39" s="140">
        <v>8</v>
      </c>
      <c r="C39" s="141" t="str">
        <f>IF(B10="x","08","")</f>
        <v/>
      </c>
      <c r="D39" s="142" t="e">
        <f>MID(A30,15,2)</f>
        <v>#N/A</v>
      </c>
      <c r="E39" s="143" t="e">
        <f ca="1">IF(MID(A30,15,2)&lt;&gt;"",OFFSET(A31,MID(A30,15,2),0),"")</f>
        <v>#N/A</v>
      </c>
    </row>
    <row r="40" spans="1:5" x14ac:dyDescent="0.25">
      <c r="A40" s="113" t="str">
        <f t="shared" si="2"/>
        <v/>
      </c>
      <c r="B40" s="140">
        <v>9</v>
      </c>
      <c r="C40" s="141" t="str">
        <f>IF(B11="x","09","")</f>
        <v/>
      </c>
      <c r="D40" s="142" t="e">
        <f>MID(A30,17,2)</f>
        <v>#N/A</v>
      </c>
      <c r="E40" s="143" t="e">
        <f ca="1">IF(MID(A30,17,2)&lt;&gt;"",OFFSET(A31,MID(A30,17,2),0),"")</f>
        <v>#N/A</v>
      </c>
    </row>
    <row r="41" spans="1:5" x14ac:dyDescent="0.25">
      <c r="A41" s="113" t="str">
        <f t="shared" si="2"/>
        <v/>
      </c>
      <c r="B41" s="140">
        <v>10</v>
      </c>
      <c r="C41" s="141" t="str">
        <f>IF(B12="x","10","")</f>
        <v/>
      </c>
      <c r="D41" s="142" t="e">
        <f>MID(A30,19,2)</f>
        <v>#N/A</v>
      </c>
      <c r="E41" s="143" t="e">
        <f ca="1">IF(MID(A30,19,2)&lt;&gt;"",OFFSET(A31,MID(A30,19,2),0),"")</f>
        <v>#N/A</v>
      </c>
    </row>
    <row r="42" spans="1:5" x14ac:dyDescent="0.25">
      <c r="A42" s="113" t="str">
        <f t="shared" si="2"/>
        <v/>
      </c>
      <c r="B42" s="140">
        <v>11</v>
      </c>
      <c r="C42" s="141" t="str">
        <f>IF(B13="x","11","")</f>
        <v/>
      </c>
      <c r="D42" s="142" t="e">
        <f>MID(A30,21,2)</f>
        <v>#N/A</v>
      </c>
      <c r="E42" s="143" t="e">
        <f ca="1">IF(MID(A30,21,2)&lt;&gt;"",OFFSET(A31,MID(A30,21,2),0),"")</f>
        <v>#N/A</v>
      </c>
    </row>
    <row r="43" spans="1:5" x14ac:dyDescent="0.25">
      <c r="A43" s="113" t="str">
        <f t="shared" si="2"/>
        <v/>
      </c>
      <c r="B43" s="140">
        <v>12</v>
      </c>
      <c r="C43" s="141" t="str">
        <f>IF(B14="x","12","")</f>
        <v/>
      </c>
      <c r="D43" s="142" t="e">
        <f>MID(A30,23,2)</f>
        <v>#N/A</v>
      </c>
      <c r="E43" s="143" t="e">
        <f ca="1">IF(MID(A30,23,2)&lt;&gt;"",OFFSET(A31,MID(A30,23,2),0),"")</f>
        <v>#N/A</v>
      </c>
    </row>
    <row r="44" spans="1:5" x14ac:dyDescent="0.25">
      <c r="A44" s="113" t="str">
        <f t="shared" si="2"/>
        <v/>
      </c>
      <c r="B44" s="140">
        <v>13</v>
      </c>
      <c r="C44" s="141" t="str">
        <f>IF(B15="x","13","")</f>
        <v/>
      </c>
      <c r="D44" s="142" t="e">
        <f>MID(A30,25,2)</f>
        <v>#N/A</v>
      </c>
      <c r="E44" s="143" t="e">
        <f ca="1">IF(MID(A30,25,2)&lt;&gt;"",OFFSET(A31,MID(A30,25,2),0),"")</f>
        <v>#N/A</v>
      </c>
    </row>
    <row r="45" spans="1:5" x14ac:dyDescent="0.25">
      <c r="A45" s="113" t="str">
        <f t="shared" si="2"/>
        <v/>
      </c>
      <c r="B45" s="140">
        <v>14</v>
      </c>
      <c r="C45" s="141" t="str">
        <f>IF(B16="x","14","")</f>
        <v/>
      </c>
      <c r="D45" s="142" t="e">
        <f>MID(A30,27,2)</f>
        <v>#N/A</v>
      </c>
      <c r="E45" s="143" t="e">
        <f ca="1">IF(MID(A30,27,2)&lt;&gt;"",OFFSET(A31,MID(A30,27,2),0),"")</f>
        <v>#N/A</v>
      </c>
    </row>
    <row r="46" spans="1:5" x14ac:dyDescent="0.25">
      <c r="A46" s="113" t="str">
        <f t="shared" si="2"/>
        <v/>
      </c>
      <c r="B46" s="140">
        <v>15</v>
      </c>
      <c r="C46" s="141" t="str">
        <f>IF(B17="x","15","")</f>
        <v/>
      </c>
      <c r="D46" s="142" t="e">
        <f>MID(A30,29,2)</f>
        <v>#N/A</v>
      </c>
      <c r="E46" s="143" t="e">
        <f ca="1">IF(MID(A30,29,2)&lt;&gt;"",OFFSET(A31,MID(A30,29,2),0),"")</f>
        <v>#N/A</v>
      </c>
    </row>
    <row r="47" spans="1:5" x14ac:dyDescent="0.25">
      <c r="A47" s="113" t="str">
        <f t="shared" si="2"/>
        <v/>
      </c>
      <c r="B47" s="140">
        <v>16</v>
      </c>
      <c r="C47" s="141" t="str">
        <f>IF(B18="x","16","")</f>
        <v/>
      </c>
      <c r="D47" s="142" t="e">
        <f>MID(A30,31,2)</f>
        <v>#N/A</v>
      </c>
      <c r="E47" s="143" t="e">
        <f ca="1">IF(MID(A30,31,2)&lt;&gt;"",OFFSET(A31,MID(A30,31,2),0),"")</f>
        <v>#N/A</v>
      </c>
    </row>
    <row r="48" spans="1:5" x14ac:dyDescent="0.25">
      <c r="A48" s="113" t="str">
        <f t="shared" si="2"/>
        <v/>
      </c>
      <c r="B48" s="140">
        <v>17</v>
      </c>
      <c r="C48" s="141" t="str">
        <f>IF(B19="x","17","")</f>
        <v/>
      </c>
      <c r="D48" s="142" t="e">
        <f>MID(A30,33,2)</f>
        <v>#N/A</v>
      </c>
      <c r="E48" s="143" t="e">
        <f ca="1">IF(MID(A30,33,2)&lt;&gt;"",OFFSET(A31,MID(A30,33,2),0),"")</f>
        <v>#N/A</v>
      </c>
    </row>
    <row r="49" spans="1:5" x14ac:dyDescent="0.25">
      <c r="A49" s="113" t="str">
        <f t="shared" si="2"/>
        <v/>
      </c>
      <c r="B49" s="140">
        <v>18</v>
      </c>
      <c r="C49" s="141" t="str">
        <f>IF(B20="x","18","")</f>
        <v/>
      </c>
      <c r="D49" s="142" t="e">
        <f>MID(A30,35,2)</f>
        <v>#N/A</v>
      </c>
      <c r="E49" s="143" t="e">
        <f ca="1">IF(MID(A30,35,2)&lt;&gt;"",OFFSET(A31,MID(A30,35,2),0),"")</f>
        <v>#N/A</v>
      </c>
    </row>
    <row r="50" spans="1:5" x14ac:dyDescent="0.25">
      <c r="A50" s="113" t="str">
        <f t="shared" si="2"/>
        <v/>
      </c>
      <c r="B50" s="140">
        <v>19</v>
      </c>
      <c r="C50" s="141" t="str">
        <f>IF(B21="x","19","")</f>
        <v/>
      </c>
      <c r="D50" s="142" t="e">
        <f>MID(A30,37,2)</f>
        <v>#N/A</v>
      </c>
      <c r="E50" s="143" t="e">
        <f ca="1">IF(MID(A30,37,2)&lt;&gt;"",OFFSET(A31,MID(A30,37,2),0),"")</f>
        <v>#N/A</v>
      </c>
    </row>
    <row r="51" spans="1:5" x14ac:dyDescent="0.25">
      <c r="A51" s="113" t="str">
        <f t="shared" si="2"/>
        <v/>
      </c>
      <c r="B51" s="140">
        <v>20</v>
      </c>
      <c r="C51" s="141" t="str">
        <f>IF(B22="x","20","")</f>
        <v/>
      </c>
      <c r="D51" s="142" t="e">
        <f>MID(A30,39,2)</f>
        <v>#N/A</v>
      </c>
      <c r="E51" s="143" t="e">
        <f ca="1">IF(MID(A30,39,2)&lt;&gt;"",OFFSET(A31,MID(A30,39,2),0),"")</f>
        <v>#N/A</v>
      </c>
    </row>
    <row r="53" spans="1:5" x14ac:dyDescent="0.25">
      <c r="A53" s="331" t="s">
        <v>24</v>
      </c>
      <c r="B53" s="332"/>
      <c r="C53" s="332"/>
      <c r="D53" s="332"/>
      <c r="E53" s="333"/>
    </row>
    <row r="54" spans="1:5" x14ac:dyDescent="0.25">
      <c r="A54" s="334" t="s">
        <v>141</v>
      </c>
      <c r="B54" s="335"/>
      <c r="C54" s="335"/>
      <c r="D54" s="335"/>
      <c r="E54" s="336"/>
    </row>
    <row r="55" spans="1:5" x14ac:dyDescent="0.25">
      <c r="A55" s="337" t="e">
        <f>CONCATENATE(C57,C58,C59,C60,C61,C62,C63,C64,C65,C66,C67,C68,C69,C70,C71,C72,C73,C74,C75,C76)</f>
        <v>#N/A</v>
      </c>
      <c r="B55" s="338"/>
      <c r="C55" s="338"/>
      <c r="D55" s="338"/>
      <c r="E55" s="339"/>
    </row>
    <row r="56" spans="1:5" x14ac:dyDescent="0.25">
      <c r="A56" s="138" t="s">
        <v>142</v>
      </c>
      <c r="B56" s="139" t="s">
        <v>143</v>
      </c>
      <c r="C56" s="139" t="s">
        <v>144</v>
      </c>
      <c r="D56" s="324" t="s">
        <v>145</v>
      </c>
      <c r="E56" s="325"/>
    </row>
    <row r="57" spans="1:5" x14ac:dyDescent="0.25">
      <c r="A57" s="113" t="str">
        <f>A32</f>
        <v>TOTO</v>
      </c>
      <c r="B57" s="140">
        <v>1</v>
      </c>
      <c r="C57" s="141" t="e">
        <f>IF(C3="x","01","")</f>
        <v>#N/A</v>
      </c>
      <c r="D57" s="142" t="e">
        <f>MID(A55,1,2)</f>
        <v>#N/A</v>
      </c>
      <c r="E57" s="143" t="e">
        <f ca="1">IF(MID(A55,1,2)&lt;&gt;"",OFFSET(A56,MID(A55,1,2),0),"")</f>
        <v>#N/A</v>
      </c>
    </row>
    <row r="58" spans="1:5" x14ac:dyDescent="0.25">
      <c r="A58" s="113" t="str">
        <f t="shared" ref="A58:A76" si="3">A33</f>
        <v/>
      </c>
      <c r="B58" s="140">
        <v>2</v>
      </c>
      <c r="C58" s="141" t="str">
        <f>IF(C4="x","02","")</f>
        <v/>
      </c>
      <c r="D58" s="142" t="e">
        <f>MID(A55,3,2)</f>
        <v>#N/A</v>
      </c>
      <c r="E58" s="143" t="e">
        <f ca="1">IF(MID(A55,3,2)&lt;&gt;"",OFFSET(A56,MID(A55,3,2),0),"")</f>
        <v>#N/A</v>
      </c>
    </row>
    <row r="59" spans="1:5" x14ac:dyDescent="0.25">
      <c r="A59" s="113" t="str">
        <f t="shared" si="3"/>
        <v/>
      </c>
      <c r="B59" s="140">
        <v>3</v>
      </c>
      <c r="C59" s="141" t="str">
        <f>IF(C5="x","03","")</f>
        <v/>
      </c>
      <c r="D59" s="142" t="e">
        <f>MID(A55,5,2)</f>
        <v>#N/A</v>
      </c>
      <c r="E59" s="143" t="e">
        <f ca="1">IF(MID(A55,5,2)&lt;&gt;"",OFFSET(A56,MID(A55,5,2),0),"")</f>
        <v>#N/A</v>
      </c>
    </row>
    <row r="60" spans="1:5" x14ac:dyDescent="0.25">
      <c r="A60" s="113" t="str">
        <f t="shared" si="3"/>
        <v/>
      </c>
      <c r="B60" s="140">
        <v>4</v>
      </c>
      <c r="C60" s="141" t="str">
        <f>IF(C6="x","04","")</f>
        <v/>
      </c>
      <c r="D60" s="142" t="e">
        <f>MID(A55,7,2)</f>
        <v>#N/A</v>
      </c>
      <c r="E60" s="143" t="e">
        <f ca="1">IF(MID(A55,7,2)&lt;&gt;"",OFFSET(A56,MID(A55,7,2),0),"")</f>
        <v>#N/A</v>
      </c>
    </row>
    <row r="61" spans="1:5" x14ac:dyDescent="0.25">
      <c r="A61" s="113" t="str">
        <f t="shared" si="3"/>
        <v/>
      </c>
      <c r="B61" s="140">
        <v>5</v>
      </c>
      <c r="C61" s="141" t="str">
        <f>IF(C7="x","05","")</f>
        <v/>
      </c>
      <c r="D61" s="142" t="e">
        <f>MID(A55,9,2)</f>
        <v>#N/A</v>
      </c>
      <c r="E61" s="143" t="e">
        <f ca="1">IF(MID(A55,9,2)&lt;&gt;"",OFFSET(A56,MID(A55,9,2),0),"")</f>
        <v>#N/A</v>
      </c>
    </row>
    <row r="62" spans="1:5" x14ac:dyDescent="0.25">
      <c r="A62" s="113" t="str">
        <f t="shared" si="3"/>
        <v/>
      </c>
      <c r="B62" s="140">
        <v>6</v>
      </c>
      <c r="C62" s="141" t="str">
        <f>IF(C8="x","06","")</f>
        <v/>
      </c>
      <c r="D62" s="142" t="e">
        <f>MID(A55,11,2)</f>
        <v>#N/A</v>
      </c>
      <c r="E62" s="143" t="e">
        <f ca="1">IF(MID(A55,11,2)&lt;&gt;"",OFFSET(A56,MID(A55,11,2),0),"")</f>
        <v>#N/A</v>
      </c>
    </row>
    <row r="63" spans="1:5" x14ac:dyDescent="0.25">
      <c r="A63" s="113" t="str">
        <f t="shared" si="3"/>
        <v/>
      </c>
      <c r="B63" s="140">
        <v>7</v>
      </c>
      <c r="C63" s="141" t="str">
        <f>IF(C9="x","07","")</f>
        <v/>
      </c>
      <c r="D63" s="142" t="e">
        <f>MID(A55,13,2)</f>
        <v>#N/A</v>
      </c>
      <c r="E63" s="143" t="e">
        <f ca="1">IF(MID(A55,13,2)&lt;&gt;"",OFFSET(A56,MID(A55,13,2),0),"")</f>
        <v>#N/A</v>
      </c>
    </row>
    <row r="64" spans="1:5" x14ac:dyDescent="0.25">
      <c r="A64" s="113" t="str">
        <f t="shared" si="3"/>
        <v/>
      </c>
      <c r="B64" s="140">
        <v>8</v>
      </c>
      <c r="C64" s="141" t="str">
        <f>IF(C10="x","08","")</f>
        <v/>
      </c>
      <c r="D64" s="142" t="e">
        <f>MID(A55,15,2)</f>
        <v>#N/A</v>
      </c>
      <c r="E64" s="143" t="e">
        <f ca="1">IF(MID(A55,15,2)&lt;&gt;"",OFFSET(A56,MID(A55,15,2),0),"")</f>
        <v>#N/A</v>
      </c>
    </row>
    <row r="65" spans="1:5" x14ac:dyDescent="0.25">
      <c r="A65" s="113" t="str">
        <f t="shared" si="3"/>
        <v/>
      </c>
      <c r="B65" s="140">
        <v>9</v>
      </c>
      <c r="C65" s="141" t="str">
        <f>IF(C11="x","09","")</f>
        <v/>
      </c>
      <c r="D65" s="142" t="e">
        <f>MID(A55,17,2)</f>
        <v>#N/A</v>
      </c>
      <c r="E65" s="143" t="e">
        <f ca="1">IF(MID(A55,17,2)&lt;&gt;"",OFFSET(A56,MID(A55,17,2),0),"")</f>
        <v>#N/A</v>
      </c>
    </row>
    <row r="66" spans="1:5" x14ac:dyDescent="0.25">
      <c r="A66" s="113" t="str">
        <f t="shared" si="3"/>
        <v/>
      </c>
      <c r="B66" s="140">
        <v>10</v>
      </c>
      <c r="C66" s="141" t="str">
        <f>IF(C12="x","10","")</f>
        <v/>
      </c>
      <c r="D66" s="142" t="e">
        <f>MID(A55,19,2)</f>
        <v>#N/A</v>
      </c>
      <c r="E66" s="143" t="e">
        <f ca="1">IF(MID(A55,19,2)&lt;&gt;"",OFFSET(A56,MID(A55,19,2),0),"")</f>
        <v>#N/A</v>
      </c>
    </row>
    <row r="67" spans="1:5" x14ac:dyDescent="0.25">
      <c r="A67" s="113" t="str">
        <f t="shared" si="3"/>
        <v/>
      </c>
      <c r="B67" s="140">
        <v>11</v>
      </c>
      <c r="C67" s="141" t="str">
        <f>IF(C13="x","11","")</f>
        <v/>
      </c>
      <c r="D67" s="142" t="e">
        <f>MID(A55,21,2)</f>
        <v>#N/A</v>
      </c>
      <c r="E67" s="143" t="e">
        <f ca="1">IF(MID(A55,21,2)&lt;&gt;"",OFFSET(A56,MID(A55,21,2),0),"")</f>
        <v>#N/A</v>
      </c>
    </row>
    <row r="68" spans="1:5" x14ac:dyDescent="0.25">
      <c r="A68" s="113" t="str">
        <f t="shared" si="3"/>
        <v/>
      </c>
      <c r="B68" s="140">
        <v>12</v>
      </c>
      <c r="C68" s="141" t="str">
        <f>IF(C14="x","12","")</f>
        <v/>
      </c>
      <c r="D68" s="142" t="e">
        <f>MID(A55,23,2)</f>
        <v>#N/A</v>
      </c>
      <c r="E68" s="143" t="e">
        <f ca="1">IF(MID(A55,23,2)&lt;&gt;"",OFFSET(A56,MID(A55,23,2),0),"")</f>
        <v>#N/A</v>
      </c>
    </row>
    <row r="69" spans="1:5" x14ac:dyDescent="0.25">
      <c r="A69" s="113" t="str">
        <f t="shared" si="3"/>
        <v/>
      </c>
      <c r="B69" s="140">
        <v>13</v>
      </c>
      <c r="C69" s="141" t="str">
        <f>IF(C15="x","13","")</f>
        <v/>
      </c>
      <c r="D69" s="142" t="e">
        <f>MID(A55,25,2)</f>
        <v>#N/A</v>
      </c>
      <c r="E69" s="143" t="e">
        <f ca="1">IF(MID(A55,25,2)&lt;&gt;"",OFFSET(A56,MID(A55,25,2),0),"")</f>
        <v>#N/A</v>
      </c>
    </row>
    <row r="70" spans="1:5" x14ac:dyDescent="0.25">
      <c r="A70" s="113" t="str">
        <f t="shared" si="3"/>
        <v/>
      </c>
      <c r="B70" s="140">
        <v>14</v>
      </c>
      <c r="C70" s="141" t="str">
        <f>IF(C16="x","14","")</f>
        <v/>
      </c>
      <c r="D70" s="142" t="e">
        <f>MID(A55,27,2)</f>
        <v>#N/A</v>
      </c>
      <c r="E70" s="143" t="e">
        <f ca="1">IF(MID(A55,27,2)&lt;&gt;"",OFFSET(A56,MID(A55,27,2),0),"")</f>
        <v>#N/A</v>
      </c>
    </row>
    <row r="71" spans="1:5" x14ac:dyDescent="0.25">
      <c r="A71" s="113" t="str">
        <f t="shared" si="3"/>
        <v/>
      </c>
      <c r="B71" s="140">
        <v>15</v>
      </c>
      <c r="C71" s="141" t="str">
        <f>IF(C17="x","15","")</f>
        <v/>
      </c>
      <c r="D71" s="142" t="e">
        <f>MID(A55,29,2)</f>
        <v>#N/A</v>
      </c>
      <c r="E71" s="143" t="e">
        <f ca="1">IF(MID(A55,29,2)&lt;&gt;"",OFFSET(A56,MID(A55,29,2),0),"")</f>
        <v>#N/A</v>
      </c>
    </row>
    <row r="72" spans="1:5" x14ac:dyDescent="0.25">
      <c r="A72" s="113" t="str">
        <f t="shared" si="3"/>
        <v/>
      </c>
      <c r="B72" s="140">
        <v>16</v>
      </c>
      <c r="C72" s="141" t="str">
        <f>IF(C18="x","16","")</f>
        <v/>
      </c>
      <c r="D72" s="142" t="e">
        <f>MID(A55,31,2)</f>
        <v>#N/A</v>
      </c>
      <c r="E72" s="143" t="e">
        <f ca="1">IF(MID(A55,31,2)&lt;&gt;"",OFFSET(A56,MID(A55,31,2),0),"")</f>
        <v>#N/A</v>
      </c>
    </row>
    <row r="73" spans="1:5" x14ac:dyDescent="0.25">
      <c r="A73" s="113" t="str">
        <f t="shared" si="3"/>
        <v/>
      </c>
      <c r="B73" s="140">
        <v>17</v>
      </c>
      <c r="C73" s="141" t="str">
        <f>IF(C19="x","17","")</f>
        <v/>
      </c>
      <c r="D73" s="142" t="e">
        <f>MID(A55,33,2)</f>
        <v>#N/A</v>
      </c>
      <c r="E73" s="143" t="e">
        <f ca="1">IF(MID(A55,33,2)&lt;&gt;"",OFFSET(A56,MID(A55,33,2),0),"")</f>
        <v>#N/A</v>
      </c>
    </row>
    <row r="74" spans="1:5" x14ac:dyDescent="0.25">
      <c r="A74" s="113" t="str">
        <f t="shared" si="3"/>
        <v/>
      </c>
      <c r="B74" s="140">
        <v>18</v>
      </c>
      <c r="C74" s="141" t="str">
        <f>IF(C20="x","18","")</f>
        <v/>
      </c>
      <c r="D74" s="142" t="e">
        <f>MID(A55,35,2)</f>
        <v>#N/A</v>
      </c>
      <c r="E74" s="143" t="e">
        <f ca="1">IF(MID(A55,35,2)&lt;&gt;"",OFFSET(A56,MID(A55,35,2),0),"")</f>
        <v>#N/A</v>
      </c>
    </row>
    <row r="75" spans="1:5" x14ac:dyDescent="0.25">
      <c r="A75" s="113" t="str">
        <f t="shared" si="3"/>
        <v/>
      </c>
      <c r="B75" s="140">
        <v>19</v>
      </c>
      <c r="C75" s="141" t="str">
        <f>IF(C21="x","19","")</f>
        <v/>
      </c>
      <c r="D75" s="142" t="e">
        <f>MID(A55,37,2)</f>
        <v>#N/A</v>
      </c>
      <c r="E75" s="143" t="e">
        <f ca="1">IF(MID(A55,37,2)&lt;&gt;"",OFFSET(A56,MID(A55,37,2),0),"")</f>
        <v>#N/A</v>
      </c>
    </row>
    <row r="76" spans="1:5" x14ac:dyDescent="0.25">
      <c r="A76" s="113" t="str">
        <f t="shared" si="3"/>
        <v/>
      </c>
      <c r="B76" s="140">
        <v>20</v>
      </c>
      <c r="C76" s="141" t="str">
        <f>IF(C22="x","20","")</f>
        <v/>
      </c>
      <c r="D76" s="142" t="e">
        <f>MID(A55,39,2)</f>
        <v>#N/A</v>
      </c>
      <c r="E76" s="143" t="e">
        <f ca="1">IF(MID(A55,39,2)&lt;&gt;"",OFFSET(A56,MID(A55,39,2),0),"")</f>
        <v>#N/A</v>
      </c>
    </row>
  </sheetData>
  <sheetProtection algorithmName="SHA-512" hashValue="6dLzKxkBtMuHdaM2s+ox+ATZsgMM9BZin1eDhMZOwrMMNcYZdDzADc5c6IBCKS4UuP+6d/iEKej4lcbrRGsF7A==" saltValue="N1m2vHRM21lvYAl+lqoFjw==" spinCount="100000" sheet="1" objects="1" scenarios="1" selectLockedCells="1" selectUnlockedCells="1"/>
  <mergeCells count="12">
    <mergeCell ref="D56:E56"/>
    <mergeCell ref="E2:E13"/>
    <mergeCell ref="H2:H14"/>
    <mergeCell ref="E14:E22"/>
    <mergeCell ref="H15:H22"/>
    <mergeCell ref="A28:E28"/>
    <mergeCell ref="A29:E29"/>
    <mergeCell ref="A30:E30"/>
    <mergeCell ref="D31:E31"/>
    <mergeCell ref="A53:E53"/>
    <mergeCell ref="A54:E54"/>
    <mergeCell ref="A55:E5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  <pageSetUpPr fitToPage="1"/>
  </sheetPr>
  <dimension ref="B1:I49"/>
  <sheetViews>
    <sheetView showGridLines="0" zoomScale="90" zoomScaleNormal="90" zoomScalePageLayoutView="90" workbookViewId="0">
      <selection activeCell="C27" sqref="C27:D27"/>
    </sheetView>
  </sheetViews>
  <sheetFormatPr baseColWidth="10" defaultRowHeight="15" x14ac:dyDescent="0.25"/>
  <cols>
    <col min="1" max="1" width="5.7109375" style="98" customWidth="1"/>
    <col min="2" max="2" width="22.7109375" style="98" customWidth="1"/>
    <col min="3" max="3" width="20.7109375" style="98" bestFit="1" customWidth="1"/>
    <col min="4" max="8" width="15.7109375" style="98" customWidth="1"/>
    <col min="9" max="9" width="23.7109375" style="98" customWidth="1"/>
    <col min="10" max="16384" width="11.42578125" style="98"/>
  </cols>
  <sheetData>
    <row r="1" spans="2:9" ht="64.5" customHeight="1" thickBot="1" x14ac:dyDescent="0.3">
      <c r="B1" s="124"/>
      <c r="C1" s="365" t="str">
        <f>CONCATENATE("Fiche d'émargement entraînement ",IF(DONNEES!K4="","",DONNEES!K4))</f>
        <v xml:space="preserve">Fiche d'émargement entraînement </v>
      </c>
      <c r="D1" s="365"/>
      <c r="E1" s="365"/>
      <c r="F1" s="365"/>
      <c r="G1" s="365"/>
      <c r="H1" s="365"/>
      <c r="I1" s="125"/>
    </row>
    <row r="2" spans="2:9" s="101" customFormat="1" ht="5.0999999999999996" customHeight="1" thickBot="1" x14ac:dyDescent="0.5">
      <c r="B2" s="99"/>
      <c r="C2" s="100"/>
      <c r="D2" s="100"/>
      <c r="E2" s="100"/>
      <c r="F2" s="100"/>
      <c r="G2" s="100"/>
      <c r="H2" s="100"/>
      <c r="I2" s="99"/>
    </row>
    <row r="3" spans="2:9" ht="18" customHeight="1" x14ac:dyDescent="0.25">
      <c r="B3" s="186" t="s">
        <v>92</v>
      </c>
      <c r="C3" s="186" t="s">
        <v>93</v>
      </c>
      <c r="D3" s="186" t="s">
        <v>124</v>
      </c>
      <c r="E3" s="358" t="s">
        <v>94</v>
      </c>
      <c r="F3" s="358"/>
      <c r="G3" s="358" t="s">
        <v>95</v>
      </c>
      <c r="H3" s="358"/>
      <c r="I3" s="186" t="s">
        <v>2</v>
      </c>
    </row>
    <row r="4" spans="2:9" ht="28.5" customHeight="1" thickBot="1" x14ac:dyDescent="0.3">
      <c r="B4" s="122" t="str">
        <f>IF(DONNEES!B4="","",DONNEES!B4)</f>
        <v>les fins</v>
      </c>
      <c r="C4" s="120" t="str">
        <f>IF(DONNEES!K2="","",CONCATENATE(DONNEES!K2," Heure(s)"))</f>
        <v/>
      </c>
      <c r="D4" s="123">
        <f>IF(DONNEES!B2="","",DONNEES!B2)</f>
        <v>43961</v>
      </c>
      <c r="E4" s="366" t="str">
        <f>IF(DONNEES!D42="",IF(DONNEES!F42="","",DONNEES!F42),DONNEES!D42)</f>
        <v/>
      </c>
      <c r="F4" s="366"/>
      <c r="G4" s="367" t="str">
        <f>IF(DONNEES!B10="","",DONNEES!B10)</f>
        <v>TOTO</v>
      </c>
      <c r="H4" s="367"/>
      <c r="I4" s="114"/>
    </row>
    <row r="5" spans="2:9" ht="5.0999999999999996" customHeight="1" thickBot="1" x14ac:dyDescent="0.3"/>
    <row r="6" spans="2:9" s="102" customFormat="1" ht="18" customHeight="1" thickBot="1" x14ac:dyDescent="0.25">
      <c r="B6" s="183" t="s">
        <v>96</v>
      </c>
      <c r="C6" s="184" t="s">
        <v>97</v>
      </c>
      <c r="D6" s="368" t="s">
        <v>130</v>
      </c>
      <c r="E6" s="369"/>
      <c r="F6" s="369"/>
      <c r="G6" s="369"/>
      <c r="H6" s="370"/>
      <c r="I6" s="185" t="s">
        <v>98</v>
      </c>
    </row>
    <row r="7" spans="2:9" ht="21.4" customHeight="1" x14ac:dyDescent="0.25">
      <c r="B7" s="115" t="str">
        <f>IF('Ordre alphabétique FLF'!F2="","",'Ordre alphabétique FLF'!F2)</f>
        <v>TOTO</v>
      </c>
      <c r="C7" s="115" t="e">
        <f>IF(B7="","",VLOOKUP(B7,PERSONNELS!$A$2:$G$100,5,FALSE))</f>
        <v>#N/A</v>
      </c>
      <c r="D7" s="174"/>
      <c r="E7" s="175"/>
      <c r="F7" s="175"/>
      <c r="G7" s="175"/>
      <c r="H7" s="176"/>
      <c r="I7" s="115"/>
    </row>
    <row r="8" spans="2:9" ht="21.4" customHeight="1" x14ac:dyDescent="0.25">
      <c r="B8" s="121" t="str">
        <f>IF('Ordre alphabétique FLF'!F3="","",'Ordre alphabétique FLF'!F3)</f>
        <v/>
      </c>
      <c r="C8" s="121" t="str">
        <f>IF(B8="","",VLOOKUP(B8,PERSONNELS!$A$2:$G$100,5,FALSE))</f>
        <v/>
      </c>
      <c r="D8" s="177"/>
      <c r="E8" s="178"/>
      <c r="F8" s="178"/>
      <c r="G8" s="178"/>
      <c r="H8" s="179"/>
      <c r="I8" s="121"/>
    </row>
    <row r="9" spans="2:9" ht="21.4" customHeight="1" x14ac:dyDescent="0.25">
      <c r="B9" s="119" t="str">
        <f>IF('Ordre alphabétique FLF'!F4="","",'Ordre alphabétique FLF'!F4)</f>
        <v/>
      </c>
      <c r="C9" s="119" t="str">
        <f>IF(B9="","",VLOOKUP(B9,PERSONNELS!$A$2:$G$100,5,FALSE))</f>
        <v/>
      </c>
      <c r="D9" s="180"/>
      <c r="E9" s="181"/>
      <c r="F9" s="181"/>
      <c r="G9" s="181"/>
      <c r="H9" s="182"/>
      <c r="I9" s="119"/>
    </row>
    <row r="10" spans="2:9" ht="21.4" customHeight="1" x14ac:dyDescent="0.25">
      <c r="B10" s="121" t="str">
        <f>IF('Ordre alphabétique FLF'!F5="","",'Ordre alphabétique FLF'!F5)</f>
        <v/>
      </c>
      <c r="C10" s="121" t="str">
        <f>IF(B10="","",VLOOKUP(B10,PERSONNELS!$A$2:$G$100,5,FALSE))</f>
        <v/>
      </c>
      <c r="D10" s="177"/>
      <c r="E10" s="178"/>
      <c r="F10" s="178"/>
      <c r="G10" s="178"/>
      <c r="H10" s="179"/>
      <c r="I10" s="121"/>
    </row>
    <row r="11" spans="2:9" ht="21.4" customHeight="1" x14ac:dyDescent="0.25">
      <c r="B11" s="119" t="str">
        <f>IF('Ordre alphabétique FLF'!F6="","",'Ordre alphabétique FLF'!F6)</f>
        <v/>
      </c>
      <c r="C11" s="119" t="str">
        <f>IF(B11="","",VLOOKUP(B11,PERSONNELS!$A$2:$G$100,5,FALSE))</f>
        <v/>
      </c>
      <c r="D11" s="180"/>
      <c r="E11" s="181"/>
      <c r="F11" s="181"/>
      <c r="G11" s="181"/>
      <c r="H11" s="182"/>
      <c r="I11" s="119"/>
    </row>
    <row r="12" spans="2:9" ht="21.4" customHeight="1" x14ac:dyDescent="0.25">
      <c r="B12" s="121" t="str">
        <f>IF('Ordre alphabétique FLF'!F7="","",'Ordre alphabétique FLF'!F7)</f>
        <v/>
      </c>
      <c r="C12" s="121" t="str">
        <f>IF(B12="","",VLOOKUP(B12,PERSONNELS!$A$2:$G$100,5,FALSE))</f>
        <v/>
      </c>
      <c r="D12" s="177"/>
      <c r="E12" s="178"/>
      <c r="F12" s="178"/>
      <c r="G12" s="178"/>
      <c r="H12" s="179"/>
      <c r="I12" s="121"/>
    </row>
    <row r="13" spans="2:9" ht="21.4" customHeight="1" x14ac:dyDescent="0.25">
      <c r="B13" s="119" t="str">
        <f>IF('Ordre alphabétique FLF'!F8="","",'Ordre alphabétique FLF'!F8)</f>
        <v/>
      </c>
      <c r="C13" s="119" t="str">
        <f>IF(B13="","",VLOOKUP(B13,PERSONNELS!$A$2:$G$100,5,FALSE))</f>
        <v/>
      </c>
      <c r="D13" s="180"/>
      <c r="E13" s="181"/>
      <c r="F13" s="181"/>
      <c r="G13" s="181"/>
      <c r="H13" s="182"/>
      <c r="I13" s="119"/>
    </row>
    <row r="14" spans="2:9" ht="21.4" customHeight="1" x14ac:dyDescent="0.25">
      <c r="B14" s="121" t="str">
        <f>IF('Ordre alphabétique FLF'!F9="","",'Ordre alphabétique FLF'!F9)</f>
        <v/>
      </c>
      <c r="C14" s="121" t="str">
        <f>IF(B14="","",VLOOKUP(B14,PERSONNELS!$A$2:$G$100,5,FALSE))</f>
        <v/>
      </c>
      <c r="D14" s="177"/>
      <c r="E14" s="178"/>
      <c r="F14" s="178"/>
      <c r="G14" s="178"/>
      <c r="H14" s="179"/>
      <c r="I14" s="121"/>
    </row>
    <row r="15" spans="2:9" ht="21.4" customHeight="1" x14ac:dyDescent="0.25">
      <c r="B15" s="119" t="str">
        <f>IF('Ordre alphabétique FLF'!F10="","",'Ordre alphabétique FLF'!F10)</f>
        <v/>
      </c>
      <c r="C15" s="119" t="str">
        <f>IF(B15="","",VLOOKUP(B15,PERSONNELS!$A$2:$G$100,5,FALSE))</f>
        <v/>
      </c>
      <c r="D15" s="180"/>
      <c r="E15" s="181"/>
      <c r="F15" s="181"/>
      <c r="G15" s="181"/>
      <c r="H15" s="182"/>
      <c r="I15" s="119"/>
    </row>
    <row r="16" spans="2:9" ht="21.4" customHeight="1" x14ac:dyDescent="0.25">
      <c r="B16" s="121" t="str">
        <f>IF('Ordre alphabétique FLF'!F11="","",'Ordre alphabétique FLF'!F11)</f>
        <v/>
      </c>
      <c r="C16" s="121" t="str">
        <f>IF(B16="","",VLOOKUP(B16,PERSONNELS!$A$2:$G$100,5,FALSE))</f>
        <v/>
      </c>
      <c r="D16" s="177"/>
      <c r="E16" s="178"/>
      <c r="F16" s="178"/>
      <c r="G16" s="178"/>
      <c r="H16" s="179"/>
      <c r="I16" s="121"/>
    </row>
    <row r="17" spans="2:9" ht="21.4" customHeight="1" x14ac:dyDescent="0.25">
      <c r="B17" s="119" t="str">
        <f>IF('Ordre alphabétique FLF'!F12="","",'Ordre alphabétique FLF'!F12)</f>
        <v/>
      </c>
      <c r="C17" s="119" t="str">
        <f>IF(B17="","",VLOOKUP(B17,PERSONNELS!$A$2:$G$100,5,FALSE))</f>
        <v/>
      </c>
      <c r="D17" s="180"/>
      <c r="E17" s="181"/>
      <c r="F17" s="181"/>
      <c r="G17" s="181"/>
      <c r="H17" s="182"/>
      <c r="I17" s="119"/>
    </row>
    <row r="18" spans="2:9" ht="21.4" customHeight="1" x14ac:dyDescent="0.25">
      <c r="B18" s="121" t="str">
        <f>IF('Ordre alphabétique FLF'!F13="","",'Ordre alphabétique FLF'!F13)</f>
        <v/>
      </c>
      <c r="C18" s="121" t="str">
        <f>IF(B18="","",VLOOKUP(B18,PERSONNELS!$A$2:$G$100,5,FALSE))</f>
        <v/>
      </c>
      <c r="D18" s="177"/>
      <c r="E18" s="178"/>
      <c r="F18" s="178"/>
      <c r="G18" s="178"/>
      <c r="H18" s="179"/>
      <c r="I18" s="121"/>
    </row>
    <row r="19" spans="2:9" ht="21.4" customHeight="1" x14ac:dyDescent="0.25">
      <c r="B19" s="119" t="str">
        <f>IF('Ordre alphabétique FLF'!F14="","",'Ordre alphabétique FLF'!F14)</f>
        <v/>
      </c>
      <c r="C19" s="119" t="str">
        <f>IF(B19="","",VLOOKUP(B19,PERSONNELS!$A$2:$G$100,5,FALSE))</f>
        <v/>
      </c>
      <c r="D19" s="180"/>
      <c r="E19" s="181"/>
      <c r="F19" s="181"/>
      <c r="G19" s="181"/>
      <c r="H19" s="182"/>
      <c r="I19" s="119"/>
    </row>
    <row r="20" spans="2:9" ht="21.4" customHeight="1" x14ac:dyDescent="0.25">
      <c r="B20" s="121" t="str">
        <f>IF('Ordre alphabétique FLF'!F15="","",'Ordre alphabétique FLF'!F15)</f>
        <v/>
      </c>
      <c r="C20" s="121" t="str">
        <f>IF(B20="","",VLOOKUP(B20,PERSONNELS!$A$2:$G$100,5,FALSE))</f>
        <v/>
      </c>
      <c r="D20" s="177"/>
      <c r="E20" s="178"/>
      <c r="F20" s="178"/>
      <c r="G20" s="178"/>
      <c r="H20" s="179"/>
      <c r="I20" s="121"/>
    </row>
    <row r="21" spans="2:9" ht="21.4" customHeight="1" x14ac:dyDescent="0.25">
      <c r="B21" s="119" t="str">
        <f>IF('Ordre alphabétique FLF'!F16="","",'Ordre alphabétique FLF'!F16)</f>
        <v/>
      </c>
      <c r="C21" s="119" t="str">
        <f>IF(B21="","",VLOOKUP(B21,PERSONNELS!$A$2:$G$100,5,FALSE))</f>
        <v/>
      </c>
      <c r="D21" s="187"/>
      <c r="E21" s="188"/>
      <c r="F21" s="188"/>
      <c r="G21" s="188"/>
      <c r="H21" s="189"/>
      <c r="I21" s="190"/>
    </row>
    <row r="22" spans="2:9" ht="21.4" customHeight="1" x14ac:dyDescent="0.25">
      <c r="B22" s="121" t="str">
        <f>IF('Ordre alphabétique FLF'!F17="","",'Ordre alphabétique FLF'!F17)</f>
        <v/>
      </c>
      <c r="C22" s="121" t="str">
        <f>IF(B22="","",VLOOKUP(B22,PERSONNELS!$A$2:$G$100,5,FALSE))</f>
        <v/>
      </c>
      <c r="D22" s="177"/>
      <c r="E22" s="178"/>
      <c r="F22" s="178"/>
      <c r="G22" s="178"/>
      <c r="H22" s="179"/>
      <c r="I22" s="121"/>
    </row>
    <row r="23" spans="2:9" ht="21.4" customHeight="1" x14ac:dyDescent="0.25">
      <c r="B23" s="119" t="str">
        <f>IF('Ordre alphabétique FLF'!F18="","",'Ordre alphabétique FLF'!F18)</f>
        <v/>
      </c>
      <c r="C23" s="119" t="str">
        <f>IF(B23="","",VLOOKUP(B23,PERSONNELS!$A$2:$G$100,5,FALSE))</f>
        <v/>
      </c>
      <c r="D23" s="187"/>
      <c r="E23" s="188"/>
      <c r="F23" s="188"/>
      <c r="G23" s="188"/>
      <c r="H23" s="189"/>
      <c r="I23" s="190"/>
    </row>
    <row r="24" spans="2:9" ht="21.4" customHeight="1" x14ac:dyDescent="0.25">
      <c r="B24" s="121" t="str">
        <f>IF('Ordre alphabétique FLF'!F19="","",'Ordre alphabétique FLF'!F19)</f>
        <v/>
      </c>
      <c r="C24" s="121" t="str">
        <f>IF(B24="","",VLOOKUP(B24,PERSONNELS!$A$2:$G$100,5,FALSE))</f>
        <v/>
      </c>
      <c r="D24" s="177"/>
      <c r="E24" s="178"/>
      <c r="F24" s="178"/>
      <c r="G24" s="178"/>
      <c r="H24" s="179"/>
      <c r="I24" s="121"/>
    </row>
    <row r="25" spans="2:9" ht="21.4" customHeight="1" x14ac:dyDescent="0.25">
      <c r="B25" s="119" t="str">
        <f>IF('Ordre alphabétique FLF'!F20="","",'Ordre alphabétique FLF'!F20)</f>
        <v/>
      </c>
      <c r="C25" s="119" t="str">
        <f>IF(B25="","",VLOOKUP(B25,PERSONNELS!$A$2:$G$100,5,FALSE))</f>
        <v/>
      </c>
      <c r="D25" s="187"/>
      <c r="E25" s="188"/>
      <c r="F25" s="188"/>
      <c r="G25" s="188"/>
      <c r="H25" s="189"/>
      <c r="I25" s="190"/>
    </row>
    <row r="26" spans="2:9" ht="21.4" customHeight="1" thickBot="1" x14ac:dyDescent="0.3">
      <c r="B26" s="191" t="str">
        <f>IF('Ordre alphabétique FLF'!F21="","",'Ordre alphabétique FLF'!F21)</f>
        <v/>
      </c>
      <c r="C26" s="191" t="str">
        <f>IF(B26="","",VLOOKUP(B26,PERSONNELS!$A$2:$G$100,5,FALSE))</f>
        <v/>
      </c>
      <c r="D26" s="192"/>
      <c r="E26" s="193"/>
      <c r="F26" s="193"/>
      <c r="G26" s="193"/>
      <c r="H26" s="194"/>
      <c r="I26" s="191"/>
    </row>
    <row r="27" spans="2:9" ht="5.0999999999999996" customHeight="1" thickBot="1" x14ac:dyDescent="0.3">
      <c r="B27" s="126"/>
      <c r="C27" s="126"/>
      <c r="D27" s="126"/>
      <c r="E27" s="126"/>
      <c r="F27" s="126"/>
      <c r="G27" s="126"/>
      <c r="H27" s="126"/>
      <c r="I27" s="126"/>
    </row>
    <row r="28" spans="2:9" ht="18" customHeight="1" thickBot="1" x14ac:dyDescent="0.3">
      <c r="B28" s="362" t="s">
        <v>109</v>
      </c>
      <c r="C28" s="363"/>
      <c r="D28" s="363"/>
      <c r="E28" s="363"/>
      <c r="F28" s="363"/>
      <c r="G28" s="363"/>
      <c r="H28" s="363"/>
      <c r="I28" s="364"/>
    </row>
    <row r="29" spans="2:9" ht="6.75" customHeight="1" thickBot="1" x14ac:dyDescent="0.3">
      <c r="B29" s="104"/>
      <c r="C29" s="104"/>
      <c r="D29" s="104"/>
      <c r="E29" s="104"/>
      <c r="F29" s="104"/>
      <c r="G29" s="104"/>
      <c r="H29" s="104"/>
      <c r="I29" s="104"/>
    </row>
    <row r="30" spans="2:9" ht="21.75" customHeight="1" thickBot="1" x14ac:dyDescent="0.3">
      <c r="B30" s="343" t="s">
        <v>110</v>
      </c>
      <c r="C30" s="344"/>
      <c r="D30" s="344"/>
      <c r="E30" s="344"/>
      <c r="F30" s="344"/>
      <c r="G30" s="344"/>
      <c r="H30" s="344"/>
      <c r="I30" s="345"/>
    </row>
    <row r="31" spans="2:9" ht="20.100000000000001" customHeight="1" x14ac:dyDescent="0.25">
      <c r="B31" s="359" t="s">
        <v>111</v>
      </c>
      <c r="C31" s="360"/>
      <c r="D31" s="360"/>
      <c r="E31" s="361"/>
      <c r="F31" s="355" t="s">
        <v>112</v>
      </c>
      <c r="G31" s="356"/>
      <c r="H31" s="356"/>
      <c r="I31" s="357"/>
    </row>
    <row r="32" spans="2:9" ht="31.5" customHeight="1" x14ac:dyDescent="0.25">
      <c r="B32" s="349" t="s">
        <v>113</v>
      </c>
      <c r="C32" s="350"/>
      <c r="D32" s="350"/>
      <c r="E32" s="351"/>
      <c r="F32" s="346" t="s">
        <v>128</v>
      </c>
      <c r="G32" s="347"/>
      <c r="H32" s="347"/>
      <c r="I32" s="348"/>
    </row>
    <row r="33" spans="2:9" ht="31.5" customHeight="1" x14ac:dyDescent="0.25">
      <c r="B33" s="349" t="s">
        <v>114</v>
      </c>
      <c r="C33" s="350"/>
      <c r="D33" s="350"/>
      <c r="E33" s="351"/>
      <c r="F33" s="346" t="s">
        <v>129</v>
      </c>
      <c r="G33" s="347"/>
      <c r="H33" s="347"/>
      <c r="I33" s="348"/>
    </row>
    <row r="34" spans="2:9" ht="31.5" customHeight="1" x14ac:dyDescent="0.25">
      <c r="B34" s="349" t="s">
        <v>115</v>
      </c>
      <c r="C34" s="350"/>
      <c r="D34" s="350"/>
      <c r="E34" s="351"/>
      <c r="F34" s="346" t="s">
        <v>410</v>
      </c>
      <c r="G34" s="347"/>
      <c r="H34" s="347"/>
      <c r="I34" s="348"/>
    </row>
    <row r="35" spans="2:9" ht="31.5" customHeight="1" x14ac:dyDescent="0.25">
      <c r="B35" s="349" t="s">
        <v>116</v>
      </c>
      <c r="C35" s="350"/>
      <c r="D35" s="350"/>
      <c r="E35" s="351"/>
      <c r="F35" s="346" t="s">
        <v>411</v>
      </c>
      <c r="G35" s="347"/>
      <c r="H35" s="347"/>
      <c r="I35" s="348"/>
    </row>
    <row r="36" spans="2:9" ht="31.5" customHeight="1" x14ac:dyDescent="0.25">
      <c r="B36" s="349" t="s">
        <v>117</v>
      </c>
      <c r="C36" s="350"/>
      <c r="D36" s="350"/>
      <c r="E36" s="351"/>
      <c r="F36" s="346" t="s">
        <v>412</v>
      </c>
      <c r="G36" s="347"/>
      <c r="H36" s="347"/>
      <c r="I36" s="348"/>
    </row>
    <row r="37" spans="2:9" ht="31.5" customHeight="1" x14ac:dyDescent="0.25">
      <c r="B37" s="349" t="s">
        <v>118</v>
      </c>
      <c r="C37" s="350"/>
      <c r="D37" s="350"/>
      <c r="E37" s="351"/>
      <c r="F37" s="346" t="s">
        <v>413</v>
      </c>
      <c r="G37" s="347"/>
      <c r="H37" s="347"/>
      <c r="I37" s="348"/>
    </row>
    <row r="38" spans="2:9" ht="31.5" customHeight="1" thickBot="1" x14ac:dyDescent="0.3">
      <c r="B38" s="352" t="s">
        <v>119</v>
      </c>
      <c r="C38" s="353"/>
      <c r="D38" s="353"/>
      <c r="E38" s="354"/>
      <c r="F38" s="346" t="s">
        <v>414</v>
      </c>
      <c r="G38" s="347"/>
      <c r="H38" s="347"/>
      <c r="I38" s="348"/>
    </row>
    <row r="39" spans="2:9" ht="31.5" customHeight="1" x14ac:dyDescent="0.25">
      <c r="B39" s="199"/>
      <c r="C39" s="199"/>
      <c r="D39" s="199"/>
      <c r="E39" s="199"/>
      <c r="F39" s="346" t="s">
        <v>415</v>
      </c>
      <c r="G39" s="347"/>
      <c r="H39" s="347"/>
      <c r="I39" s="348"/>
    </row>
    <row r="40" spans="2:9" ht="31.5" customHeight="1" x14ac:dyDescent="0.25">
      <c r="B40" s="199"/>
      <c r="C40" s="199"/>
      <c r="D40" s="199"/>
      <c r="E40" s="199"/>
      <c r="F40" s="346" t="s">
        <v>416</v>
      </c>
      <c r="G40" s="347"/>
      <c r="H40" s="347"/>
      <c r="I40" s="348"/>
    </row>
    <row r="41" spans="2:9" ht="31.5" customHeight="1" thickBot="1" x14ac:dyDescent="0.3">
      <c r="B41" s="199"/>
      <c r="C41" s="199"/>
      <c r="D41" s="199"/>
      <c r="E41" s="199"/>
      <c r="F41" s="340" t="s">
        <v>417</v>
      </c>
      <c r="G41" s="341"/>
      <c r="H41" s="341"/>
      <c r="I41" s="342"/>
    </row>
    <row r="42" spans="2:9" ht="31.5" customHeight="1" thickBot="1" x14ac:dyDescent="0.3">
      <c r="F42" s="340" t="s">
        <v>418</v>
      </c>
      <c r="G42" s="341"/>
      <c r="H42" s="341"/>
      <c r="I42" s="342"/>
    </row>
    <row r="43" spans="2:9" ht="31.5" customHeight="1" x14ac:dyDescent="0.25"/>
    <row r="44" spans="2:9" ht="31.5" customHeight="1" x14ac:dyDescent="0.25"/>
    <row r="45" spans="2:9" ht="31.5" customHeight="1" x14ac:dyDescent="0.25"/>
    <row r="46" spans="2:9" ht="31.5" customHeight="1" x14ac:dyDescent="0.25"/>
    <row r="47" spans="2:9" ht="31.5" customHeight="1" x14ac:dyDescent="0.25"/>
    <row r="48" spans="2:9" ht="31.5" customHeight="1" x14ac:dyDescent="0.25"/>
    <row r="49" ht="31.5" customHeight="1" x14ac:dyDescent="0.25"/>
  </sheetData>
  <sheetProtection algorithmName="SHA-512" hashValue="mIeeJq7Lj9pO20URj53vfiKXkZOp8On3+LXKQ0DaohUyPhcEY79uPxAIdB89UD8JlaWnMJ1d3t1h3ZKq+17y/w==" saltValue="BYH5ITALBRkYsdbYQlFtdw==" spinCount="100000" sheet="1" objects="1" scenarios="1" selectLockedCells="1"/>
  <mergeCells count="28">
    <mergeCell ref="C1:H1"/>
    <mergeCell ref="E3:F3"/>
    <mergeCell ref="E4:F4"/>
    <mergeCell ref="G4:H4"/>
    <mergeCell ref="D6:H6"/>
    <mergeCell ref="F34:I34"/>
    <mergeCell ref="F31:I31"/>
    <mergeCell ref="F32:I32"/>
    <mergeCell ref="G3:H3"/>
    <mergeCell ref="B31:E31"/>
    <mergeCell ref="B32:E32"/>
    <mergeCell ref="B28:I28"/>
    <mergeCell ref="F42:I42"/>
    <mergeCell ref="F41:I41"/>
    <mergeCell ref="B30:I30"/>
    <mergeCell ref="F35:I35"/>
    <mergeCell ref="F36:I36"/>
    <mergeCell ref="F37:I37"/>
    <mergeCell ref="F38:I38"/>
    <mergeCell ref="F39:I39"/>
    <mergeCell ref="F40:I40"/>
    <mergeCell ref="B37:E37"/>
    <mergeCell ref="B38:E38"/>
    <mergeCell ref="B35:E35"/>
    <mergeCell ref="B36:E36"/>
    <mergeCell ref="B33:E33"/>
    <mergeCell ref="B34:E34"/>
    <mergeCell ref="F33:I33"/>
  </mergeCells>
  <printOptions horizontalCentered="1" verticalCentered="1"/>
  <pageMargins left="0.19685039370078741" right="0.19685039370078741" top="0.19685039370078741" bottom="0.19685039370078741" header="0" footer="0"/>
  <pageSetup paperSize="9" scale="96" pageOrder="overThenDown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indexed="37"/>
    <pageSetUpPr fitToPage="1"/>
  </sheetPr>
  <dimension ref="A1:O28"/>
  <sheetViews>
    <sheetView showGridLines="0" zoomScale="90" zoomScaleNormal="90" workbookViewId="0">
      <selection activeCell="C27" sqref="C27:D27"/>
    </sheetView>
  </sheetViews>
  <sheetFormatPr baseColWidth="10" defaultColWidth="11.42578125" defaultRowHeight="12.75" x14ac:dyDescent="0.2"/>
  <cols>
    <col min="1" max="1" width="27" style="1" customWidth="1"/>
    <col min="2" max="2" width="16.7109375" style="1" customWidth="1"/>
    <col min="3" max="3" width="11.140625" style="1" customWidth="1"/>
    <col min="4" max="4" width="24" style="1" customWidth="1"/>
    <col min="5" max="5" width="16.140625" style="1" customWidth="1"/>
    <col min="6" max="7" width="10" style="1" customWidth="1"/>
    <col min="8" max="8" width="9.28515625" style="1" customWidth="1"/>
    <col min="9" max="12" width="10.7109375" style="1" customWidth="1"/>
    <col min="13" max="13" width="6.42578125" style="1" customWidth="1"/>
    <col min="14" max="14" width="2.7109375" style="1" customWidth="1"/>
    <col min="15" max="15" width="5.7109375" style="1" customWidth="1"/>
    <col min="16" max="16384" width="11.42578125" style="1"/>
  </cols>
  <sheetData>
    <row r="1" spans="1:15" ht="25.5" customHeight="1" thickBot="1" x14ac:dyDescent="0.25">
      <c r="A1" s="384" t="s">
        <v>22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6"/>
      <c r="O1" s="376" t="s">
        <v>50</v>
      </c>
    </row>
    <row r="2" spans="1:15" ht="25.5" customHeight="1" thickBot="1" x14ac:dyDescent="0.25">
      <c r="A2" s="28">
        <v>2008</v>
      </c>
      <c r="B2" s="466" t="s">
        <v>48</v>
      </c>
      <c r="C2" s="467"/>
      <c r="D2" s="468"/>
      <c r="E2" s="58" t="str">
        <f>IF(DONNEES!K1="","",DONNEES!K1)</f>
        <v>X</v>
      </c>
      <c r="F2" s="475" t="str">
        <f>IF(DONNEES!B2="","Formation du :",CONCATENATE("Formation du :",IF(DONNEES!C2="",TEXT(DONNEES!B2," jj/mm/aaaa"),CONCATENATE(TEXT(DONNEES!B2," jj/mm/aaaa")," Au ",TEXT(DONNEES!C2,"jj/mm/aaaa")))))</f>
        <v>Formation du : 10/05/2020</v>
      </c>
      <c r="G2" s="476"/>
      <c r="H2" s="476"/>
      <c r="I2" s="476"/>
      <c r="J2" s="476"/>
      <c r="K2" s="476"/>
      <c r="L2" s="476"/>
      <c r="M2" s="476"/>
      <c r="N2" s="477"/>
      <c r="O2" s="377"/>
    </row>
    <row r="3" spans="1:15" ht="25.5" customHeight="1" thickBot="1" x14ac:dyDescent="0.25">
      <c r="A3" s="30"/>
      <c r="B3" s="466" t="s">
        <v>51</v>
      </c>
      <c r="C3" s="467"/>
      <c r="D3" s="468"/>
      <c r="E3" s="116"/>
      <c r="F3" s="414" t="str">
        <f>CONCATENATE("Lieu : ",IF(DONNEES!B4="","",DONNEES!B4))</f>
        <v>Lieu : les fins</v>
      </c>
      <c r="G3" s="415"/>
      <c r="H3" s="415"/>
      <c r="I3" s="415"/>
      <c r="J3" s="415"/>
      <c r="K3" s="415"/>
      <c r="L3" s="415"/>
      <c r="M3" s="415"/>
      <c r="N3" s="416"/>
      <c r="O3" s="377"/>
    </row>
    <row r="4" spans="1:15" ht="25.5" customHeight="1" thickBot="1" x14ac:dyDescent="0.25">
      <c r="A4" s="30"/>
      <c r="B4" s="466" t="s">
        <v>49</v>
      </c>
      <c r="C4" s="467"/>
      <c r="D4" s="468"/>
      <c r="E4" s="116"/>
      <c r="F4" s="414" t="s">
        <v>108</v>
      </c>
      <c r="G4" s="415"/>
      <c r="H4" s="415"/>
      <c r="I4" s="415"/>
      <c r="J4" s="415"/>
      <c r="K4" s="415"/>
      <c r="L4" s="415"/>
      <c r="M4" s="415"/>
      <c r="N4" s="416"/>
      <c r="O4" s="377"/>
    </row>
    <row r="5" spans="1:15" ht="25.5" customHeight="1" thickBot="1" x14ac:dyDescent="0.25">
      <c r="A5" s="30"/>
      <c r="B5" s="439"/>
      <c r="C5" s="440"/>
      <c r="D5" s="441"/>
      <c r="E5" s="59"/>
      <c r="F5" s="469" t="s">
        <v>89</v>
      </c>
      <c r="G5" s="470"/>
      <c r="H5" s="470"/>
      <c r="I5" s="471"/>
      <c r="J5" s="472" t="s">
        <v>90</v>
      </c>
      <c r="K5" s="473"/>
      <c r="L5" s="473"/>
      <c r="M5" s="473"/>
      <c r="N5" s="474"/>
      <c r="O5" s="377"/>
    </row>
    <row r="6" spans="1:15" ht="25.5" customHeight="1" thickBot="1" x14ac:dyDescent="0.25">
      <c r="A6" s="30"/>
      <c r="B6" s="466" t="str">
        <f>CONCATENATE("Intitulé du stage : ",IF(DONNEES!B8="","",CONCATENATE(DONNEES!B8," ",DONNEES!C8)))</f>
        <v xml:space="preserve">Intitulé du stage : </v>
      </c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8"/>
      <c r="O6" s="377"/>
    </row>
    <row r="7" spans="1:15" s="3" customFormat="1" ht="69" customHeight="1" thickBot="1" x14ac:dyDescent="0.25">
      <c r="A7" s="462" t="s">
        <v>21</v>
      </c>
      <c r="B7" s="442" t="s">
        <v>1</v>
      </c>
      <c r="C7" s="443"/>
      <c r="D7" s="443"/>
      <c r="E7" s="444"/>
      <c r="F7" s="401" t="s">
        <v>20</v>
      </c>
      <c r="G7" s="401"/>
      <c r="H7" s="402"/>
      <c r="I7" s="391" t="s">
        <v>56</v>
      </c>
      <c r="J7" s="392"/>
      <c r="K7" s="389" t="s">
        <v>3</v>
      </c>
      <c r="L7" s="390"/>
      <c r="M7" s="400" t="s">
        <v>4</v>
      </c>
      <c r="N7" s="401"/>
      <c r="O7" s="402"/>
    </row>
    <row r="8" spans="1:15" s="3" customFormat="1" ht="15" customHeight="1" thickBot="1" x14ac:dyDescent="0.25">
      <c r="A8" s="463"/>
      <c r="B8" s="445"/>
      <c r="C8" s="446"/>
      <c r="D8" s="446"/>
      <c r="E8" s="447"/>
      <c r="F8" s="45" t="s">
        <v>12</v>
      </c>
      <c r="G8" s="403" t="s">
        <v>13</v>
      </c>
      <c r="H8" s="404"/>
      <c r="I8" s="393"/>
      <c r="J8" s="394"/>
      <c r="K8" s="397" t="s">
        <v>8</v>
      </c>
      <c r="L8" s="381" t="s">
        <v>10</v>
      </c>
      <c r="M8" s="405" t="s">
        <v>9</v>
      </c>
      <c r="N8" s="406"/>
      <c r="O8" s="407"/>
    </row>
    <row r="9" spans="1:15" s="3" customFormat="1" ht="18.75" customHeight="1" thickBot="1" x14ac:dyDescent="0.25">
      <c r="A9" s="450" t="s">
        <v>5</v>
      </c>
      <c r="B9" s="451"/>
      <c r="C9" s="454" t="s">
        <v>0</v>
      </c>
      <c r="D9" s="456" t="s">
        <v>16</v>
      </c>
      <c r="E9" s="464" t="s">
        <v>11</v>
      </c>
      <c r="F9" s="387" t="s">
        <v>14</v>
      </c>
      <c r="G9" s="374" t="s">
        <v>14</v>
      </c>
      <c r="H9" s="374" t="s">
        <v>55</v>
      </c>
      <c r="I9" s="395"/>
      <c r="J9" s="396"/>
      <c r="K9" s="398"/>
      <c r="L9" s="382"/>
      <c r="M9" s="408"/>
      <c r="N9" s="409"/>
      <c r="O9" s="410"/>
    </row>
    <row r="10" spans="1:15" s="2" customFormat="1" ht="55.5" customHeight="1" thickBot="1" x14ac:dyDescent="0.3">
      <c r="A10" s="452"/>
      <c r="B10" s="453"/>
      <c r="C10" s="455"/>
      <c r="D10" s="457"/>
      <c r="E10" s="465"/>
      <c r="F10" s="388"/>
      <c r="G10" s="374"/>
      <c r="H10" s="375"/>
      <c r="I10" s="16" t="s">
        <v>54</v>
      </c>
      <c r="J10" s="17" t="s">
        <v>6</v>
      </c>
      <c r="K10" s="399"/>
      <c r="L10" s="383"/>
      <c r="M10" s="411"/>
      <c r="N10" s="412"/>
      <c r="O10" s="413"/>
    </row>
    <row r="11" spans="1:15" ht="24.95" customHeight="1" x14ac:dyDescent="0.2">
      <c r="A11" s="458" t="e">
        <f ca="1">IF('LISTE NOM POUR FLF'!F2="","",'LISTE NOM POUR FLF'!F2)</f>
        <v>#N/A</v>
      </c>
      <c r="B11" s="459"/>
      <c r="C11" s="42" t="e">
        <f ca="1">IF(A11="","",VLOOKUP(A11,PERSONNELS!$A$2:$G$100,2,FALSE))</f>
        <v>#N/A</v>
      </c>
      <c r="D11" s="78" t="e">
        <f ca="1">IF(A11="","",VLOOKUP(A11,PERSONNELS!$A$2:$G$100,5,FALSE))</f>
        <v>#N/A</v>
      </c>
      <c r="E11" s="81" t="e">
        <f ca="1">IF(A11="","",IF(VLOOKUP(A11,'Ordre alphabétique FLF'!$F$2:$Q$21,12,FALSE)="",IF(DONNEES!$C$2="",DONNEES!$B$2,CONCATENATE(TEXT(DONNEES!$B$2,"jj/mm/aaaa")," Au ",TEXT(DONNEES!$C$2,"jj/mm/aaaa"))),VLOOKUP(A11,'Ordre alphabétique FLF'!$F$2:$Q$21,12,FALSE)))</f>
        <v>#N/A</v>
      </c>
      <c r="F11" s="84" t="e">
        <f ca="1">IF(A11="","",IF(VLOOKUP(A11,'Ordre alphabétique FLF'!$F$2:$Q$21,3,FALSE)="oui","",VLOOKUP(A11,'Ordre alphabétique FLF'!$F$2:$Q$21,4,FALSE)))</f>
        <v>#N/A</v>
      </c>
      <c r="G11" s="34" t="e">
        <f ca="1">IF(A11="","",IF(VLOOKUP(A11,'Ordre alphabétique FLF'!$F$2:$Q$21,3,FALSE)="oui",VLOOKUP(A11,'Ordre alphabétique FLF'!$F$2:$Q$21,4,FALSE),""))</f>
        <v>#N/A</v>
      </c>
      <c r="H11" s="54" t="e">
        <f ca="1">IF(A11="","",IF(VLOOKUP(A11,'Ordre alphabétique FLF'!$F$2:$Q$21,3,FALSE)="oui",VLOOKUP(A11,'Ordre alphabétique FLF'!$F$2:$Q$21,5,FALSE),""))</f>
        <v>#N/A</v>
      </c>
      <c r="I11" s="46"/>
      <c r="J11" s="46"/>
      <c r="K11" s="46"/>
      <c r="L11" s="47"/>
      <c r="M11" s="371"/>
      <c r="N11" s="372"/>
      <c r="O11" s="373"/>
    </row>
    <row r="12" spans="1:15" ht="24.95" customHeight="1" x14ac:dyDescent="0.2">
      <c r="A12" s="448" t="e">
        <f ca="1">IF('LISTE NOM POUR FLF'!F3="","",'LISTE NOM POUR FLF'!F3)</f>
        <v>#N/A</v>
      </c>
      <c r="B12" s="449"/>
      <c r="C12" s="43" t="e">
        <f ca="1">IF(A12="","",VLOOKUP(A12,PERSONNELS!$A$2:$G$100,2,FALSE))</f>
        <v>#N/A</v>
      </c>
      <c r="D12" s="79" t="e">
        <f ca="1">IF(A12="","",VLOOKUP(A12,PERSONNELS!$A$2:$G$100,5,FALSE))</f>
        <v>#N/A</v>
      </c>
      <c r="E12" s="82" t="e">
        <f ca="1">IF(A12="","",IF(VLOOKUP(A12,'Ordre alphabétique FLF'!$F$2:$Q$21,12,FALSE)="",IF(DONNEES!$C$2="",DONNEES!$B$2,CONCATENATE(TEXT(DONNEES!$B$2,"jj/mm/aaaa")," Au ",TEXT(DONNEES!$C$2,"jj/mm/aaaa"))),VLOOKUP(A12,'Ordre alphabétique FLF'!$F$2:$Q$21,12,FALSE)))</f>
        <v>#N/A</v>
      </c>
      <c r="F12" s="48" t="e">
        <f ca="1">IF(A12="","",IF(VLOOKUP(A12,'Ordre alphabétique FLF'!$F$2:$Q$21,3,FALSE)="oui","",VLOOKUP(A12,'Ordre alphabétique FLF'!$F$2:$Q$21,4,FALSE)))</f>
        <v>#N/A</v>
      </c>
      <c r="G12" s="37" t="e">
        <f ca="1">IF(A12="","",IF(VLOOKUP(A12,'Ordre alphabétique FLF'!$F$2:$Q$21,3,FALSE)="oui",VLOOKUP(A12,'Ordre alphabétique FLF'!$F$2:$Q$21,4,FALSE),""))</f>
        <v>#N/A</v>
      </c>
      <c r="H12" s="55" t="e">
        <f ca="1">IF(A12="","",IF(VLOOKUP(A12,'Ordre alphabétique FLF'!$F$2:$Q$21,3,FALSE)="oui",VLOOKUP(A12,'Ordre alphabétique FLF'!$F$2:$Q$21,5,FALSE),""))</f>
        <v>#N/A</v>
      </c>
      <c r="I12" s="37"/>
      <c r="J12" s="37"/>
      <c r="K12" s="37"/>
      <c r="L12" s="49"/>
      <c r="M12" s="378"/>
      <c r="N12" s="379"/>
      <c r="O12" s="380"/>
    </row>
    <row r="13" spans="1:15" ht="24.95" customHeight="1" x14ac:dyDescent="0.2">
      <c r="A13" s="448" t="e">
        <f ca="1">IF('LISTE NOM POUR FLF'!F4="","",'LISTE NOM POUR FLF'!F4)</f>
        <v>#N/A</v>
      </c>
      <c r="B13" s="449"/>
      <c r="C13" s="43" t="e">
        <f ca="1">IF(A13="","",VLOOKUP(A13,PERSONNELS!$A$2:$G$100,2,FALSE))</f>
        <v>#N/A</v>
      </c>
      <c r="D13" s="79" t="e">
        <f ca="1">IF(A13="","",VLOOKUP(A13,PERSONNELS!$A$2:$G$100,5,FALSE))</f>
        <v>#N/A</v>
      </c>
      <c r="E13" s="82" t="e">
        <f ca="1">IF(A13="","",IF(VLOOKUP(A13,'Ordre alphabétique FLF'!$F$2:$Q$21,12,FALSE)="",IF(DONNEES!$C$2="",DONNEES!$B$2,CONCATENATE(TEXT(DONNEES!$B$2,"jj/mm/aaaa")," Au ",TEXT(DONNEES!$C$2,"jj/mm/aaaa"))),VLOOKUP(A13,'Ordre alphabétique FLF'!$F$2:$Q$21,12,FALSE)))</f>
        <v>#N/A</v>
      </c>
      <c r="F13" s="48" t="e">
        <f ca="1">IF(A13="","",IF(VLOOKUP(A13,'Ordre alphabétique FLF'!$F$2:$Q$21,3,FALSE)="oui","",VLOOKUP(A13,'Ordre alphabétique FLF'!$F$2:$Q$21,4,FALSE)))</f>
        <v>#N/A</v>
      </c>
      <c r="G13" s="37" t="e">
        <f ca="1">IF(A13="","",IF(VLOOKUP(A13,'Ordre alphabétique FLF'!$F$2:$Q$21,3,FALSE)="oui",VLOOKUP(A13,'Ordre alphabétique FLF'!$F$2:$Q$21,4,FALSE),""))</f>
        <v>#N/A</v>
      </c>
      <c r="H13" s="55" t="e">
        <f ca="1">IF(A13="","",IF(VLOOKUP(A13,'Ordre alphabétique FLF'!$F$2:$Q$21,3,FALSE)="oui",VLOOKUP(A13,'Ordre alphabétique FLF'!$F$2:$Q$21,5,FALSE),""))</f>
        <v>#N/A</v>
      </c>
      <c r="I13" s="37"/>
      <c r="J13" s="37"/>
      <c r="K13" s="37"/>
      <c r="L13" s="49"/>
      <c r="M13" s="378"/>
      <c r="N13" s="379"/>
      <c r="O13" s="380"/>
    </row>
    <row r="14" spans="1:15" ht="24.95" customHeight="1" x14ac:dyDescent="0.2">
      <c r="A14" s="448" t="e">
        <f ca="1">IF('LISTE NOM POUR FLF'!F5="","",'LISTE NOM POUR FLF'!F5)</f>
        <v>#N/A</v>
      </c>
      <c r="B14" s="449"/>
      <c r="C14" s="43" t="e">
        <f ca="1">IF(A14="","",VLOOKUP(A14,PERSONNELS!$A$2:$G$100,2,FALSE))</f>
        <v>#N/A</v>
      </c>
      <c r="D14" s="79" t="e">
        <f ca="1">IF(A14="","",VLOOKUP(A14,PERSONNELS!$A$2:$G$100,5,FALSE))</f>
        <v>#N/A</v>
      </c>
      <c r="E14" s="82" t="e">
        <f ca="1">IF(A14="","",IF(VLOOKUP(A14,'Ordre alphabétique FLF'!$F$2:$Q$21,12,FALSE)="",IF(DONNEES!$C$2="",DONNEES!$B$2,CONCATENATE(TEXT(DONNEES!$B$2,"jj/mm/aaaa")," Au ",TEXT(DONNEES!$C$2,"jj/mm/aaaa"))),VLOOKUP(A14,'Ordre alphabétique FLF'!$F$2:$Q$21,12,FALSE)))</f>
        <v>#N/A</v>
      </c>
      <c r="F14" s="48" t="e">
        <f ca="1">IF(A14="","",IF(VLOOKUP(A14,'Ordre alphabétique FLF'!$F$2:$Q$21,3,FALSE)="oui","",VLOOKUP(A14,'Ordre alphabétique FLF'!$F$2:$Q$21,4,FALSE)))</f>
        <v>#N/A</v>
      </c>
      <c r="G14" s="37" t="e">
        <f ca="1">IF(A14="","",IF(VLOOKUP(A14,'Ordre alphabétique FLF'!$F$2:$Q$21,3,FALSE)="oui",VLOOKUP(A14,'Ordre alphabétique FLF'!$F$2:$Q$21,4,FALSE),""))</f>
        <v>#N/A</v>
      </c>
      <c r="H14" s="55" t="e">
        <f ca="1">IF(A14="","",IF(VLOOKUP(A14,'Ordre alphabétique FLF'!$F$2:$Q$21,3,FALSE)="oui",VLOOKUP(A14,'Ordre alphabétique FLF'!$F$2:$Q$21,5,FALSE),""))</f>
        <v>#N/A</v>
      </c>
      <c r="I14" s="37"/>
      <c r="J14" s="37"/>
      <c r="K14" s="37"/>
      <c r="L14" s="49"/>
      <c r="M14" s="378"/>
      <c r="N14" s="379"/>
      <c r="O14" s="380"/>
    </row>
    <row r="15" spans="1:15" ht="24.95" customHeight="1" x14ac:dyDescent="0.2">
      <c r="A15" s="448" t="e">
        <f ca="1">IF('LISTE NOM POUR FLF'!F6="","",'LISTE NOM POUR FLF'!F6)</f>
        <v>#N/A</v>
      </c>
      <c r="B15" s="449"/>
      <c r="C15" s="43" t="e">
        <f ca="1">IF(A15="","",VLOOKUP(A15,PERSONNELS!$A$2:$G$100,2,FALSE))</f>
        <v>#N/A</v>
      </c>
      <c r="D15" s="79" t="e">
        <f ca="1">IF(A15="","",VLOOKUP(A15,PERSONNELS!$A$2:$G$100,5,FALSE))</f>
        <v>#N/A</v>
      </c>
      <c r="E15" s="82" t="e">
        <f ca="1">IF(A15="","",IF(VLOOKUP(A15,'Ordre alphabétique FLF'!$F$2:$Q$21,12,FALSE)="",IF(DONNEES!$C$2="",DONNEES!$B$2,CONCATENATE(TEXT(DONNEES!$B$2,"jj/mm/aaaa")," Au ",TEXT(DONNEES!$C$2,"jj/mm/aaaa"))),VLOOKUP(A15,'Ordre alphabétique FLF'!$F$2:$Q$21,12,FALSE)))</f>
        <v>#N/A</v>
      </c>
      <c r="F15" s="48" t="e">
        <f ca="1">IF(A15="","",IF(VLOOKUP(A15,'Ordre alphabétique FLF'!$F$2:$Q$21,3,FALSE)="oui","",VLOOKUP(A15,'Ordre alphabétique FLF'!$F$2:$Q$21,4,FALSE)))</f>
        <v>#N/A</v>
      </c>
      <c r="G15" s="37" t="e">
        <f ca="1">IF(A15="","",IF(VLOOKUP(A15,'Ordre alphabétique FLF'!$F$2:$Q$21,3,FALSE)="oui",VLOOKUP(A15,'Ordre alphabétique FLF'!$F$2:$Q$21,4,FALSE),""))</f>
        <v>#N/A</v>
      </c>
      <c r="H15" s="55" t="e">
        <f ca="1">IF(A15="","",IF(VLOOKUP(A15,'Ordre alphabétique FLF'!$F$2:$Q$21,3,FALSE)="oui",VLOOKUP(A15,'Ordre alphabétique FLF'!$F$2:$Q$21,5,FALSE),""))</f>
        <v>#N/A</v>
      </c>
      <c r="I15" s="37"/>
      <c r="J15" s="37"/>
      <c r="K15" s="37"/>
      <c r="L15" s="49"/>
      <c r="M15" s="378"/>
      <c r="N15" s="379"/>
      <c r="O15" s="380"/>
    </row>
    <row r="16" spans="1:15" ht="24.95" customHeight="1" x14ac:dyDescent="0.2">
      <c r="A16" s="448" t="e">
        <f ca="1">IF('LISTE NOM POUR FLF'!F7="","",'LISTE NOM POUR FLF'!F7)</f>
        <v>#N/A</v>
      </c>
      <c r="B16" s="449"/>
      <c r="C16" s="43" t="e">
        <f ca="1">IF(A16="","",VLOOKUP(A16,PERSONNELS!$A$2:$G$100,2,FALSE))</f>
        <v>#N/A</v>
      </c>
      <c r="D16" s="79" t="e">
        <f ca="1">IF(A16="","",VLOOKUP(A16,PERSONNELS!$A$2:$G$100,5,FALSE))</f>
        <v>#N/A</v>
      </c>
      <c r="E16" s="82" t="e">
        <f ca="1">IF(A16="","",IF(VLOOKUP(A16,'Ordre alphabétique FLF'!$F$2:$Q$21,12,FALSE)="",IF(DONNEES!$C$2="",DONNEES!$B$2,CONCATENATE(TEXT(DONNEES!$B$2,"jj/mm/aaaa")," Au ",TEXT(DONNEES!$C$2,"jj/mm/aaaa"))),VLOOKUP(A16,'Ordre alphabétique FLF'!$F$2:$Q$21,12,FALSE)))</f>
        <v>#N/A</v>
      </c>
      <c r="F16" s="48" t="e">
        <f ca="1">IF(A16="","",IF(VLOOKUP(A16,'Ordre alphabétique FLF'!$F$2:$Q$21,3,FALSE)="oui","",VLOOKUP(A16,'Ordre alphabétique FLF'!$F$2:$Q$21,4,FALSE)))</f>
        <v>#N/A</v>
      </c>
      <c r="G16" s="37" t="e">
        <f ca="1">IF(A16="","",IF(VLOOKUP(A16,'Ordre alphabétique FLF'!$F$2:$Q$21,3,FALSE)="oui",VLOOKUP(A16,'Ordre alphabétique FLF'!$F$2:$Q$21,4,FALSE),""))</f>
        <v>#N/A</v>
      </c>
      <c r="H16" s="55" t="e">
        <f ca="1">IF(A16="","",IF(VLOOKUP(A16,'Ordre alphabétique FLF'!$F$2:$Q$21,3,FALSE)="oui",VLOOKUP(A16,'Ordre alphabétique FLF'!$F$2:$Q$21,5,FALSE),""))</f>
        <v>#N/A</v>
      </c>
      <c r="I16" s="37"/>
      <c r="J16" s="37"/>
      <c r="K16" s="37"/>
      <c r="L16" s="49"/>
      <c r="M16" s="378"/>
      <c r="N16" s="379"/>
      <c r="O16" s="380"/>
    </row>
    <row r="17" spans="1:15" ht="24.95" customHeight="1" x14ac:dyDescent="0.2">
      <c r="A17" s="448" t="e">
        <f ca="1">IF('LISTE NOM POUR FLF'!F8="","",'LISTE NOM POUR FLF'!F8)</f>
        <v>#N/A</v>
      </c>
      <c r="B17" s="449"/>
      <c r="C17" s="43" t="e">
        <f ca="1">IF(A17="","",VLOOKUP(A17,PERSONNELS!$A$2:$G$100,2,FALSE))</f>
        <v>#N/A</v>
      </c>
      <c r="D17" s="79" t="e">
        <f ca="1">IF(A17="","",VLOOKUP(A17,PERSONNELS!$A$2:$G$100,5,FALSE))</f>
        <v>#N/A</v>
      </c>
      <c r="E17" s="82" t="e">
        <f ca="1">IF(A17="","",IF(VLOOKUP(A17,'Ordre alphabétique FLF'!$F$2:$Q$21,12,FALSE)="",IF(DONNEES!$C$2="",DONNEES!$B$2,CONCATENATE(TEXT(DONNEES!$B$2,"jj/mm/aaaa")," Au ",TEXT(DONNEES!$C$2,"jj/mm/aaaa"))),VLOOKUP(A17,'Ordre alphabétique FLF'!$F$2:$Q$21,12,FALSE)))</f>
        <v>#N/A</v>
      </c>
      <c r="F17" s="48" t="e">
        <f ca="1">IF(A17="","",IF(VLOOKUP(A17,'Ordre alphabétique FLF'!$F$2:$Q$21,3,FALSE)="oui","",VLOOKUP(A17,'Ordre alphabétique FLF'!$F$2:$Q$21,4,FALSE)))</f>
        <v>#N/A</v>
      </c>
      <c r="G17" s="37" t="e">
        <f ca="1">IF(A17="","",IF(VLOOKUP(A17,'Ordre alphabétique FLF'!$F$2:$Q$21,3,FALSE)="oui",VLOOKUP(A17,'Ordre alphabétique FLF'!$F$2:$Q$21,4,FALSE),""))</f>
        <v>#N/A</v>
      </c>
      <c r="H17" s="55" t="e">
        <f ca="1">IF(A17="","",IF(VLOOKUP(A17,'Ordre alphabétique FLF'!$F$2:$Q$21,3,FALSE)="oui",VLOOKUP(A17,'Ordre alphabétique FLF'!$F$2:$Q$21,5,FALSE),""))</f>
        <v>#N/A</v>
      </c>
      <c r="I17" s="37"/>
      <c r="J17" s="37"/>
      <c r="K17" s="37"/>
      <c r="L17" s="49"/>
      <c r="M17" s="378"/>
      <c r="N17" s="379"/>
      <c r="O17" s="380"/>
    </row>
    <row r="18" spans="1:15" ht="24.95" customHeight="1" x14ac:dyDescent="0.2">
      <c r="A18" s="448" t="e">
        <f ca="1">IF('LISTE NOM POUR FLF'!F9="","",'LISTE NOM POUR FLF'!F9)</f>
        <v>#N/A</v>
      </c>
      <c r="B18" s="449"/>
      <c r="C18" s="43" t="e">
        <f ca="1">IF(A18="","",VLOOKUP(A18,PERSONNELS!$A$2:$G$100,2,FALSE))</f>
        <v>#N/A</v>
      </c>
      <c r="D18" s="79" t="e">
        <f ca="1">IF(A18="","",VLOOKUP(A18,PERSONNELS!$A$2:$G$100,5,FALSE))</f>
        <v>#N/A</v>
      </c>
      <c r="E18" s="82" t="e">
        <f ca="1">IF(A18="","",IF(VLOOKUP(A18,'Ordre alphabétique FLF'!$F$2:$Q$21,12,FALSE)="",IF(DONNEES!$C$2="",DONNEES!$B$2,CONCATENATE(TEXT(DONNEES!$B$2,"jj/mm/aaaa")," Au ",TEXT(DONNEES!$C$2,"jj/mm/aaaa"))),VLOOKUP(A18,'Ordre alphabétique FLF'!$F$2:$Q$21,12,FALSE)))</f>
        <v>#N/A</v>
      </c>
      <c r="F18" s="48" t="e">
        <f ca="1">IF(A18="","",IF(VLOOKUP(A18,'Ordre alphabétique FLF'!$F$2:$Q$21,3,FALSE)="oui","",VLOOKUP(A18,'Ordre alphabétique FLF'!$F$2:$Q$21,4,FALSE)))</f>
        <v>#N/A</v>
      </c>
      <c r="G18" s="37" t="e">
        <f ca="1">IF(A18="","",IF(VLOOKUP(A18,'Ordre alphabétique FLF'!$F$2:$Q$21,3,FALSE)="oui",VLOOKUP(A18,'Ordre alphabétique FLF'!$F$2:$Q$21,4,FALSE),""))</f>
        <v>#N/A</v>
      </c>
      <c r="H18" s="55" t="e">
        <f ca="1">IF(A18="","",IF(VLOOKUP(A18,'Ordre alphabétique FLF'!$F$2:$Q$21,3,FALSE)="oui",VLOOKUP(A18,'Ordre alphabétique FLF'!$F$2:$Q$21,5,FALSE),""))</f>
        <v>#N/A</v>
      </c>
      <c r="I18" s="37"/>
      <c r="J18" s="37"/>
      <c r="K18" s="37"/>
      <c r="L18" s="49"/>
      <c r="M18" s="378"/>
      <c r="N18" s="379"/>
      <c r="O18" s="380"/>
    </row>
    <row r="19" spans="1:15" ht="24.95" customHeight="1" x14ac:dyDescent="0.2">
      <c r="A19" s="448" t="e">
        <f ca="1">IF('LISTE NOM POUR FLF'!F10="","",'LISTE NOM POUR FLF'!F10)</f>
        <v>#N/A</v>
      </c>
      <c r="B19" s="449"/>
      <c r="C19" s="43" t="e">
        <f ca="1">IF(A19="","",VLOOKUP(A19,PERSONNELS!$A$2:$G$100,2,FALSE))</f>
        <v>#N/A</v>
      </c>
      <c r="D19" s="79" t="e">
        <f ca="1">IF(A19="","",VLOOKUP(A19,PERSONNELS!$A$2:$G$100,5,FALSE))</f>
        <v>#N/A</v>
      </c>
      <c r="E19" s="82" t="e">
        <f ca="1">IF(A19="","",IF(VLOOKUP(A19,'Ordre alphabétique FLF'!$F$2:$Q$21,12,FALSE)="",IF(DONNEES!$C$2="",DONNEES!$B$2,CONCATENATE(TEXT(DONNEES!$B$2,"jj/mm/aaaa")," Au ",TEXT(DONNEES!$C$2,"jj/mm/aaaa"))),VLOOKUP(A19,'Ordre alphabétique FLF'!$F$2:$Q$21,12,FALSE)))</f>
        <v>#N/A</v>
      </c>
      <c r="F19" s="48" t="e">
        <f ca="1">IF(A19="","",IF(VLOOKUP(A19,'Ordre alphabétique FLF'!$F$2:$Q$21,3,FALSE)="oui","",VLOOKUP(A19,'Ordre alphabétique FLF'!$F$2:$Q$21,4,FALSE)))</f>
        <v>#N/A</v>
      </c>
      <c r="G19" s="37" t="e">
        <f ca="1">IF(A19="","",IF(VLOOKUP(A19,'Ordre alphabétique FLF'!$F$2:$Q$21,3,FALSE)="oui",VLOOKUP(A19,'Ordre alphabétique FLF'!$F$2:$Q$21,4,FALSE),""))</f>
        <v>#N/A</v>
      </c>
      <c r="H19" s="55" t="e">
        <f ca="1">IF(A19="","",IF(VLOOKUP(A19,'Ordre alphabétique FLF'!$F$2:$Q$21,3,FALSE)="oui",VLOOKUP(A19,'Ordre alphabétique FLF'!$F$2:$Q$21,5,FALSE),""))</f>
        <v>#N/A</v>
      </c>
      <c r="I19" s="37"/>
      <c r="J19" s="37"/>
      <c r="K19" s="37"/>
      <c r="L19" s="49"/>
      <c r="M19" s="378"/>
      <c r="N19" s="379"/>
      <c r="O19" s="380"/>
    </row>
    <row r="20" spans="1:15" ht="24.95" customHeight="1" x14ac:dyDescent="0.2">
      <c r="A20" s="448" t="e">
        <f ca="1">IF('LISTE NOM POUR FLF'!F11="","",'LISTE NOM POUR FLF'!F11)</f>
        <v>#N/A</v>
      </c>
      <c r="B20" s="449"/>
      <c r="C20" s="43" t="e">
        <f ca="1">IF(A20="","",VLOOKUP(A20,PERSONNELS!$A$2:$G$100,2,FALSE))</f>
        <v>#N/A</v>
      </c>
      <c r="D20" s="79" t="e">
        <f ca="1">IF(A20="","",VLOOKUP(A20,PERSONNELS!$A$2:$G$100,5,FALSE))</f>
        <v>#N/A</v>
      </c>
      <c r="E20" s="82" t="e">
        <f ca="1">IF(A20="","",IF(VLOOKUP(A20,'Ordre alphabétique FLF'!$F$2:$Q$21,12,FALSE)="",IF(DONNEES!$C$2="",DONNEES!$B$2,CONCATENATE(TEXT(DONNEES!$B$2,"jj/mm/aaaa")," Au ",TEXT(DONNEES!$C$2,"jj/mm/aaaa"))),VLOOKUP(A20,'Ordre alphabétique FLF'!$F$2:$Q$21,12,FALSE)))</f>
        <v>#N/A</v>
      </c>
      <c r="F20" s="48" t="e">
        <f ca="1">IF(A20="","",IF(VLOOKUP(A20,'Ordre alphabétique FLF'!$F$2:$Q$21,3,FALSE)="oui","",VLOOKUP(A20,'Ordre alphabétique FLF'!$F$2:$Q$21,4,FALSE)))</f>
        <v>#N/A</v>
      </c>
      <c r="G20" s="37" t="e">
        <f ca="1">IF(A20="","",IF(VLOOKUP(A20,'Ordre alphabétique FLF'!$F$2:$Q$21,3,FALSE)="oui",VLOOKUP(A20,'Ordre alphabétique FLF'!$F$2:$Q$21,4,FALSE),""))</f>
        <v>#N/A</v>
      </c>
      <c r="H20" s="55" t="e">
        <f ca="1">IF(A20="","",IF(VLOOKUP(A20,'Ordre alphabétique FLF'!$F$2:$Q$21,3,FALSE)="oui",VLOOKUP(A20,'Ordre alphabétique FLF'!$F$2:$Q$21,5,FALSE),""))</f>
        <v>#N/A</v>
      </c>
      <c r="I20" s="37"/>
      <c r="J20" s="37"/>
      <c r="K20" s="37"/>
      <c r="L20" s="49"/>
      <c r="M20" s="378"/>
      <c r="N20" s="379"/>
      <c r="O20" s="380"/>
    </row>
    <row r="21" spans="1:15" ht="24.95" customHeight="1" x14ac:dyDescent="0.2">
      <c r="A21" s="448" t="e">
        <f ca="1">IF('LISTE NOM POUR FLF'!F12="","",'LISTE NOM POUR FLF'!F12)</f>
        <v>#N/A</v>
      </c>
      <c r="B21" s="449"/>
      <c r="C21" s="43" t="e">
        <f ca="1">IF(A21="","",VLOOKUP(A21,PERSONNELS!$A$2:$G$100,2,FALSE))</f>
        <v>#N/A</v>
      </c>
      <c r="D21" s="79" t="e">
        <f ca="1">IF(A21="","",VLOOKUP(A21,PERSONNELS!$A$2:$G$100,5,FALSE))</f>
        <v>#N/A</v>
      </c>
      <c r="E21" s="82" t="e">
        <f ca="1">IF(A21="","",IF(VLOOKUP(A21,'Ordre alphabétique FLF'!$F$2:$Q$21,12,FALSE)="",IF(DONNEES!$C$2="",DONNEES!$B$2,CONCATENATE(TEXT(DONNEES!$B$2,"jj/mm/aaaa")," Au ",TEXT(DONNEES!$C$2,"jj/mm/aaaa"))),VLOOKUP(A21,'Ordre alphabétique FLF'!$F$2:$Q$21,12,FALSE)))</f>
        <v>#N/A</v>
      </c>
      <c r="F21" s="48" t="e">
        <f ca="1">IF(A21="","",IF(VLOOKUP(A21,'Ordre alphabétique FLF'!$F$2:$Q$21,3,FALSE)="oui","",VLOOKUP(A21,'Ordre alphabétique FLF'!$F$2:$Q$21,4,FALSE)))</f>
        <v>#N/A</v>
      </c>
      <c r="G21" s="37" t="e">
        <f ca="1">IF(A21="","",IF(VLOOKUP(A21,'Ordre alphabétique FLF'!$F$2:$Q$21,3,FALSE)="oui",VLOOKUP(A21,'Ordre alphabétique FLF'!$F$2:$Q$21,4,FALSE),""))</f>
        <v>#N/A</v>
      </c>
      <c r="H21" s="55" t="e">
        <f ca="1">IF(A21="","",IF(VLOOKUP(A21,'Ordre alphabétique FLF'!$F$2:$Q$21,3,FALSE)="oui",VLOOKUP(A21,'Ordre alphabétique FLF'!$F$2:$Q$21,5,FALSE),""))</f>
        <v>#N/A</v>
      </c>
      <c r="I21" s="50"/>
      <c r="J21" s="50"/>
      <c r="K21" s="50"/>
      <c r="L21" s="51"/>
      <c r="M21" s="378"/>
      <c r="N21" s="379"/>
      <c r="O21" s="380"/>
    </row>
    <row r="22" spans="1:15" ht="24.95" customHeight="1" thickBot="1" x14ac:dyDescent="0.25">
      <c r="A22" s="419" t="e">
        <f ca="1">IF('LISTE NOM POUR FLF'!F13="","",'LISTE NOM POUR FLF'!F13)</f>
        <v>#N/A</v>
      </c>
      <c r="B22" s="420"/>
      <c r="C22" s="61" t="e">
        <f ca="1">IF(A22="","",VLOOKUP(A22,PERSONNELS!$A$2:$G$100,2,FALSE))</f>
        <v>#N/A</v>
      </c>
      <c r="D22" s="80" t="e">
        <f ca="1">IF(A22="","",VLOOKUP(A22,PERSONNELS!$A$2:$G$100,5,FALSE))</f>
        <v>#N/A</v>
      </c>
      <c r="E22" s="83" t="e">
        <f ca="1">IF(A22="","",IF(VLOOKUP(A22,'Ordre alphabétique FLF'!$F$2:$Q$21,12,FALSE)="",IF(DONNEES!$C$2="",DONNEES!$B$2,CONCATENATE(TEXT(DONNEES!$B$2,"jj/mm/aaaa")," Au ",TEXT(DONNEES!$C$2,"jj/mm/aaaa"))),VLOOKUP(A22,'Ordre alphabétique FLF'!$F$2:$Q$21,12,FALSE)))</f>
        <v>#N/A</v>
      </c>
      <c r="F22" s="52" t="e">
        <f ca="1">IF(A22="","",IF(VLOOKUP(A22,'Ordre alphabétique FLF'!$F$2:$Q$21,3,FALSE)="oui","",VLOOKUP(A22,'Ordre alphabétique FLF'!$F$2:$Q$21,4,FALSE)))</f>
        <v>#N/A</v>
      </c>
      <c r="G22" s="40" t="e">
        <f ca="1">IF(A22="","",IF(VLOOKUP(A22,'Ordre alphabétique FLF'!$F$2:$Q$21,3,FALSE)="oui",VLOOKUP(A22,'Ordre alphabétique FLF'!$F$2:$Q$21,4,FALSE),""))</f>
        <v>#N/A</v>
      </c>
      <c r="H22" s="85" t="e">
        <f ca="1">IF(A22="","",IF(VLOOKUP(A22,'Ordre alphabétique FLF'!$F$2:$Q$21,3,FALSE)="oui",VLOOKUP(A22,'Ordre alphabétique FLF'!$F$2:$Q$21,5,FALSE),""))</f>
        <v>#N/A</v>
      </c>
      <c r="I22" s="50"/>
      <c r="J22" s="50"/>
      <c r="K22" s="40"/>
      <c r="L22" s="53"/>
      <c r="M22" s="431"/>
      <c r="N22" s="432"/>
      <c r="O22" s="433"/>
    </row>
    <row r="23" spans="1:15" s="60" customFormat="1" ht="27" customHeight="1" thickBot="1" x14ac:dyDescent="0.25">
      <c r="A23" s="56" t="s">
        <v>17</v>
      </c>
      <c r="B23" s="97" t="s">
        <v>18</v>
      </c>
      <c r="C23" s="421" t="s">
        <v>2</v>
      </c>
      <c r="D23" s="423"/>
      <c r="E23" s="19" t="s">
        <v>19</v>
      </c>
      <c r="F23" s="424" t="s">
        <v>17</v>
      </c>
      <c r="G23" s="425"/>
      <c r="H23" s="424" t="s">
        <v>18</v>
      </c>
      <c r="I23" s="425"/>
      <c r="J23" s="421" t="s">
        <v>2</v>
      </c>
      <c r="K23" s="422"/>
      <c r="L23" s="423"/>
      <c r="M23" s="428" t="s">
        <v>19</v>
      </c>
      <c r="N23" s="429"/>
      <c r="O23" s="430"/>
    </row>
    <row r="24" spans="1:15" s="3" customFormat="1" ht="54.95" customHeight="1" thickBot="1" x14ac:dyDescent="0.25">
      <c r="A24" s="26" t="s">
        <v>47</v>
      </c>
      <c r="B24" s="172" t="e">
        <f>IF(DONNEES!B10="","",CONCATENATE(VLOOKUP(DONNEES!B10,PERSONNELS!A2:F100,2,FALSE)," ",DONNEES!B10))</f>
        <v>#N/A</v>
      </c>
      <c r="C24" s="426"/>
      <c r="D24" s="427"/>
      <c r="E24" s="86">
        <f>IF(DONNEES!J6="","",DONNEES!J6)</f>
        <v>43961</v>
      </c>
      <c r="F24" s="460" t="s">
        <v>46</v>
      </c>
      <c r="G24" s="461"/>
      <c r="H24" s="417"/>
      <c r="I24" s="418"/>
      <c r="J24" s="436"/>
      <c r="K24" s="437"/>
      <c r="L24" s="438"/>
      <c r="M24" s="436"/>
      <c r="N24" s="437"/>
      <c r="O24" s="438"/>
    </row>
    <row r="25" spans="1:15" s="3" customFormat="1" ht="54.95" customHeight="1" thickBot="1" x14ac:dyDescent="0.25">
      <c r="A25" s="26" t="s">
        <v>53</v>
      </c>
      <c r="B25" s="44"/>
      <c r="C25" s="426"/>
      <c r="D25" s="427"/>
      <c r="E25" s="25"/>
      <c r="F25" s="460" t="s">
        <v>52</v>
      </c>
      <c r="G25" s="461"/>
      <c r="H25" s="434"/>
      <c r="I25" s="435"/>
      <c r="J25" s="436"/>
      <c r="K25" s="437"/>
      <c r="L25" s="438"/>
      <c r="M25" s="436"/>
      <c r="N25" s="437"/>
      <c r="O25" s="438"/>
    </row>
    <row r="26" spans="1:15" ht="13.5" customHeight="1" x14ac:dyDescent="0.2"/>
    <row r="27" spans="1:15" ht="13.5" customHeight="1" x14ac:dyDescent="0.2"/>
    <row r="28" spans="1:15" ht="13.5" customHeight="1" x14ac:dyDescent="0.2"/>
  </sheetData>
  <sheetProtection algorithmName="SHA-512" hashValue="C9IURWvUIBmTovHe0nERmfS845UPZP52PMAajfuhEM+oapNxKdRDCR2+zqgIS2i2IY10uormJvoFzX9pSFlWmw==" saltValue="6Jnu5iW0iSnm6QNmmhJllQ==" spinCount="100000" sheet="1" objects="1" scenarios="1" selectLockedCells="1"/>
  <mergeCells count="68">
    <mergeCell ref="B6:N6"/>
    <mergeCell ref="B2:D2"/>
    <mergeCell ref="B3:D3"/>
    <mergeCell ref="B4:D4"/>
    <mergeCell ref="F5:I5"/>
    <mergeCell ref="J5:N5"/>
    <mergeCell ref="F2:N2"/>
    <mergeCell ref="F4:N4"/>
    <mergeCell ref="C25:D25"/>
    <mergeCell ref="F24:G24"/>
    <mergeCell ref="F25:G25"/>
    <mergeCell ref="C23:D23"/>
    <mergeCell ref="A7:A8"/>
    <mergeCell ref="F7:H7"/>
    <mergeCell ref="E9:E10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H25:I25"/>
    <mergeCell ref="M24:O24"/>
    <mergeCell ref="J24:L24"/>
    <mergeCell ref="B5:D5"/>
    <mergeCell ref="B7:E8"/>
    <mergeCell ref="A17:B17"/>
    <mergeCell ref="F23:G23"/>
    <mergeCell ref="A9:B10"/>
    <mergeCell ref="C9:C10"/>
    <mergeCell ref="D9:D10"/>
    <mergeCell ref="J25:L25"/>
    <mergeCell ref="A11:B11"/>
    <mergeCell ref="M25:O25"/>
    <mergeCell ref="M18:O18"/>
    <mergeCell ref="M19:O19"/>
    <mergeCell ref="M20:O20"/>
    <mergeCell ref="M14:O14"/>
    <mergeCell ref="M15:O15"/>
    <mergeCell ref="M16:O16"/>
    <mergeCell ref="M17:O17"/>
    <mergeCell ref="M23:O23"/>
    <mergeCell ref="M21:O21"/>
    <mergeCell ref="M22:O22"/>
    <mergeCell ref="H24:I24"/>
    <mergeCell ref="A22:B22"/>
    <mergeCell ref="J23:L23"/>
    <mergeCell ref="H23:I23"/>
    <mergeCell ref="C24:D24"/>
    <mergeCell ref="M11:O11"/>
    <mergeCell ref="H9:H10"/>
    <mergeCell ref="O1:O6"/>
    <mergeCell ref="M13:O13"/>
    <mergeCell ref="L8:L10"/>
    <mergeCell ref="A1:N1"/>
    <mergeCell ref="F9:F10"/>
    <mergeCell ref="K7:L7"/>
    <mergeCell ref="I7:J9"/>
    <mergeCell ref="K8:K10"/>
    <mergeCell ref="M7:O7"/>
    <mergeCell ref="G8:H8"/>
    <mergeCell ref="G9:G10"/>
    <mergeCell ref="M8:O10"/>
    <mergeCell ref="F3:N3"/>
    <mergeCell ref="M12:O12"/>
  </mergeCells>
  <phoneticPr fontId="10" type="noConversion"/>
  <dataValidations count="1">
    <dataValidation type="list" allowBlank="1" showInputMessage="1" showErrorMessage="1" sqref="E3:E4">
      <formula1>"X"</formula1>
    </dataValidation>
  </dataValidations>
  <printOptions horizontalCentered="1" verticalCentered="1"/>
  <pageMargins left="0" right="0" top="0.19685039370078741" bottom="0.19685039370078741" header="0" footer="0"/>
  <pageSetup paperSize="9" scale="7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48" r:id="rId4" name="Check Box 116">
              <controlPr defaultSize="0" autoFill="0" autoLine="0" autoPict="0">
                <anchor moveWithCells="1">
                  <from>
                    <xdr:col>6</xdr:col>
                    <xdr:colOff>219075</xdr:colOff>
                    <xdr:row>4</xdr:row>
                    <xdr:rowOff>38100</xdr:rowOff>
                  </from>
                  <to>
                    <xdr:col>6</xdr:col>
                    <xdr:colOff>542925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0" r:id="rId5" name="Check Box 118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38100</xdr:rowOff>
                  </from>
                  <to>
                    <xdr:col>10</xdr:col>
                    <xdr:colOff>428625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indexed="37"/>
    <pageSetUpPr fitToPage="1"/>
  </sheetPr>
  <dimension ref="A1:O28"/>
  <sheetViews>
    <sheetView showGridLines="0" zoomScale="90" zoomScaleNormal="90" workbookViewId="0">
      <selection activeCell="E3" sqref="E3"/>
    </sheetView>
  </sheetViews>
  <sheetFormatPr baseColWidth="10" defaultColWidth="11.42578125" defaultRowHeight="12.75" x14ac:dyDescent="0.2"/>
  <cols>
    <col min="1" max="1" width="27" style="1" customWidth="1"/>
    <col min="2" max="2" width="16.7109375" style="1" customWidth="1"/>
    <col min="3" max="3" width="11.140625" style="1" customWidth="1"/>
    <col min="4" max="4" width="24" style="1" customWidth="1"/>
    <col min="5" max="5" width="16.140625" style="1" customWidth="1"/>
    <col min="6" max="7" width="10" style="1" customWidth="1"/>
    <col min="8" max="8" width="9.28515625" style="1" customWidth="1"/>
    <col min="9" max="12" width="10.7109375" style="1" customWidth="1"/>
    <col min="13" max="13" width="6.42578125" style="1" customWidth="1"/>
    <col min="14" max="14" width="2.7109375" style="1" customWidth="1"/>
    <col min="15" max="15" width="5.7109375" style="1" customWidth="1"/>
    <col min="16" max="16384" width="11.42578125" style="1"/>
  </cols>
  <sheetData>
    <row r="1" spans="1:15" ht="25.5" customHeight="1" thickBot="1" x14ac:dyDescent="0.25">
      <c r="A1" s="384" t="s">
        <v>22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6"/>
      <c r="O1" s="376" t="s">
        <v>50</v>
      </c>
    </row>
    <row r="2" spans="1:15" ht="25.5" customHeight="1" thickBot="1" x14ac:dyDescent="0.25">
      <c r="A2" s="28">
        <v>2008</v>
      </c>
      <c r="B2" s="466" t="s">
        <v>48</v>
      </c>
      <c r="C2" s="467"/>
      <c r="D2" s="468"/>
      <c r="E2" s="58" t="str">
        <f>IF(DONNEES!K1="","",DONNEES!K1)</f>
        <v>X</v>
      </c>
      <c r="F2" s="475" t="str">
        <f>IF(DONNEES!B2="","Formation du :",CONCATENATE("Formation du :",IF(DONNEES!C2="",TEXT(DONNEES!B2," jj/mm/aaaa"),CONCATENATE(TEXT(DONNEES!B2," jj/mm/aaaa")," Au ",TEXT(DONNEES!C2,"jj/mm/aaaa")))))</f>
        <v>Formation du : 10/05/2020</v>
      </c>
      <c r="G2" s="476"/>
      <c r="H2" s="476"/>
      <c r="I2" s="476"/>
      <c r="J2" s="476"/>
      <c r="K2" s="476"/>
      <c r="L2" s="476"/>
      <c r="M2" s="476"/>
      <c r="N2" s="477"/>
      <c r="O2" s="377"/>
    </row>
    <row r="3" spans="1:15" ht="25.5" customHeight="1" thickBot="1" x14ac:dyDescent="0.25">
      <c r="A3" s="30"/>
      <c r="B3" s="466" t="s">
        <v>51</v>
      </c>
      <c r="C3" s="467"/>
      <c r="D3" s="468"/>
      <c r="E3" s="116"/>
      <c r="F3" s="414" t="str">
        <f>CONCATENATE("Lieu : ",IF(DONNEES!B4="","",DONNEES!B4))</f>
        <v>Lieu : les fins</v>
      </c>
      <c r="G3" s="415"/>
      <c r="H3" s="415"/>
      <c r="I3" s="415"/>
      <c r="J3" s="415"/>
      <c r="K3" s="415"/>
      <c r="L3" s="415"/>
      <c r="M3" s="415"/>
      <c r="N3" s="416"/>
      <c r="O3" s="377"/>
    </row>
    <row r="4" spans="1:15" ht="25.5" customHeight="1" thickBot="1" x14ac:dyDescent="0.25">
      <c r="A4" s="30"/>
      <c r="B4" s="466" t="s">
        <v>49</v>
      </c>
      <c r="C4" s="467"/>
      <c r="D4" s="468"/>
      <c r="E4" s="116"/>
      <c r="F4" s="414" t="s">
        <v>108</v>
      </c>
      <c r="G4" s="415"/>
      <c r="H4" s="415"/>
      <c r="I4" s="415"/>
      <c r="J4" s="415"/>
      <c r="K4" s="415"/>
      <c r="L4" s="415"/>
      <c r="M4" s="415"/>
      <c r="N4" s="416"/>
      <c r="O4" s="377"/>
    </row>
    <row r="5" spans="1:15" ht="25.5" customHeight="1" thickBot="1" x14ac:dyDescent="0.25">
      <c r="A5" s="30"/>
      <c r="B5" s="439"/>
      <c r="C5" s="440"/>
      <c r="D5" s="441"/>
      <c r="E5" s="59"/>
      <c r="F5" s="469" t="s">
        <v>89</v>
      </c>
      <c r="G5" s="470"/>
      <c r="H5" s="470"/>
      <c r="I5" s="471"/>
      <c r="J5" s="472" t="s">
        <v>90</v>
      </c>
      <c r="K5" s="473"/>
      <c r="L5" s="473"/>
      <c r="M5" s="473"/>
      <c r="N5" s="474"/>
      <c r="O5" s="377"/>
    </row>
    <row r="6" spans="1:15" ht="25.5" customHeight="1" thickBot="1" x14ac:dyDescent="0.25">
      <c r="A6" s="30"/>
      <c r="B6" s="466" t="str">
        <f>CONCATENATE("Intitulé du stage : ",IF(DONNEES!B8="","",CONCATENATE(DONNEES!B8," ",DONNEES!C8)))</f>
        <v xml:space="preserve">Intitulé du stage : </v>
      </c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8"/>
      <c r="O6" s="377"/>
    </row>
    <row r="7" spans="1:15" s="3" customFormat="1" ht="69" customHeight="1" thickBot="1" x14ac:dyDescent="0.25">
      <c r="A7" s="462" t="s">
        <v>21</v>
      </c>
      <c r="B7" s="442" t="s">
        <v>1</v>
      </c>
      <c r="C7" s="443"/>
      <c r="D7" s="443"/>
      <c r="E7" s="444"/>
      <c r="F7" s="401" t="s">
        <v>20</v>
      </c>
      <c r="G7" s="401"/>
      <c r="H7" s="402"/>
      <c r="I7" s="391" t="s">
        <v>56</v>
      </c>
      <c r="J7" s="392"/>
      <c r="K7" s="389" t="s">
        <v>3</v>
      </c>
      <c r="L7" s="390"/>
      <c r="M7" s="400" t="s">
        <v>4</v>
      </c>
      <c r="N7" s="401"/>
      <c r="O7" s="402"/>
    </row>
    <row r="8" spans="1:15" s="3" customFormat="1" ht="15" customHeight="1" thickBot="1" x14ac:dyDescent="0.25">
      <c r="A8" s="463"/>
      <c r="B8" s="445"/>
      <c r="C8" s="446"/>
      <c r="D8" s="446"/>
      <c r="E8" s="447"/>
      <c r="F8" s="45" t="s">
        <v>12</v>
      </c>
      <c r="G8" s="403" t="s">
        <v>13</v>
      </c>
      <c r="H8" s="404"/>
      <c r="I8" s="393"/>
      <c r="J8" s="394"/>
      <c r="K8" s="397" t="s">
        <v>8</v>
      </c>
      <c r="L8" s="381" t="s">
        <v>10</v>
      </c>
      <c r="M8" s="405" t="s">
        <v>9</v>
      </c>
      <c r="N8" s="406"/>
      <c r="O8" s="407"/>
    </row>
    <row r="9" spans="1:15" s="3" customFormat="1" ht="18.75" customHeight="1" thickBot="1" x14ac:dyDescent="0.25">
      <c r="A9" s="450" t="s">
        <v>5</v>
      </c>
      <c r="B9" s="451"/>
      <c r="C9" s="454" t="s">
        <v>0</v>
      </c>
      <c r="D9" s="456" t="s">
        <v>16</v>
      </c>
      <c r="E9" s="464" t="s">
        <v>11</v>
      </c>
      <c r="F9" s="387" t="s">
        <v>14</v>
      </c>
      <c r="G9" s="374" t="s">
        <v>14</v>
      </c>
      <c r="H9" s="374" t="s">
        <v>55</v>
      </c>
      <c r="I9" s="395"/>
      <c r="J9" s="396"/>
      <c r="K9" s="398"/>
      <c r="L9" s="382"/>
      <c r="M9" s="408"/>
      <c r="N9" s="409"/>
      <c r="O9" s="410"/>
    </row>
    <row r="10" spans="1:15" s="2" customFormat="1" ht="55.5" customHeight="1" thickBot="1" x14ac:dyDescent="0.3">
      <c r="A10" s="452"/>
      <c r="B10" s="453"/>
      <c r="C10" s="455"/>
      <c r="D10" s="457"/>
      <c r="E10" s="465"/>
      <c r="F10" s="388"/>
      <c r="G10" s="374"/>
      <c r="H10" s="375"/>
      <c r="I10" s="16" t="s">
        <v>54</v>
      </c>
      <c r="J10" s="17" t="s">
        <v>6</v>
      </c>
      <c r="K10" s="399"/>
      <c r="L10" s="383"/>
      <c r="M10" s="411"/>
      <c r="N10" s="412"/>
      <c r="O10" s="413"/>
    </row>
    <row r="11" spans="1:15" ht="24.95" customHeight="1" x14ac:dyDescent="0.2">
      <c r="A11" s="458" t="e">
        <f ca="1">IF('LISTE NOM POUR FLF'!F14="","",'LISTE NOM POUR FLF'!F14)</f>
        <v>#N/A</v>
      </c>
      <c r="B11" s="459"/>
      <c r="C11" s="42" t="e">
        <f ca="1">IF(A11="","",VLOOKUP(A11,PERSONNELS!$A$2:$G$100,2,FALSE))</f>
        <v>#N/A</v>
      </c>
      <c r="D11" s="78" t="e">
        <f ca="1">IF(A11="","",VLOOKUP(A11,PERSONNELS!$A$2:$G$100,5,FALSE))</f>
        <v>#N/A</v>
      </c>
      <c r="E11" s="81" t="e">
        <f ca="1">IF(A11="","",IF(VLOOKUP(A11,'Ordre alphabétique FLF'!$F$2:$Q$21,12,FALSE)="",IF(DONNEES!$C$2="",DONNEES!$B$2,CONCATENATE(TEXT(DONNEES!$B$2,"jj/mm/aaaa")," Au ",TEXT(DONNEES!$C$2,"jj/mm/aaaa"))),VLOOKUP(A11,'Ordre alphabétique FLF'!$F$2:$Q$21,12,FALSE)))</f>
        <v>#N/A</v>
      </c>
      <c r="F11" s="84" t="e">
        <f ca="1">IF(A11="","",IF(VLOOKUP(A11,'Ordre alphabétique FLF'!$F$2:$Q$21,3,FALSE)="oui","",VLOOKUP(A11,'Ordre alphabétique FLF'!$F$2:$Q$21,4,FALSE)))</f>
        <v>#N/A</v>
      </c>
      <c r="G11" s="34" t="e">
        <f ca="1">IF(A11="","",IF(VLOOKUP(A11,'Ordre alphabétique FLF'!$F$2:$Q$21,3,FALSE)="oui",VLOOKUP(A11,'Ordre alphabétique FLF'!$F$2:$Q$21,4,FALSE),""))</f>
        <v>#N/A</v>
      </c>
      <c r="H11" s="54" t="e">
        <f ca="1">IF(A11="","",IF(VLOOKUP(A11,'Ordre alphabétique FLF'!$F$2:$Q$21,3,FALSE)="oui",VLOOKUP(A11,'Ordre alphabétique FLF'!$F$2:$Q$21,5,FALSE),""))</f>
        <v>#N/A</v>
      </c>
      <c r="I11" s="46"/>
      <c r="J11" s="46"/>
      <c r="K11" s="46"/>
      <c r="L11" s="47"/>
      <c r="M11" s="371"/>
      <c r="N11" s="372"/>
      <c r="O11" s="373"/>
    </row>
    <row r="12" spans="1:15" ht="24.95" customHeight="1" x14ac:dyDescent="0.2">
      <c r="A12" s="448" t="e">
        <f ca="1">IF('LISTE NOM POUR FLF'!F15="","",'LISTE NOM POUR FLF'!F15)</f>
        <v>#N/A</v>
      </c>
      <c r="B12" s="449"/>
      <c r="C12" s="43" t="e">
        <f ca="1">IF(A12="","",VLOOKUP(A12,PERSONNELS!$A$2:$G$100,2,FALSE))</f>
        <v>#N/A</v>
      </c>
      <c r="D12" s="79" t="e">
        <f ca="1">IF(A12="","",VLOOKUP(A12,PERSONNELS!$A$2:$G$100,5,FALSE))</f>
        <v>#N/A</v>
      </c>
      <c r="E12" s="82" t="e">
        <f ca="1">IF(A12="","",IF(VLOOKUP(A12,'Ordre alphabétique FLF'!$F$2:$Q$21,12,FALSE)="",IF(DONNEES!$C$2="",DONNEES!$B$2,CONCATENATE(TEXT(DONNEES!$B$2,"jj/mm/aaaa")," Au ",TEXT(DONNEES!$C$2,"jj/mm/aaaa"))),VLOOKUP(A12,'Ordre alphabétique FLF'!$F$2:$Q$21,12,FALSE)))</f>
        <v>#N/A</v>
      </c>
      <c r="F12" s="48" t="e">
        <f ca="1">IF(A12="","",IF(VLOOKUP(A12,'Ordre alphabétique FLF'!$F$2:$Q$21,3,FALSE)="oui","",VLOOKUP(A12,'Ordre alphabétique FLF'!$F$2:$Q$21,4,FALSE)))</f>
        <v>#N/A</v>
      </c>
      <c r="G12" s="37" t="e">
        <f ca="1">IF(A12="","",IF(VLOOKUP(A12,'Ordre alphabétique FLF'!$F$2:$Q$21,3,FALSE)="oui",VLOOKUP(A12,'Ordre alphabétique FLF'!$F$2:$Q$21,4,FALSE),""))</f>
        <v>#N/A</v>
      </c>
      <c r="H12" s="55" t="e">
        <f ca="1">IF(A12="","",IF(VLOOKUP(A12,'Ordre alphabétique FLF'!$F$2:$Q$21,3,FALSE)="oui",VLOOKUP(A12,'Ordre alphabétique FLF'!$F$2:$Q$21,5,FALSE),""))</f>
        <v>#N/A</v>
      </c>
      <c r="I12" s="37"/>
      <c r="J12" s="37"/>
      <c r="K12" s="37"/>
      <c r="L12" s="88"/>
      <c r="M12" s="378"/>
      <c r="N12" s="379"/>
      <c r="O12" s="380"/>
    </row>
    <row r="13" spans="1:15" ht="24.95" customHeight="1" x14ac:dyDescent="0.2">
      <c r="A13" s="448" t="e">
        <f ca="1">IF('LISTE NOM POUR FLF'!F16="","",'LISTE NOM POUR FLF'!F16)</f>
        <v>#N/A</v>
      </c>
      <c r="B13" s="449"/>
      <c r="C13" s="43" t="e">
        <f ca="1">IF(A13="","",VLOOKUP(A13,PERSONNELS!$A$2:$G$100,2,FALSE))</f>
        <v>#N/A</v>
      </c>
      <c r="D13" s="79" t="e">
        <f ca="1">IF(A13="","",VLOOKUP(A13,PERSONNELS!$A$2:$G$100,5,FALSE))</f>
        <v>#N/A</v>
      </c>
      <c r="E13" s="82" t="e">
        <f ca="1">IF(A13="","",IF(VLOOKUP(A13,'Ordre alphabétique FLF'!$F$2:$Q$21,12,FALSE)="",IF(DONNEES!$C$2="",DONNEES!$B$2,CONCATENATE(TEXT(DONNEES!$B$2,"jj/mm/aaaa")," Au ",TEXT(DONNEES!$C$2,"jj/mm/aaaa"))),VLOOKUP(A13,'Ordre alphabétique FLF'!$F$2:$Q$21,12,FALSE)))</f>
        <v>#N/A</v>
      </c>
      <c r="F13" s="48" t="e">
        <f ca="1">IF(A13="","",IF(VLOOKUP(A13,'Ordre alphabétique FLF'!$F$2:$Q$21,3,FALSE)="oui","",VLOOKUP(A13,'Ordre alphabétique FLF'!$F$2:$Q$21,4,FALSE)))</f>
        <v>#N/A</v>
      </c>
      <c r="G13" s="37" t="e">
        <f ca="1">IF(A13="","",IF(VLOOKUP(A13,'Ordre alphabétique FLF'!$F$2:$Q$21,3,FALSE)="oui",VLOOKUP(A13,'Ordre alphabétique FLF'!$F$2:$Q$21,4,FALSE),""))</f>
        <v>#N/A</v>
      </c>
      <c r="H13" s="55" t="e">
        <f ca="1">IF(A13="","",IF(VLOOKUP(A13,'Ordre alphabétique FLF'!$F$2:$Q$21,3,FALSE)="oui",VLOOKUP(A13,'Ordre alphabétique FLF'!$F$2:$Q$21,5,FALSE),""))</f>
        <v>#N/A</v>
      </c>
      <c r="I13" s="37"/>
      <c r="J13" s="37"/>
      <c r="K13" s="37"/>
      <c r="L13" s="88"/>
      <c r="M13" s="378"/>
      <c r="N13" s="379"/>
      <c r="O13" s="380"/>
    </row>
    <row r="14" spans="1:15" ht="24.95" customHeight="1" x14ac:dyDescent="0.2">
      <c r="A14" s="448" t="e">
        <f ca="1">IF('LISTE NOM POUR FLF'!F17="","",'LISTE NOM POUR FLF'!F17)</f>
        <v>#N/A</v>
      </c>
      <c r="B14" s="449"/>
      <c r="C14" s="43" t="e">
        <f ca="1">IF(A14="","",VLOOKUP(A14,PERSONNELS!$A$2:$G$100,2,FALSE))</f>
        <v>#N/A</v>
      </c>
      <c r="D14" s="79" t="e">
        <f ca="1">IF(A14="","",VLOOKUP(A14,PERSONNELS!$A$2:$G$100,5,FALSE))</f>
        <v>#N/A</v>
      </c>
      <c r="E14" s="82" t="e">
        <f ca="1">IF(A14="","",IF(VLOOKUP(A14,'Ordre alphabétique FLF'!$F$2:$Q$21,12,FALSE)="",IF(DONNEES!$C$2="",DONNEES!$B$2,CONCATENATE(TEXT(DONNEES!$B$2,"jj/mm/aaaa")," Au ",TEXT(DONNEES!$C$2,"jj/mm/aaaa"))),VLOOKUP(A14,'Ordre alphabétique FLF'!$F$2:$Q$21,12,FALSE)))</f>
        <v>#N/A</v>
      </c>
      <c r="F14" s="48" t="e">
        <f ca="1">IF(A14="","",IF(VLOOKUP(A14,'Ordre alphabétique FLF'!$F$2:$Q$21,3,FALSE)="oui","",VLOOKUP(A14,'Ordre alphabétique FLF'!$F$2:$Q$21,4,FALSE)))</f>
        <v>#N/A</v>
      </c>
      <c r="G14" s="37" t="e">
        <f ca="1">IF(A14="","",IF(VLOOKUP(A14,'Ordre alphabétique FLF'!$F$2:$Q$21,3,FALSE)="oui",VLOOKUP(A14,'Ordre alphabétique FLF'!$F$2:$Q$21,4,FALSE),""))</f>
        <v>#N/A</v>
      </c>
      <c r="H14" s="55" t="e">
        <f ca="1">IF(A14="","",IF(VLOOKUP(A14,'Ordre alphabétique FLF'!$F$2:$Q$21,3,FALSE)="oui",VLOOKUP(A14,'Ordre alphabétique FLF'!$F$2:$Q$21,5,FALSE),""))</f>
        <v>#N/A</v>
      </c>
      <c r="I14" s="37"/>
      <c r="J14" s="37"/>
      <c r="K14" s="37"/>
      <c r="L14" s="88"/>
      <c r="M14" s="378"/>
      <c r="N14" s="379"/>
      <c r="O14" s="380"/>
    </row>
    <row r="15" spans="1:15" ht="24.95" customHeight="1" x14ac:dyDescent="0.2">
      <c r="A15" s="448" t="e">
        <f ca="1">IF('LISTE NOM POUR FLF'!F18="","",'LISTE NOM POUR FLF'!F18)</f>
        <v>#N/A</v>
      </c>
      <c r="B15" s="449"/>
      <c r="C15" s="43" t="e">
        <f ca="1">IF(A15="","",VLOOKUP(A15,PERSONNELS!$A$2:$G$100,2,FALSE))</f>
        <v>#N/A</v>
      </c>
      <c r="D15" s="79" t="e">
        <f ca="1">IF(A15="","",VLOOKUP(A15,PERSONNELS!$A$2:$G$100,5,FALSE))</f>
        <v>#N/A</v>
      </c>
      <c r="E15" s="82" t="e">
        <f ca="1">IF(A15="","",IF(VLOOKUP(A15,'Ordre alphabétique FLF'!$F$2:$Q$21,12,FALSE)="",IF(DONNEES!$C$2="",DONNEES!$B$2,CONCATENATE(TEXT(DONNEES!$B$2,"jj/mm/aaaa")," Au ",TEXT(DONNEES!$C$2,"jj/mm/aaaa"))),VLOOKUP(A15,'Ordre alphabétique FLF'!$F$2:$Q$21,12,FALSE)))</f>
        <v>#N/A</v>
      </c>
      <c r="F15" s="48" t="e">
        <f ca="1">IF(A15="","",IF(VLOOKUP(A15,'Ordre alphabétique FLF'!$F$2:$Q$21,3,FALSE)="oui","",VLOOKUP(A15,'Ordre alphabétique FLF'!$F$2:$Q$21,4,FALSE)))</f>
        <v>#N/A</v>
      </c>
      <c r="G15" s="37" t="e">
        <f ca="1">IF(A15="","",IF(VLOOKUP(A15,'Ordre alphabétique FLF'!$F$2:$Q$21,3,FALSE)="oui",VLOOKUP(A15,'Ordre alphabétique FLF'!$F$2:$Q$21,4,FALSE),""))</f>
        <v>#N/A</v>
      </c>
      <c r="H15" s="55" t="e">
        <f ca="1">IF(A15="","",IF(VLOOKUP(A15,'Ordre alphabétique FLF'!$F$2:$Q$21,3,FALSE)="oui",VLOOKUP(A15,'Ordre alphabétique FLF'!$F$2:$Q$21,5,FALSE),""))</f>
        <v>#N/A</v>
      </c>
      <c r="I15" s="37"/>
      <c r="J15" s="37"/>
      <c r="K15" s="37"/>
      <c r="L15" s="88"/>
      <c r="M15" s="378"/>
      <c r="N15" s="379"/>
      <c r="O15" s="380"/>
    </row>
    <row r="16" spans="1:15" ht="24.95" customHeight="1" x14ac:dyDescent="0.2">
      <c r="A16" s="448" t="e">
        <f ca="1">IF('LISTE NOM POUR FLF'!F19="","",'LISTE NOM POUR FLF'!F19)</f>
        <v>#N/A</v>
      </c>
      <c r="B16" s="449"/>
      <c r="C16" s="43" t="e">
        <f ca="1">IF(A16="","",VLOOKUP(A16,PERSONNELS!$A$2:$G$100,2,FALSE))</f>
        <v>#N/A</v>
      </c>
      <c r="D16" s="79" t="e">
        <f ca="1">IF(A16="","",VLOOKUP(A16,PERSONNELS!$A$2:$G$100,5,FALSE))</f>
        <v>#N/A</v>
      </c>
      <c r="E16" s="82" t="e">
        <f ca="1">IF(A16="","",IF(VLOOKUP(A16,'Ordre alphabétique FLF'!$F$2:$Q$21,12,FALSE)="",IF(DONNEES!$C$2="",DONNEES!$B$2,CONCATENATE(TEXT(DONNEES!$B$2,"jj/mm/aaaa")," Au ",TEXT(DONNEES!$C$2,"jj/mm/aaaa"))),VLOOKUP(A16,'Ordre alphabétique FLF'!$F$2:$Q$21,12,FALSE)))</f>
        <v>#N/A</v>
      </c>
      <c r="F16" s="48" t="e">
        <f ca="1">IF(A16="","",IF(VLOOKUP(A16,'Ordre alphabétique FLF'!$F$2:$Q$21,3,FALSE)="oui","",VLOOKUP(A16,'Ordre alphabétique FLF'!$F$2:$Q$21,4,FALSE)))</f>
        <v>#N/A</v>
      </c>
      <c r="G16" s="37" t="e">
        <f ca="1">IF(A16="","",IF(VLOOKUP(A16,'Ordre alphabétique FLF'!$F$2:$Q$21,3,FALSE)="oui",VLOOKUP(A16,'Ordre alphabétique FLF'!$F$2:$Q$21,4,FALSE),""))</f>
        <v>#N/A</v>
      </c>
      <c r="H16" s="55" t="e">
        <f ca="1">IF(A16="","",IF(VLOOKUP(A16,'Ordre alphabétique FLF'!$F$2:$Q$21,3,FALSE)="oui",VLOOKUP(A16,'Ordre alphabétique FLF'!$F$2:$Q$21,5,FALSE),""))</f>
        <v>#N/A</v>
      </c>
      <c r="I16" s="37"/>
      <c r="J16" s="37"/>
      <c r="K16" s="37"/>
      <c r="L16" s="88"/>
      <c r="M16" s="378"/>
      <c r="N16" s="379"/>
      <c r="O16" s="380"/>
    </row>
    <row r="17" spans="1:15" ht="24.95" customHeight="1" x14ac:dyDescent="0.2">
      <c r="A17" s="448" t="e">
        <f ca="1">IF('LISTE NOM POUR FLF'!F20="","",'LISTE NOM POUR FLF'!F20)</f>
        <v>#N/A</v>
      </c>
      <c r="B17" s="449"/>
      <c r="C17" s="43" t="e">
        <f ca="1">IF(A17="","",VLOOKUP(A17,PERSONNELS!$A$2:$G$100,2,FALSE))</f>
        <v>#N/A</v>
      </c>
      <c r="D17" s="79" t="e">
        <f ca="1">IF(A17="","",VLOOKUP(A17,PERSONNELS!$A$2:$G$100,5,FALSE))</f>
        <v>#N/A</v>
      </c>
      <c r="E17" s="82" t="e">
        <f ca="1">IF(A17="","",IF(VLOOKUP(A17,'Ordre alphabétique FLF'!$F$2:$Q$21,12,FALSE)="",IF(DONNEES!$C$2="",DONNEES!$B$2,CONCATENATE(TEXT(DONNEES!$B$2,"jj/mm/aaaa")," Au ",TEXT(DONNEES!$C$2,"jj/mm/aaaa"))),VLOOKUP(A17,'Ordre alphabétique FLF'!$F$2:$Q$21,12,FALSE)))</f>
        <v>#N/A</v>
      </c>
      <c r="F17" s="48" t="e">
        <f ca="1">IF(A17="","",IF(VLOOKUP(A17,'Ordre alphabétique FLF'!$F$2:$Q$21,3,FALSE)="oui","",VLOOKUP(A17,'Ordre alphabétique FLF'!$F$2:$Q$21,4,FALSE)))</f>
        <v>#N/A</v>
      </c>
      <c r="G17" s="37" t="e">
        <f ca="1">IF(A17="","",IF(VLOOKUP(A17,'Ordre alphabétique FLF'!$F$2:$Q$21,3,FALSE)="oui",VLOOKUP(A17,'Ordre alphabétique FLF'!$F$2:$Q$21,4,FALSE),""))</f>
        <v>#N/A</v>
      </c>
      <c r="H17" s="55" t="e">
        <f ca="1">IF(A17="","",IF(VLOOKUP(A17,'Ordre alphabétique FLF'!$F$2:$Q$21,3,FALSE)="oui",VLOOKUP(A17,'Ordre alphabétique FLF'!$F$2:$Q$21,5,FALSE),""))</f>
        <v>#N/A</v>
      </c>
      <c r="I17" s="37"/>
      <c r="J17" s="37"/>
      <c r="K17" s="37"/>
      <c r="L17" s="88"/>
      <c r="M17" s="378"/>
      <c r="N17" s="379"/>
      <c r="O17" s="380"/>
    </row>
    <row r="18" spans="1:15" ht="24.95" customHeight="1" x14ac:dyDescent="0.2">
      <c r="A18" s="448" t="e">
        <f ca="1">IF('LISTE NOM POUR FLF'!F21="","",'LISTE NOM POUR FLF'!F21)</f>
        <v>#N/A</v>
      </c>
      <c r="B18" s="449"/>
      <c r="C18" s="197" t="e">
        <f ca="1">IF(A18="","",VLOOKUP(A18,PERSONNELS!$A$2:$G$100,2,FALSE))</f>
        <v>#N/A</v>
      </c>
      <c r="D18" s="213" t="e">
        <f ca="1">IF(A18="","",VLOOKUP(A18,PERSONNELS!$A$2:$G$100,5,FALSE))</f>
        <v>#N/A</v>
      </c>
      <c r="E18" s="214" t="e">
        <f ca="1">IF(A18="","",IF(VLOOKUP(A18,'Ordre alphabétique FLF'!$F$2:$Q$21,12,FALSE)="",IF(DONNEES!$C$2="",DONNEES!$B$2,CONCATENATE(TEXT(DONNEES!$B$2,"jj/mm/aaaa")," Au ",TEXT(DONNEES!$C$2,"jj/mm/aaaa"))),VLOOKUP(A18,'Ordre alphabétique FLF'!$F$2:$Q$21,12,FALSE)))</f>
        <v>#N/A</v>
      </c>
      <c r="F18" s="215" t="e">
        <f ca="1">IF(A18="","",IF(VLOOKUP(A18,'Ordre alphabétique FLF'!$F$2:$Q$21,3,FALSE)="oui","",VLOOKUP(A18,'Ordre alphabétique FLF'!$F$2:$Q$21,4,FALSE)))</f>
        <v>#N/A</v>
      </c>
      <c r="G18" s="216" t="e">
        <f ca="1">IF(A18="","",IF(VLOOKUP(A18,'Ordre alphabétique FLF'!$F$2:$Q$21,3,FALSE)="oui",VLOOKUP(A18,'Ordre alphabétique FLF'!$F$2:$Q$21,4,FALSE),""))</f>
        <v>#N/A</v>
      </c>
      <c r="H18" s="55" t="e">
        <f ca="1">IF(A18="","",IF(VLOOKUP(A18,'Ordre alphabétique FLF'!$F$2:$Q$21,3,FALSE)="oui",VLOOKUP(A18,'Ordre alphabétique FLF'!$F$2:$Q$21,5,FALSE),""))</f>
        <v>#N/A</v>
      </c>
      <c r="I18" s="37"/>
      <c r="J18" s="37"/>
      <c r="K18" s="37"/>
      <c r="L18" s="88"/>
      <c r="M18" s="378"/>
      <c r="N18" s="379"/>
      <c r="O18" s="380"/>
    </row>
    <row r="19" spans="1:15" ht="24.95" customHeight="1" x14ac:dyDescent="0.2">
      <c r="A19" s="448" t="str">
        <f>IF('LISTE NOM POUR FLF'!F22="","",'LISTE NOM POUR FLF'!F22)</f>
        <v/>
      </c>
      <c r="B19" s="449"/>
      <c r="C19" s="197"/>
      <c r="D19" s="213"/>
      <c r="E19" s="214"/>
      <c r="F19" s="215"/>
      <c r="G19" s="216"/>
      <c r="H19" s="55" t="str">
        <f t="shared" ref="H19:H22" si="0">IF(A19="","",IF(G19="","",G19*1.25))</f>
        <v/>
      </c>
      <c r="I19" s="37"/>
      <c r="J19" s="37"/>
      <c r="K19" s="37"/>
      <c r="L19" s="88"/>
      <c r="M19" s="378"/>
      <c r="N19" s="379"/>
      <c r="O19" s="380"/>
    </row>
    <row r="20" spans="1:15" ht="24.95" customHeight="1" x14ac:dyDescent="0.2">
      <c r="A20" s="448"/>
      <c r="B20" s="449"/>
      <c r="C20" s="197"/>
      <c r="D20" s="213"/>
      <c r="E20" s="214"/>
      <c r="F20" s="215"/>
      <c r="G20" s="216"/>
      <c r="H20" s="55" t="str">
        <f t="shared" si="0"/>
        <v/>
      </c>
      <c r="I20" s="37"/>
      <c r="J20" s="37"/>
      <c r="K20" s="37"/>
      <c r="L20" s="88"/>
      <c r="M20" s="378"/>
      <c r="N20" s="379"/>
      <c r="O20" s="380"/>
    </row>
    <row r="21" spans="1:15" ht="24.95" customHeight="1" x14ac:dyDescent="0.2">
      <c r="A21" s="448"/>
      <c r="B21" s="449"/>
      <c r="C21" s="197"/>
      <c r="D21" s="213"/>
      <c r="E21" s="214"/>
      <c r="F21" s="215"/>
      <c r="G21" s="216"/>
      <c r="H21" s="55" t="str">
        <f t="shared" si="0"/>
        <v/>
      </c>
      <c r="I21" s="50"/>
      <c r="J21" s="50"/>
      <c r="K21" s="50"/>
      <c r="L21" s="51"/>
      <c r="M21" s="378"/>
      <c r="N21" s="379"/>
      <c r="O21" s="380"/>
    </row>
    <row r="22" spans="1:15" ht="24.95" customHeight="1" thickBot="1" x14ac:dyDescent="0.25">
      <c r="A22" s="419"/>
      <c r="B22" s="420"/>
      <c r="C22" s="198"/>
      <c r="D22" s="217"/>
      <c r="E22" s="218"/>
      <c r="F22" s="219"/>
      <c r="G22" s="220"/>
      <c r="H22" s="85" t="str">
        <f t="shared" si="0"/>
        <v/>
      </c>
      <c r="I22" s="50"/>
      <c r="J22" s="50"/>
      <c r="K22" s="40"/>
      <c r="L22" s="89"/>
      <c r="M22" s="431"/>
      <c r="N22" s="432"/>
      <c r="O22" s="433"/>
    </row>
    <row r="23" spans="1:15" s="60" customFormat="1" ht="27" customHeight="1" thickBot="1" x14ac:dyDescent="0.25">
      <c r="A23" s="56" t="s">
        <v>17</v>
      </c>
      <c r="B23" s="97" t="s">
        <v>18</v>
      </c>
      <c r="C23" s="421" t="s">
        <v>2</v>
      </c>
      <c r="D23" s="423"/>
      <c r="E23" s="90" t="s">
        <v>19</v>
      </c>
      <c r="F23" s="424" t="s">
        <v>17</v>
      </c>
      <c r="G23" s="425"/>
      <c r="H23" s="424" t="s">
        <v>18</v>
      </c>
      <c r="I23" s="425"/>
      <c r="J23" s="421" t="s">
        <v>2</v>
      </c>
      <c r="K23" s="422"/>
      <c r="L23" s="423"/>
      <c r="M23" s="428" t="s">
        <v>19</v>
      </c>
      <c r="N23" s="429"/>
      <c r="O23" s="430"/>
    </row>
    <row r="24" spans="1:15" s="3" customFormat="1" ht="54.95" customHeight="1" thickBot="1" x14ac:dyDescent="0.25">
      <c r="A24" s="26" t="s">
        <v>47</v>
      </c>
      <c r="B24" s="172" t="e">
        <f>IF(DONNEES!B10="","",CONCATENATE(VLOOKUP(DONNEES!B10,PERSONNELS!A2:F100,2,FALSE)," ",DONNEES!B10))</f>
        <v>#N/A</v>
      </c>
      <c r="C24" s="426"/>
      <c r="D24" s="427"/>
      <c r="E24" s="86">
        <f>IF(DONNEES!J6="","",DONNEES!J6)</f>
        <v>43961</v>
      </c>
      <c r="F24" s="460" t="s">
        <v>46</v>
      </c>
      <c r="G24" s="461"/>
      <c r="H24" s="417"/>
      <c r="I24" s="418"/>
      <c r="J24" s="436"/>
      <c r="K24" s="437"/>
      <c r="L24" s="438"/>
      <c r="M24" s="436"/>
      <c r="N24" s="437"/>
      <c r="O24" s="438"/>
    </row>
    <row r="25" spans="1:15" s="3" customFormat="1" ht="54.95" customHeight="1" thickBot="1" x14ac:dyDescent="0.25">
      <c r="A25" s="26" t="s">
        <v>53</v>
      </c>
      <c r="B25" s="91"/>
      <c r="C25" s="426"/>
      <c r="D25" s="427"/>
      <c r="E25" s="25"/>
      <c r="F25" s="460" t="s">
        <v>52</v>
      </c>
      <c r="G25" s="461"/>
      <c r="H25" s="434"/>
      <c r="I25" s="435"/>
      <c r="J25" s="436"/>
      <c r="K25" s="437"/>
      <c r="L25" s="438"/>
      <c r="M25" s="436"/>
      <c r="N25" s="437"/>
      <c r="O25" s="438"/>
    </row>
    <row r="26" spans="1:15" ht="13.5" customHeight="1" x14ac:dyDescent="0.2"/>
    <row r="27" spans="1:15" ht="13.5" customHeight="1" x14ac:dyDescent="0.2"/>
    <row r="28" spans="1:15" ht="13.5" customHeight="1" x14ac:dyDescent="0.2"/>
  </sheetData>
  <sheetProtection algorithmName="SHA-512" hashValue="AQ5WvgOOHdI2gq64P0jQsv8cYigjScKO0HDihsq0J+6vhR3KDiamovlip4hcNirVF4YE6nKcp6I5xlQhSD9ZQg==" saltValue="826pYF54I+u+mYZ4K1VNRw==" spinCount="100000" sheet="1" objects="1" scenarios="1" selectLockedCells="1"/>
  <mergeCells count="68">
    <mergeCell ref="A1:N1"/>
    <mergeCell ref="O1:O6"/>
    <mergeCell ref="B2:D2"/>
    <mergeCell ref="F2:N2"/>
    <mergeCell ref="B3:D3"/>
    <mergeCell ref="F3:N3"/>
    <mergeCell ref="B4:D4"/>
    <mergeCell ref="F4:N4"/>
    <mergeCell ref="B5:D5"/>
    <mergeCell ref="F5:I5"/>
    <mergeCell ref="J5:N5"/>
    <mergeCell ref="B6:N6"/>
    <mergeCell ref="A7:A8"/>
    <mergeCell ref="B7:E8"/>
    <mergeCell ref="F7:H7"/>
    <mergeCell ref="I7:J9"/>
    <mergeCell ref="K7:L7"/>
    <mergeCell ref="A9:B10"/>
    <mergeCell ref="C9:C10"/>
    <mergeCell ref="D9:D10"/>
    <mergeCell ref="E9:E10"/>
    <mergeCell ref="F9:F10"/>
    <mergeCell ref="M7:O7"/>
    <mergeCell ref="G8:H8"/>
    <mergeCell ref="K8:K10"/>
    <mergeCell ref="L8:L10"/>
    <mergeCell ref="M8:O10"/>
    <mergeCell ref="G9:G10"/>
    <mergeCell ref="H9:H10"/>
    <mergeCell ref="A11:B11"/>
    <mergeCell ref="M11:O11"/>
    <mergeCell ref="A12:B12"/>
    <mergeCell ref="M12:O12"/>
    <mergeCell ref="A13:B13"/>
    <mergeCell ref="M13:O13"/>
    <mergeCell ref="A14:B14"/>
    <mergeCell ref="M14:O14"/>
    <mergeCell ref="A15:B15"/>
    <mergeCell ref="M15:O15"/>
    <mergeCell ref="A16:B16"/>
    <mergeCell ref="M16:O16"/>
    <mergeCell ref="A17:B17"/>
    <mergeCell ref="M17:O17"/>
    <mergeCell ref="A18:B18"/>
    <mergeCell ref="M18:O18"/>
    <mergeCell ref="A19:B19"/>
    <mergeCell ref="M19:O19"/>
    <mergeCell ref="A20:B20"/>
    <mergeCell ref="M20:O20"/>
    <mergeCell ref="A21:B21"/>
    <mergeCell ref="M21:O21"/>
    <mergeCell ref="A22:B22"/>
    <mergeCell ref="M22:O22"/>
    <mergeCell ref="C24:D24"/>
    <mergeCell ref="F24:G24"/>
    <mergeCell ref="H24:I24"/>
    <mergeCell ref="J24:L24"/>
    <mergeCell ref="M24:O24"/>
    <mergeCell ref="C23:D23"/>
    <mergeCell ref="F23:G23"/>
    <mergeCell ref="H23:I23"/>
    <mergeCell ref="J23:L23"/>
    <mergeCell ref="M23:O23"/>
    <mergeCell ref="C25:D25"/>
    <mergeCell ref="F25:G25"/>
    <mergeCell ref="H25:I25"/>
    <mergeCell ref="J25:L25"/>
    <mergeCell ref="M25:O25"/>
  </mergeCells>
  <dataValidations count="1">
    <dataValidation type="list" allowBlank="1" showInputMessage="1" showErrorMessage="1" sqref="E3:E4">
      <formula1>"X"</formula1>
    </dataValidation>
  </dataValidations>
  <printOptions horizontalCentered="1" verticalCentered="1"/>
  <pageMargins left="0.19685039370078741" right="0" top="0.19685039370078741" bottom="0.19685039370078741" header="0" footer="0"/>
  <pageSetup paperSize="9" scale="7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>
                <anchor moveWithCells="1">
                  <from>
                    <xdr:col>6</xdr:col>
                    <xdr:colOff>219075</xdr:colOff>
                    <xdr:row>4</xdr:row>
                    <xdr:rowOff>38100</xdr:rowOff>
                  </from>
                  <to>
                    <xdr:col>6</xdr:col>
                    <xdr:colOff>542925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38100</xdr:rowOff>
                  </from>
                  <to>
                    <xdr:col>10</xdr:col>
                    <xdr:colOff>447675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42"/>
    <pageSetUpPr fitToPage="1"/>
  </sheetPr>
  <dimension ref="A1:O25"/>
  <sheetViews>
    <sheetView showGridLines="0" zoomScale="80" zoomScaleNormal="80" workbookViewId="0">
      <selection activeCell="A14" sqref="A14:D14"/>
    </sheetView>
  </sheetViews>
  <sheetFormatPr baseColWidth="10" defaultColWidth="11.42578125" defaultRowHeight="12.75" x14ac:dyDescent="0.2"/>
  <cols>
    <col min="1" max="1" width="19.85546875" style="1" customWidth="1"/>
    <col min="2" max="2" width="17.42578125" style="1" customWidth="1"/>
    <col min="3" max="3" width="18.42578125" style="1" customWidth="1"/>
    <col min="4" max="4" width="24" style="1" customWidth="1"/>
    <col min="5" max="5" width="14.7109375" style="1" customWidth="1"/>
    <col min="6" max="8" width="12.7109375" style="1" customWidth="1"/>
    <col min="9" max="10" width="15.7109375" style="1" customWidth="1"/>
    <col min="11" max="13" width="12.7109375" style="1" customWidth="1"/>
    <col min="14" max="15" width="6.7109375" style="1" customWidth="1"/>
    <col min="16" max="16384" width="11.42578125" style="1"/>
  </cols>
  <sheetData>
    <row r="1" spans="1:15" ht="25.5" customHeight="1" thickBot="1" x14ac:dyDescent="0.25">
      <c r="A1" s="485" t="s">
        <v>23</v>
      </c>
      <c r="B1" s="486"/>
      <c r="C1" s="487"/>
      <c r="D1" s="487"/>
      <c r="E1" s="487"/>
      <c r="F1" s="486"/>
      <c r="G1" s="486"/>
      <c r="H1" s="486"/>
      <c r="I1" s="486"/>
      <c r="J1" s="486"/>
      <c r="K1" s="486"/>
      <c r="L1" s="488"/>
      <c r="M1" s="376" t="s">
        <v>50</v>
      </c>
    </row>
    <row r="2" spans="1:15" ht="25.5" customHeight="1" thickBot="1" x14ac:dyDescent="0.25">
      <c r="A2" s="28">
        <v>2008</v>
      </c>
      <c r="B2" s="29"/>
      <c r="C2" s="493" t="s">
        <v>48</v>
      </c>
      <c r="D2" s="494"/>
      <c r="E2" s="24" t="str">
        <f>IF('FINANCES SPP'!E2="","",'FINANCES SPP'!E2)</f>
        <v>X</v>
      </c>
      <c r="F2" s="489" t="str">
        <f>'FINANCES SPP'!F2</f>
        <v>Formation du : 10/05/2020</v>
      </c>
      <c r="G2" s="479"/>
      <c r="H2" s="479"/>
      <c r="I2" s="479"/>
      <c r="J2" s="479"/>
      <c r="K2" s="479"/>
      <c r="L2" s="480"/>
      <c r="M2" s="481"/>
    </row>
    <row r="3" spans="1:15" ht="25.5" customHeight="1" thickBot="1" x14ac:dyDescent="0.25">
      <c r="A3" s="30"/>
      <c r="B3" s="29"/>
      <c r="C3" s="493" t="s">
        <v>51</v>
      </c>
      <c r="D3" s="494"/>
      <c r="E3" s="24" t="str">
        <f>IF('FINANCES SPP'!E3="","",'FINANCES SPP'!E3)</f>
        <v/>
      </c>
      <c r="F3" s="478" t="str">
        <f>'FINANCES SPP'!F3</f>
        <v>Lieu : les fins</v>
      </c>
      <c r="G3" s="479"/>
      <c r="H3" s="479"/>
      <c r="I3" s="479"/>
      <c r="J3" s="479"/>
      <c r="K3" s="479"/>
      <c r="L3" s="480"/>
      <c r="M3" s="481"/>
      <c r="O3" s="4"/>
    </row>
    <row r="4" spans="1:15" ht="25.5" customHeight="1" thickBot="1" x14ac:dyDescent="0.25">
      <c r="A4" s="30"/>
      <c r="B4" s="29"/>
      <c r="C4" s="495" t="s">
        <v>49</v>
      </c>
      <c r="D4" s="496"/>
      <c r="E4" s="95" t="str">
        <f>IF('FINANCES SPP'!E4="","",'FINANCES SPP'!E4)</f>
        <v/>
      </c>
      <c r="F4" s="490" t="str">
        <f>'FINANCES SPP'!F4</f>
        <v>N° du stage :</v>
      </c>
      <c r="G4" s="491"/>
      <c r="H4" s="491"/>
      <c r="I4" s="491"/>
      <c r="J4" s="491"/>
      <c r="K4" s="491"/>
      <c r="L4" s="492"/>
      <c r="M4" s="481"/>
      <c r="O4" s="4"/>
    </row>
    <row r="5" spans="1:15" ht="25.5" customHeight="1" thickBot="1" x14ac:dyDescent="0.25">
      <c r="A5" s="31"/>
      <c r="B5" s="32"/>
      <c r="C5" s="490" t="str">
        <f>'FINANCES SPP'!B6</f>
        <v xml:space="preserve">Intitulé du stage : </v>
      </c>
      <c r="D5" s="491"/>
      <c r="E5" s="491"/>
      <c r="F5" s="491"/>
      <c r="G5" s="491"/>
      <c r="H5" s="491"/>
      <c r="I5" s="491"/>
      <c r="J5" s="491"/>
      <c r="K5" s="491"/>
      <c r="L5" s="492"/>
      <c r="M5" s="482"/>
    </row>
    <row r="6" spans="1:15" s="3" customFormat="1" ht="36.75" customHeight="1" thickBot="1" x14ac:dyDescent="0.25">
      <c r="A6" s="505" t="s">
        <v>24</v>
      </c>
      <c r="B6" s="506"/>
      <c r="C6" s="514" t="s">
        <v>41</v>
      </c>
      <c r="D6" s="515"/>
      <c r="E6" s="516"/>
      <c r="F6" s="517" t="s">
        <v>25</v>
      </c>
      <c r="G6" s="518"/>
      <c r="H6" s="519"/>
      <c r="I6" s="522" t="s">
        <v>39</v>
      </c>
      <c r="J6" s="523"/>
      <c r="K6" s="507" t="s">
        <v>26</v>
      </c>
      <c r="L6" s="508"/>
      <c r="M6" s="509"/>
    </row>
    <row r="7" spans="1:15" s="3" customFormat="1" ht="31.5" customHeight="1" thickBot="1" x14ac:dyDescent="0.25">
      <c r="A7" s="450" t="s">
        <v>5</v>
      </c>
      <c r="B7" s="451"/>
      <c r="C7" s="454" t="s">
        <v>0</v>
      </c>
      <c r="D7" s="456" t="s">
        <v>44</v>
      </c>
      <c r="E7" s="456" t="s">
        <v>11</v>
      </c>
      <c r="F7" s="5" t="s">
        <v>27</v>
      </c>
      <c r="G7" s="520" t="s">
        <v>28</v>
      </c>
      <c r="H7" s="521"/>
      <c r="I7" s="6" t="s">
        <v>40</v>
      </c>
      <c r="J7" s="7" t="s">
        <v>29</v>
      </c>
      <c r="K7" s="510"/>
      <c r="L7" s="511"/>
      <c r="M7" s="512"/>
    </row>
    <row r="8" spans="1:15" s="2" customFormat="1" ht="75.75" customHeight="1" thickBot="1" x14ac:dyDescent="0.3">
      <c r="A8" s="452"/>
      <c r="B8" s="453"/>
      <c r="C8" s="455"/>
      <c r="D8" s="457"/>
      <c r="E8" s="457"/>
      <c r="F8" s="8" t="s">
        <v>30</v>
      </c>
      <c r="G8" s="9" t="s">
        <v>30</v>
      </c>
      <c r="H8" s="9" t="s">
        <v>31</v>
      </c>
      <c r="I8" s="10" t="s">
        <v>32</v>
      </c>
      <c r="J8" s="11" t="s">
        <v>33</v>
      </c>
      <c r="K8" s="12" t="s">
        <v>34</v>
      </c>
      <c r="L8" s="18" t="s">
        <v>35</v>
      </c>
      <c r="M8" s="12" t="s">
        <v>36</v>
      </c>
    </row>
    <row r="9" spans="1:15" ht="24.95" customHeight="1" x14ac:dyDescent="0.2">
      <c r="A9" s="458" t="e">
        <f ca="1">IF('LISTE NOM POUR FLF'!G2="","",'LISTE NOM POUR FLF'!G2)</f>
        <v>#N/A</v>
      </c>
      <c r="B9" s="459"/>
      <c r="C9" s="42" t="e">
        <f ca="1">IF(A9="","",VLOOKUP(A9,PERSONNELS!$A$2:$G$100,2,FALSE))</f>
        <v>#N/A</v>
      </c>
      <c r="D9" s="78" t="e">
        <f ca="1">IF(A9="","",VLOOKUP(A9,PERSONNELS!$A$2:$G$100,5,FALSE))</f>
        <v>#N/A</v>
      </c>
      <c r="E9" s="81" t="e">
        <f ca="1">IF(A9="","",IF(VLOOKUP(A9,'Ordre alphabétique FLF'!$F$2:$Q$21,12,FALSE)="",IF(DONNEES!$C$2="",DONNEES!$B$2,CONCATENATE(TEXT(DONNEES!$B$2,"jj/mm/aaaa")," Au ",TEXT(DONNEES!$C$2,"jj/mm/aaaa"))),VLOOKUP(A9,'Ordre alphabétique FLF'!$F$2:$Q$21,12,FALSE)))</f>
        <v>#N/A</v>
      </c>
      <c r="F9" s="84" t="e">
        <f ca="1">IF(A9="","",IF(VLOOKUP(A9,'Ordre alphabétique FLF'!$F$2:$Q$21,3,FALSE)="oui","",VLOOKUP(A9,'Ordre alphabétique FLF'!$F$2:$Q$21,4,FALSE)))</f>
        <v>#N/A</v>
      </c>
      <c r="G9" s="34" t="e">
        <f ca="1">IF(A9="","",IF(VLOOKUP(A9,'Ordre alphabétique FLF'!$F$2:$Q$21,3,FALSE)="oui",VLOOKUP(A9,'Ordre alphabétique FLF'!$F$2:$Q$21,4,FALSE),""))</f>
        <v>#N/A</v>
      </c>
      <c r="H9" s="54" t="e">
        <f ca="1">IF(A9="","",IF(VLOOKUP(A9,'Ordre alphabétique FLF'!$F$2:$Q$21,3,FALSE)="oui",VLOOKUP(A9,'Ordre alphabétique FLF'!$F$2:$Q$21,5,FALSE),""))</f>
        <v>#N/A</v>
      </c>
      <c r="I9" s="33"/>
      <c r="J9" s="33"/>
      <c r="K9" s="34"/>
      <c r="L9" s="22"/>
      <c r="M9" s="35"/>
    </row>
    <row r="10" spans="1:15" ht="24.95" customHeight="1" x14ac:dyDescent="0.2">
      <c r="A10" s="448" t="e">
        <f ca="1">IF('LISTE NOM POUR FLF'!G3="","",'LISTE NOM POUR FLF'!G3)</f>
        <v>#N/A</v>
      </c>
      <c r="B10" s="449"/>
      <c r="C10" s="43" t="e">
        <f ca="1">IF(A10="","",VLOOKUP(A10,PERSONNELS!$A$2:$G$100,2,FALSE))</f>
        <v>#N/A</v>
      </c>
      <c r="D10" s="79" t="e">
        <f ca="1">IF(A10="","",VLOOKUP(A10,PERSONNELS!$A$2:$G$100,5,FALSE))</f>
        <v>#N/A</v>
      </c>
      <c r="E10" s="82" t="e">
        <f ca="1">IF(A10="","",IF(VLOOKUP(A10,'Ordre alphabétique FLF'!$F$2:$Q$21,12,FALSE)="",IF(DONNEES!$C$2="",DONNEES!$B$2,CONCATENATE(TEXT(DONNEES!$B$2,"jj/mm/aaaa")," Au ",TEXT(DONNEES!$C$2,"jj/mm/aaaa"))),VLOOKUP(A10,'Ordre alphabétique FLF'!$F$2:$Q$21,12,FALSE)))</f>
        <v>#N/A</v>
      </c>
      <c r="F10" s="48" t="e">
        <f ca="1">IF(A10="","",IF(VLOOKUP(A10,'Ordre alphabétique FLF'!$F$2:$Q$21,3,FALSE)="oui","",VLOOKUP(A10,'Ordre alphabétique FLF'!$F$2:$Q$21,4,FALSE)))</f>
        <v>#N/A</v>
      </c>
      <c r="G10" s="37" t="e">
        <f ca="1">IF(A10="","",IF(VLOOKUP(A10,'Ordre alphabétique FLF'!$F$2:$Q$21,3,FALSE)="oui",VLOOKUP(A10,'Ordre alphabétique FLF'!$F$2:$Q$21,4,FALSE),""))</f>
        <v>#N/A</v>
      </c>
      <c r="H10" s="55" t="e">
        <f ca="1">IF(A10="","",IF(VLOOKUP(A10,'Ordre alphabétique FLF'!$F$2:$Q$21,3,FALSE)="oui",VLOOKUP(A10,'Ordre alphabétique FLF'!$F$2:$Q$21,5,FALSE),""))</f>
        <v>#N/A</v>
      </c>
      <c r="I10" s="36"/>
      <c r="J10" s="36"/>
      <c r="K10" s="37"/>
      <c r="L10" s="21"/>
      <c r="M10" s="38"/>
    </row>
    <row r="11" spans="1:15" ht="24.95" customHeight="1" x14ac:dyDescent="0.2">
      <c r="A11" s="448" t="e">
        <f ca="1">IF('LISTE NOM POUR FLF'!G4="","",'LISTE NOM POUR FLF'!G4)</f>
        <v>#N/A</v>
      </c>
      <c r="B11" s="449"/>
      <c r="C11" s="43" t="e">
        <f ca="1">IF(A11="","",VLOOKUP(A11,PERSONNELS!$A$2:$G$100,2,FALSE))</f>
        <v>#N/A</v>
      </c>
      <c r="D11" s="79" t="e">
        <f ca="1">IF(A11="","",VLOOKUP(A11,PERSONNELS!$A$2:$G$100,5,FALSE))</f>
        <v>#N/A</v>
      </c>
      <c r="E11" s="82" t="e">
        <f ca="1">IF(A11="","",IF(VLOOKUP(A11,'Ordre alphabétique FLF'!$F$2:$Q$21,12,FALSE)="",IF(DONNEES!$C$2="",DONNEES!$B$2,CONCATENATE(TEXT(DONNEES!$B$2,"jj/mm/aaaa")," Au ",TEXT(DONNEES!$C$2,"jj/mm/aaaa"))),VLOOKUP(A11,'Ordre alphabétique FLF'!$F$2:$Q$21,12,FALSE)))</f>
        <v>#N/A</v>
      </c>
      <c r="F11" s="48" t="e">
        <f ca="1">IF(A11="","",IF(VLOOKUP(A11,'Ordre alphabétique FLF'!$F$2:$Q$21,3,FALSE)="oui","",VLOOKUP(A11,'Ordre alphabétique FLF'!$F$2:$Q$21,4,FALSE)))</f>
        <v>#N/A</v>
      </c>
      <c r="G11" s="37" t="e">
        <f ca="1">IF(A11="","",IF(VLOOKUP(A11,'Ordre alphabétique FLF'!$F$2:$Q$21,3,FALSE)="oui",VLOOKUP(A11,'Ordre alphabétique FLF'!$F$2:$Q$21,4,FALSE),""))</f>
        <v>#N/A</v>
      </c>
      <c r="H11" s="55" t="e">
        <f ca="1">IF(A11="","",IF(VLOOKUP(A11,'Ordre alphabétique FLF'!$F$2:$Q$21,3,FALSE)="oui",VLOOKUP(A11,'Ordre alphabétique FLF'!$F$2:$Q$21,5,FALSE),""))</f>
        <v>#N/A</v>
      </c>
      <c r="I11" s="36"/>
      <c r="J11" s="36"/>
      <c r="K11" s="37"/>
      <c r="L11" s="21"/>
      <c r="M11" s="38"/>
    </row>
    <row r="12" spans="1:15" ht="24.95" customHeight="1" x14ac:dyDescent="0.2">
      <c r="A12" s="448" t="e">
        <f ca="1">IF('LISTE NOM POUR FLF'!G5="","",'LISTE NOM POUR FLF'!G5)</f>
        <v>#N/A</v>
      </c>
      <c r="B12" s="449"/>
      <c r="C12" s="43" t="e">
        <f ca="1">IF(A12="","",VLOOKUP(A12,PERSONNELS!$A$2:$G$100,2,FALSE))</f>
        <v>#N/A</v>
      </c>
      <c r="D12" s="79" t="e">
        <f ca="1">IF(A12="","",VLOOKUP(A12,PERSONNELS!$A$2:$G$100,5,FALSE))</f>
        <v>#N/A</v>
      </c>
      <c r="E12" s="82" t="e">
        <f ca="1">IF(A12="","",IF(VLOOKUP(A12,'Ordre alphabétique FLF'!$F$2:$Q$21,12,FALSE)="",IF(DONNEES!$C$2="",DONNEES!$B$2,CONCATENATE(TEXT(DONNEES!$B$2,"jj/mm/aaaa")," Au ",TEXT(DONNEES!$C$2,"jj/mm/aaaa"))),VLOOKUP(A12,'Ordre alphabétique FLF'!$F$2:$Q$21,12,FALSE)))</f>
        <v>#N/A</v>
      </c>
      <c r="F12" s="48" t="e">
        <f ca="1">IF(A12="","",IF(VLOOKUP(A12,'Ordre alphabétique FLF'!$F$2:$Q$21,3,FALSE)="oui","",VLOOKUP(A12,'Ordre alphabétique FLF'!$F$2:$Q$21,4,FALSE)))</f>
        <v>#N/A</v>
      </c>
      <c r="G12" s="37" t="e">
        <f ca="1">IF(A12="","",IF(VLOOKUP(A12,'Ordre alphabétique FLF'!$F$2:$Q$21,3,FALSE)="oui",VLOOKUP(A12,'Ordre alphabétique FLF'!$F$2:$Q$21,4,FALSE),""))</f>
        <v>#N/A</v>
      </c>
      <c r="H12" s="55" t="e">
        <f ca="1">IF(A12="","",IF(VLOOKUP(A12,'Ordre alphabétique FLF'!$F$2:$Q$21,3,FALSE)="oui",VLOOKUP(A12,'Ordre alphabétique FLF'!$F$2:$Q$21,5,FALSE),""))</f>
        <v>#N/A</v>
      </c>
      <c r="I12" s="36"/>
      <c r="J12" s="36"/>
      <c r="K12" s="37"/>
      <c r="L12" s="21"/>
      <c r="M12" s="38"/>
    </row>
    <row r="13" spans="1:15" ht="24.95" customHeight="1" x14ac:dyDescent="0.2">
      <c r="A13" s="448" t="e">
        <f ca="1">IF('LISTE NOM POUR FLF'!G6="","",'LISTE NOM POUR FLF'!G6)</f>
        <v>#N/A</v>
      </c>
      <c r="B13" s="449"/>
      <c r="C13" s="43" t="e">
        <f ca="1">IF(A13="","",VLOOKUP(A13,PERSONNELS!$A$2:$G$100,2,FALSE))</f>
        <v>#N/A</v>
      </c>
      <c r="D13" s="79" t="e">
        <f ca="1">IF(A13="","",VLOOKUP(A13,PERSONNELS!$A$2:$G$100,5,FALSE))</f>
        <v>#N/A</v>
      </c>
      <c r="E13" s="82" t="e">
        <f ca="1">IF(A13="","",IF(VLOOKUP(A13,'Ordre alphabétique FLF'!$F$2:$Q$21,12,FALSE)="",IF(DONNEES!$C$2="",DONNEES!$B$2,CONCATENATE(TEXT(DONNEES!$B$2,"jj/mm/aaaa")," Au ",TEXT(DONNEES!$C$2,"jj/mm/aaaa"))),VLOOKUP(A13,'Ordre alphabétique FLF'!$F$2:$Q$21,12,FALSE)))</f>
        <v>#N/A</v>
      </c>
      <c r="F13" s="48" t="e">
        <f ca="1">IF(A13="","",IF(VLOOKUP(A13,'Ordre alphabétique FLF'!$F$2:$Q$21,3,FALSE)="oui","",VLOOKUP(A13,'Ordre alphabétique FLF'!$F$2:$Q$21,4,FALSE)))</f>
        <v>#N/A</v>
      </c>
      <c r="G13" s="37" t="e">
        <f ca="1">IF(A13="","",IF(VLOOKUP(A13,'Ordre alphabétique FLF'!$F$2:$Q$21,3,FALSE)="oui",VLOOKUP(A13,'Ordre alphabétique FLF'!$F$2:$Q$21,4,FALSE),""))</f>
        <v>#N/A</v>
      </c>
      <c r="H13" s="55" t="e">
        <f ca="1">IF(A13="","",IF(VLOOKUP(A13,'Ordre alphabétique FLF'!$F$2:$Q$21,3,FALSE)="oui",VLOOKUP(A13,'Ordre alphabétique FLF'!$F$2:$Q$21,5,FALSE),""))</f>
        <v>#N/A</v>
      </c>
      <c r="I13" s="36"/>
      <c r="J13" s="36"/>
      <c r="K13" s="37"/>
      <c r="L13" s="21"/>
      <c r="M13" s="38"/>
    </row>
    <row r="14" spans="1:15" ht="24.95" customHeight="1" x14ac:dyDescent="0.2">
      <c r="A14" s="448" t="e">
        <f ca="1">IF('LISTE NOM POUR FLF'!G7="","",'LISTE NOM POUR FLF'!G7)</f>
        <v>#N/A</v>
      </c>
      <c r="B14" s="449"/>
      <c r="C14" s="43" t="e">
        <f ca="1">IF(A14="","",VLOOKUP(A14,PERSONNELS!$A$2:$G$100,2,FALSE))</f>
        <v>#N/A</v>
      </c>
      <c r="D14" s="79" t="e">
        <f ca="1">IF(A14="","",VLOOKUP(A14,PERSONNELS!$A$2:$G$100,5,FALSE))</f>
        <v>#N/A</v>
      </c>
      <c r="E14" s="82" t="e">
        <f ca="1">IF(A14="","",IF(VLOOKUP(A14,'Ordre alphabétique FLF'!$F$2:$Q$21,12,FALSE)="",IF(DONNEES!$C$2="",DONNEES!$B$2,CONCATENATE(TEXT(DONNEES!$B$2,"jj/mm/aaaa")," Au ",TEXT(DONNEES!$C$2,"jj/mm/aaaa"))),VLOOKUP(A14,'Ordre alphabétique FLF'!$F$2:$Q$21,12,FALSE)))</f>
        <v>#N/A</v>
      </c>
      <c r="F14" s="48" t="e">
        <f ca="1">IF(A14="","",IF(VLOOKUP(A14,'Ordre alphabétique FLF'!$F$2:$Q$21,3,FALSE)="oui","",VLOOKUP(A14,'Ordre alphabétique FLF'!$F$2:$Q$21,4,FALSE)))</f>
        <v>#N/A</v>
      </c>
      <c r="G14" s="37" t="e">
        <f ca="1">IF(A14="","",IF(VLOOKUP(A14,'Ordre alphabétique FLF'!$F$2:$Q$21,3,FALSE)="oui",VLOOKUP(A14,'Ordre alphabétique FLF'!$F$2:$Q$21,4,FALSE),""))</f>
        <v>#N/A</v>
      </c>
      <c r="H14" s="55" t="e">
        <f ca="1">IF(A14="","",IF(VLOOKUP(A14,'Ordre alphabétique FLF'!$F$2:$Q$21,3,FALSE)="oui",VLOOKUP(A14,'Ordre alphabétique FLF'!$F$2:$Q$21,5,FALSE),""))</f>
        <v>#N/A</v>
      </c>
      <c r="I14" s="36"/>
      <c r="J14" s="36"/>
      <c r="K14" s="37"/>
      <c r="L14" s="21"/>
      <c r="M14" s="38"/>
    </row>
    <row r="15" spans="1:15" ht="24.95" customHeight="1" x14ac:dyDescent="0.2">
      <c r="A15" s="448" t="e">
        <f ca="1">IF('LISTE NOM POUR FLF'!G8="","",'LISTE NOM POUR FLF'!G8)</f>
        <v>#N/A</v>
      </c>
      <c r="B15" s="449"/>
      <c r="C15" s="43" t="e">
        <f ca="1">IF(A15="","",VLOOKUP(A15,PERSONNELS!$A$2:$G$100,2,FALSE))</f>
        <v>#N/A</v>
      </c>
      <c r="D15" s="79" t="e">
        <f ca="1">IF(A15="","",VLOOKUP(A15,PERSONNELS!$A$2:$G$100,5,FALSE))</f>
        <v>#N/A</v>
      </c>
      <c r="E15" s="82" t="e">
        <f ca="1">IF(A15="","",IF(VLOOKUP(A15,'Ordre alphabétique FLF'!$F$2:$Q$21,12,FALSE)="",IF(DONNEES!$C$2="",DONNEES!$B$2,CONCATENATE(TEXT(DONNEES!$B$2,"jj/mm/aaaa")," Au ",TEXT(DONNEES!$C$2,"jj/mm/aaaa"))),VLOOKUP(A15,'Ordre alphabétique FLF'!$F$2:$Q$21,12,FALSE)))</f>
        <v>#N/A</v>
      </c>
      <c r="F15" s="48" t="e">
        <f ca="1">IF(A15="","",IF(VLOOKUP(A15,'Ordre alphabétique FLF'!$F$2:$Q$21,3,FALSE)="oui","",VLOOKUP(A15,'Ordre alphabétique FLF'!$F$2:$Q$21,4,FALSE)))</f>
        <v>#N/A</v>
      </c>
      <c r="G15" s="37" t="e">
        <f ca="1">IF(A15="","",IF(VLOOKUP(A15,'Ordre alphabétique FLF'!$F$2:$Q$21,3,FALSE)="oui",VLOOKUP(A15,'Ordre alphabétique FLF'!$F$2:$Q$21,4,FALSE),""))</f>
        <v>#N/A</v>
      </c>
      <c r="H15" s="55" t="e">
        <f ca="1">IF(A15="","",IF(VLOOKUP(A15,'Ordre alphabétique FLF'!$F$2:$Q$21,3,FALSE)="oui",VLOOKUP(A15,'Ordre alphabétique FLF'!$F$2:$Q$21,5,FALSE),""))</f>
        <v>#N/A</v>
      </c>
      <c r="I15" s="36"/>
      <c r="J15" s="36"/>
      <c r="K15" s="37"/>
      <c r="L15" s="21"/>
      <c r="M15" s="38"/>
    </row>
    <row r="16" spans="1:15" ht="24.95" customHeight="1" x14ac:dyDescent="0.2">
      <c r="A16" s="448" t="e">
        <f ca="1">IF('LISTE NOM POUR FLF'!G9="","",'LISTE NOM POUR FLF'!G9)</f>
        <v>#N/A</v>
      </c>
      <c r="B16" s="449"/>
      <c r="C16" s="43" t="e">
        <f ca="1">IF(A16="","",VLOOKUP(A16,PERSONNELS!$A$2:$G$100,2,FALSE))</f>
        <v>#N/A</v>
      </c>
      <c r="D16" s="79" t="e">
        <f ca="1">IF(A16="","",VLOOKUP(A16,PERSONNELS!$A$2:$G$100,5,FALSE))</f>
        <v>#N/A</v>
      </c>
      <c r="E16" s="82" t="e">
        <f ca="1">IF(A16="","",IF(VLOOKUP(A16,'Ordre alphabétique FLF'!$F$2:$Q$21,12,FALSE)="",IF(DONNEES!$C$2="",DONNEES!$B$2,CONCATENATE(TEXT(DONNEES!$B$2,"jj/mm/aaaa")," Au ",TEXT(DONNEES!$C$2,"jj/mm/aaaa"))),VLOOKUP(A16,'Ordre alphabétique FLF'!$F$2:$Q$21,12,FALSE)))</f>
        <v>#N/A</v>
      </c>
      <c r="F16" s="48" t="e">
        <f ca="1">IF(A16="","",IF(VLOOKUP(A16,'Ordre alphabétique FLF'!$F$2:$Q$21,3,FALSE)="oui","",VLOOKUP(A16,'Ordre alphabétique FLF'!$F$2:$Q$21,4,FALSE)))</f>
        <v>#N/A</v>
      </c>
      <c r="G16" s="37" t="e">
        <f ca="1">IF(A16="","",IF(VLOOKUP(A16,'Ordre alphabétique FLF'!$F$2:$Q$21,3,FALSE)="oui",VLOOKUP(A16,'Ordre alphabétique FLF'!$F$2:$Q$21,4,FALSE),""))</f>
        <v>#N/A</v>
      </c>
      <c r="H16" s="55" t="e">
        <f ca="1">IF(A16="","",IF(VLOOKUP(A16,'Ordre alphabétique FLF'!$F$2:$Q$21,3,FALSE)="oui",VLOOKUP(A16,'Ordre alphabétique FLF'!$F$2:$Q$21,5,FALSE),""))</f>
        <v>#N/A</v>
      </c>
      <c r="I16" s="36"/>
      <c r="J16" s="36"/>
      <c r="K16" s="37"/>
      <c r="L16" s="21"/>
      <c r="M16" s="38"/>
    </row>
    <row r="17" spans="1:15" ht="24.95" customHeight="1" x14ac:dyDescent="0.2">
      <c r="A17" s="448" t="e">
        <f ca="1">IF('LISTE NOM POUR FLF'!G10="","",'LISTE NOM POUR FLF'!G10)</f>
        <v>#N/A</v>
      </c>
      <c r="B17" s="449"/>
      <c r="C17" s="43" t="e">
        <f ca="1">IF(A17="","",VLOOKUP(A17,PERSONNELS!$A$2:$G$100,2,FALSE))</f>
        <v>#N/A</v>
      </c>
      <c r="D17" s="79" t="e">
        <f ca="1">IF(A17="","",VLOOKUP(A17,PERSONNELS!$A$2:$G$100,5,FALSE))</f>
        <v>#N/A</v>
      </c>
      <c r="E17" s="82" t="e">
        <f ca="1">IF(A17="","",IF(VLOOKUP(A17,'Ordre alphabétique FLF'!$F$2:$Q$21,12,FALSE)="",IF(DONNEES!$C$2="",DONNEES!$B$2,CONCATENATE(TEXT(DONNEES!$B$2,"jj/mm/aaaa")," Au ",TEXT(DONNEES!$C$2,"jj/mm/aaaa"))),VLOOKUP(A17,'Ordre alphabétique FLF'!$F$2:$Q$21,12,FALSE)))</f>
        <v>#N/A</v>
      </c>
      <c r="F17" s="48" t="e">
        <f ca="1">IF(A17="","",IF(VLOOKUP(A17,'Ordre alphabétique FLF'!$F$2:$Q$21,3,FALSE)="oui","",VLOOKUP(A17,'Ordre alphabétique FLF'!$F$2:$Q$21,4,FALSE)))</f>
        <v>#N/A</v>
      </c>
      <c r="G17" s="37" t="e">
        <f ca="1">IF(A17="","",IF(VLOOKUP(A17,'Ordre alphabétique FLF'!$F$2:$Q$21,3,FALSE)="oui",VLOOKUP(A17,'Ordre alphabétique FLF'!$F$2:$Q$21,4,FALSE),""))</f>
        <v>#N/A</v>
      </c>
      <c r="H17" s="55" t="e">
        <f ca="1">IF(A17="","",IF(VLOOKUP(A17,'Ordre alphabétique FLF'!$F$2:$Q$21,3,FALSE)="oui",VLOOKUP(A17,'Ordre alphabétique FLF'!$F$2:$Q$21,5,FALSE),""))</f>
        <v>#N/A</v>
      </c>
      <c r="I17" s="36"/>
      <c r="J17" s="36"/>
      <c r="K17" s="37"/>
      <c r="L17" s="21"/>
      <c r="M17" s="38"/>
    </row>
    <row r="18" spans="1:15" ht="24.95" customHeight="1" x14ac:dyDescent="0.2">
      <c r="A18" s="448" t="e">
        <f ca="1">IF('LISTE NOM POUR FLF'!G11="","",'LISTE NOM POUR FLF'!G11)</f>
        <v>#N/A</v>
      </c>
      <c r="B18" s="449"/>
      <c r="C18" s="43" t="e">
        <f ca="1">IF(A18="","",VLOOKUP(A18,PERSONNELS!$A$2:$G$100,2,FALSE))</f>
        <v>#N/A</v>
      </c>
      <c r="D18" s="79" t="e">
        <f ca="1">IF(A18="","",VLOOKUP(A18,PERSONNELS!$A$2:$G$100,5,FALSE))</f>
        <v>#N/A</v>
      </c>
      <c r="E18" s="82" t="e">
        <f ca="1">IF(A18="","",IF(VLOOKUP(A18,'Ordre alphabétique FLF'!$F$2:$Q$21,12,FALSE)="",IF(DONNEES!$C$2="",DONNEES!$B$2,CONCATENATE(TEXT(DONNEES!$B$2,"jj/mm/aaaa")," Au ",TEXT(DONNEES!$C$2,"jj/mm/aaaa"))),VLOOKUP(A18,'Ordre alphabétique FLF'!$F$2:$Q$21,12,FALSE)))</f>
        <v>#N/A</v>
      </c>
      <c r="F18" s="48" t="e">
        <f ca="1">IF(A18="","",IF(VLOOKUP(A18,'Ordre alphabétique FLF'!$F$2:$Q$21,3,FALSE)="oui","",VLOOKUP(A18,'Ordre alphabétique FLF'!$F$2:$Q$21,4,FALSE)))</f>
        <v>#N/A</v>
      </c>
      <c r="G18" s="37" t="e">
        <f ca="1">IF(A18="","",IF(VLOOKUP(A18,'Ordre alphabétique FLF'!$F$2:$Q$21,3,FALSE)="oui",VLOOKUP(A18,'Ordre alphabétique FLF'!$F$2:$Q$21,4,FALSE),""))</f>
        <v>#N/A</v>
      </c>
      <c r="H18" s="55" t="e">
        <f ca="1">IF(A18="","",IF(VLOOKUP(A18,'Ordre alphabétique FLF'!$F$2:$Q$21,3,FALSE)="oui",VLOOKUP(A18,'Ordre alphabétique FLF'!$F$2:$Q$21,5,FALSE),""))</f>
        <v>#N/A</v>
      </c>
      <c r="I18" s="36"/>
      <c r="J18" s="36"/>
      <c r="K18" s="37"/>
      <c r="L18" s="21"/>
      <c r="M18" s="38"/>
    </row>
    <row r="19" spans="1:15" ht="24.95" customHeight="1" x14ac:dyDescent="0.2">
      <c r="A19" s="448" t="e">
        <f ca="1">IF('LISTE NOM POUR FLF'!G12="","",'LISTE NOM POUR FLF'!G12)</f>
        <v>#N/A</v>
      </c>
      <c r="B19" s="449"/>
      <c r="C19" s="43" t="e">
        <f ca="1">IF(A19="","",VLOOKUP(A19,PERSONNELS!$A$2:$G$100,2,FALSE))</f>
        <v>#N/A</v>
      </c>
      <c r="D19" s="79" t="e">
        <f ca="1">IF(A19="","",VLOOKUP(A19,PERSONNELS!$A$2:$G$100,5,FALSE))</f>
        <v>#N/A</v>
      </c>
      <c r="E19" s="82" t="e">
        <f ca="1">IF(A19="","",IF(VLOOKUP(A19,'Ordre alphabétique FLF'!$F$2:$Q$21,12,FALSE)="",IF(DONNEES!$C$2="",DONNEES!$B$2,CONCATENATE(TEXT(DONNEES!$B$2,"jj/mm/aaaa")," Au ",TEXT(DONNEES!$C$2,"jj/mm/aaaa"))),VLOOKUP(A19,'Ordre alphabétique FLF'!$F$2:$Q$21,12,FALSE)))</f>
        <v>#N/A</v>
      </c>
      <c r="F19" s="48" t="e">
        <f ca="1">IF(A19="","",IF(VLOOKUP(A19,'Ordre alphabétique FLF'!$F$2:$Q$21,3,FALSE)="oui","",VLOOKUP(A19,'Ordre alphabétique FLF'!$F$2:$Q$21,4,FALSE)))</f>
        <v>#N/A</v>
      </c>
      <c r="G19" s="37" t="e">
        <f ca="1">IF(A19="","",IF(VLOOKUP(A19,'Ordre alphabétique FLF'!$F$2:$Q$21,3,FALSE)="oui",VLOOKUP(A19,'Ordre alphabétique FLF'!$F$2:$Q$21,4,FALSE),""))</f>
        <v>#N/A</v>
      </c>
      <c r="H19" s="55" t="e">
        <f ca="1">IF(A19="","",IF(VLOOKUP(A19,'Ordre alphabétique FLF'!$F$2:$Q$21,3,FALSE)="oui",VLOOKUP(A19,'Ordre alphabétique FLF'!$F$2:$Q$21,5,FALSE),""))</f>
        <v>#N/A</v>
      </c>
      <c r="I19" s="36"/>
      <c r="J19" s="36"/>
      <c r="K19" s="37"/>
      <c r="L19" s="21"/>
      <c r="M19" s="38"/>
    </row>
    <row r="20" spans="1:15" ht="24.95" customHeight="1" x14ac:dyDescent="0.2">
      <c r="A20" s="448" t="e">
        <f ca="1">IF('LISTE NOM POUR FLF'!G13="","",'LISTE NOM POUR FLF'!G13)</f>
        <v>#N/A</v>
      </c>
      <c r="B20" s="449"/>
      <c r="C20" s="43" t="e">
        <f ca="1">IF(A20="","",VLOOKUP(A20,PERSONNELS!$A$2:$G$100,2,FALSE))</f>
        <v>#N/A</v>
      </c>
      <c r="D20" s="79" t="e">
        <f ca="1">IF(A20="","",VLOOKUP(A20,PERSONNELS!$A$2:$G$100,5,FALSE))</f>
        <v>#N/A</v>
      </c>
      <c r="E20" s="82" t="e">
        <f ca="1">IF(A20="","",IF(VLOOKUP(A20,'Ordre alphabétique FLF'!$F$2:$Q$21,12,FALSE)="",IF(DONNEES!$C$2="",DONNEES!$B$2,CONCATENATE(TEXT(DONNEES!$B$2,"jj/mm/aaaa")," Au ",TEXT(DONNEES!$C$2,"jj/mm/aaaa"))),VLOOKUP(A20,'Ordre alphabétique FLF'!$F$2:$Q$21,12,FALSE)))</f>
        <v>#N/A</v>
      </c>
      <c r="F20" s="48" t="e">
        <f ca="1">IF(A20="","",IF(VLOOKUP(A20,'Ordre alphabétique FLF'!$F$2:$Q$21,3,FALSE)="oui","",VLOOKUP(A20,'Ordre alphabétique FLF'!$F$2:$Q$21,4,FALSE)))</f>
        <v>#N/A</v>
      </c>
      <c r="G20" s="37" t="e">
        <f ca="1">IF(A20="","",IF(VLOOKUP(A20,'Ordre alphabétique FLF'!$F$2:$Q$21,3,FALSE)="oui",VLOOKUP(A20,'Ordre alphabétique FLF'!$F$2:$Q$21,4,FALSE),""))</f>
        <v>#N/A</v>
      </c>
      <c r="H20" s="55" t="e">
        <f ca="1">IF(A20="","",IF(VLOOKUP(A20,'Ordre alphabétique FLF'!$F$2:$Q$21,3,FALSE)="oui",VLOOKUP(A20,'Ordre alphabétique FLF'!$F$2:$Q$21,5,FALSE),""))</f>
        <v>#N/A</v>
      </c>
      <c r="I20" s="36"/>
      <c r="J20" s="36"/>
      <c r="K20" s="37"/>
      <c r="L20" s="21"/>
      <c r="M20" s="38"/>
    </row>
    <row r="21" spans="1:15" s="13" customFormat="1" ht="24.95" customHeight="1" thickBot="1" x14ac:dyDescent="0.25">
      <c r="A21" s="419" t="e">
        <f ca="1">IF('LISTE NOM POUR FLF'!G14="","",'LISTE NOM POUR FLF'!G14)</f>
        <v>#N/A</v>
      </c>
      <c r="B21" s="420"/>
      <c r="C21" s="61" t="e">
        <f ca="1">IF(A21="","",VLOOKUP(A21,PERSONNELS!$A$2:$G$100,2,FALSE))</f>
        <v>#N/A</v>
      </c>
      <c r="D21" s="80" t="e">
        <f ca="1">IF(A21="","",VLOOKUP(A21,PERSONNELS!$A$2:$G$100,5,FALSE))</f>
        <v>#N/A</v>
      </c>
      <c r="E21" s="83" t="e">
        <f ca="1">IF(A21="","",IF(VLOOKUP(A21,'Ordre alphabétique FLF'!$F$2:$Q$21,12,FALSE)="",IF(DONNEES!$C$2="",DONNEES!$B$2,CONCATENATE(TEXT(DONNEES!$B$2,"jj/mm/aaaa")," Au ",TEXT(DONNEES!$C$2,"jj/mm/aaaa"))),VLOOKUP(A21,'Ordre alphabétique FLF'!$F$2:$Q$21,12,FALSE)))</f>
        <v>#N/A</v>
      </c>
      <c r="F21" s="52" t="e">
        <f ca="1">IF(A21="","",IF(VLOOKUP(A21,'Ordre alphabétique FLF'!$F$2:$Q$21,3,FALSE)="oui","",VLOOKUP(A21,'Ordre alphabétique FLF'!$F$2:$Q$21,4,FALSE)))</f>
        <v>#N/A</v>
      </c>
      <c r="G21" s="40" t="e">
        <f ca="1">IF(A21="","",IF(VLOOKUP(A21,'Ordre alphabétique FLF'!$F$2:$Q$21,3,FALSE)="oui",VLOOKUP(A21,'Ordre alphabétique FLF'!$F$2:$Q$21,4,FALSE),""))</f>
        <v>#N/A</v>
      </c>
      <c r="H21" s="85" t="e">
        <f ca="1">IF(A21="","",IF(VLOOKUP(A21,'Ordre alphabétique FLF'!$F$2:$Q$21,3,FALSE)="oui",VLOOKUP(A21,'Ordre alphabétique FLF'!$F$2:$Q$21,5,FALSE),""))</f>
        <v>#N/A</v>
      </c>
      <c r="I21" s="39"/>
      <c r="J21" s="39"/>
      <c r="K21" s="40"/>
      <c r="L21" s="23"/>
      <c r="M21" s="41"/>
    </row>
    <row r="22" spans="1:15" s="3" customFormat="1" ht="35.1" customHeight="1" thickBot="1" x14ac:dyDescent="0.25">
      <c r="A22" s="424" t="s">
        <v>17</v>
      </c>
      <c r="B22" s="425"/>
      <c r="C22" s="96" t="s">
        <v>18</v>
      </c>
      <c r="D22" s="96" t="s">
        <v>2</v>
      </c>
      <c r="E22" s="428" t="s">
        <v>19</v>
      </c>
      <c r="F22" s="430"/>
      <c r="G22" s="424" t="s">
        <v>17</v>
      </c>
      <c r="H22" s="425"/>
      <c r="I22" s="57" t="s">
        <v>18</v>
      </c>
      <c r="J22" s="421" t="s">
        <v>2</v>
      </c>
      <c r="K22" s="423"/>
      <c r="L22" s="428" t="s">
        <v>19</v>
      </c>
      <c r="M22" s="430"/>
      <c r="N22" s="15"/>
      <c r="O22" s="15"/>
    </row>
    <row r="23" spans="1:15" s="3" customFormat="1" ht="35.1" customHeight="1" thickBot="1" x14ac:dyDescent="0.25">
      <c r="A23" s="501" t="s">
        <v>7</v>
      </c>
      <c r="B23" s="502"/>
      <c r="C23" s="173" t="e">
        <f>'FINANCES SPP'!B24</f>
        <v>#N/A</v>
      </c>
      <c r="D23" s="20"/>
      <c r="E23" s="503">
        <f>'FINANCES SPP'!E24</f>
        <v>43961</v>
      </c>
      <c r="F23" s="438"/>
      <c r="G23" s="460" t="s">
        <v>43</v>
      </c>
      <c r="H23" s="461"/>
      <c r="I23" s="26"/>
      <c r="J23" s="483"/>
      <c r="K23" s="484"/>
      <c r="L23" s="497"/>
      <c r="M23" s="498"/>
      <c r="N23" s="14"/>
      <c r="O23" s="14"/>
    </row>
    <row r="24" spans="1:15" s="3" customFormat="1" ht="35.1" customHeight="1" thickBot="1" x14ac:dyDescent="0.25">
      <c r="A24" s="499" t="s">
        <v>37</v>
      </c>
      <c r="B24" s="500"/>
      <c r="C24" s="27"/>
      <c r="D24" s="20"/>
      <c r="E24" s="436"/>
      <c r="F24" s="438"/>
      <c r="G24" s="460" t="s">
        <v>42</v>
      </c>
      <c r="H24" s="461"/>
      <c r="I24" s="26"/>
      <c r="J24" s="483"/>
      <c r="K24" s="484"/>
      <c r="L24" s="497"/>
      <c r="M24" s="498"/>
      <c r="N24" s="14"/>
      <c r="O24" s="14"/>
    </row>
    <row r="25" spans="1:15" s="3" customFormat="1" ht="36" customHeight="1" x14ac:dyDescent="0.2">
      <c r="A25" s="504" t="s">
        <v>38</v>
      </c>
      <c r="B25" s="504"/>
      <c r="C25" s="504"/>
      <c r="D25" s="504"/>
      <c r="E25" s="504"/>
      <c r="F25" s="504"/>
      <c r="G25" s="513" t="s">
        <v>45</v>
      </c>
      <c r="H25" s="513"/>
      <c r="I25" s="513"/>
      <c r="J25" s="513"/>
      <c r="K25" s="513"/>
      <c r="L25" s="513"/>
      <c r="M25" s="513"/>
    </row>
  </sheetData>
  <sheetProtection algorithmName="SHA-512" hashValue="GCEH+Df6RJe+km/wdiHrrf/zK0dnXA1qjVi+LJPebzTh/4TrZqmGp7jawf1n63K+OMrYRAYq/JXwRmnpFOqn5g==" saltValue="3I+hOxkBwp+K3rT0vbJkKQ==" spinCount="100000" sheet="1" objects="1" scenarios="1" selectLockedCells="1"/>
  <mergeCells count="49">
    <mergeCell ref="A14:B14"/>
    <mergeCell ref="A21:B21"/>
    <mergeCell ref="A15:B15"/>
    <mergeCell ref="A16:B16"/>
    <mergeCell ref="A17:B17"/>
    <mergeCell ref="A18:B18"/>
    <mergeCell ref="A19:B19"/>
    <mergeCell ref="A20:B20"/>
    <mergeCell ref="A25:F25"/>
    <mergeCell ref="A6:B6"/>
    <mergeCell ref="A22:B22"/>
    <mergeCell ref="K6:M7"/>
    <mergeCell ref="G25:M25"/>
    <mergeCell ref="C6:E6"/>
    <mergeCell ref="C7:C8"/>
    <mergeCell ref="F6:H6"/>
    <mergeCell ref="G7:H7"/>
    <mergeCell ref="I6:J6"/>
    <mergeCell ref="A7:B8"/>
    <mergeCell ref="A9:B9"/>
    <mergeCell ref="A10:B10"/>
    <mergeCell ref="D7:D8"/>
    <mergeCell ref="A11:B11"/>
    <mergeCell ref="A12:B12"/>
    <mergeCell ref="J24:K24"/>
    <mergeCell ref="L23:M23"/>
    <mergeCell ref="L24:M24"/>
    <mergeCell ref="A24:B24"/>
    <mergeCell ref="E24:F24"/>
    <mergeCell ref="G24:H24"/>
    <mergeCell ref="A23:B23"/>
    <mergeCell ref="E23:F23"/>
    <mergeCell ref="G23:H23"/>
    <mergeCell ref="F3:L3"/>
    <mergeCell ref="E22:F22"/>
    <mergeCell ref="M1:M5"/>
    <mergeCell ref="J22:K22"/>
    <mergeCell ref="J23:K23"/>
    <mergeCell ref="G22:H22"/>
    <mergeCell ref="L22:M22"/>
    <mergeCell ref="A1:L1"/>
    <mergeCell ref="E7:E8"/>
    <mergeCell ref="F2:L2"/>
    <mergeCell ref="F4:L4"/>
    <mergeCell ref="C5:L5"/>
    <mergeCell ref="C2:D2"/>
    <mergeCell ref="C3:D3"/>
    <mergeCell ref="C4:D4"/>
    <mergeCell ref="A13:B13"/>
  </mergeCells>
  <phoneticPr fontId="10" type="noConversion"/>
  <printOptions horizontalCentered="1" verticalCentered="1"/>
  <pageMargins left="0.19685039370078741" right="0" top="0.19685039370078741" bottom="0.19685039370078741" header="0" footer="0"/>
  <pageSetup paperSize="9" scale="67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G100"/>
  <sheetViews>
    <sheetView showGridLines="0" zoomScale="87" zoomScaleNormal="87" workbookViewId="0">
      <pane ySplit="1" topLeftCell="A2" activePane="bottomLeft" state="frozen"/>
      <selection pane="bottomLeft" activeCell="A2" sqref="A2"/>
    </sheetView>
  </sheetViews>
  <sheetFormatPr baseColWidth="10" defaultRowHeight="12.75" x14ac:dyDescent="0.2"/>
  <cols>
    <col min="1" max="1" width="36.28515625" customWidth="1"/>
    <col min="2" max="2" width="8.140625" bestFit="1" customWidth="1"/>
    <col min="3" max="3" width="12.42578125" bestFit="1" customWidth="1"/>
    <col min="4" max="4" width="9.140625" bestFit="1" customWidth="1"/>
    <col min="5" max="5" width="30.7109375" customWidth="1"/>
    <col min="6" max="6" width="57.140625" customWidth="1"/>
    <col min="7" max="7" width="14.5703125" bestFit="1" customWidth="1"/>
  </cols>
  <sheetData>
    <row r="1" spans="1:7" ht="20.100000000000001" customHeight="1" x14ac:dyDescent="0.2">
      <c r="A1" s="63" t="s">
        <v>57</v>
      </c>
      <c r="B1" s="63" t="s">
        <v>0</v>
      </c>
      <c r="C1" s="63" t="s">
        <v>58</v>
      </c>
      <c r="D1" s="63" t="s">
        <v>67</v>
      </c>
      <c r="E1" s="63" t="s">
        <v>59</v>
      </c>
      <c r="F1" s="63" t="s">
        <v>77</v>
      </c>
      <c r="G1" s="63" t="s">
        <v>99</v>
      </c>
    </row>
    <row r="2" spans="1:7" ht="15" x14ac:dyDescent="0.2">
      <c r="A2" s="94"/>
      <c r="B2" s="73" t="s">
        <v>75</v>
      </c>
      <c r="C2" s="73" t="s">
        <v>60</v>
      </c>
      <c r="D2" s="73" t="s">
        <v>68</v>
      </c>
      <c r="E2" s="94" t="s">
        <v>70</v>
      </c>
      <c r="F2" s="74"/>
      <c r="G2" s="92"/>
    </row>
    <row r="3" spans="1:7" ht="15" x14ac:dyDescent="0.2">
      <c r="A3" s="94"/>
      <c r="B3" s="73" t="s">
        <v>83</v>
      </c>
      <c r="C3" s="73" t="s">
        <v>60</v>
      </c>
      <c r="D3" s="73" t="s">
        <v>76</v>
      </c>
      <c r="E3" s="94" t="s">
        <v>70</v>
      </c>
      <c r="F3" s="74"/>
      <c r="G3" s="92"/>
    </row>
    <row r="4" spans="1:7" ht="15" x14ac:dyDescent="0.2">
      <c r="A4" s="94"/>
      <c r="B4" s="73" t="s">
        <v>82</v>
      </c>
      <c r="C4" s="73" t="s">
        <v>60</v>
      </c>
      <c r="D4" s="73" t="s">
        <v>76</v>
      </c>
      <c r="E4" s="94" t="s">
        <v>69</v>
      </c>
      <c r="F4" s="74"/>
      <c r="G4" s="92"/>
    </row>
    <row r="5" spans="1:7" ht="15" x14ac:dyDescent="0.2">
      <c r="A5" s="94"/>
      <c r="B5" s="73" t="s">
        <v>75</v>
      </c>
      <c r="C5" s="73" t="s">
        <v>60</v>
      </c>
      <c r="D5" s="73" t="s">
        <v>76</v>
      </c>
      <c r="E5" s="94" t="s">
        <v>61</v>
      </c>
      <c r="F5" s="74"/>
      <c r="G5" s="92"/>
    </row>
    <row r="6" spans="1:7" ht="15" x14ac:dyDescent="0.2">
      <c r="A6" s="105"/>
      <c r="B6" s="106" t="s">
        <v>62</v>
      </c>
      <c r="C6" s="106" t="s">
        <v>24</v>
      </c>
      <c r="D6" s="106" t="s">
        <v>76</v>
      </c>
      <c r="E6" s="105" t="s">
        <v>87</v>
      </c>
      <c r="F6" s="107" t="s">
        <v>122</v>
      </c>
      <c r="G6" s="108"/>
    </row>
    <row r="7" spans="1:7" ht="15" x14ac:dyDescent="0.2">
      <c r="A7" s="94"/>
      <c r="B7" s="73" t="s">
        <v>71</v>
      </c>
      <c r="C7" s="73" t="s">
        <v>60</v>
      </c>
      <c r="D7" s="73" t="s">
        <v>68</v>
      </c>
      <c r="E7" s="94" t="s">
        <v>61</v>
      </c>
      <c r="F7" s="74"/>
      <c r="G7" s="92"/>
    </row>
    <row r="8" spans="1:7" ht="15" x14ac:dyDescent="0.2">
      <c r="A8" s="94"/>
      <c r="B8" s="73" t="s">
        <v>82</v>
      </c>
      <c r="C8" s="73" t="s">
        <v>60</v>
      </c>
      <c r="D8" s="73" t="s">
        <v>76</v>
      </c>
      <c r="E8" s="94" t="s">
        <v>61</v>
      </c>
      <c r="F8" s="74"/>
      <c r="G8" s="92"/>
    </row>
    <row r="9" spans="1:7" ht="15" x14ac:dyDescent="0.2">
      <c r="A9" s="94"/>
      <c r="B9" s="73" t="s">
        <v>82</v>
      </c>
      <c r="C9" s="73" t="s">
        <v>60</v>
      </c>
      <c r="D9" s="73" t="s">
        <v>76</v>
      </c>
      <c r="E9" s="94" t="s">
        <v>70</v>
      </c>
      <c r="F9" s="74"/>
      <c r="G9" s="92"/>
    </row>
    <row r="10" spans="1:7" ht="15" x14ac:dyDescent="0.2">
      <c r="A10" s="94"/>
      <c r="B10" s="73" t="s">
        <v>75</v>
      </c>
      <c r="C10" s="73" t="s">
        <v>60</v>
      </c>
      <c r="D10" s="73" t="s">
        <v>76</v>
      </c>
      <c r="E10" s="94" t="s">
        <v>69</v>
      </c>
      <c r="F10" s="74"/>
      <c r="G10" s="92"/>
    </row>
    <row r="11" spans="1:7" ht="15" x14ac:dyDescent="0.2">
      <c r="A11" s="94"/>
      <c r="B11" s="73" t="s">
        <v>82</v>
      </c>
      <c r="C11" s="73" t="s">
        <v>60</v>
      </c>
      <c r="D11" s="73" t="s">
        <v>76</v>
      </c>
      <c r="E11" s="94" t="s">
        <v>70</v>
      </c>
      <c r="F11" s="74"/>
      <c r="G11" s="92"/>
    </row>
    <row r="12" spans="1:7" ht="15" x14ac:dyDescent="0.2">
      <c r="A12" s="94"/>
      <c r="B12" s="73" t="s">
        <v>83</v>
      </c>
      <c r="C12" s="73" t="s">
        <v>60</v>
      </c>
      <c r="D12" s="73" t="s">
        <v>76</v>
      </c>
      <c r="E12" s="94" t="s">
        <v>70</v>
      </c>
      <c r="F12" s="74"/>
      <c r="G12" s="92"/>
    </row>
    <row r="13" spans="1:7" ht="15" x14ac:dyDescent="0.2">
      <c r="A13" s="94"/>
      <c r="B13" s="73" t="s">
        <v>82</v>
      </c>
      <c r="C13" s="73" t="s">
        <v>60</v>
      </c>
      <c r="D13" s="73" t="s">
        <v>76</v>
      </c>
      <c r="E13" s="94" t="s">
        <v>69</v>
      </c>
      <c r="F13" s="74"/>
      <c r="G13" s="92"/>
    </row>
    <row r="14" spans="1:7" ht="15" x14ac:dyDescent="0.2">
      <c r="A14" s="94"/>
      <c r="B14" s="73" t="s">
        <v>83</v>
      </c>
      <c r="C14" s="73" t="s">
        <v>60</v>
      </c>
      <c r="D14" s="73" t="s">
        <v>76</v>
      </c>
      <c r="E14" s="94" t="s">
        <v>69</v>
      </c>
      <c r="F14" s="74"/>
      <c r="G14" s="92"/>
    </row>
    <row r="15" spans="1:7" ht="15" x14ac:dyDescent="0.2">
      <c r="A15" s="94"/>
      <c r="B15" s="73" t="s">
        <v>62</v>
      </c>
      <c r="C15" s="73" t="s">
        <v>60</v>
      </c>
      <c r="D15" s="73" t="s">
        <v>76</v>
      </c>
      <c r="E15" s="94" t="s">
        <v>69</v>
      </c>
      <c r="F15" s="74"/>
      <c r="G15" s="92"/>
    </row>
    <row r="16" spans="1:7" ht="15" x14ac:dyDescent="0.2">
      <c r="A16" s="94"/>
      <c r="B16" s="73" t="s">
        <v>62</v>
      </c>
      <c r="C16" s="73" t="s">
        <v>60</v>
      </c>
      <c r="D16" s="73" t="s">
        <v>68</v>
      </c>
      <c r="E16" s="94" t="s">
        <v>61</v>
      </c>
      <c r="F16" s="74"/>
      <c r="G16" s="92"/>
    </row>
    <row r="17" spans="1:7" ht="15" x14ac:dyDescent="0.2">
      <c r="A17" s="94"/>
      <c r="B17" s="73" t="s">
        <v>62</v>
      </c>
      <c r="C17" s="73" t="s">
        <v>60</v>
      </c>
      <c r="D17" s="73" t="s">
        <v>76</v>
      </c>
      <c r="E17" s="94" t="s">
        <v>69</v>
      </c>
      <c r="F17" s="74"/>
      <c r="G17" s="92"/>
    </row>
    <row r="18" spans="1:7" ht="15" x14ac:dyDescent="0.2">
      <c r="A18" s="94"/>
      <c r="B18" s="73" t="s">
        <v>82</v>
      </c>
      <c r="C18" s="73" t="s">
        <v>60</v>
      </c>
      <c r="D18" s="73" t="s">
        <v>76</v>
      </c>
      <c r="E18" s="94" t="s">
        <v>69</v>
      </c>
      <c r="F18" s="74"/>
      <c r="G18" s="92"/>
    </row>
    <row r="19" spans="1:7" ht="15" x14ac:dyDescent="0.2">
      <c r="A19" s="94"/>
      <c r="B19" s="73" t="s">
        <v>75</v>
      </c>
      <c r="C19" s="73" t="s">
        <v>60</v>
      </c>
      <c r="D19" s="73" t="s">
        <v>76</v>
      </c>
      <c r="E19" s="94" t="s">
        <v>69</v>
      </c>
      <c r="F19" s="74"/>
      <c r="G19" s="92"/>
    </row>
    <row r="20" spans="1:7" ht="15" x14ac:dyDescent="0.2">
      <c r="A20" s="94"/>
      <c r="B20" s="73" t="s">
        <v>82</v>
      </c>
      <c r="C20" s="73" t="s">
        <v>60</v>
      </c>
      <c r="D20" s="73" t="s">
        <v>76</v>
      </c>
      <c r="E20" s="94" t="s">
        <v>69</v>
      </c>
      <c r="F20" s="74"/>
      <c r="G20" s="92"/>
    </row>
    <row r="21" spans="1:7" ht="15" x14ac:dyDescent="0.2">
      <c r="A21" s="94"/>
      <c r="B21" s="73" t="s">
        <v>82</v>
      </c>
      <c r="C21" s="73" t="s">
        <v>60</v>
      </c>
      <c r="D21" s="73" t="s">
        <v>76</v>
      </c>
      <c r="E21" s="94" t="s">
        <v>69</v>
      </c>
      <c r="F21" s="74"/>
      <c r="G21" s="92"/>
    </row>
    <row r="22" spans="1:7" ht="15" x14ac:dyDescent="0.2">
      <c r="A22" s="94"/>
      <c r="B22" s="73" t="s">
        <v>82</v>
      </c>
      <c r="C22" s="73" t="s">
        <v>60</v>
      </c>
      <c r="D22" s="73" t="s">
        <v>105</v>
      </c>
      <c r="E22" s="94" t="s">
        <v>69</v>
      </c>
      <c r="F22" s="74"/>
      <c r="G22" s="92"/>
    </row>
    <row r="23" spans="1:7" ht="15" x14ac:dyDescent="0.2">
      <c r="A23" s="94"/>
      <c r="B23" s="73" t="s">
        <v>83</v>
      </c>
      <c r="C23" s="73" t="s">
        <v>60</v>
      </c>
      <c r="D23" s="73" t="s">
        <v>68</v>
      </c>
      <c r="E23" s="94" t="s">
        <v>69</v>
      </c>
      <c r="F23" s="74"/>
      <c r="G23" s="92"/>
    </row>
    <row r="24" spans="1:7" ht="15" x14ac:dyDescent="0.2">
      <c r="A24" s="94"/>
      <c r="B24" s="73" t="s">
        <v>83</v>
      </c>
      <c r="C24" s="73" t="s">
        <v>60</v>
      </c>
      <c r="D24" s="73" t="s">
        <v>76</v>
      </c>
      <c r="E24" s="94" t="s">
        <v>61</v>
      </c>
      <c r="F24" s="74"/>
      <c r="G24" s="92"/>
    </row>
    <row r="25" spans="1:7" ht="15" x14ac:dyDescent="0.2">
      <c r="A25" s="94"/>
      <c r="B25" s="73" t="s">
        <v>83</v>
      </c>
      <c r="C25" s="73" t="s">
        <v>60</v>
      </c>
      <c r="D25" s="73" t="s">
        <v>68</v>
      </c>
      <c r="E25" s="94" t="s">
        <v>69</v>
      </c>
      <c r="F25" s="74"/>
      <c r="G25" s="92"/>
    </row>
    <row r="26" spans="1:7" ht="15" x14ac:dyDescent="0.2">
      <c r="A26" s="94"/>
      <c r="B26" s="73" t="s">
        <v>80</v>
      </c>
      <c r="C26" s="73" t="s">
        <v>60</v>
      </c>
      <c r="D26" s="73" t="s">
        <v>105</v>
      </c>
      <c r="E26" s="94" t="s">
        <v>69</v>
      </c>
      <c r="F26" s="74"/>
      <c r="G26" s="92"/>
    </row>
    <row r="27" spans="1:7" ht="15" x14ac:dyDescent="0.2">
      <c r="A27" s="94"/>
      <c r="B27" s="73" t="s">
        <v>82</v>
      </c>
      <c r="C27" s="73" t="s">
        <v>60</v>
      </c>
      <c r="D27" s="73" t="s">
        <v>76</v>
      </c>
      <c r="E27" s="94" t="s">
        <v>61</v>
      </c>
      <c r="F27" s="74"/>
      <c r="G27" s="92"/>
    </row>
    <row r="28" spans="1:7" ht="15" x14ac:dyDescent="0.2">
      <c r="A28" s="94"/>
      <c r="B28" s="73" t="s">
        <v>75</v>
      </c>
      <c r="C28" s="73" t="s">
        <v>60</v>
      </c>
      <c r="D28" s="73" t="s">
        <v>76</v>
      </c>
      <c r="E28" s="94" t="s">
        <v>69</v>
      </c>
      <c r="F28" s="75"/>
      <c r="G28" s="92"/>
    </row>
    <row r="29" spans="1:7" ht="15" x14ac:dyDescent="0.2">
      <c r="A29" s="94"/>
      <c r="B29" s="73" t="s">
        <v>71</v>
      </c>
      <c r="C29" s="73" t="s">
        <v>60</v>
      </c>
      <c r="D29" s="73" t="s">
        <v>68</v>
      </c>
      <c r="E29" s="94" t="s">
        <v>70</v>
      </c>
      <c r="F29" s="74"/>
      <c r="G29" s="92"/>
    </row>
    <row r="30" spans="1:7" ht="15" x14ac:dyDescent="0.2">
      <c r="A30" s="109"/>
      <c r="B30" s="110" t="s">
        <v>81</v>
      </c>
      <c r="C30" s="110" t="s">
        <v>60</v>
      </c>
      <c r="D30" s="110" t="s">
        <v>68</v>
      </c>
      <c r="E30" s="109" t="s">
        <v>70</v>
      </c>
      <c r="F30" s="112" t="s">
        <v>88</v>
      </c>
      <c r="G30" s="111"/>
    </row>
    <row r="31" spans="1:7" ht="15" x14ac:dyDescent="0.2">
      <c r="A31" s="94"/>
      <c r="B31" s="73" t="s">
        <v>80</v>
      </c>
      <c r="C31" s="73" t="s">
        <v>60</v>
      </c>
      <c r="D31" s="73" t="s">
        <v>76</v>
      </c>
      <c r="E31" s="94" t="s">
        <v>70</v>
      </c>
      <c r="F31" s="74"/>
      <c r="G31" s="92"/>
    </row>
    <row r="32" spans="1:7" ht="15" x14ac:dyDescent="0.2">
      <c r="A32" s="94"/>
      <c r="B32" s="73" t="s">
        <v>62</v>
      </c>
      <c r="C32" s="73" t="s">
        <v>60</v>
      </c>
      <c r="D32" s="73" t="s">
        <v>76</v>
      </c>
      <c r="E32" s="94" t="s">
        <v>69</v>
      </c>
      <c r="F32" s="74"/>
      <c r="G32" s="92"/>
    </row>
    <row r="33" spans="1:7" ht="15" x14ac:dyDescent="0.2">
      <c r="A33" s="94"/>
      <c r="B33" s="73" t="s">
        <v>62</v>
      </c>
      <c r="C33" s="73" t="s">
        <v>60</v>
      </c>
      <c r="D33" s="73" t="s">
        <v>76</v>
      </c>
      <c r="E33" s="94" t="s">
        <v>69</v>
      </c>
      <c r="F33" s="74"/>
      <c r="G33" s="92"/>
    </row>
    <row r="34" spans="1:7" ht="15" x14ac:dyDescent="0.2">
      <c r="A34" s="105"/>
      <c r="B34" s="106" t="s">
        <v>83</v>
      </c>
      <c r="C34" s="106" t="s">
        <v>60</v>
      </c>
      <c r="D34" s="106" t="s">
        <v>76</v>
      </c>
      <c r="E34" s="105" t="s">
        <v>84</v>
      </c>
      <c r="F34" s="107" t="s">
        <v>122</v>
      </c>
      <c r="G34" s="108"/>
    </row>
    <row r="35" spans="1:7" ht="15" x14ac:dyDescent="0.2">
      <c r="A35" s="94"/>
      <c r="B35" s="73" t="s">
        <v>75</v>
      </c>
      <c r="C35" s="73" t="s">
        <v>60</v>
      </c>
      <c r="D35" s="73" t="s">
        <v>76</v>
      </c>
      <c r="E35" s="94" t="s">
        <v>61</v>
      </c>
      <c r="F35" s="74"/>
      <c r="G35" s="92"/>
    </row>
    <row r="36" spans="1:7" ht="15" x14ac:dyDescent="0.2">
      <c r="A36" s="94"/>
      <c r="B36" s="73" t="s">
        <v>75</v>
      </c>
      <c r="C36" s="73" t="s">
        <v>60</v>
      </c>
      <c r="D36" s="73" t="s">
        <v>68</v>
      </c>
      <c r="E36" s="94" t="s">
        <v>69</v>
      </c>
      <c r="F36" s="74"/>
      <c r="G36" s="92"/>
    </row>
    <row r="37" spans="1:7" ht="15" x14ac:dyDescent="0.2">
      <c r="A37" s="109"/>
      <c r="B37" s="110" t="s">
        <v>75</v>
      </c>
      <c r="C37" s="110" t="s">
        <v>60</v>
      </c>
      <c r="D37" s="110" t="s">
        <v>68</v>
      </c>
      <c r="E37" s="109" t="s">
        <v>69</v>
      </c>
      <c r="F37" s="112" t="s">
        <v>88</v>
      </c>
      <c r="G37" s="111"/>
    </row>
    <row r="38" spans="1:7" ht="15" x14ac:dyDescent="0.2">
      <c r="A38" s="94"/>
      <c r="B38" s="73" t="s">
        <v>81</v>
      </c>
      <c r="C38" s="73" t="s">
        <v>60</v>
      </c>
      <c r="D38" s="73" t="s">
        <v>76</v>
      </c>
      <c r="E38" s="94" t="s">
        <v>61</v>
      </c>
      <c r="F38" s="74"/>
      <c r="G38" s="92"/>
    </row>
    <row r="39" spans="1:7" ht="15" x14ac:dyDescent="0.2">
      <c r="A39" s="94"/>
      <c r="B39" s="73" t="s">
        <v>83</v>
      </c>
      <c r="C39" s="73" t="s">
        <v>60</v>
      </c>
      <c r="D39" s="73" t="s">
        <v>76</v>
      </c>
      <c r="E39" s="94" t="s">
        <v>70</v>
      </c>
      <c r="F39" s="74"/>
      <c r="G39" s="92"/>
    </row>
    <row r="40" spans="1:7" ht="15" x14ac:dyDescent="0.2">
      <c r="A40" s="105"/>
      <c r="B40" s="106" t="s">
        <v>75</v>
      </c>
      <c r="C40" s="106" t="s">
        <v>60</v>
      </c>
      <c r="D40" s="106" t="s">
        <v>68</v>
      </c>
      <c r="E40" s="105" t="s">
        <v>85</v>
      </c>
      <c r="F40" s="107" t="s">
        <v>122</v>
      </c>
      <c r="G40" s="108"/>
    </row>
    <row r="41" spans="1:7" ht="15" x14ac:dyDescent="0.2">
      <c r="A41" s="94"/>
      <c r="B41" s="73" t="s">
        <v>83</v>
      </c>
      <c r="C41" s="73" t="s">
        <v>60</v>
      </c>
      <c r="D41" s="73" t="s">
        <v>76</v>
      </c>
      <c r="E41" s="94" t="s">
        <v>69</v>
      </c>
      <c r="F41" s="74"/>
      <c r="G41" s="92"/>
    </row>
    <row r="42" spans="1:7" ht="15" x14ac:dyDescent="0.2">
      <c r="A42" s="94"/>
      <c r="B42" s="73" t="s">
        <v>71</v>
      </c>
      <c r="C42" s="73" t="s">
        <v>60</v>
      </c>
      <c r="D42" s="73" t="s">
        <v>68</v>
      </c>
      <c r="E42" s="94" t="s">
        <v>69</v>
      </c>
      <c r="F42" s="74"/>
      <c r="G42" s="92"/>
    </row>
    <row r="43" spans="1:7" ht="15" x14ac:dyDescent="0.2">
      <c r="A43" s="94"/>
      <c r="B43" s="73" t="s">
        <v>80</v>
      </c>
      <c r="C43" s="73" t="s">
        <v>60</v>
      </c>
      <c r="D43" s="73" t="s">
        <v>105</v>
      </c>
      <c r="E43" s="94" t="s">
        <v>69</v>
      </c>
      <c r="F43" s="74"/>
      <c r="G43" s="92"/>
    </row>
    <row r="44" spans="1:7" ht="15" x14ac:dyDescent="0.2">
      <c r="A44" s="94"/>
      <c r="B44" s="73" t="s">
        <v>82</v>
      </c>
      <c r="C44" s="73" t="s">
        <v>60</v>
      </c>
      <c r="D44" s="73" t="s">
        <v>76</v>
      </c>
      <c r="E44" s="94" t="s">
        <v>69</v>
      </c>
      <c r="F44" s="74"/>
      <c r="G44" s="92"/>
    </row>
    <row r="45" spans="1:7" ht="15" x14ac:dyDescent="0.2">
      <c r="A45" s="94"/>
      <c r="B45" s="73" t="s">
        <v>83</v>
      </c>
      <c r="C45" s="73" t="s">
        <v>60</v>
      </c>
      <c r="D45" s="73" t="s">
        <v>76</v>
      </c>
      <c r="E45" s="94" t="s">
        <v>70</v>
      </c>
      <c r="F45" s="74"/>
      <c r="G45" s="92"/>
    </row>
    <row r="46" spans="1:7" ht="15" x14ac:dyDescent="0.2">
      <c r="A46" s="94"/>
      <c r="B46" s="73" t="s">
        <v>82</v>
      </c>
      <c r="C46" s="73" t="s">
        <v>60</v>
      </c>
      <c r="D46" s="73" t="s">
        <v>76</v>
      </c>
      <c r="E46" s="94" t="s">
        <v>61</v>
      </c>
      <c r="F46" s="74"/>
      <c r="G46" s="92"/>
    </row>
    <row r="47" spans="1:7" ht="15" x14ac:dyDescent="0.2">
      <c r="A47" s="94"/>
      <c r="B47" s="73" t="s">
        <v>83</v>
      </c>
      <c r="C47" s="73" t="s">
        <v>60</v>
      </c>
      <c r="D47" s="73" t="s">
        <v>76</v>
      </c>
      <c r="E47" s="94" t="s">
        <v>70</v>
      </c>
      <c r="F47" s="74"/>
      <c r="G47" s="92"/>
    </row>
    <row r="48" spans="1:7" ht="15" x14ac:dyDescent="0.2">
      <c r="A48" s="94"/>
      <c r="B48" s="73" t="s">
        <v>71</v>
      </c>
      <c r="C48" s="73" t="s">
        <v>60</v>
      </c>
      <c r="D48" s="73" t="s">
        <v>76</v>
      </c>
      <c r="E48" s="94" t="s">
        <v>61</v>
      </c>
      <c r="F48" s="74"/>
      <c r="G48" s="92"/>
    </row>
    <row r="49" spans="1:7" ht="15" x14ac:dyDescent="0.2">
      <c r="A49" s="94"/>
      <c r="B49" s="73" t="s">
        <v>75</v>
      </c>
      <c r="C49" s="73" t="s">
        <v>60</v>
      </c>
      <c r="D49" s="73" t="s">
        <v>68</v>
      </c>
      <c r="E49" s="94" t="s">
        <v>69</v>
      </c>
      <c r="F49" s="74"/>
      <c r="G49" s="92"/>
    </row>
    <row r="50" spans="1:7" ht="15" x14ac:dyDescent="0.2">
      <c r="A50" s="94"/>
      <c r="B50" s="73" t="s">
        <v>82</v>
      </c>
      <c r="C50" s="73" t="s">
        <v>60</v>
      </c>
      <c r="D50" s="73" t="s">
        <v>76</v>
      </c>
      <c r="E50" s="94" t="s">
        <v>61</v>
      </c>
      <c r="F50" s="74"/>
      <c r="G50" s="92"/>
    </row>
    <row r="51" spans="1:7" ht="15" x14ac:dyDescent="0.2">
      <c r="A51" s="94"/>
      <c r="B51" s="73" t="s">
        <v>62</v>
      </c>
      <c r="C51" s="73" t="s">
        <v>60</v>
      </c>
      <c r="D51" s="73" t="s">
        <v>68</v>
      </c>
      <c r="E51" s="94" t="s">
        <v>69</v>
      </c>
      <c r="F51" s="74"/>
      <c r="G51" s="92"/>
    </row>
    <row r="52" spans="1:7" ht="15" x14ac:dyDescent="0.2">
      <c r="A52" s="94"/>
      <c r="B52" s="73" t="s">
        <v>80</v>
      </c>
      <c r="C52" s="73" t="s">
        <v>60</v>
      </c>
      <c r="D52" s="73" t="s">
        <v>76</v>
      </c>
      <c r="E52" s="94" t="s">
        <v>70</v>
      </c>
      <c r="F52" s="74"/>
      <c r="G52" s="92"/>
    </row>
    <row r="53" spans="1:7" ht="15" x14ac:dyDescent="0.2">
      <c r="A53" s="94"/>
      <c r="B53" s="73" t="s">
        <v>80</v>
      </c>
      <c r="C53" s="73" t="s">
        <v>60</v>
      </c>
      <c r="D53" s="73" t="s">
        <v>105</v>
      </c>
      <c r="E53" s="94" t="s">
        <v>69</v>
      </c>
      <c r="F53" s="74"/>
      <c r="G53" s="92"/>
    </row>
    <row r="54" spans="1:7" ht="15" x14ac:dyDescent="0.2">
      <c r="A54" s="94"/>
      <c r="B54" s="73" t="s">
        <v>80</v>
      </c>
      <c r="C54" s="73" t="s">
        <v>60</v>
      </c>
      <c r="D54" s="73" t="s">
        <v>76</v>
      </c>
      <c r="E54" s="94" t="s">
        <v>70</v>
      </c>
      <c r="F54" s="74"/>
      <c r="G54" s="92"/>
    </row>
    <row r="55" spans="1:7" ht="15" x14ac:dyDescent="0.2">
      <c r="A55" s="94"/>
      <c r="B55" s="73" t="s">
        <v>75</v>
      </c>
      <c r="C55" s="73" t="s">
        <v>60</v>
      </c>
      <c r="D55" s="73" t="s">
        <v>68</v>
      </c>
      <c r="E55" s="94" t="s">
        <v>70</v>
      </c>
      <c r="F55" s="74"/>
      <c r="G55" s="92"/>
    </row>
    <row r="56" spans="1:7" ht="15" x14ac:dyDescent="0.2">
      <c r="A56" s="94"/>
      <c r="B56" s="73" t="s">
        <v>75</v>
      </c>
      <c r="C56" s="73" t="s">
        <v>60</v>
      </c>
      <c r="D56" s="73" t="s">
        <v>68</v>
      </c>
      <c r="E56" s="94" t="s">
        <v>61</v>
      </c>
      <c r="F56" s="74"/>
      <c r="G56" s="92"/>
    </row>
    <row r="57" spans="1:7" ht="15" x14ac:dyDescent="0.2">
      <c r="A57" s="94"/>
      <c r="B57" s="73" t="s">
        <v>82</v>
      </c>
      <c r="C57" s="73" t="s">
        <v>60</v>
      </c>
      <c r="D57" s="73" t="s">
        <v>76</v>
      </c>
      <c r="E57" s="94" t="s">
        <v>69</v>
      </c>
      <c r="F57" s="74"/>
      <c r="G57" s="92"/>
    </row>
    <row r="58" spans="1:7" ht="15" x14ac:dyDescent="0.2">
      <c r="A58" s="94"/>
      <c r="B58" s="73" t="s">
        <v>82</v>
      </c>
      <c r="C58" s="73" t="s">
        <v>60</v>
      </c>
      <c r="D58" s="73" t="s">
        <v>76</v>
      </c>
      <c r="E58" s="94" t="s">
        <v>69</v>
      </c>
      <c r="F58" s="74"/>
      <c r="G58" s="92"/>
    </row>
    <row r="59" spans="1:7" ht="15" x14ac:dyDescent="0.2">
      <c r="A59" s="109"/>
      <c r="B59" s="110" t="s">
        <v>80</v>
      </c>
      <c r="C59" s="110" t="s">
        <v>60</v>
      </c>
      <c r="D59" s="110" t="s">
        <v>76</v>
      </c>
      <c r="E59" s="109" t="s">
        <v>84</v>
      </c>
      <c r="F59" s="112" t="s">
        <v>88</v>
      </c>
      <c r="G59" s="111"/>
    </row>
    <row r="60" spans="1:7" ht="15" x14ac:dyDescent="0.2">
      <c r="A60" s="94"/>
      <c r="B60" s="73" t="s">
        <v>62</v>
      </c>
      <c r="C60" s="73" t="s">
        <v>60</v>
      </c>
      <c r="D60" s="73" t="s">
        <v>68</v>
      </c>
      <c r="E60" s="94" t="s">
        <v>69</v>
      </c>
      <c r="F60" s="74"/>
      <c r="G60" s="92"/>
    </row>
    <row r="61" spans="1:7" ht="15" x14ac:dyDescent="0.2">
      <c r="A61" s="94"/>
      <c r="B61" s="73" t="s">
        <v>71</v>
      </c>
      <c r="C61" s="73" t="s">
        <v>60</v>
      </c>
      <c r="D61" s="73" t="s">
        <v>76</v>
      </c>
      <c r="E61" s="94" t="s">
        <v>70</v>
      </c>
      <c r="F61" s="74"/>
      <c r="G61" s="92"/>
    </row>
    <row r="62" spans="1:7" ht="15" x14ac:dyDescent="0.2">
      <c r="A62" s="94"/>
      <c r="B62" s="73" t="s">
        <v>75</v>
      </c>
      <c r="C62" s="73" t="s">
        <v>60</v>
      </c>
      <c r="D62" s="73" t="s">
        <v>68</v>
      </c>
      <c r="E62" s="94" t="s">
        <v>69</v>
      </c>
      <c r="F62" s="74"/>
      <c r="G62" s="92"/>
    </row>
    <row r="63" spans="1:7" ht="15" x14ac:dyDescent="0.2">
      <c r="A63" s="94"/>
      <c r="B63" s="73" t="s">
        <v>83</v>
      </c>
      <c r="C63" s="73" t="s">
        <v>60</v>
      </c>
      <c r="D63" s="73" t="s">
        <v>76</v>
      </c>
      <c r="E63" s="94" t="s">
        <v>69</v>
      </c>
      <c r="F63" s="75"/>
      <c r="G63" s="92"/>
    </row>
    <row r="64" spans="1:7" ht="15" x14ac:dyDescent="0.2">
      <c r="A64" s="94"/>
      <c r="B64" s="73" t="s">
        <v>80</v>
      </c>
      <c r="C64" s="73" t="s">
        <v>60</v>
      </c>
      <c r="D64" s="73" t="s">
        <v>76</v>
      </c>
      <c r="E64" s="94" t="s">
        <v>70</v>
      </c>
      <c r="F64" s="74"/>
      <c r="G64" s="92"/>
    </row>
    <row r="65" spans="1:7" ht="15" x14ac:dyDescent="0.2">
      <c r="A65" s="94"/>
      <c r="B65" s="73" t="s">
        <v>83</v>
      </c>
      <c r="C65" s="73" t="s">
        <v>60</v>
      </c>
      <c r="D65" s="73" t="s">
        <v>76</v>
      </c>
      <c r="E65" s="94" t="s">
        <v>70</v>
      </c>
      <c r="F65" s="74"/>
      <c r="G65" s="92"/>
    </row>
    <row r="66" spans="1:7" ht="15" x14ac:dyDescent="0.2">
      <c r="A66" s="94"/>
      <c r="B66" s="73" t="s">
        <v>75</v>
      </c>
      <c r="C66" s="73" t="s">
        <v>24</v>
      </c>
      <c r="D66" s="73" t="s">
        <v>68</v>
      </c>
      <c r="E66" s="94" t="s">
        <v>70</v>
      </c>
      <c r="F66" s="74"/>
      <c r="G66" s="92"/>
    </row>
    <row r="67" spans="1:7" ht="15" x14ac:dyDescent="0.2">
      <c r="A67" s="94"/>
      <c r="B67" s="73" t="s">
        <v>75</v>
      </c>
      <c r="C67" s="73" t="s">
        <v>60</v>
      </c>
      <c r="D67" s="73" t="s">
        <v>76</v>
      </c>
      <c r="E67" s="94" t="s">
        <v>69</v>
      </c>
      <c r="F67" s="74"/>
      <c r="G67" s="92"/>
    </row>
    <row r="68" spans="1:7" ht="15" x14ac:dyDescent="0.2">
      <c r="A68" s="94"/>
      <c r="B68" s="73" t="s">
        <v>71</v>
      </c>
      <c r="C68" s="73" t="s">
        <v>60</v>
      </c>
      <c r="D68" s="73" t="s">
        <v>76</v>
      </c>
      <c r="E68" s="94" t="s">
        <v>69</v>
      </c>
      <c r="F68" s="74"/>
      <c r="G68" s="92"/>
    </row>
    <row r="69" spans="1:7" ht="15" x14ac:dyDescent="0.2">
      <c r="A69" s="94"/>
      <c r="B69" s="73"/>
      <c r="C69" s="73"/>
      <c r="D69" s="73"/>
      <c r="E69" s="94"/>
      <c r="F69" s="74"/>
      <c r="G69" s="92"/>
    </row>
    <row r="70" spans="1:7" ht="15" x14ac:dyDescent="0.2">
      <c r="A70" s="94"/>
      <c r="B70" s="73"/>
      <c r="C70" s="73"/>
      <c r="D70" s="73"/>
      <c r="E70" s="94"/>
      <c r="F70" s="74"/>
      <c r="G70" s="92"/>
    </row>
    <row r="71" spans="1:7" ht="15" x14ac:dyDescent="0.2">
      <c r="A71" s="94"/>
      <c r="B71" s="73"/>
      <c r="C71" s="73"/>
      <c r="D71" s="73"/>
      <c r="E71" s="94"/>
      <c r="F71" s="74"/>
      <c r="G71" s="92"/>
    </row>
    <row r="72" spans="1:7" ht="15" x14ac:dyDescent="0.2">
      <c r="A72" s="94"/>
      <c r="B72" s="73"/>
      <c r="C72" s="73"/>
      <c r="D72" s="73"/>
      <c r="E72" s="94"/>
      <c r="F72" s="74"/>
      <c r="G72" s="92"/>
    </row>
    <row r="73" spans="1:7" ht="15" x14ac:dyDescent="0.2">
      <c r="A73" s="94"/>
      <c r="B73" s="73"/>
      <c r="C73" s="73"/>
      <c r="D73" s="73"/>
      <c r="E73" s="94"/>
      <c r="F73" s="75"/>
      <c r="G73" s="92"/>
    </row>
    <row r="74" spans="1:7" ht="15" x14ac:dyDescent="0.2">
      <c r="A74" s="94"/>
      <c r="B74" s="73"/>
      <c r="C74" s="73"/>
      <c r="D74" s="73"/>
      <c r="E74" s="94"/>
      <c r="F74" s="74"/>
      <c r="G74" s="92"/>
    </row>
    <row r="75" spans="1:7" ht="15" x14ac:dyDescent="0.2">
      <c r="A75" s="94"/>
      <c r="B75" s="73"/>
      <c r="C75" s="73"/>
      <c r="D75" s="73"/>
      <c r="E75" s="94"/>
      <c r="F75" s="74"/>
      <c r="G75" s="92"/>
    </row>
    <row r="76" spans="1:7" ht="15" x14ac:dyDescent="0.2">
      <c r="A76" s="94"/>
      <c r="B76" s="73"/>
      <c r="C76" s="73"/>
      <c r="D76" s="73"/>
      <c r="E76" s="94"/>
      <c r="F76" s="74"/>
      <c r="G76" s="92"/>
    </row>
    <row r="77" spans="1:7" ht="15" x14ac:dyDescent="0.2">
      <c r="A77" s="94"/>
      <c r="B77" s="73"/>
      <c r="C77" s="73"/>
      <c r="D77" s="73"/>
      <c r="E77" s="94"/>
      <c r="F77" s="74"/>
      <c r="G77" s="92"/>
    </row>
    <row r="78" spans="1:7" ht="15" x14ac:dyDescent="0.2">
      <c r="A78" s="94"/>
      <c r="B78" s="73"/>
      <c r="C78" s="73"/>
      <c r="D78" s="73"/>
      <c r="E78" s="94"/>
      <c r="F78" s="74"/>
      <c r="G78" s="92"/>
    </row>
    <row r="79" spans="1:7" ht="15" x14ac:dyDescent="0.2">
      <c r="A79" s="94"/>
      <c r="B79" s="73"/>
      <c r="C79" s="73"/>
      <c r="D79" s="73"/>
      <c r="E79" s="94"/>
      <c r="F79" s="74"/>
      <c r="G79" s="92"/>
    </row>
    <row r="80" spans="1:7" ht="15" x14ac:dyDescent="0.2">
      <c r="A80" s="94"/>
      <c r="B80" s="73"/>
      <c r="C80" s="73"/>
      <c r="D80" s="73"/>
      <c r="E80" s="94"/>
      <c r="F80" s="74"/>
      <c r="G80" s="92"/>
    </row>
    <row r="81" spans="1:7" ht="15" x14ac:dyDescent="0.2">
      <c r="A81" s="94"/>
      <c r="B81" s="73"/>
      <c r="C81" s="73"/>
      <c r="D81" s="73"/>
      <c r="E81" s="94"/>
      <c r="F81" s="74"/>
      <c r="G81" s="92"/>
    </row>
    <row r="82" spans="1:7" ht="15" x14ac:dyDescent="0.2">
      <c r="A82" s="94"/>
      <c r="B82" s="73"/>
      <c r="C82" s="73"/>
      <c r="D82" s="73"/>
      <c r="E82" s="94"/>
      <c r="F82" s="74"/>
      <c r="G82" s="92"/>
    </row>
    <row r="83" spans="1:7" ht="15" x14ac:dyDescent="0.2">
      <c r="A83" s="94"/>
      <c r="B83" s="73"/>
      <c r="C83" s="73"/>
      <c r="D83" s="73"/>
      <c r="E83" s="94"/>
      <c r="F83" s="74"/>
      <c r="G83" s="92"/>
    </row>
    <row r="84" spans="1:7" ht="15" x14ac:dyDescent="0.2">
      <c r="A84" s="94"/>
      <c r="B84" s="73"/>
      <c r="C84" s="73"/>
      <c r="D84" s="73"/>
      <c r="E84" s="94"/>
      <c r="F84" s="74"/>
      <c r="G84" s="92"/>
    </row>
    <row r="85" spans="1:7" ht="15" x14ac:dyDescent="0.2">
      <c r="A85" s="94"/>
      <c r="B85" s="73"/>
      <c r="C85" s="73"/>
      <c r="D85" s="73"/>
      <c r="E85" s="94"/>
      <c r="F85" s="74"/>
      <c r="G85" s="92"/>
    </row>
    <row r="86" spans="1:7" ht="15" x14ac:dyDescent="0.2">
      <c r="A86" s="94"/>
      <c r="B86" s="73"/>
      <c r="C86" s="73"/>
      <c r="D86" s="73"/>
      <c r="E86" s="94"/>
      <c r="F86" s="74"/>
      <c r="G86" s="92"/>
    </row>
    <row r="87" spans="1:7" ht="15" x14ac:dyDescent="0.2">
      <c r="A87" s="94"/>
      <c r="B87" s="73"/>
      <c r="C87" s="73"/>
      <c r="D87" s="73"/>
      <c r="E87" s="94"/>
      <c r="F87" s="74"/>
      <c r="G87" s="92"/>
    </row>
    <row r="88" spans="1:7" ht="15" x14ac:dyDescent="0.2">
      <c r="A88" s="94"/>
      <c r="B88" s="73"/>
      <c r="C88" s="73"/>
      <c r="D88" s="73"/>
      <c r="E88" s="94"/>
      <c r="F88" s="74"/>
      <c r="G88" s="92"/>
    </row>
    <row r="89" spans="1:7" ht="15" x14ac:dyDescent="0.2">
      <c r="A89" s="94"/>
      <c r="B89" s="73"/>
      <c r="C89" s="73"/>
      <c r="D89" s="73"/>
      <c r="E89" s="94"/>
      <c r="F89" s="74"/>
      <c r="G89" s="92"/>
    </row>
    <row r="90" spans="1:7" ht="15" x14ac:dyDescent="0.2">
      <c r="A90" s="94"/>
      <c r="B90" s="73"/>
      <c r="C90" s="73"/>
      <c r="D90" s="73"/>
      <c r="E90" s="94"/>
      <c r="F90" s="74"/>
      <c r="G90" s="92"/>
    </row>
    <row r="91" spans="1:7" ht="15" x14ac:dyDescent="0.2">
      <c r="A91" s="94"/>
      <c r="B91" s="73"/>
      <c r="C91" s="73"/>
      <c r="D91" s="73"/>
      <c r="E91" s="94"/>
      <c r="F91" s="74"/>
      <c r="G91" s="92"/>
    </row>
    <row r="92" spans="1:7" ht="15" x14ac:dyDescent="0.2">
      <c r="A92" s="94"/>
      <c r="B92" s="73"/>
      <c r="C92" s="73"/>
      <c r="D92" s="73"/>
      <c r="E92" s="94"/>
      <c r="F92" s="74"/>
      <c r="G92" s="92"/>
    </row>
    <row r="93" spans="1:7" ht="15" x14ac:dyDescent="0.2">
      <c r="A93" s="94"/>
      <c r="B93" s="73"/>
      <c r="C93" s="73"/>
      <c r="D93" s="73"/>
      <c r="E93" s="94"/>
      <c r="F93" s="74"/>
      <c r="G93" s="92"/>
    </row>
    <row r="94" spans="1:7" ht="15" x14ac:dyDescent="0.2">
      <c r="A94" s="94"/>
      <c r="B94" s="73"/>
      <c r="C94" s="73"/>
      <c r="D94" s="73"/>
      <c r="E94" s="94"/>
      <c r="F94" s="74"/>
      <c r="G94" s="92"/>
    </row>
    <row r="95" spans="1:7" ht="15" x14ac:dyDescent="0.2">
      <c r="A95" s="94"/>
      <c r="B95" s="73"/>
      <c r="C95" s="73"/>
      <c r="D95" s="73"/>
      <c r="E95" s="94"/>
      <c r="F95" s="74"/>
      <c r="G95" s="92"/>
    </row>
    <row r="96" spans="1:7" ht="15" x14ac:dyDescent="0.2">
      <c r="A96" s="94"/>
      <c r="B96" s="73"/>
      <c r="C96" s="73"/>
      <c r="D96" s="73"/>
      <c r="E96" s="94"/>
      <c r="F96" s="74"/>
      <c r="G96" s="92"/>
    </row>
    <row r="97" spans="1:7" ht="15" x14ac:dyDescent="0.2">
      <c r="A97" s="94"/>
      <c r="B97" s="73"/>
      <c r="C97" s="73"/>
      <c r="D97" s="73"/>
      <c r="E97" s="94"/>
      <c r="F97" s="74"/>
      <c r="G97" s="92"/>
    </row>
    <row r="98" spans="1:7" ht="15" x14ac:dyDescent="0.2">
      <c r="A98" s="94"/>
      <c r="B98" s="73"/>
      <c r="C98" s="73"/>
      <c r="D98" s="73"/>
      <c r="E98" s="94"/>
      <c r="F98" s="74"/>
      <c r="G98" s="92"/>
    </row>
    <row r="99" spans="1:7" ht="15" x14ac:dyDescent="0.2">
      <c r="A99" s="94"/>
      <c r="B99" s="73"/>
      <c r="C99" s="73"/>
      <c r="D99" s="73"/>
      <c r="E99" s="94"/>
      <c r="F99" s="74"/>
      <c r="G99" s="92"/>
    </row>
    <row r="100" spans="1:7" ht="15" x14ac:dyDescent="0.2">
      <c r="A100" s="94"/>
      <c r="B100" s="73"/>
      <c r="C100" s="73"/>
      <c r="D100" s="73"/>
      <c r="E100" s="94"/>
      <c r="F100" s="74"/>
      <c r="G100" s="92"/>
    </row>
  </sheetData>
  <sheetProtection algorithmName="SHA-512" hashValue="Oci20Q4GGq+KKRESeblJaXYN4fx3Mnsqs7ZRsuCrRnx1cDTQDADcbilUqw7Qm6KcExt7qNMyuA+P+ct0AfJgtg==" saltValue="u4+Nc+BFgpHfJuW74vc0VQ==" spinCount="100000" sheet="1" objects="1" scenarios="1" selectLockedCells="1"/>
  <autoFilter ref="A1:G68"/>
  <sortState ref="A2:G74">
    <sortCondition ref="A2"/>
  </sortState>
  <conditionalFormatting sqref="D2:D100">
    <cfRule type="containsText" dxfId="2" priority="1" operator="containsText" text="IMP 1">
      <formula>NOT(ISERROR(SEARCH("IMP 1",D2)))</formula>
    </cfRule>
    <cfRule type="containsText" dxfId="1" priority="3" stopIfTrue="1" operator="containsText" text="IMP 3">
      <formula>NOT(ISERROR(SEARCH("IMP 3",D2)))</formula>
    </cfRule>
  </conditionalFormatting>
  <conditionalFormatting sqref="C2:C100">
    <cfRule type="containsText" dxfId="0" priority="2" stopIfTrue="1" operator="containsText" text="SPV">
      <formula>NOT(ISERROR(SEARCH("SPV",C2)))</formula>
    </cfRule>
  </conditionalFormatting>
  <dataValidations count="4">
    <dataValidation type="list" allowBlank="1" showInputMessage="1" showErrorMessage="1" sqref="B2:B100">
      <formula1>"SAP,1CL,CPL,CCH,SGT,SCH,ADJ,ADC,LTN,CNE,CDT,LCL,COL"</formula1>
    </dataValidation>
    <dataValidation type="list" allowBlank="1" showInputMessage="1" showErrorMessage="1" sqref="C2:C100">
      <formula1>"SPP,SPV"</formula1>
    </dataValidation>
    <dataValidation type="list" allowBlank="1" showInputMessage="1" showErrorMessage="1" sqref="D2:D100">
      <formula1>"IMP 1,IMP 2,IMP 3"</formula1>
    </dataValidation>
    <dataValidation type="list" allowBlank="1" showInputMessage="1" showErrorMessage="1" sqref="E2:E100">
      <formula1>"CSP Pontarlier,CSP Besançon Centre,CSP Montbéliard,CSR AUDIN-VAL,CSR Baume Les Dames,CTA-CODIS,DDSIS"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M101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"/>
  <cols>
    <col min="1" max="1" width="23.140625" style="62" customWidth="1"/>
    <col min="2" max="2" width="23.7109375" style="62" customWidth="1"/>
    <col min="3" max="3" width="23" style="62" bestFit="1" customWidth="1"/>
    <col min="4" max="4" width="18.85546875" style="62" customWidth="1"/>
    <col min="5" max="5" width="17.85546875" style="62" customWidth="1"/>
    <col min="6" max="6" width="19" style="62" customWidth="1"/>
    <col min="7" max="7" width="22.140625" style="62" bestFit="1" customWidth="1"/>
    <col min="8" max="8" width="22.140625" style="62" customWidth="1"/>
    <col min="9" max="9" width="23" style="62" bestFit="1" customWidth="1"/>
    <col min="10" max="10" width="2.7109375" style="62" customWidth="1"/>
    <col min="11" max="11" width="19.42578125" style="62" customWidth="1"/>
    <col min="12" max="12" width="2.7109375" style="62" customWidth="1"/>
    <col min="13" max="13" width="25.42578125" style="67" customWidth="1"/>
    <col min="14" max="16384" width="11.42578125" style="62"/>
  </cols>
  <sheetData>
    <row r="1" spans="1:13" s="71" customFormat="1" ht="30" customHeight="1" x14ac:dyDescent="0.2">
      <c r="A1" s="68" t="s">
        <v>72</v>
      </c>
      <c r="B1" s="68" t="s">
        <v>73</v>
      </c>
      <c r="C1" s="68" t="s">
        <v>74</v>
      </c>
      <c r="D1" s="68" t="s">
        <v>79</v>
      </c>
      <c r="E1" s="68" t="s">
        <v>86</v>
      </c>
      <c r="F1" s="68" t="s">
        <v>78</v>
      </c>
      <c r="G1" s="68" t="s">
        <v>127</v>
      </c>
      <c r="H1" s="68" t="s">
        <v>382</v>
      </c>
      <c r="I1" s="68" t="s">
        <v>161</v>
      </c>
      <c r="J1" s="69"/>
      <c r="K1" s="70" t="s">
        <v>68</v>
      </c>
      <c r="M1" s="72" t="s">
        <v>59</v>
      </c>
    </row>
    <row r="2" spans="1:13" x14ac:dyDescent="0.2">
      <c r="A2" s="76"/>
      <c r="B2" s="76"/>
      <c r="C2" s="76"/>
      <c r="D2" s="76"/>
      <c r="E2" s="76"/>
      <c r="F2" s="76"/>
      <c r="G2" s="76"/>
      <c r="H2" s="76"/>
      <c r="I2" s="160"/>
      <c r="J2" s="66"/>
      <c r="K2" s="76"/>
      <c r="M2" s="65" t="s">
        <v>72</v>
      </c>
    </row>
    <row r="3" spans="1:13" x14ac:dyDescent="0.2">
      <c r="A3" s="76"/>
      <c r="B3" s="76"/>
      <c r="C3" s="76"/>
      <c r="D3" s="76"/>
      <c r="E3" s="76"/>
      <c r="F3" s="76"/>
      <c r="G3" s="76"/>
      <c r="H3" s="76"/>
      <c r="I3" s="160"/>
      <c r="J3" s="66"/>
      <c r="K3" s="76"/>
      <c r="M3" s="65" t="s">
        <v>73</v>
      </c>
    </row>
    <row r="4" spans="1:13" x14ac:dyDescent="0.2">
      <c r="A4" s="77"/>
      <c r="B4" s="76"/>
      <c r="C4" s="76"/>
      <c r="D4" s="76"/>
      <c r="E4" s="76"/>
      <c r="F4" s="76"/>
      <c r="G4" s="76"/>
      <c r="H4" s="76"/>
      <c r="I4" s="160"/>
      <c r="J4" s="66"/>
      <c r="K4" s="76"/>
      <c r="M4" s="65" t="s">
        <v>74</v>
      </c>
    </row>
    <row r="5" spans="1:13" x14ac:dyDescent="0.2">
      <c r="A5" s="77"/>
      <c r="B5" s="76"/>
      <c r="C5" s="76"/>
      <c r="D5" s="76"/>
      <c r="E5" s="76"/>
      <c r="F5" s="76"/>
      <c r="G5" s="76"/>
      <c r="H5" s="76"/>
      <c r="I5" s="160"/>
      <c r="J5" s="66"/>
      <c r="K5" s="76"/>
      <c r="M5" s="65" t="s">
        <v>79</v>
      </c>
    </row>
    <row r="6" spans="1:13" x14ac:dyDescent="0.2">
      <c r="A6" s="76"/>
      <c r="B6" s="76"/>
      <c r="C6" s="76"/>
      <c r="D6" s="76"/>
      <c r="E6" s="76"/>
      <c r="F6" s="76"/>
      <c r="G6" s="76"/>
      <c r="H6" s="76"/>
      <c r="I6" s="160"/>
      <c r="J6" s="66"/>
      <c r="K6" s="76"/>
      <c r="M6" s="65" t="s">
        <v>86</v>
      </c>
    </row>
    <row r="7" spans="1:13" x14ac:dyDescent="0.2">
      <c r="A7" s="76"/>
      <c r="B7" s="76"/>
      <c r="C7" s="76"/>
      <c r="D7" s="76"/>
      <c r="E7" s="76"/>
      <c r="F7" s="76"/>
      <c r="G7" s="76"/>
      <c r="H7" s="76"/>
      <c r="I7" s="160"/>
      <c r="J7" s="66"/>
      <c r="K7" s="76"/>
      <c r="M7" s="65" t="s">
        <v>78</v>
      </c>
    </row>
    <row r="8" spans="1:13" x14ac:dyDescent="0.2">
      <c r="A8" s="76"/>
      <c r="B8" s="76"/>
      <c r="C8" s="77"/>
      <c r="D8" s="76"/>
      <c r="E8" s="76"/>
      <c r="F8" s="76"/>
      <c r="G8" s="76"/>
      <c r="H8" s="76"/>
      <c r="I8" s="160"/>
      <c r="J8" s="66"/>
      <c r="K8" s="76"/>
      <c r="M8" s="64" t="s">
        <v>127</v>
      </c>
    </row>
    <row r="9" spans="1:13" x14ac:dyDescent="0.2">
      <c r="A9" s="76"/>
      <c r="B9" s="76"/>
      <c r="C9" s="76"/>
      <c r="D9" s="76"/>
      <c r="E9" s="76"/>
      <c r="F9" s="76"/>
      <c r="G9" s="76"/>
      <c r="H9" s="76"/>
      <c r="I9" s="160"/>
      <c r="J9" s="66"/>
      <c r="K9" s="76"/>
      <c r="M9" s="64" t="s">
        <v>161</v>
      </c>
    </row>
    <row r="10" spans="1:13" x14ac:dyDescent="0.2">
      <c r="A10" s="76"/>
      <c r="B10" s="76"/>
      <c r="C10" s="76"/>
      <c r="D10" s="76"/>
      <c r="E10" s="76"/>
      <c r="F10" s="76"/>
      <c r="G10" s="76"/>
      <c r="H10" s="76"/>
      <c r="I10" s="160"/>
      <c r="J10" s="66"/>
      <c r="K10" s="76"/>
      <c r="M10" s="195" t="s">
        <v>382</v>
      </c>
    </row>
    <row r="11" spans="1:13" x14ac:dyDescent="0.2">
      <c r="A11" s="76"/>
      <c r="B11" s="76"/>
      <c r="C11" s="76"/>
      <c r="D11" s="76"/>
      <c r="E11" s="76"/>
      <c r="F11" s="76"/>
      <c r="G11" s="76"/>
      <c r="H11" s="76"/>
      <c r="I11" s="160"/>
      <c r="J11" s="66"/>
      <c r="K11" s="76"/>
    </row>
    <row r="12" spans="1:13" x14ac:dyDescent="0.2">
      <c r="A12" s="76"/>
      <c r="B12" s="76"/>
      <c r="C12" s="76"/>
      <c r="D12" s="76"/>
      <c r="E12" s="76"/>
      <c r="F12" s="76"/>
      <c r="G12" s="76"/>
      <c r="H12" s="76"/>
      <c r="I12" s="160"/>
      <c r="J12" s="66"/>
      <c r="K12" s="76"/>
    </row>
    <row r="13" spans="1:13" x14ac:dyDescent="0.2">
      <c r="A13" s="76"/>
      <c r="B13" s="76"/>
      <c r="C13" s="76"/>
      <c r="D13" s="76"/>
      <c r="E13" s="76"/>
      <c r="F13" s="76"/>
      <c r="G13" s="76"/>
      <c r="H13" s="76"/>
      <c r="I13" s="160"/>
      <c r="J13" s="66"/>
      <c r="K13" s="76"/>
    </row>
    <row r="14" spans="1:13" x14ac:dyDescent="0.2">
      <c r="A14" s="76"/>
      <c r="B14" s="76"/>
      <c r="C14" s="76"/>
      <c r="D14" s="76"/>
      <c r="E14" s="76"/>
      <c r="F14" s="76"/>
      <c r="G14" s="76"/>
      <c r="H14" s="76"/>
      <c r="I14" s="160"/>
      <c r="J14" s="66"/>
      <c r="K14" s="76"/>
    </row>
    <row r="15" spans="1:13" x14ac:dyDescent="0.2">
      <c r="A15" s="76"/>
      <c r="B15" s="76"/>
      <c r="C15" s="76"/>
      <c r="D15" s="76"/>
      <c r="E15" s="76"/>
      <c r="F15" s="76"/>
      <c r="G15" s="76"/>
      <c r="H15" s="76"/>
      <c r="I15" s="160"/>
      <c r="J15" s="66"/>
      <c r="K15" s="76"/>
    </row>
    <row r="16" spans="1:13" x14ac:dyDescent="0.2">
      <c r="A16" s="76"/>
      <c r="B16" s="76"/>
      <c r="C16" s="76"/>
      <c r="D16" s="76"/>
      <c r="E16" s="76"/>
      <c r="F16" s="76"/>
      <c r="G16" s="76"/>
      <c r="H16" s="76"/>
      <c r="I16" s="160"/>
      <c r="J16" s="66"/>
      <c r="K16" s="76"/>
    </row>
    <row r="17" spans="1:11" x14ac:dyDescent="0.2">
      <c r="A17" s="76"/>
      <c r="B17" s="76"/>
      <c r="C17" s="76"/>
      <c r="D17" s="76"/>
      <c r="E17" s="76"/>
      <c r="F17" s="76"/>
      <c r="G17" s="76"/>
      <c r="H17" s="76"/>
      <c r="I17" s="160"/>
      <c r="J17" s="66"/>
      <c r="K17" s="76"/>
    </row>
    <row r="18" spans="1:11" x14ac:dyDescent="0.2">
      <c r="A18" s="76"/>
      <c r="B18" s="76"/>
      <c r="C18" s="76"/>
      <c r="D18" s="76"/>
      <c r="E18" s="76"/>
      <c r="F18" s="76"/>
      <c r="G18" s="76"/>
      <c r="H18" s="76"/>
      <c r="I18" s="160"/>
      <c r="J18" s="66"/>
      <c r="K18" s="76"/>
    </row>
    <row r="19" spans="1:11" x14ac:dyDescent="0.2">
      <c r="A19" s="76"/>
      <c r="B19" s="76"/>
      <c r="C19" s="76"/>
      <c r="D19" s="76"/>
      <c r="E19" s="76"/>
      <c r="F19" s="76"/>
      <c r="G19" s="76"/>
      <c r="H19" s="76"/>
      <c r="I19" s="160"/>
      <c r="J19" s="66"/>
      <c r="K19" s="76"/>
    </row>
    <row r="20" spans="1:11" x14ac:dyDescent="0.2">
      <c r="A20" s="76"/>
      <c r="B20" s="76"/>
      <c r="C20" s="76"/>
      <c r="D20" s="76"/>
      <c r="E20" s="76"/>
      <c r="F20" s="76"/>
      <c r="G20" s="76"/>
      <c r="H20" s="76"/>
      <c r="I20" s="160"/>
      <c r="J20" s="66"/>
      <c r="K20" s="76"/>
    </row>
    <row r="21" spans="1:11" x14ac:dyDescent="0.2">
      <c r="A21" s="76"/>
      <c r="B21" s="76"/>
      <c r="C21" s="76"/>
      <c r="D21" s="76"/>
      <c r="E21" s="76"/>
      <c r="F21" s="76"/>
      <c r="G21" s="76"/>
      <c r="H21" s="76"/>
      <c r="I21" s="160"/>
      <c r="J21" s="66"/>
      <c r="K21" s="76"/>
    </row>
    <row r="22" spans="1:11" x14ac:dyDescent="0.2">
      <c r="A22" s="76"/>
      <c r="B22" s="76"/>
      <c r="C22" s="76"/>
      <c r="D22" s="76"/>
      <c r="E22" s="76"/>
      <c r="F22" s="76"/>
      <c r="G22" s="76"/>
      <c r="H22" s="76"/>
      <c r="I22" s="160"/>
      <c r="J22" s="66"/>
      <c r="K22" s="76"/>
    </row>
    <row r="23" spans="1:11" x14ac:dyDescent="0.2">
      <c r="A23" s="76"/>
      <c r="B23" s="76"/>
      <c r="C23" s="76"/>
      <c r="D23" s="76"/>
      <c r="E23" s="76"/>
      <c r="F23" s="76"/>
      <c r="G23" s="127"/>
      <c r="H23" s="64"/>
      <c r="I23" s="161"/>
      <c r="J23" s="66"/>
      <c r="K23" s="76"/>
    </row>
    <row r="24" spans="1:11" x14ac:dyDescent="0.2">
      <c r="A24" s="76"/>
      <c r="B24" s="76"/>
      <c r="C24" s="76"/>
      <c r="D24" s="76"/>
      <c r="E24" s="76"/>
      <c r="F24" s="76"/>
      <c r="G24" s="127"/>
      <c r="H24" s="64"/>
      <c r="I24" s="161"/>
      <c r="J24" s="66"/>
      <c r="K24" s="76"/>
    </row>
    <row r="25" spans="1:11" x14ac:dyDescent="0.2">
      <c r="A25" s="76"/>
      <c r="B25" s="76"/>
      <c r="C25" s="76"/>
      <c r="D25" s="76"/>
      <c r="E25" s="76"/>
      <c r="F25" s="76"/>
      <c r="G25" s="127"/>
      <c r="H25" s="64"/>
      <c r="I25" s="161"/>
      <c r="J25" s="66"/>
      <c r="K25" s="76"/>
    </row>
    <row r="26" spans="1:11" x14ac:dyDescent="0.2">
      <c r="A26" s="76"/>
      <c r="B26" s="76"/>
      <c r="C26" s="76"/>
      <c r="D26" s="76"/>
      <c r="E26" s="76"/>
      <c r="F26" s="76"/>
      <c r="G26" s="127"/>
      <c r="H26" s="64"/>
      <c r="I26" s="161"/>
      <c r="J26" s="66"/>
      <c r="K26" s="76"/>
    </row>
    <row r="27" spans="1:11" x14ac:dyDescent="0.2">
      <c r="A27" s="76"/>
      <c r="B27" s="76"/>
      <c r="C27" s="76"/>
      <c r="D27" s="76"/>
      <c r="E27" s="76"/>
      <c r="F27" s="76"/>
      <c r="G27" s="127"/>
      <c r="H27" s="64"/>
      <c r="I27" s="161"/>
      <c r="J27" s="66"/>
      <c r="K27" s="76"/>
    </row>
    <row r="28" spans="1:11" x14ac:dyDescent="0.2">
      <c r="A28" s="76"/>
      <c r="B28" s="76"/>
      <c r="C28" s="76"/>
      <c r="D28" s="76"/>
      <c r="E28" s="76"/>
      <c r="F28" s="76"/>
      <c r="G28" s="127"/>
      <c r="H28" s="64"/>
      <c r="I28" s="161"/>
      <c r="J28" s="66"/>
      <c r="K28" s="76"/>
    </row>
    <row r="29" spans="1:11" x14ac:dyDescent="0.2">
      <c r="A29" s="76"/>
      <c r="B29" s="76"/>
      <c r="C29" s="76"/>
      <c r="D29" s="76"/>
      <c r="E29" s="76"/>
      <c r="F29" s="76"/>
      <c r="G29" s="127"/>
      <c r="H29" s="64"/>
      <c r="I29" s="161"/>
      <c r="J29" s="66"/>
      <c r="K29" s="76"/>
    </row>
    <row r="30" spans="1:11" x14ac:dyDescent="0.2">
      <c r="A30" s="76"/>
      <c r="B30" s="76"/>
      <c r="C30" s="76"/>
      <c r="D30" s="76"/>
      <c r="E30" s="76"/>
      <c r="F30" s="76"/>
      <c r="G30" s="127"/>
      <c r="H30" s="64"/>
      <c r="I30" s="161"/>
      <c r="J30" s="66"/>
      <c r="K30" s="76"/>
    </row>
    <row r="31" spans="1:11" x14ac:dyDescent="0.2">
      <c r="A31" s="76"/>
      <c r="B31" s="76"/>
      <c r="C31" s="76"/>
      <c r="D31" s="76"/>
      <c r="E31" s="76"/>
      <c r="F31" s="76"/>
      <c r="G31" s="76"/>
      <c r="H31" s="76"/>
      <c r="I31" s="160"/>
      <c r="J31" s="66"/>
      <c r="K31" s="76"/>
    </row>
    <row r="32" spans="1:11" x14ac:dyDescent="0.2">
      <c r="A32" s="76"/>
      <c r="B32" s="76"/>
      <c r="C32" s="76"/>
      <c r="D32" s="76"/>
      <c r="E32" s="76"/>
      <c r="F32" s="76"/>
      <c r="G32" s="76"/>
      <c r="H32" s="76"/>
      <c r="I32" s="160"/>
      <c r="J32" s="66"/>
      <c r="K32" s="76"/>
    </row>
    <row r="33" spans="1:11" x14ac:dyDescent="0.2">
      <c r="A33" s="76"/>
      <c r="B33" s="76"/>
      <c r="C33" s="76"/>
      <c r="D33" s="76"/>
      <c r="E33" s="76"/>
      <c r="F33" s="76"/>
      <c r="G33" s="76"/>
      <c r="H33" s="76"/>
      <c r="I33" s="160"/>
      <c r="J33" s="66"/>
      <c r="K33" s="76"/>
    </row>
    <row r="34" spans="1:11" x14ac:dyDescent="0.2">
      <c r="A34" s="76"/>
      <c r="B34" s="76"/>
      <c r="C34" s="76"/>
      <c r="D34" s="76"/>
      <c r="E34" s="76"/>
      <c r="F34" s="76"/>
      <c r="G34" s="76"/>
      <c r="H34" s="76"/>
      <c r="I34" s="160"/>
      <c r="J34" s="66"/>
      <c r="K34" s="76"/>
    </row>
    <row r="35" spans="1:11" x14ac:dyDescent="0.2">
      <c r="A35" s="76"/>
      <c r="B35" s="76"/>
      <c r="C35" s="76"/>
      <c r="D35" s="76"/>
      <c r="E35" s="76"/>
      <c r="F35" s="76"/>
      <c r="G35" s="76"/>
      <c r="H35" s="76"/>
      <c r="I35" s="160"/>
      <c r="J35" s="66"/>
      <c r="K35" s="76"/>
    </row>
    <row r="36" spans="1:11" x14ac:dyDescent="0.2">
      <c r="A36" s="76"/>
      <c r="B36" s="76"/>
      <c r="C36" s="76"/>
      <c r="D36" s="76"/>
      <c r="E36" s="76"/>
      <c r="F36" s="76"/>
      <c r="G36" s="76"/>
      <c r="H36" s="76"/>
      <c r="I36" s="160"/>
      <c r="J36" s="66"/>
      <c r="K36" s="76"/>
    </row>
    <row r="37" spans="1:11" x14ac:dyDescent="0.2">
      <c r="A37" s="76"/>
      <c r="B37" s="76"/>
      <c r="C37" s="76"/>
      <c r="D37" s="76"/>
      <c r="E37" s="76"/>
      <c r="F37" s="76"/>
      <c r="G37" s="76"/>
      <c r="H37" s="76"/>
      <c r="I37" s="160"/>
      <c r="J37" s="66"/>
      <c r="K37" s="76"/>
    </row>
    <row r="38" spans="1:11" x14ac:dyDescent="0.2">
      <c r="A38" s="76"/>
      <c r="B38" s="76"/>
      <c r="C38" s="76"/>
      <c r="D38" s="76"/>
      <c r="E38" s="76"/>
      <c r="F38" s="76"/>
      <c r="G38" s="76"/>
      <c r="H38" s="76"/>
      <c r="I38" s="160"/>
      <c r="J38" s="66"/>
      <c r="K38" s="76"/>
    </row>
    <row r="39" spans="1:11" x14ac:dyDescent="0.2">
      <c r="A39" s="76"/>
      <c r="B39" s="76"/>
      <c r="C39" s="76"/>
      <c r="D39" s="76"/>
      <c r="E39" s="76"/>
      <c r="F39" s="76"/>
      <c r="G39" s="76"/>
      <c r="H39" s="76"/>
      <c r="I39" s="160"/>
      <c r="J39" s="66"/>
      <c r="K39" s="76"/>
    </row>
    <row r="40" spans="1:11" x14ac:dyDescent="0.2">
      <c r="A40" s="76"/>
      <c r="B40" s="76"/>
      <c r="C40" s="76"/>
      <c r="D40" s="76"/>
      <c r="E40" s="76"/>
      <c r="F40" s="76"/>
      <c r="G40" s="76"/>
      <c r="H40" s="76"/>
      <c r="I40" s="160"/>
      <c r="J40" s="66"/>
      <c r="K40" s="76"/>
    </row>
    <row r="41" spans="1:11" x14ac:dyDescent="0.2">
      <c r="A41" s="76"/>
      <c r="B41" s="76"/>
      <c r="C41" s="76"/>
      <c r="D41" s="76"/>
      <c r="E41" s="76"/>
      <c r="F41" s="76"/>
      <c r="G41" s="76"/>
      <c r="H41" s="76"/>
      <c r="I41" s="160"/>
      <c r="J41" s="66"/>
      <c r="K41" s="76"/>
    </row>
    <row r="42" spans="1:11" x14ac:dyDescent="0.2">
      <c r="A42" s="76"/>
      <c r="B42" s="76"/>
      <c r="C42" s="76"/>
      <c r="D42" s="76"/>
      <c r="E42" s="76"/>
      <c r="F42" s="76"/>
      <c r="G42" s="76"/>
      <c r="H42" s="76"/>
      <c r="I42" s="160"/>
      <c r="J42" s="66"/>
      <c r="K42" s="76"/>
    </row>
    <row r="43" spans="1:11" x14ac:dyDescent="0.2">
      <c r="A43" s="76"/>
      <c r="B43" s="76"/>
      <c r="C43" s="76"/>
      <c r="D43" s="76"/>
      <c r="E43" s="76"/>
      <c r="F43" s="76"/>
      <c r="G43" s="76"/>
      <c r="H43" s="76"/>
      <c r="I43" s="160"/>
      <c r="J43" s="66"/>
      <c r="K43" s="76"/>
    </row>
    <row r="44" spans="1:11" x14ac:dyDescent="0.2">
      <c r="A44" s="76"/>
      <c r="B44" s="76"/>
      <c r="C44" s="76"/>
      <c r="D44" s="76"/>
      <c r="E44" s="76"/>
      <c r="F44" s="76"/>
      <c r="G44" s="76"/>
      <c r="H44" s="76"/>
      <c r="I44" s="160"/>
      <c r="J44" s="66"/>
      <c r="K44" s="76"/>
    </row>
    <row r="45" spans="1:11" x14ac:dyDescent="0.2">
      <c r="A45" s="76"/>
      <c r="B45" s="76"/>
      <c r="C45" s="76"/>
      <c r="D45" s="76"/>
      <c r="E45" s="76"/>
      <c r="F45" s="76"/>
      <c r="G45" s="76"/>
      <c r="H45" s="76"/>
      <c r="I45" s="160"/>
      <c r="J45" s="66"/>
      <c r="K45" s="76"/>
    </row>
    <row r="46" spans="1:11" x14ac:dyDescent="0.2">
      <c r="A46" s="76"/>
      <c r="B46" s="76"/>
      <c r="C46" s="76"/>
      <c r="D46" s="76"/>
      <c r="E46" s="76"/>
      <c r="F46" s="76"/>
      <c r="G46" s="76"/>
      <c r="H46" s="76"/>
      <c r="I46" s="160"/>
      <c r="J46" s="66"/>
      <c r="K46" s="76"/>
    </row>
    <row r="47" spans="1:11" x14ac:dyDescent="0.2">
      <c r="A47" s="76"/>
      <c r="B47" s="76"/>
      <c r="C47" s="76"/>
      <c r="D47" s="76"/>
      <c r="E47" s="76"/>
      <c r="F47" s="76"/>
      <c r="G47" s="76"/>
      <c r="H47" s="76"/>
      <c r="I47" s="160"/>
      <c r="J47" s="66"/>
      <c r="K47" s="76"/>
    </row>
    <row r="48" spans="1:11" x14ac:dyDescent="0.2">
      <c r="A48" s="76"/>
      <c r="B48" s="76"/>
      <c r="C48" s="76"/>
      <c r="D48" s="76"/>
      <c r="E48" s="76"/>
      <c r="F48" s="76"/>
      <c r="G48" s="76"/>
      <c r="H48" s="76"/>
      <c r="I48" s="160"/>
      <c r="J48" s="66"/>
      <c r="K48" s="76"/>
    </row>
    <row r="49" spans="1:11" x14ac:dyDescent="0.2">
      <c r="A49" s="76"/>
      <c r="B49" s="76"/>
      <c r="C49" s="76"/>
      <c r="D49" s="76"/>
      <c r="E49" s="76"/>
      <c r="F49" s="76"/>
      <c r="G49" s="76"/>
      <c r="H49" s="76"/>
      <c r="I49" s="160"/>
      <c r="J49" s="66"/>
      <c r="K49" s="76"/>
    </row>
    <row r="50" spans="1:11" x14ac:dyDescent="0.2">
      <c r="A50" s="76"/>
      <c r="B50" s="76"/>
      <c r="C50" s="76"/>
      <c r="D50" s="76"/>
      <c r="E50" s="76"/>
      <c r="F50" s="76"/>
      <c r="G50" s="76"/>
      <c r="H50" s="76"/>
      <c r="I50" s="160"/>
      <c r="J50" s="66"/>
      <c r="K50" s="76"/>
    </row>
    <row r="51" spans="1:11" x14ac:dyDescent="0.2">
      <c r="A51" s="76"/>
      <c r="B51" s="76"/>
      <c r="C51" s="76"/>
      <c r="D51" s="76"/>
      <c r="E51" s="76"/>
      <c r="F51" s="76"/>
      <c r="G51" s="76"/>
      <c r="H51" s="76"/>
      <c r="I51" s="160"/>
      <c r="J51" s="66"/>
      <c r="K51" s="76"/>
    </row>
    <row r="52" spans="1:11" x14ac:dyDescent="0.2">
      <c r="A52" s="76"/>
      <c r="B52" s="76"/>
      <c r="C52" s="76"/>
      <c r="D52" s="76"/>
      <c r="E52" s="76"/>
      <c r="F52" s="76"/>
      <c r="G52" s="76"/>
      <c r="H52" s="76"/>
      <c r="I52" s="160"/>
      <c r="J52" s="66"/>
      <c r="K52" s="76"/>
    </row>
    <row r="53" spans="1:11" x14ac:dyDescent="0.2">
      <c r="A53" s="76"/>
      <c r="B53" s="76"/>
      <c r="C53" s="76"/>
      <c r="D53" s="76"/>
      <c r="E53" s="76"/>
      <c r="F53" s="76"/>
      <c r="G53" s="76"/>
      <c r="H53" s="76"/>
      <c r="I53" s="160"/>
      <c r="J53" s="66"/>
      <c r="K53" s="76"/>
    </row>
    <row r="54" spans="1:11" x14ac:dyDescent="0.2">
      <c r="A54" s="76"/>
      <c r="B54" s="76"/>
      <c r="C54" s="76"/>
      <c r="D54" s="76"/>
      <c r="E54" s="76"/>
      <c r="F54" s="76"/>
      <c r="G54" s="76"/>
      <c r="H54" s="76"/>
      <c r="I54" s="160"/>
      <c r="J54" s="66"/>
      <c r="K54" s="76"/>
    </row>
    <row r="55" spans="1:11" x14ac:dyDescent="0.2">
      <c r="A55" s="76"/>
      <c r="B55" s="76"/>
      <c r="C55" s="76"/>
      <c r="D55" s="76"/>
      <c r="E55" s="76"/>
      <c r="F55" s="76"/>
      <c r="G55" s="76"/>
      <c r="H55" s="76"/>
      <c r="I55" s="160"/>
      <c r="J55" s="66"/>
      <c r="K55" s="76"/>
    </row>
    <row r="56" spans="1:11" x14ac:dyDescent="0.2">
      <c r="A56" s="76"/>
      <c r="B56" s="76"/>
      <c r="C56" s="76"/>
      <c r="D56" s="76"/>
      <c r="E56" s="76"/>
      <c r="F56" s="76"/>
      <c r="G56" s="76"/>
      <c r="H56" s="76"/>
      <c r="I56" s="160"/>
      <c r="J56" s="66"/>
      <c r="K56" s="76"/>
    </row>
    <row r="57" spans="1:11" x14ac:dyDescent="0.2">
      <c r="A57" s="76"/>
      <c r="B57" s="76"/>
      <c r="C57" s="76"/>
      <c r="D57" s="76"/>
      <c r="E57" s="76"/>
      <c r="F57" s="76"/>
      <c r="G57" s="76"/>
      <c r="H57" s="76"/>
      <c r="I57" s="160"/>
      <c r="J57" s="66"/>
      <c r="K57" s="76"/>
    </row>
    <row r="58" spans="1:11" x14ac:dyDescent="0.2">
      <c r="A58" s="76"/>
      <c r="B58" s="76"/>
      <c r="C58" s="76"/>
      <c r="D58" s="76"/>
      <c r="E58" s="76"/>
      <c r="F58" s="76"/>
      <c r="G58" s="76"/>
      <c r="H58" s="76"/>
      <c r="I58" s="160"/>
      <c r="J58" s="66"/>
      <c r="K58" s="76"/>
    </row>
    <row r="59" spans="1:11" x14ac:dyDescent="0.2">
      <c r="A59" s="76"/>
      <c r="B59" s="76"/>
      <c r="C59" s="76"/>
      <c r="D59" s="76"/>
      <c r="E59" s="76"/>
      <c r="F59" s="76"/>
      <c r="G59" s="76"/>
      <c r="H59" s="76"/>
      <c r="I59" s="160"/>
      <c r="J59" s="66"/>
      <c r="K59" s="76"/>
    </row>
    <row r="60" spans="1:11" x14ac:dyDescent="0.2">
      <c r="A60" s="76"/>
      <c r="B60" s="76"/>
      <c r="C60" s="76"/>
      <c r="D60" s="76"/>
      <c r="E60" s="76"/>
      <c r="F60" s="76"/>
      <c r="G60" s="76"/>
      <c r="H60" s="76"/>
      <c r="I60" s="160"/>
      <c r="J60" s="66"/>
      <c r="K60" s="76"/>
    </row>
    <row r="61" spans="1:11" x14ac:dyDescent="0.2">
      <c r="A61" s="76"/>
      <c r="B61" s="76"/>
      <c r="C61" s="76"/>
      <c r="D61" s="76"/>
      <c r="E61" s="76"/>
      <c r="F61" s="76"/>
      <c r="G61" s="76"/>
      <c r="H61" s="76"/>
      <c r="I61" s="160"/>
      <c r="J61" s="66"/>
      <c r="K61" s="76"/>
    </row>
    <row r="62" spans="1:11" x14ac:dyDescent="0.2">
      <c r="A62" s="76"/>
      <c r="B62" s="76"/>
      <c r="C62" s="76"/>
      <c r="D62" s="76"/>
      <c r="E62" s="76"/>
      <c r="F62" s="76"/>
      <c r="G62" s="76"/>
      <c r="H62" s="76"/>
      <c r="I62" s="160"/>
      <c r="J62" s="66"/>
      <c r="K62" s="76"/>
    </row>
    <row r="63" spans="1:11" x14ac:dyDescent="0.2">
      <c r="A63" s="76"/>
      <c r="B63" s="76"/>
      <c r="C63" s="76"/>
      <c r="D63" s="76"/>
      <c r="E63" s="76"/>
      <c r="F63" s="76"/>
      <c r="G63" s="76"/>
      <c r="H63" s="76"/>
      <c r="I63" s="160"/>
      <c r="J63" s="66"/>
      <c r="K63" s="76"/>
    </row>
    <row r="64" spans="1:11" x14ac:dyDescent="0.2">
      <c r="A64" s="76"/>
      <c r="B64" s="76"/>
      <c r="C64" s="76"/>
      <c r="D64" s="76"/>
      <c r="E64" s="76"/>
      <c r="F64" s="76"/>
      <c r="G64" s="76"/>
      <c r="H64" s="76"/>
      <c r="I64" s="160"/>
      <c r="J64" s="66"/>
      <c r="K64" s="76"/>
    </row>
    <row r="65" spans="1:11" x14ac:dyDescent="0.2">
      <c r="A65" s="76"/>
      <c r="B65" s="76"/>
      <c r="C65" s="76"/>
      <c r="D65" s="76"/>
      <c r="E65" s="76"/>
      <c r="F65" s="76"/>
      <c r="G65" s="76"/>
      <c r="H65" s="76"/>
      <c r="I65" s="160"/>
      <c r="J65" s="66"/>
      <c r="K65" s="76"/>
    </row>
    <row r="66" spans="1:11" x14ac:dyDescent="0.2">
      <c r="A66" s="76"/>
      <c r="B66" s="76"/>
      <c r="C66" s="76"/>
      <c r="D66" s="76"/>
      <c r="E66" s="76"/>
      <c r="F66" s="76"/>
      <c r="G66" s="76"/>
      <c r="H66" s="76"/>
      <c r="I66" s="160"/>
      <c r="J66" s="66"/>
      <c r="K66" s="76"/>
    </row>
    <row r="67" spans="1:11" x14ac:dyDescent="0.2">
      <c r="A67" s="76"/>
      <c r="B67" s="76"/>
      <c r="C67" s="76"/>
      <c r="D67" s="76"/>
      <c r="E67" s="76"/>
      <c r="F67" s="76"/>
      <c r="G67" s="76"/>
      <c r="H67" s="76"/>
      <c r="I67" s="160"/>
      <c r="J67" s="66"/>
      <c r="K67" s="76"/>
    </row>
    <row r="68" spans="1:11" x14ac:dyDescent="0.2">
      <c r="A68" s="76"/>
      <c r="B68" s="76"/>
      <c r="C68" s="76"/>
      <c r="D68" s="76"/>
      <c r="E68" s="76"/>
      <c r="F68" s="76"/>
      <c r="G68" s="76"/>
      <c r="H68" s="76"/>
      <c r="I68" s="160"/>
      <c r="J68" s="66"/>
      <c r="K68" s="76"/>
    </row>
    <row r="69" spans="1:11" x14ac:dyDescent="0.2">
      <c r="A69" s="76"/>
      <c r="B69" s="76"/>
      <c r="C69" s="76"/>
      <c r="D69" s="76"/>
      <c r="E69" s="76"/>
      <c r="F69" s="76"/>
      <c r="G69" s="76"/>
      <c r="H69" s="76"/>
      <c r="I69" s="160"/>
      <c r="J69" s="66"/>
      <c r="K69" s="76"/>
    </row>
    <row r="70" spans="1:11" x14ac:dyDescent="0.2">
      <c r="A70" s="76"/>
      <c r="B70" s="76"/>
      <c r="C70" s="76"/>
      <c r="D70" s="76"/>
      <c r="E70" s="76"/>
      <c r="F70" s="76"/>
      <c r="G70" s="76"/>
      <c r="H70" s="76"/>
      <c r="I70" s="160"/>
      <c r="J70" s="66"/>
      <c r="K70" s="76"/>
    </row>
    <row r="71" spans="1:11" x14ac:dyDescent="0.2">
      <c r="A71" s="76"/>
      <c r="B71" s="76"/>
      <c r="C71" s="76"/>
      <c r="D71" s="76"/>
      <c r="E71" s="76"/>
      <c r="F71" s="76"/>
      <c r="G71" s="76"/>
      <c r="H71" s="76"/>
      <c r="I71" s="160"/>
      <c r="J71" s="66"/>
      <c r="K71" s="76"/>
    </row>
    <row r="72" spans="1:11" x14ac:dyDescent="0.2">
      <c r="A72" s="76"/>
      <c r="B72" s="76"/>
      <c r="C72" s="76"/>
      <c r="D72" s="76"/>
      <c r="E72" s="76"/>
      <c r="F72" s="76"/>
      <c r="G72" s="76"/>
      <c r="H72" s="76"/>
      <c r="I72" s="160"/>
      <c r="J72" s="66"/>
      <c r="K72" s="76"/>
    </row>
    <row r="73" spans="1:11" x14ac:dyDescent="0.2">
      <c r="A73" s="76"/>
      <c r="B73" s="76"/>
      <c r="C73" s="76"/>
      <c r="D73" s="76"/>
      <c r="E73" s="76"/>
      <c r="F73" s="76"/>
      <c r="G73" s="76"/>
      <c r="H73" s="76"/>
      <c r="I73" s="160"/>
      <c r="J73" s="66"/>
      <c r="K73" s="76"/>
    </row>
    <row r="74" spans="1:11" x14ac:dyDescent="0.2">
      <c r="A74" s="76"/>
      <c r="B74" s="76"/>
      <c r="C74" s="76"/>
      <c r="D74" s="76"/>
      <c r="E74" s="76"/>
      <c r="F74" s="76"/>
      <c r="G74" s="76"/>
      <c r="H74" s="76"/>
      <c r="I74" s="160"/>
      <c r="J74" s="66"/>
      <c r="K74" s="76"/>
    </row>
    <row r="75" spans="1:11" x14ac:dyDescent="0.2">
      <c r="A75" s="76"/>
      <c r="B75" s="76"/>
      <c r="C75" s="76"/>
      <c r="D75" s="76"/>
      <c r="E75" s="76"/>
      <c r="F75" s="76"/>
      <c r="G75" s="76"/>
      <c r="H75" s="76"/>
      <c r="I75" s="160"/>
      <c r="J75" s="66"/>
      <c r="K75" s="76"/>
    </row>
    <row r="76" spans="1:11" x14ac:dyDescent="0.2">
      <c r="A76" s="76"/>
      <c r="B76" s="76"/>
      <c r="C76" s="76"/>
      <c r="D76" s="76"/>
      <c r="E76" s="76"/>
      <c r="F76" s="76"/>
      <c r="G76" s="76"/>
      <c r="H76" s="76"/>
      <c r="I76" s="160"/>
      <c r="J76" s="66"/>
      <c r="K76" s="76"/>
    </row>
    <row r="77" spans="1:11" x14ac:dyDescent="0.2">
      <c r="A77" s="76"/>
      <c r="B77" s="76"/>
      <c r="C77" s="76"/>
      <c r="D77" s="76"/>
      <c r="E77" s="76"/>
      <c r="F77" s="76"/>
      <c r="G77" s="76"/>
      <c r="H77" s="76"/>
      <c r="I77" s="160"/>
      <c r="J77" s="66"/>
      <c r="K77" s="76"/>
    </row>
    <row r="78" spans="1:11" x14ac:dyDescent="0.2">
      <c r="A78" s="76"/>
      <c r="B78" s="76"/>
      <c r="C78" s="76"/>
      <c r="D78" s="76"/>
      <c r="E78" s="76"/>
      <c r="F78" s="76"/>
      <c r="G78" s="76"/>
      <c r="H78" s="76"/>
      <c r="I78" s="160"/>
      <c r="J78" s="66"/>
      <c r="K78" s="76"/>
    </row>
    <row r="79" spans="1:11" x14ac:dyDescent="0.2">
      <c r="A79" s="76"/>
      <c r="B79" s="76"/>
      <c r="C79" s="76"/>
      <c r="D79" s="76"/>
      <c r="E79" s="76"/>
      <c r="F79" s="76"/>
      <c r="G79" s="76"/>
      <c r="H79" s="76"/>
      <c r="I79" s="160"/>
      <c r="J79" s="66"/>
      <c r="K79" s="76"/>
    </row>
    <row r="80" spans="1:11" x14ac:dyDescent="0.2">
      <c r="A80" s="76"/>
      <c r="B80" s="76"/>
      <c r="C80" s="76"/>
      <c r="D80" s="76"/>
      <c r="E80" s="76"/>
      <c r="F80" s="76"/>
      <c r="G80" s="76"/>
      <c r="H80" s="76"/>
      <c r="I80" s="160"/>
      <c r="J80" s="66"/>
      <c r="K80" s="76"/>
    </row>
    <row r="81" spans="1:11" x14ac:dyDescent="0.2">
      <c r="A81" s="76"/>
      <c r="B81" s="76"/>
      <c r="C81" s="76"/>
      <c r="D81" s="76"/>
      <c r="E81" s="76"/>
      <c r="F81" s="76"/>
      <c r="G81" s="76"/>
      <c r="H81" s="76"/>
      <c r="I81" s="160"/>
      <c r="J81" s="66"/>
      <c r="K81" s="76"/>
    </row>
    <row r="82" spans="1:11" x14ac:dyDescent="0.2">
      <c r="A82" s="76"/>
      <c r="B82" s="76"/>
      <c r="C82" s="76"/>
      <c r="D82" s="76"/>
      <c r="E82" s="76"/>
      <c r="F82" s="76"/>
      <c r="G82" s="76"/>
      <c r="H82" s="76"/>
      <c r="I82" s="160"/>
      <c r="J82" s="66"/>
      <c r="K82" s="76"/>
    </row>
    <row r="83" spans="1:11" x14ac:dyDescent="0.2">
      <c r="A83" s="76"/>
      <c r="B83" s="76"/>
      <c r="C83" s="76"/>
      <c r="D83" s="76"/>
      <c r="E83" s="76"/>
      <c r="F83" s="76"/>
      <c r="G83" s="76"/>
      <c r="H83" s="76"/>
      <c r="I83" s="160"/>
      <c r="J83" s="66"/>
      <c r="K83" s="76"/>
    </row>
    <row r="84" spans="1:11" x14ac:dyDescent="0.2">
      <c r="A84" s="76"/>
      <c r="B84" s="76"/>
      <c r="C84" s="76"/>
      <c r="D84" s="76"/>
      <c r="E84" s="76"/>
      <c r="F84" s="76"/>
      <c r="G84" s="76"/>
      <c r="H84" s="76"/>
      <c r="I84" s="160"/>
      <c r="J84" s="66"/>
      <c r="K84" s="76"/>
    </row>
    <row r="85" spans="1:11" x14ac:dyDescent="0.2">
      <c r="A85" s="76"/>
      <c r="B85" s="76"/>
      <c r="C85" s="76"/>
      <c r="D85" s="76"/>
      <c r="E85" s="76"/>
      <c r="F85" s="76"/>
      <c r="G85" s="76"/>
      <c r="H85" s="76"/>
      <c r="I85" s="160"/>
      <c r="J85" s="66"/>
      <c r="K85" s="76"/>
    </row>
    <row r="86" spans="1:11" x14ac:dyDescent="0.2">
      <c r="A86" s="76"/>
      <c r="B86" s="76"/>
      <c r="C86" s="76"/>
      <c r="D86" s="76"/>
      <c r="E86" s="76"/>
      <c r="F86" s="76"/>
      <c r="G86" s="76"/>
      <c r="H86" s="76"/>
      <c r="I86" s="160"/>
      <c r="J86" s="66"/>
      <c r="K86" s="76"/>
    </row>
    <row r="87" spans="1:11" x14ac:dyDescent="0.2">
      <c r="A87" s="76"/>
      <c r="B87" s="76"/>
      <c r="C87" s="76"/>
      <c r="D87" s="76"/>
      <c r="E87" s="76"/>
      <c r="F87" s="76"/>
      <c r="G87" s="76"/>
      <c r="H87" s="76"/>
      <c r="I87" s="160"/>
      <c r="J87" s="66"/>
      <c r="K87" s="76"/>
    </row>
    <row r="88" spans="1:11" x14ac:dyDescent="0.2">
      <c r="A88" s="76"/>
      <c r="B88" s="76"/>
      <c r="C88" s="76"/>
      <c r="D88" s="76"/>
      <c r="E88" s="76"/>
      <c r="F88" s="76"/>
      <c r="G88" s="76"/>
      <c r="H88" s="76"/>
      <c r="I88" s="160"/>
      <c r="J88" s="66"/>
      <c r="K88" s="76"/>
    </row>
    <row r="89" spans="1:11" x14ac:dyDescent="0.2">
      <c r="A89" s="76"/>
      <c r="B89" s="76"/>
      <c r="C89" s="76"/>
      <c r="D89" s="76"/>
      <c r="E89" s="76"/>
      <c r="F89" s="76"/>
      <c r="G89" s="76"/>
      <c r="H89" s="76"/>
      <c r="I89" s="160"/>
      <c r="J89" s="66"/>
      <c r="K89" s="76"/>
    </row>
    <row r="90" spans="1:11" x14ac:dyDescent="0.2">
      <c r="A90" s="76"/>
      <c r="B90" s="76"/>
      <c r="C90" s="76"/>
      <c r="D90" s="76"/>
      <c r="E90" s="76"/>
      <c r="F90" s="76"/>
      <c r="G90" s="76"/>
      <c r="H90" s="76"/>
      <c r="I90" s="160"/>
      <c r="J90" s="66"/>
      <c r="K90" s="76"/>
    </row>
    <row r="91" spans="1:11" x14ac:dyDescent="0.2">
      <c r="A91" s="76"/>
      <c r="B91" s="76"/>
      <c r="C91" s="76"/>
      <c r="D91" s="76"/>
      <c r="E91" s="76"/>
      <c r="F91" s="76"/>
      <c r="G91" s="76"/>
      <c r="H91" s="76"/>
      <c r="I91" s="160"/>
      <c r="J91" s="66"/>
      <c r="K91" s="76"/>
    </row>
    <row r="92" spans="1:11" x14ac:dyDescent="0.2">
      <c r="A92" s="76"/>
      <c r="B92" s="76"/>
      <c r="C92" s="76"/>
      <c r="D92" s="76"/>
      <c r="E92" s="76"/>
      <c r="F92" s="76"/>
      <c r="G92" s="76"/>
      <c r="H92" s="76"/>
      <c r="I92" s="160"/>
      <c r="J92" s="66"/>
      <c r="K92" s="76"/>
    </row>
    <row r="93" spans="1:11" x14ac:dyDescent="0.2">
      <c r="A93" s="76"/>
      <c r="B93" s="76"/>
      <c r="C93" s="76"/>
      <c r="D93" s="76"/>
      <c r="E93" s="76"/>
      <c r="F93" s="76"/>
      <c r="G93" s="76"/>
      <c r="H93" s="76"/>
      <c r="I93" s="160"/>
      <c r="J93" s="66"/>
      <c r="K93" s="76"/>
    </row>
    <row r="94" spans="1:11" x14ac:dyDescent="0.2">
      <c r="A94" s="76"/>
      <c r="B94" s="76"/>
      <c r="C94" s="76"/>
      <c r="D94" s="76"/>
      <c r="E94" s="76"/>
      <c r="F94" s="76"/>
      <c r="G94" s="76"/>
      <c r="H94" s="76"/>
      <c r="I94" s="160"/>
      <c r="J94" s="66"/>
      <c r="K94" s="76"/>
    </row>
    <row r="95" spans="1:11" x14ac:dyDescent="0.2">
      <c r="A95" s="76"/>
      <c r="B95" s="76"/>
      <c r="C95" s="76"/>
      <c r="D95" s="76"/>
      <c r="E95" s="76"/>
      <c r="F95" s="76"/>
      <c r="G95" s="76"/>
      <c r="H95" s="76"/>
      <c r="I95" s="160"/>
      <c r="J95" s="66"/>
      <c r="K95" s="76"/>
    </row>
    <row r="96" spans="1:11" x14ac:dyDescent="0.2">
      <c r="A96" s="76"/>
      <c r="B96" s="76"/>
      <c r="C96" s="76"/>
      <c r="D96" s="76"/>
      <c r="E96" s="76"/>
      <c r="F96" s="76"/>
      <c r="G96" s="76"/>
      <c r="H96" s="76"/>
      <c r="I96" s="160"/>
      <c r="J96" s="66"/>
      <c r="K96" s="76"/>
    </row>
    <row r="97" spans="1:11" x14ac:dyDescent="0.2">
      <c r="A97" s="76"/>
      <c r="B97" s="76"/>
      <c r="C97" s="76"/>
      <c r="D97" s="76"/>
      <c r="E97" s="76"/>
      <c r="F97" s="76"/>
      <c r="G97" s="76"/>
      <c r="H97" s="76"/>
      <c r="I97" s="160"/>
      <c r="J97" s="66"/>
      <c r="K97" s="76"/>
    </row>
    <row r="98" spans="1:11" x14ac:dyDescent="0.2">
      <c r="A98" s="76"/>
      <c r="B98" s="76"/>
      <c r="C98" s="76"/>
      <c r="D98" s="76"/>
      <c r="E98" s="76"/>
      <c r="F98" s="76"/>
      <c r="G98" s="76"/>
      <c r="H98" s="76"/>
      <c r="I98" s="160"/>
      <c r="J98" s="66"/>
      <c r="K98" s="76"/>
    </row>
    <row r="99" spans="1:11" x14ac:dyDescent="0.2">
      <c r="A99" s="76"/>
      <c r="B99" s="76"/>
      <c r="C99" s="76"/>
      <c r="D99" s="76"/>
      <c r="E99" s="76"/>
      <c r="F99" s="76"/>
      <c r="G99" s="76"/>
      <c r="H99" s="76"/>
      <c r="I99" s="160"/>
      <c r="J99" s="66"/>
      <c r="K99" s="76"/>
    </row>
    <row r="100" spans="1:11" x14ac:dyDescent="0.2">
      <c r="A100" s="76"/>
      <c r="B100" s="76"/>
      <c r="C100" s="76"/>
      <c r="D100" s="76"/>
      <c r="E100" s="76"/>
      <c r="F100" s="76"/>
      <c r="G100" s="76"/>
      <c r="H100" s="76"/>
      <c r="I100" s="160"/>
      <c r="J100" s="66"/>
      <c r="K100" s="76"/>
    </row>
    <row r="101" spans="1:11" x14ac:dyDescent="0.2">
      <c r="A101" s="76"/>
      <c r="B101" s="76"/>
      <c r="C101" s="76"/>
      <c r="D101" s="76"/>
      <c r="E101" s="76"/>
      <c r="F101" s="76"/>
      <c r="G101" s="76"/>
      <c r="H101" s="76"/>
      <c r="I101" s="160"/>
      <c r="J101" s="66"/>
      <c r="K101" s="76"/>
    </row>
  </sheetData>
  <sheetProtection password="D901" sheet="1" objects="1" scenarios="1" selectLockedCells="1"/>
  <sortState ref="B2:B3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17</vt:i4>
      </vt:variant>
    </vt:vector>
  </HeadingPairs>
  <TitlesOfParts>
    <vt:vector size="29" baseType="lpstr">
      <vt:lpstr>DONNEES</vt:lpstr>
      <vt:lpstr>RESTAURANT</vt:lpstr>
      <vt:lpstr>Programme</vt:lpstr>
      <vt:lpstr>RATIO</vt:lpstr>
      <vt:lpstr>Ordre alphabétique FLF</vt:lpstr>
      <vt:lpstr>LISTE NOM POUR FLF</vt:lpstr>
      <vt:lpstr>Emargement</vt:lpstr>
      <vt:lpstr>FINANCES SPP</vt:lpstr>
      <vt:lpstr>FINANCES SPP N°2</vt:lpstr>
      <vt:lpstr>FINANCE-SPV</vt:lpstr>
      <vt:lpstr>PERSONNELS</vt:lpstr>
      <vt:lpstr>Liste Déroulante</vt:lpstr>
      <vt:lpstr>CIS</vt:lpstr>
      <vt:lpstr>CSP_Besançon_Centre</vt:lpstr>
      <vt:lpstr>CSP_Montbéliard</vt:lpstr>
      <vt:lpstr>CSP_Pontarlier</vt:lpstr>
      <vt:lpstr>CSR_AUDIN_VAL</vt:lpstr>
      <vt:lpstr>CSR_BAUME_LES_DAMES</vt:lpstr>
      <vt:lpstr>CTA_CODIS</vt:lpstr>
      <vt:lpstr>GIH</vt:lpstr>
      <vt:lpstr>GRIMP_25</vt:lpstr>
      <vt:lpstr>IMP_3</vt:lpstr>
      <vt:lpstr>IMP2_et_IMP1</vt:lpstr>
      <vt:lpstr>'Ordre alphabétique FLF'!Noms_ordre_alphabetique</vt:lpstr>
      <vt:lpstr>Emargement!PDF</vt:lpstr>
      <vt:lpstr>DONNEES!Print_Area</vt:lpstr>
      <vt:lpstr>Emargement!Print_Area</vt:lpstr>
      <vt:lpstr>Programme!Print_Area</vt:lpstr>
      <vt:lpstr>Emargement!Zone_d_impression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NonoZ</cp:lastModifiedBy>
  <cp:lastPrinted>2020-04-08T18:54:55Z</cp:lastPrinted>
  <dcterms:created xsi:type="dcterms:W3CDTF">2003-01-13T13:41:35Z</dcterms:created>
  <dcterms:modified xsi:type="dcterms:W3CDTF">2020-05-08T14:51:17Z</dcterms:modified>
</cp:coreProperties>
</file>