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7496" windowHeight="11016" tabRatio="933" firstSheet="1" activeTab="1"/>
  </bookViews>
  <sheets>
    <sheet name="VIERGE" sheetId="20" r:id="rId1"/>
    <sheet name="Données" sheetId="1" r:id="rId2"/>
    <sheet name="CALENDRIER PERPETUEL" sheetId="14" r:id="rId3"/>
    <sheet name="JANVIER" sheetId="221" r:id="rId4"/>
    <sheet name="FÉVRIER" sheetId="222" r:id="rId5"/>
    <sheet name="MARS" sheetId="223" r:id="rId6"/>
    <sheet name="AVRIL" sheetId="224" r:id="rId7"/>
    <sheet name="MAI" sheetId="225" r:id="rId8"/>
    <sheet name="JUIN" sheetId="226" r:id="rId9"/>
    <sheet name="JUILLET" sheetId="227" r:id="rId10"/>
    <sheet name="AOÛT" sheetId="228" r:id="rId11"/>
    <sheet name="SEPTEMBRE" sheetId="229" r:id="rId12"/>
    <sheet name="OCTOBRE" sheetId="230" r:id="rId13"/>
    <sheet name="NOVEMBRE" sheetId="231" r:id="rId14"/>
    <sheet name="DÉCEMBRE" sheetId="232" r:id="rId15"/>
  </sheets>
  <functionGroups/>
  <definedNames>
    <definedName name="CJ">Données!$D$17</definedName>
    <definedName name="D.MALADIE">Données!$I$8:$I$14</definedName>
    <definedName name="Debut_Congés">Données!$F$8:$F$14</definedName>
    <definedName name="DVac">Données!$F$8:$F$14</definedName>
    <definedName name="F">Données!$D$16</definedName>
    <definedName name="F.MALADIE">Données!$J$8:$J$14</definedName>
    <definedName name="FIN_Congés">Données!$G$8:$G$14</definedName>
    <definedName name="HEURE_valeur">Données!$N$36:$N$84</definedName>
    <definedName name="heurejournéedetravail">Données!$M$9</definedName>
    <definedName name="HEURES">Données!$N$35:$N$84</definedName>
    <definedName name="Jour_QUESTION">Données!$B$8:$D$14</definedName>
    <definedName name="JOURS_FERIE">Données!$E$34:$E$45</definedName>
    <definedName name="l_Année">Données!$W$3:$W$28</definedName>
    <definedName name="M">Données!$D$20</definedName>
    <definedName name="MOIS">Données!$L$7:$L$18</definedName>
    <definedName name="pause_choix">Données!$M$16:$M$17</definedName>
    <definedName name="PAUSE_HEURE">Données!$O$39:$O$47</definedName>
    <definedName name="PAUSE_ONET">Données!$M$15</definedName>
    <definedName name="PAUSE_ONET2">Données!$O$15</definedName>
    <definedName name="pause_vide">Données!$N$16</definedName>
    <definedName name="REPOS">Données!$H$8:$H$14</definedName>
    <definedName name="REPOS_jour">Données!$H$8:$H$14</definedName>
    <definedName name="TRAVAILPRLESRETRAITEE">Données!$K$35</definedName>
    <definedName name="Var_an">Données!$B$1</definedName>
    <definedName name="W">Données!$D$8</definedName>
  </definedNames>
  <calcPr calcId="124519"/>
</workbook>
</file>

<file path=xl/calcChain.xml><?xml version="1.0" encoding="utf-8"?>
<calcChain xmlns="http://schemas.openxmlformats.org/spreadsheetml/2006/main">
  <c r="R53" i="232"/>
  <c r="J41"/>
  <c r="I41"/>
  <c r="P40"/>
  <c r="P36"/>
  <c r="P32"/>
  <c r="P28"/>
  <c r="P24"/>
  <c r="P20"/>
  <c r="P16"/>
  <c r="P39"/>
  <c r="P35"/>
  <c r="P31"/>
  <c r="P27"/>
  <c r="P23"/>
  <c r="P19"/>
  <c r="P15"/>
  <c r="P11"/>
  <c r="P12"/>
  <c r="P38"/>
  <c r="P34"/>
  <c r="P30"/>
  <c r="P26"/>
  <c r="P22"/>
  <c r="P18"/>
  <c r="P10"/>
  <c r="P37"/>
  <c r="P33"/>
  <c r="P29"/>
  <c r="P25"/>
  <c r="P21"/>
  <c r="P17"/>
  <c r="P13"/>
  <c r="P14"/>
  <c r="D10" l="1"/>
  <c r="A10"/>
  <c r="A11" l="1"/>
  <c r="C10"/>
  <c r="S2"/>
  <c r="R53" i="231"/>
  <c r="J41"/>
  <c r="I41"/>
  <c r="P40"/>
  <c r="A12" i="232" l="1"/>
  <c r="C11"/>
  <c r="P39" i="231"/>
  <c r="A13" i="232" l="1"/>
  <c r="C12"/>
  <c r="A14"/>
  <c r="P38" i="231"/>
  <c r="C14" i="232" l="1"/>
  <c r="C13"/>
  <c r="P34" i="231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30"/>
  <c r="J41"/>
  <c r="I41"/>
  <c r="P40"/>
  <c r="A12" i="231" l="1"/>
  <c r="C11"/>
  <c r="P39" i="230"/>
  <c r="A13" i="231" l="1"/>
  <c r="C12"/>
  <c r="A14"/>
  <c r="P38" i="230"/>
  <c r="C14" i="231" l="1"/>
  <c r="C13"/>
  <c r="P34" i="230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9"/>
  <c r="J41"/>
  <c r="I41"/>
  <c r="P40"/>
  <c r="A12" i="230" l="1"/>
  <c r="C11"/>
  <c r="P39" i="229"/>
  <c r="A13" i="230" l="1"/>
  <c r="C12"/>
  <c r="A14"/>
  <c r="P38" i="229"/>
  <c r="C14" i="230" l="1"/>
  <c r="C13"/>
  <c r="P34" i="229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8"/>
  <c r="J41"/>
  <c r="I41"/>
  <c r="P40"/>
  <c r="A12" i="229" l="1"/>
  <c r="C11"/>
  <c r="P39" i="228"/>
  <c r="A13" i="229" l="1"/>
  <c r="C12"/>
  <c r="P38" i="228"/>
  <c r="A14" i="229"/>
  <c r="C14" l="1"/>
  <c r="C13"/>
  <c r="P34" i="228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7"/>
  <c r="J41"/>
  <c r="I41"/>
  <c r="P40"/>
  <c r="A12" i="228" l="1"/>
  <c r="C11"/>
  <c r="P39" i="227"/>
  <c r="A13" i="228" l="1"/>
  <c r="C12"/>
  <c r="P38" i="227"/>
  <c r="A14" i="228"/>
  <c r="C14" l="1"/>
  <c r="C13"/>
  <c r="P34" i="227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6"/>
  <c r="J41"/>
  <c r="I41"/>
  <c r="P40"/>
  <c r="A12" i="227" l="1"/>
  <c r="C11"/>
  <c r="P39" i="226"/>
  <c r="A13" i="227" l="1"/>
  <c r="C12"/>
  <c r="P38" i="226"/>
  <c r="A14" i="227"/>
  <c r="C14" l="1"/>
  <c r="C13"/>
  <c r="P34" i="226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5"/>
  <c r="J41"/>
  <c r="I41"/>
  <c r="P40"/>
  <c r="A12" i="226" l="1"/>
  <c r="C11"/>
  <c r="P39" i="225"/>
  <c r="A13" i="226" l="1"/>
  <c r="C12"/>
  <c r="P38" i="225"/>
  <c r="A14" i="226"/>
  <c r="C14" l="1"/>
  <c r="C13"/>
  <c r="P34" i="225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4"/>
  <c r="J41"/>
  <c r="I41"/>
  <c r="P40"/>
  <c r="A12" i="225" l="1"/>
  <c r="C11"/>
  <c r="P39" i="224"/>
  <c r="A13" i="225" l="1"/>
  <c r="C12"/>
  <c r="P38" i="224"/>
  <c r="A14" i="225"/>
  <c r="C14" l="1"/>
  <c r="C13"/>
  <c r="P34" i="224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3"/>
  <c r="J41"/>
  <c r="I41"/>
  <c r="P40"/>
  <c r="A12" i="224" l="1"/>
  <c r="C11"/>
  <c r="P39" i="223"/>
  <c r="A13" i="224" l="1"/>
  <c r="C12"/>
  <c r="P38" i="223"/>
  <c r="A14" i="224"/>
  <c r="C14" l="1"/>
  <c r="C13"/>
  <c r="P34" i="223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2"/>
  <c r="J41"/>
  <c r="I41"/>
  <c r="P40"/>
  <c r="A12" i="223" l="1"/>
  <c r="C11"/>
  <c r="P39" i="222"/>
  <c r="A13" i="223" l="1"/>
  <c r="C12"/>
  <c r="P38" i="222"/>
  <c r="A14" i="223"/>
  <c r="C14" l="1"/>
  <c r="C13"/>
  <c r="P34" i="222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R53" i="221"/>
  <c r="J41"/>
  <c r="I41"/>
  <c r="P40"/>
  <c r="A12" i="222" l="1"/>
  <c r="C11"/>
  <c r="P39" i="221"/>
  <c r="A13" i="222" l="1"/>
  <c r="C12"/>
  <c r="A14"/>
  <c r="P38" i="221"/>
  <c r="C14" i="222" l="1"/>
  <c r="C13"/>
  <c r="P34" i="221"/>
  <c r="P30"/>
  <c r="P26"/>
  <c r="P22"/>
  <c r="P18"/>
  <c r="P14"/>
  <c r="P10"/>
  <c r="P35"/>
  <c r="P31"/>
  <c r="P27"/>
  <c r="P23"/>
  <c r="P19"/>
  <c r="P15"/>
  <c r="P11"/>
  <c r="P36"/>
  <c r="P32"/>
  <c r="P28"/>
  <c r="P24"/>
  <c r="P20"/>
  <c r="P16"/>
  <c r="P12"/>
  <c r="P37"/>
  <c r="P33"/>
  <c r="P29"/>
  <c r="P25"/>
  <c r="P21"/>
  <c r="P17"/>
  <c r="P13"/>
  <c r="D10" l="1"/>
  <c r="A10"/>
  <c r="A11" l="1"/>
  <c r="C10"/>
  <c r="S2"/>
  <c r="B3" i="1"/>
  <c r="D10" i="20"/>
  <c r="B2" i="1"/>
  <c r="I41" i="20"/>
  <c r="J41"/>
  <c r="A12" i="221" l="1"/>
  <c r="C11"/>
  <c r="B1" i="14"/>
  <c r="B4" s="1"/>
  <c r="G10" i="221" s="1"/>
  <c r="C33" i="1"/>
  <c r="E33" s="1"/>
  <c r="E45" s="1"/>
  <c r="R53" i="20"/>
  <c r="S2"/>
  <c r="E14" i="1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T38"/>
  <c r="Q10"/>
  <c r="P10" s="1"/>
  <c r="P9"/>
  <c r="P7"/>
  <c r="I29"/>
  <c r="D25"/>
  <c r="F27"/>
  <c r="D24"/>
  <c r="F28"/>
  <c r="I25"/>
  <c r="J28"/>
  <c r="E29"/>
  <c r="J27"/>
  <c r="J24"/>
  <c r="H25"/>
  <c r="F26"/>
  <c r="G26"/>
  <c r="E24"/>
  <c r="D28"/>
  <c r="J29"/>
  <c r="G25"/>
  <c r="G29"/>
  <c r="I26"/>
  <c r="E25"/>
  <c r="I28"/>
  <c r="H28"/>
  <c r="D27"/>
  <c r="D29"/>
  <c r="F29"/>
  <c r="H24"/>
  <c r="I24"/>
  <c r="I27"/>
  <c r="E26"/>
  <c r="H29"/>
  <c r="G28"/>
  <c r="E27"/>
  <c r="E28"/>
  <c r="J26"/>
  <c r="F24"/>
  <c r="G27"/>
  <c r="J25"/>
  <c r="H26"/>
  <c r="D26"/>
  <c r="F25"/>
  <c r="G24"/>
  <c r="H27"/>
  <c r="A13" i="221" l="1"/>
  <c r="C12"/>
  <c r="E35" i="1"/>
  <c r="E44"/>
  <c r="E34"/>
  <c r="F33"/>
  <c r="F45" s="1"/>
  <c r="E42"/>
  <c r="E41"/>
  <c r="E37"/>
  <c r="E43"/>
  <c r="E40"/>
  <c r="E36"/>
  <c r="C4" i="14"/>
  <c r="G10" i="222" s="1"/>
  <c r="B5" i="14"/>
  <c r="A4"/>
  <c r="A14" i="221"/>
  <c r="G11" l="1"/>
  <c r="D11"/>
  <c r="C14"/>
  <c r="C13"/>
  <c r="B6" i="14"/>
  <c r="E39" i="1"/>
  <c r="E10" i="221" s="1" a="1"/>
  <c r="E10" s="1"/>
  <c r="E38" i="1"/>
  <c r="K35" s="1"/>
  <c r="F43"/>
  <c r="F36"/>
  <c r="F34"/>
  <c r="F44"/>
  <c r="G33"/>
  <c r="G45" s="1"/>
  <c r="F42"/>
  <c r="F40"/>
  <c r="F41"/>
  <c r="F37"/>
  <c r="D4" i="14"/>
  <c r="G10" i="223" s="1"/>
  <c r="E10" s="1" a="1"/>
  <c r="E10" s="1"/>
  <c r="C5" i="1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1"/>
  <c r="AB10" i="221" l="1"/>
  <c r="L10"/>
  <c r="M10" s="1"/>
  <c r="AG62"/>
  <c r="J10"/>
  <c r="I10"/>
  <c r="E10" i="222" a="1"/>
  <c r="E10" s="1"/>
  <c r="G11"/>
  <c r="D11"/>
  <c r="E11" i="221" a="1"/>
  <c r="E11" s="1"/>
  <c r="F11" s="1"/>
  <c r="AB10" i="223"/>
  <c r="I10"/>
  <c r="J10"/>
  <c r="L10"/>
  <c r="AG62" s="1"/>
  <c r="G12" i="221"/>
  <c r="E12" s="1" a="1"/>
  <c r="E12" s="1"/>
  <c r="D12"/>
  <c r="F10"/>
  <c r="C6" i="14"/>
  <c r="D5"/>
  <c r="B7"/>
  <c r="E4"/>
  <c r="G10" i="224" s="1"/>
  <c r="E10" s="1" a="1"/>
  <c r="E10" s="1"/>
  <c r="G37" i="1"/>
  <c r="G41"/>
  <c r="G34"/>
  <c r="G36"/>
  <c r="G43"/>
  <c r="G42"/>
  <c r="G40"/>
  <c r="H33"/>
  <c r="H45" s="1"/>
  <c r="G44"/>
  <c r="F39"/>
  <c r="F38"/>
  <c r="F35"/>
  <c r="C7" i="14"/>
  <c r="D6"/>
  <c r="J10" i="222" l="1"/>
  <c r="AB10"/>
  <c r="L10"/>
  <c r="AG62" s="1"/>
  <c r="I10"/>
  <c r="M10"/>
  <c r="D13"/>
  <c r="G13"/>
  <c r="E13" s="1" a="1"/>
  <c r="E13" s="1"/>
  <c r="G13" i="221"/>
  <c r="E13" s="1" a="1"/>
  <c r="E13" s="1"/>
  <c r="D13"/>
  <c r="O10"/>
  <c r="D12" i="223"/>
  <c r="G12"/>
  <c r="E12" s="1" a="1"/>
  <c r="E12" s="1"/>
  <c r="AB10" i="224"/>
  <c r="I10"/>
  <c r="J10"/>
  <c r="L10"/>
  <c r="AG62" s="1"/>
  <c r="G11" i="223"/>
  <c r="D11"/>
  <c r="M10"/>
  <c r="E11" i="222" a="1"/>
  <c r="E11" s="1"/>
  <c r="N10"/>
  <c r="F12" i="221"/>
  <c r="D12" i="222"/>
  <c r="G12"/>
  <c r="E12" s="1" a="1"/>
  <c r="E12" s="1"/>
  <c r="AB12" i="221"/>
  <c r="N12"/>
  <c r="I12"/>
  <c r="J12"/>
  <c r="L12"/>
  <c r="O12"/>
  <c r="M12"/>
  <c r="N11"/>
  <c r="I11"/>
  <c r="AB11"/>
  <c r="L11"/>
  <c r="J11"/>
  <c r="O11"/>
  <c r="F11" i="222"/>
  <c r="F10"/>
  <c r="E5" i="14"/>
  <c r="B8"/>
  <c r="F4"/>
  <c r="G10" i="225" s="1"/>
  <c r="E10" s="1" a="1"/>
  <c r="E10" s="1"/>
  <c r="H42" i="1"/>
  <c r="H44"/>
  <c r="H36"/>
  <c r="H34"/>
  <c r="H40"/>
  <c r="H43"/>
  <c r="H37"/>
  <c r="H41"/>
  <c r="G38"/>
  <c r="G39"/>
  <c r="G35"/>
  <c r="D7" i="14"/>
  <c r="C8"/>
  <c r="F13" i="221" l="1"/>
  <c r="D14" i="222"/>
  <c r="G14"/>
  <c r="E14" s="1" a="1"/>
  <c r="E14" s="1"/>
  <c r="I12"/>
  <c r="AB12"/>
  <c r="L12"/>
  <c r="M12" s="1"/>
  <c r="J12"/>
  <c r="D13" i="223"/>
  <c r="G13"/>
  <c r="E13" s="1" a="1"/>
  <c r="E13" s="1"/>
  <c r="AB10" i="225"/>
  <c r="I10"/>
  <c r="J10"/>
  <c r="L10"/>
  <c r="M10" s="1"/>
  <c r="AG62"/>
  <c r="D11" i="224"/>
  <c r="F10" s="1"/>
  <c r="O10" s="1"/>
  <c r="G11"/>
  <c r="O10" i="222"/>
  <c r="M11" i="221"/>
  <c r="E11" i="223" a="1"/>
  <c r="E11" s="1"/>
  <c r="F11" s="1"/>
  <c r="N10"/>
  <c r="AB13" i="221"/>
  <c r="I13"/>
  <c r="J13"/>
  <c r="L13"/>
  <c r="F12" i="222"/>
  <c r="O12" s="1"/>
  <c r="F12" i="223"/>
  <c r="F13" i="222"/>
  <c r="G14" i="221"/>
  <c r="E14" s="1" a="1"/>
  <c r="E14" s="1"/>
  <c r="D14"/>
  <c r="AB11" i="222"/>
  <c r="L11"/>
  <c r="J11"/>
  <c r="N11"/>
  <c r="I11"/>
  <c r="O11"/>
  <c r="F10" i="223"/>
  <c r="M10" i="224"/>
  <c r="J12" i="223"/>
  <c r="I12"/>
  <c r="AB12"/>
  <c r="L12"/>
  <c r="M12" s="1"/>
  <c r="L13" i="222"/>
  <c r="M13" s="1"/>
  <c r="AB13"/>
  <c r="I13"/>
  <c r="J13"/>
  <c r="O13" i="221"/>
  <c r="E6" i="14"/>
  <c r="G4"/>
  <c r="G10" i="226" s="1"/>
  <c r="E10" s="1" a="1"/>
  <c r="E10" s="1"/>
  <c r="B9" i="14"/>
  <c r="F5"/>
  <c r="H38" i="1"/>
  <c r="H35"/>
  <c r="H39"/>
  <c r="H4" i="14"/>
  <c r="G10" i="227" s="1"/>
  <c r="E10" s="1" a="1"/>
  <c r="E10" s="1"/>
  <c r="C9" i="14"/>
  <c r="D8"/>
  <c r="O12" i="223" l="1"/>
  <c r="AB10" i="227"/>
  <c r="I10"/>
  <c r="J10"/>
  <c r="L10"/>
  <c r="F6" i="14"/>
  <c r="D11" i="225"/>
  <c r="G11"/>
  <c r="G15" i="222"/>
  <c r="E15" s="1" a="1"/>
  <c r="E15" s="1"/>
  <c r="D15"/>
  <c r="D15" i="221"/>
  <c r="G15"/>
  <c r="E15" s="1" a="1"/>
  <c r="E15" s="1"/>
  <c r="E7" i="14"/>
  <c r="D12" i="224"/>
  <c r="G12"/>
  <c r="E12" s="1" a="1"/>
  <c r="E12" s="1"/>
  <c r="N14" i="221"/>
  <c r="I14"/>
  <c r="AB14"/>
  <c r="L14"/>
  <c r="M14" s="1"/>
  <c r="J14"/>
  <c r="L13" i="223"/>
  <c r="M13" s="1"/>
  <c r="AB13"/>
  <c r="I13"/>
  <c r="J13"/>
  <c r="AB14" i="222"/>
  <c r="L14"/>
  <c r="M14" s="1"/>
  <c r="I14"/>
  <c r="J14"/>
  <c r="N13" i="221"/>
  <c r="G14" i="223"/>
  <c r="E14" s="1" a="1"/>
  <c r="E14" s="1"/>
  <c r="D14"/>
  <c r="AB10" i="226"/>
  <c r="J10"/>
  <c r="L10"/>
  <c r="AG62" s="1"/>
  <c r="I10"/>
  <c r="O10" i="223"/>
  <c r="M11" i="222"/>
  <c r="AB11" i="223"/>
  <c r="L11"/>
  <c r="O11" s="1"/>
  <c r="I11"/>
  <c r="J11"/>
  <c r="E11" i="224" a="1"/>
  <c r="E11" s="1"/>
  <c r="N10"/>
  <c r="F14" i="221"/>
  <c r="O13" i="222"/>
  <c r="M13" i="221"/>
  <c r="F13" i="223"/>
  <c r="O13" s="1"/>
  <c r="F14" i="222"/>
  <c r="O14" s="1"/>
  <c r="G5" i="14"/>
  <c r="B10"/>
  <c r="C10"/>
  <c r="D9"/>
  <c r="F7"/>
  <c r="E8"/>
  <c r="I4"/>
  <c r="G10" i="228" s="1"/>
  <c r="E10" s="1" a="1"/>
  <c r="E10" s="1"/>
  <c r="H5" i="14"/>
  <c r="AG62" i="227" l="1"/>
  <c r="M10" i="226"/>
  <c r="G11" i="227"/>
  <c r="D11"/>
  <c r="F10" s="1"/>
  <c r="O10" s="1"/>
  <c r="D15" i="223"/>
  <c r="G15"/>
  <c r="E15" s="1" a="1"/>
  <c r="E15" s="1"/>
  <c r="G16" i="221"/>
  <c r="E16" s="1" a="1"/>
  <c r="E16" s="1"/>
  <c r="D16"/>
  <c r="I10" i="228"/>
  <c r="AB10"/>
  <c r="J10"/>
  <c r="L10"/>
  <c r="M10" s="1"/>
  <c r="D13" i="225"/>
  <c r="G13"/>
  <c r="E13" s="1" a="1"/>
  <c r="E13" s="1"/>
  <c r="G16" i="222"/>
  <c r="E16" s="1" a="1"/>
  <c r="E16" s="1"/>
  <c r="D16"/>
  <c r="D11" i="226"/>
  <c r="G11"/>
  <c r="O14" i="221"/>
  <c r="AB11" i="224"/>
  <c r="L11"/>
  <c r="I11"/>
  <c r="J11"/>
  <c r="M11" i="223"/>
  <c r="AB15" i="221"/>
  <c r="L15"/>
  <c r="M15" s="1"/>
  <c r="I15"/>
  <c r="J15"/>
  <c r="E11" i="225" a="1"/>
  <c r="E11" s="1"/>
  <c r="D12"/>
  <c r="G12"/>
  <c r="E12" s="1" a="1"/>
  <c r="E12" s="1"/>
  <c r="F14" i="223"/>
  <c r="F12" i="224"/>
  <c r="F15" i="222"/>
  <c r="D14" i="224"/>
  <c r="G14"/>
  <c r="E14" s="1" a="1"/>
  <c r="E14" s="1"/>
  <c r="I14" i="223"/>
  <c r="AB14"/>
  <c r="L14"/>
  <c r="J14"/>
  <c r="J12" i="224"/>
  <c r="L12"/>
  <c r="M12" s="1"/>
  <c r="AB12"/>
  <c r="I12"/>
  <c r="D13"/>
  <c r="G13"/>
  <c r="E13" s="1" a="1"/>
  <c r="E13" s="1"/>
  <c r="N15" i="222"/>
  <c r="I15"/>
  <c r="J15"/>
  <c r="AB15"/>
  <c r="L15"/>
  <c r="M15" s="1"/>
  <c r="O15"/>
  <c r="F11" i="225"/>
  <c r="F10"/>
  <c r="F11" i="224"/>
  <c r="N13" i="223"/>
  <c r="F15" i="221"/>
  <c r="M10" i="227"/>
  <c r="G6" i="14"/>
  <c r="B11"/>
  <c r="G10" i="20"/>
  <c r="E10" s="1" a="1"/>
  <c r="E10" s="1"/>
  <c r="H6" i="14"/>
  <c r="E9"/>
  <c r="F8"/>
  <c r="C11"/>
  <c r="J4"/>
  <c r="G10" i="229" s="1"/>
  <c r="E10" s="1" a="1"/>
  <c r="E10" s="1"/>
  <c r="I5" i="14"/>
  <c r="D10"/>
  <c r="G7"/>
  <c r="O12" i="224" l="1"/>
  <c r="M14" i="223"/>
  <c r="AG62" i="228"/>
  <c r="F12" i="225"/>
  <c r="F16" i="221"/>
  <c r="G16" i="223"/>
  <c r="E16" s="1" a="1"/>
  <c r="E16" s="1"/>
  <c r="D16"/>
  <c r="D13" i="226"/>
  <c r="G13"/>
  <c r="E13" s="1" a="1"/>
  <c r="E13" s="1"/>
  <c r="D11" i="228"/>
  <c r="G11"/>
  <c r="G17" i="222"/>
  <c r="E17" s="1" a="1"/>
  <c r="E17" s="1"/>
  <c r="D17"/>
  <c r="G15" i="224"/>
  <c r="E15" s="1" a="1"/>
  <c r="E15" s="1"/>
  <c r="D15"/>
  <c r="D12" i="226"/>
  <c r="F12" s="1"/>
  <c r="G12"/>
  <c r="E12" s="1" a="1"/>
  <c r="E12" s="1"/>
  <c r="O10" i="225"/>
  <c r="AB12"/>
  <c r="L12"/>
  <c r="J12"/>
  <c r="N12"/>
  <c r="I12"/>
  <c r="M12"/>
  <c r="M11" i="224"/>
  <c r="E11" i="226" a="1"/>
  <c r="E11" s="1"/>
  <c r="N10"/>
  <c r="L13" i="225"/>
  <c r="M13" s="1"/>
  <c r="AB13"/>
  <c r="I13"/>
  <c r="J13"/>
  <c r="AB16" i="221"/>
  <c r="I16"/>
  <c r="J16"/>
  <c r="L16"/>
  <c r="M16"/>
  <c r="O16"/>
  <c r="E11" i="227" a="1"/>
  <c r="E11" s="1"/>
  <c r="N10"/>
  <c r="F13" i="224"/>
  <c r="N12"/>
  <c r="F14"/>
  <c r="O14" i="223"/>
  <c r="O15" i="221"/>
  <c r="F16" i="222"/>
  <c r="F15" i="223"/>
  <c r="AB10" i="229"/>
  <c r="J10"/>
  <c r="L10"/>
  <c r="M10"/>
  <c r="I10"/>
  <c r="AG62"/>
  <c r="G14" i="225"/>
  <c r="E14" s="1" a="1"/>
  <c r="E14" s="1"/>
  <c r="D14"/>
  <c r="D12" i="227"/>
  <c r="G12"/>
  <c r="E12" s="1" a="1"/>
  <c r="E12" s="1"/>
  <c r="D17" i="221"/>
  <c r="G17"/>
  <c r="E17" s="1" a="1"/>
  <c r="E17" s="1"/>
  <c r="L13" i="224"/>
  <c r="M13"/>
  <c r="AB13"/>
  <c r="I13"/>
  <c r="J13"/>
  <c r="N13"/>
  <c r="AB14"/>
  <c r="L14"/>
  <c r="N14"/>
  <c r="I14"/>
  <c r="J14"/>
  <c r="M14"/>
  <c r="AB11" i="225"/>
  <c r="L11"/>
  <c r="J11"/>
  <c r="N11"/>
  <c r="I11"/>
  <c r="O11"/>
  <c r="F11" i="226"/>
  <c r="F10"/>
  <c r="AB16" i="222"/>
  <c r="L16"/>
  <c r="M16" s="1"/>
  <c r="N16"/>
  <c r="I16"/>
  <c r="J16"/>
  <c r="AB15" i="223"/>
  <c r="L15"/>
  <c r="N15"/>
  <c r="I15"/>
  <c r="J15"/>
  <c r="O12" i="225"/>
  <c r="O11" i="224"/>
  <c r="F13" i="225"/>
  <c r="O13" s="1"/>
  <c r="F11" i="227"/>
  <c r="B12" i="14"/>
  <c r="G11" i="20"/>
  <c r="G8" i="14"/>
  <c r="F9"/>
  <c r="D11"/>
  <c r="D11" i="20"/>
  <c r="F10" s="1"/>
  <c r="I6" i="14"/>
  <c r="K4"/>
  <c r="G10" i="230" s="1"/>
  <c r="E10" s="1" a="1"/>
  <c r="E10" s="1"/>
  <c r="J5" i="14"/>
  <c r="C12"/>
  <c r="E10"/>
  <c r="H7"/>
  <c r="P10" i="20"/>
  <c r="O16" i="222" l="1"/>
  <c r="F13" i="226"/>
  <c r="AB10" i="230"/>
  <c r="J10"/>
  <c r="L10"/>
  <c r="M10"/>
  <c r="I10"/>
  <c r="AG62"/>
  <c r="D15" i="225"/>
  <c r="G15"/>
  <c r="E15" s="1" a="1"/>
  <c r="E15" s="1"/>
  <c r="G16" i="224"/>
  <c r="E16" s="1" a="1"/>
  <c r="E16" s="1"/>
  <c r="D16"/>
  <c r="D11" i="229"/>
  <c r="G11"/>
  <c r="G12" i="228"/>
  <c r="E12" s="1" a="1"/>
  <c r="E12" s="1"/>
  <c r="D12"/>
  <c r="D17" i="223"/>
  <c r="G17"/>
  <c r="E17" s="1" a="1"/>
  <c r="E17" s="1"/>
  <c r="D14" i="226"/>
  <c r="G14"/>
  <c r="E14" s="1" a="1"/>
  <c r="E14" s="1"/>
  <c r="G18" i="221"/>
  <c r="E18" s="1" a="1"/>
  <c r="E18" s="1"/>
  <c r="D18"/>
  <c r="O10" i="226"/>
  <c r="L14" i="225"/>
  <c r="AB14"/>
  <c r="I14"/>
  <c r="J14"/>
  <c r="M14"/>
  <c r="O15" i="223"/>
  <c r="AB11" i="227"/>
  <c r="L11"/>
  <c r="O11" s="1"/>
  <c r="I11"/>
  <c r="J11"/>
  <c r="J12" i="226"/>
  <c r="L12"/>
  <c r="O12" s="1"/>
  <c r="AB12"/>
  <c r="N12"/>
  <c r="I12"/>
  <c r="M12"/>
  <c r="E11" i="228" a="1"/>
  <c r="E11" s="1"/>
  <c r="N10"/>
  <c r="L13" i="226"/>
  <c r="M13" s="1"/>
  <c r="AB13"/>
  <c r="I13"/>
  <c r="J13"/>
  <c r="M15" i="223"/>
  <c r="F17" i="221"/>
  <c r="F12" i="227"/>
  <c r="O14" i="224"/>
  <c r="O13"/>
  <c r="F15"/>
  <c r="F17" i="222"/>
  <c r="F16" i="223"/>
  <c r="D13" i="227"/>
  <c r="G13"/>
  <c r="E13" s="1" a="1"/>
  <c r="E13" s="1"/>
  <c r="D18" i="222"/>
  <c r="G18"/>
  <c r="E18" s="1" a="1"/>
  <c r="E18" s="1"/>
  <c r="M11" i="225"/>
  <c r="AB17" i="221"/>
  <c r="L17"/>
  <c r="M17"/>
  <c r="I17"/>
  <c r="J17"/>
  <c r="O17"/>
  <c r="I12" i="227"/>
  <c r="AB12"/>
  <c r="L12"/>
  <c r="M12" s="1"/>
  <c r="J12"/>
  <c r="AB11" i="226"/>
  <c r="I11"/>
  <c r="J11"/>
  <c r="L11"/>
  <c r="O11" s="1"/>
  <c r="AB15" i="224"/>
  <c r="L15"/>
  <c r="M15" s="1"/>
  <c r="J15"/>
  <c r="I15"/>
  <c r="I17" i="222"/>
  <c r="AB17"/>
  <c r="L17"/>
  <c r="J17"/>
  <c r="F11" i="228"/>
  <c r="F10"/>
  <c r="N16" i="223"/>
  <c r="I16"/>
  <c r="J16"/>
  <c r="AB16"/>
  <c r="L16"/>
  <c r="F14" i="225"/>
  <c r="O14" s="1"/>
  <c r="O13" i="226"/>
  <c r="B13" i="14"/>
  <c r="G12" i="20"/>
  <c r="J10"/>
  <c r="I10"/>
  <c r="H8" i="14"/>
  <c r="E11"/>
  <c r="C13"/>
  <c r="E11" i="20" a="1"/>
  <c r="E11" s="1"/>
  <c r="F11" s="1"/>
  <c r="D12" i="14"/>
  <c r="L10" i="20"/>
  <c r="AG62" s="1"/>
  <c r="AB10"/>
  <c r="J6" i="14"/>
  <c r="K5"/>
  <c r="L4"/>
  <c r="G10" i="231" s="1"/>
  <c r="E10" s="1" a="1"/>
  <c r="E10" s="1"/>
  <c r="I7" i="14"/>
  <c r="D12" i="20"/>
  <c r="F10" i="14"/>
  <c r="G9"/>
  <c r="A10" i="20"/>
  <c r="P11"/>
  <c r="P12"/>
  <c r="O15" i="224" l="1"/>
  <c r="F16"/>
  <c r="F18" i="221"/>
  <c r="N17" i="222"/>
  <c r="N12" i="227"/>
  <c r="F12" i="228"/>
  <c r="I18" i="222"/>
  <c r="J18"/>
  <c r="AB18"/>
  <c r="L18"/>
  <c r="M18" s="1"/>
  <c r="L13" i="227"/>
  <c r="M13" s="1"/>
  <c r="AB13"/>
  <c r="I13"/>
  <c r="J13"/>
  <c r="I14" i="226"/>
  <c r="J14"/>
  <c r="AB14"/>
  <c r="L14"/>
  <c r="M14" s="1"/>
  <c r="AB17" i="223"/>
  <c r="L17"/>
  <c r="M17" s="1"/>
  <c r="I17"/>
  <c r="J17"/>
  <c r="E11" i="229" a="1"/>
  <c r="E11" s="1"/>
  <c r="AB15" i="225"/>
  <c r="L15"/>
  <c r="I15"/>
  <c r="J15"/>
  <c r="M17" i="222"/>
  <c r="O16" i="223"/>
  <c r="D15" i="226"/>
  <c r="G15"/>
  <c r="E15" s="1" a="1"/>
  <c r="E15" s="1"/>
  <c r="I10" i="231"/>
  <c r="AB10"/>
  <c r="L10"/>
  <c r="J10"/>
  <c r="M10"/>
  <c r="AG62"/>
  <c r="D12" i="229"/>
  <c r="G12"/>
  <c r="E12" s="1" a="1"/>
  <c r="E12" s="1"/>
  <c r="G17" i="224"/>
  <c r="E17" s="1" a="1"/>
  <c r="E17" s="1"/>
  <c r="D17"/>
  <c r="G16" i="225"/>
  <c r="E16" s="1" a="1"/>
  <c r="E16" s="1"/>
  <c r="D16"/>
  <c r="D13" i="228"/>
  <c r="G13"/>
  <c r="E13" s="1" a="1"/>
  <c r="E13" s="1"/>
  <c r="G11" i="230"/>
  <c r="D11"/>
  <c r="F10" s="1"/>
  <c r="G18" i="223"/>
  <c r="E18" s="1" a="1"/>
  <c r="E18" s="1"/>
  <c r="D18"/>
  <c r="G19" i="222"/>
  <c r="E19" s="1" a="1"/>
  <c r="E19" s="1"/>
  <c r="D19"/>
  <c r="G14" i="227"/>
  <c r="E14" s="1" a="1"/>
  <c r="E14" s="1"/>
  <c r="D14"/>
  <c r="G19" i="221"/>
  <c r="E19" s="1" a="1"/>
  <c r="E19" s="1"/>
  <c r="D19"/>
  <c r="O10" i="228"/>
  <c r="M11" i="226"/>
  <c r="N11" i="228"/>
  <c r="I11"/>
  <c r="J11"/>
  <c r="AB11"/>
  <c r="L11"/>
  <c r="M11" s="1"/>
  <c r="M11" i="227"/>
  <c r="I18" i="221"/>
  <c r="J18"/>
  <c r="AB18"/>
  <c r="L18"/>
  <c r="M18"/>
  <c r="O18"/>
  <c r="I12" i="228"/>
  <c r="J12"/>
  <c r="AB12"/>
  <c r="L12"/>
  <c r="O12" s="1"/>
  <c r="F11" i="229"/>
  <c r="F10"/>
  <c r="L16" i="224"/>
  <c r="AB16"/>
  <c r="I16"/>
  <c r="J16"/>
  <c r="M16" i="223"/>
  <c r="F18" i="222"/>
  <c r="O18" s="1"/>
  <c r="F13" i="227"/>
  <c r="O13" s="1"/>
  <c r="O17" i="222"/>
  <c r="O12" i="227"/>
  <c r="F14" i="226"/>
  <c r="F17" i="223"/>
  <c r="O17" s="1"/>
  <c r="F15" i="225"/>
  <c r="O15" s="1"/>
  <c r="O10" i="230"/>
  <c r="A11" i="20"/>
  <c r="A12" s="1"/>
  <c r="A13" s="1"/>
  <c r="B14" i="14"/>
  <c r="G13" i="20"/>
  <c r="I11"/>
  <c r="J11"/>
  <c r="O10"/>
  <c r="M10"/>
  <c r="G10" i="14"/>
  <c r="I8"/>
  <c r="D13" i="20"/>
  <c r="K6" i="14"/>
  <c r="D13"/>
  <c r="C14"/>
  <c r="H9"/>
  <c r="F11"/>
  <c r="E12" i="20" a="1"/>
  <c r="E12" s="1"/>
  <c r="L5" i="14"/>
  <c r="M4"/>
  <c r="G10" i="232" s="1"/>
  <c r="E10" s="1" a="1"/>
  <c r="E10" s="1"/>
  <c r="J7" i="14"/>
  <c r="AB11" i="20"/>
  <c r="L11"/>
  <c r="E12" i="14"/>
  <c r="P13" i="20"/>
  <c r="A14"/>
  <c r="M16" i="224" l="1"/>
  <c r="F13" i="228"/>
  <c r="G13" i="229"/>
  <c r="E13" s="1" a="1"/>
  <c r="E13" s="1"/>
  <c r="D13"/>
  <c r="G17" i="225"/>
  <c r="E17" s="1" a="1"/>
  <c r="E17" s="1"/>
  <c r="D17"/>
  <c r="D12" i="230"/>
  <c r="G12"/>
  <c r="E12" s="1" a="1"/>
  <c r="E12" s="1"/>
  <c r="D18" i="224"/>
  <c r="G18"/>
  <c r="E18" s="1" a="1"/>
  <c r="E18" s="1"/>
  <c r="AB10" i="232"/>
  <c r="J10"/>
  <c r="L10"/>
  <c r="M10" s="1"/>
  <c r="I10"/>
  <c r="G15" i="227"/>
  <c r="E15" s="1" a="1"/>
  <c r="E15" s="1"/>
  <c r="D15"/>
  <c r="D19" i="223"/>
  <c r="G19"/>
  <c r="E19" s="1" a="1"/>
  <c r="E19" s="1"/>
  <c r="G16" i="226"/>
  <c r="E16" s="1" a="1"/>
  <c r="E16" s="1"/>
  <c r="D16"/>
  <c r="G20" i="221"/>
  <c r="E20" s="1" a="1"/>
  <c r="E20" s="1"/>
  <c r="D20"/>
  <c r="O14" i="226"/>
  <c r="O10" i="229"/>
  <c r="AB13" i="228"/>
  <c r="L13"/>
  <c r="M13" s="1"/>
  <c r="J13"/>
  <c r="I13"/>
  <c r="J12" i="229"/>
  <c r="L12"/>
  <c r="AB12"/>
  <c r="I12"/>
  <c r="M12"/>
  <c r="AB11"/>
  <c r="L11"/>
  <c r="J11"/>
  <c r="N11"/>
  <c r="I11"/>
  <c r="M12" i="228"/>
  <c r="N18" i="221"/>
  <c r="F19"/>
  <c r="F14" i="227"/>
  <c r="F19" i="222"/>
  <c r="F18" i="223"/>
  <c r="F16" i="225"/>
  <c r="F17" i="224"/>
  <c r="F15" i="226"/>
  <c r="N17" i="223"/>
  <c r="N13" i="227"/>
  <c r="G11" i="231"/>
  <c r="D11"/>
  <c r="G20" i="222"/>
  <c r="E20" s="1" a="1"/>
  <c r="E20" s="1"/>
  <c r="D20"/>
  <c r="D14" i="228"/>
  <c r="G14"/>
  <c r="E14" s="1" a="1"/>
  <c r="E14" s="1"/>
  <c r="AB19" i="221"/>
  <c r="L19"/>
  <c r="M19" s="1"/>
  <c r="N19"/>
  <c r="I19"/>
  <c r="J19"/>
  <c r="N14" i="227"/>
  <c r="I14"/>
  <c r="J14"/>
  <c r="AB14"/>
  <c r="L14"/>
  <c r="M14" s="1"/>
  <c r="I19" i="222"/>
  <c r="J19"/>
  <c r="AB19"/>
  <c r="L19"/>
  <c r="M19" s="1"/>
  <c r="I18" i="223"/>
  <c r="J18"/>
  <c r="AB18"/>
  <c r="L18"/>
  <c r="M18" s="1"/>
  <c r="E11" i="230" a="1"/>
  <c r="E11" s="1"/>
  <c r="J16" i="225"/>
  <c r="L16"/>
  <c r="O16" s="1"/>
  <c r="AB16"/>
  <c r="I16"/>
  <c r="M16"/>
  <c r="N17" i="224"/>
  <c r="I17"/>
  <c r="J17"/>
  <c r="AB17"/>
  <c r="L17"/>
  <c r="M17" s="1"/>
  <c r="N15" i="226"/>
  <c r="I15"/>
  <c r="J15"/>
  <c r="AB15"/>
  <c r="L15"/>
  <c r="M15" i="225"/>
  <c r="O11" i="229"/>
  <c r="F12"/>
  <c r="O16" i="224"/>
  <c r="O11" i="228"/>
  <c r="N15" i="225"/>
  <c r="N14" i="226"/>
  <c r="N18" i="222"/>
  <c r="B15" i="14"/>
  <c r="G14" i="20"/>
  <c r="I12"/>
  <c r="J12"/>
  <c r="E13" i="14"/>
  <c r="N4"/>
  <c r="M5"/>
  <c r="L6"/>
  <c r="AB12" i="20"/>
  <c r="L12"/>
  <c r="F12" i="14"/>
  <c r="H10"/>
  <c r="D14"/>
  <c r="K7"/>
  <c r="E13" i="20" a="1"/>
  <c r="E13" s="1"/>
  <c r="M11"/>
  <c r="O11"/>
  <c r="F12"/>
  <c r="J8" i="14"/>
  <c r="C15"/>
  <c r="I9"/>
  <c r="D14" i="20"/>
  <c r="G11" i="14"/>
  <c r="P14" i="20"/>
  <c r="F14" i="228" l="1"/>
  <c r="F18" i="224"/>
  <c r="F12" i="230"/>
  <c r="O12" i="229"/>
  <c r="F20" i="221"/>
  <c r="F16" i="226"/>
  <c r="F15" i="227"/>
  <c r="AG62" i="232"/>
  <c r="D20" i="223"/>
  <c r="G20"/>
  <c r="E20" s="1" a="1"/>
  <c r="E20" s="1"/>
  <c r="D18" i="225"/>
  <c r="G18"/>
  <c r="E18" s="1" a="1"/>
  <c r="E18" s="1"/>
  <c r="D21" i="222"/>
  <c r="G21"/>
  <c r="E21" s="1" a="1"/>
  <c r="E21" s="1"/>
  <c r="D13" i="230"/>
  <c r="G13"/>
  <c r="E13" s="1" a="1"/>
  <c r="E13" s="1"/>
  <c r="D16" i="227"/>
  <c r="G16"/>
  <c r="E16" s="1" a="1"/>
  <c r="E16" s="1"/>
  <c r="D12" i="231"/>
  <c r="G12"/>
  <c r="E12" s="1" a="1"/>
  <c r="E12" s="1"/>
  <c r="AB11" i="230"/>
  <c r="L11"/>
  <c r="N11"/>
  <c r="I11"/>
  <c r="J11"/>
  <c r="J14" i="228"/>
  <c r="L14"/>
  <c r="AB14"/>
  <c r="I14"/>
  <c r="M14"/>
  <c r="F10" i="231"/>
  <c r="AB20" i="221"/>
  <c r="I20"/>
  <c r="J20"/>
  <c r="L20"/>
  <c r="M20" s="1"/>
  <c r="I16" i="226"/>
  <c r="J16"/>
  <c r="AB16"/>
  <c r="L16"/>
  <c r="AB15" i="227"/>
  <c r="L15"/>
  <c r="M15" s="1"/>
  <c r="I15"/>
  <c r="J15"/>
  <c r="AB18" i="224"/>
  <c r="L18"/>
  <c r="M18" s="1"/>
  <c r="I18"/>
  <c r="J18"/>
  <c r="I12" i="230"/>
  <c r="AB12"/>
  <c r="L12"/>
  <c r="M12" s="1"/>
  <c r="J12"/>
  <c r="M15" i="226"/>
  <c r="F20" i="222"/>
  <c r="O17" i="224"/>
  <c r="F11" i="230"/>
  <c r="O19" i="222"/>
  <c r="O19" i="221"/>
  <c r="O13" i="228"/>
  <c r="F19" i="223"/>
  <c r="F17" i="225"/>
  <c r="F13" i="229"/>
  <c r="D17" i="226"/>
  <c r="G17"/>
  <c r="E17" s="1" a="1"/>
  <c r="E17" s="1"/>
  <c r="G15" i="228"/>
  <c r="E15" s="1" a="1"/>
  <c r="E15" s="1"/>
  <c r="D15"/>
  <c r="D14" i="229"/>
  <c r="G14"/>
  <c r="E14" s="1" a="1"/>
  <c r="E14" s="1"/>
  <c r="D11" i="232"/>
  <c r="G11"/>
  <c r="G19" i="224"/>
  <c r="E19" s="1" a="1"/>
  <c r="E19" s="1"/>
  <c r="D19"/>
  <c r="D21" i="221"/>
  <c r="G21"/>
  <c r="E21" s="1" a="1"/>
  <c r="E21" s="1"/>
  <c r="AB20" i="222"/>
  <c r="L20"/>
  <c r="M20" s="1"/>
  <c r="J20"/>
  <c r="I20"/>
  <c r="E11" i="231" a="1"/>
  <c r="E11" s="1"/>
  <c r="F11" s="1"/>
  <c r="N10"/>
  <c r="M11" i="229"/>
  <c r="L19" i="223"/>
  <c r="M19" s="1"/>
  <c r="AB19"/>
  <c r="I19"/>
  <c r="J19"/>
  <c r="O19"/>
  <c r="N17" i="225"/>
  <c r="I17"/>
  <c r="J17"/>
  <c r="AB17"/>
  <c r="L17"/>
  <c r="L13" i="229"/>
  <c r="AB13"/>
  <c r="I13"/>
  <c r="J13"/>
  <c r="N13"/>
  <c r="O15" i="226"/>
  <c r="O18" i="223"/>
  <c r="O14" i="227"/>
  <c r="O20" i="221"/>
  <c r="O18" i="224"/>
  <c r="B16" i="14"/>
  <c r="G15" i="20"/>
  <c r="F13"/>
  <c r="I13"/>
  <c r="J13"/>
  <c r="M12"/>
  <c r="E14" a="1"/>
  <c r="E14" s="1"/>
  <c r="C16" i="14"/>
  <c r="J9"/>
  <c r="D15"/>
  <c r="F13"/>
  <c r="L7"/>
  <c r="E14"/>
  <c r="G12"/>
  <c r="I10"/>
  <c r="D15" i="20"/>
  <c r="AB13"/>
  <c r="L13"/>
  <c r="M13" s="1"/>
  <c r="K8" i="14"/>
  <c r="H11"/>
  <c r="M6"/>
  <c r="N5"/>
  <c r="O4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12" i="20"/>
  <c r="P15"/>
  <c r="O12" i="230" l="1"/>
  <c r="O16" i="226"/>
  <c r="N16"/>
  <c r="O15" i="227"/>
  <c r="F21" i="221"/>
  <c r="F14" i="229"/>
  <c r="F17" i="226"/>
  <c r="D12" i="232"/>
  <c r="G12"/>
  <c r="E12" s="1" a="1"/>
  <c r="E12" s="1"/>
  <c r="G14" i="230"/>
  <c r="E14" s="1" a="1"/>
  <c r="E14" s="1"/>
  <c r="D14"/>
  <c r="G16" i="228"/>
  <c r="E16" s="1" a="1"/>
  <c r="E16" s="1"/>
  <c r="D16"/>
  <c r="G20" i="224"/>
  <c r="E20" s="1" a="1"/>
  <c r="E20" s="1"/>
  <c r="D20"/>
  <c r="D19" i="225"/>
  <c r="G19"/>
  <c r="E19" s="1" a="1"/>
  <c r="E19" s="1"/>
  <c r="D15" i="229"/>
  <c r="G15"/>
  <c r="E15" s="1" a="1"/>
  <c r="E15" s="1"/>
  <c r="D22" i="221"/>
  <c r="G22"/>
  <c r="E22" s="1" a="1"/>
  <c r="E22" s="1"/>
  <c r="J19" i="224"/>
  <c r="L19"/>
  <c r="AB19"/>
  <c r="N19"/>
  <c r="I19"/>
  <c r="M19"/>
  <c r="F10" i="232"/>
  <c r="AB15" i="228"/>
  <c r="I15"/>
  <c r="J15"/>
  <c r="L15"/>
  <c r="M15" s="1"/>
  <c r="M11" i="230"/>
  <c r="AB12" i="231"/>
  <c r="I12"/>
  <c r="J12"/>
  <c r="L12"/>
  <c r="M12" s="1"/>
  <c r="L16" i="227"/>
  <c r="M16" s="1"/>
  <c r="AB16"/>
  <c r="I16"/>
  <c r="J16"/>
  <c r="L13" i="230"/>
  <c r="AB13"/>
  <c r="I13"/>
  <c r="J13"/>
  <c r="N13"/>
  <c r="AB21" i="222"/>
  <c r="L21"/>
  <c r="I21"/>
  <c r="J21"/>
  <c r="AB18" i="225"/>
  <c r="L18"/>
  <c r="M18" s="1"/>
  <c r="N18"/>
  <c r="I18"/>
  <c r="J18"/>
  <c r="L20" i="223"/>
  <c r="AB20"/>
  <c r="I20"/>
  <c r="J20"/>
  <c r="D17" i="227"/>
  <c r="G17"/>
  <c r="E17" s="1" a="1"/>
  <c r="E17" s="1"/>
  <c r="D18" i="226"/>
  <c r="G18"/>
  <c r="E18" s="1" a="1"/>
  <c r="E18" s="1"/>
  <c r="G13" i="231"/>
  <c r="E13" s="1" a="1"/>
  <c r="E13" s="1"/>
  <c r="D13"/>
  <c r="G21" i="223"/>
  <c r="E21" s="1" a="1"/>
  <c r="E21" s="1"/>
  <c r="D21"/>
  <c r="G22" i="222"/>
  <c r="E22" s="1" a="1"/>
  <c r="E22" s="1"/>
  <c r="D22"/>
  <c r="J11" i="231"/>
  <c r="L11"/>
  <c r="O11" s="1"/>
  <c r="AB11"/>
  <c r="I11"/>
  <c r="AB21" i="221"/>
  <c r="L21"/>
  <c r="M21" s="1"/>
  <c r="N21"/>
  <c r="I21"/>
  <c r="J21"/>
  <c r="E11" i="232" a="1"/>
  <c r="E11" s="1"/>
  <c r="N14" i="229"/>
  <c r="I14"/>
  <c r="J14"/>
  <c r="AB14"/>
  <c r="L14"/>
  <c r="M14" s="1"/>
  <c r="AB17" i="226"/>
  <c r="L17"/>
  <c r="M17" s="1"/>
  <c r="I17"/>
  <c r="J17"/>
  <c r="O10" i="231"/>
  <c r="O17" i="225"/>
  <c r="N14" i="228"/>
  <c r="M13" i="229"/>
  <c r="M17" i="225"/>
  <c r="O20" i="222"/>
  <c r="F19" i="224"/>
  <c r="O19" s="1"/>
  <c r="F15" i="228"/>
  <c r="O13" i="229"/>
  <c r="N12" i="230"/>
  <c r="M16" i="226"/>
  <c r="N20" i="221"/>
  <c r="O14" i="228"/>
  <c r="O11" i="230"/>
  <c r="F12" i="231"/>
  <c r="O12" s="1"/>
  <c r="F16" i="227"/>
  <c r="O16" s="1"/>
  <c r="F13" i="230"/>
  <c r="O13" s="1"/>
  <c r="F21" i="222"/>
  <c r="F18" i="225"/>
  <c r="F20" i="223"/>
  <c r="O20" s="1"/>
  <c r="B17" i="14"/>
  <c r="G16" i="20"/>
  <c r="F14"/>
  <c r="I14"/>
  <c r="J14"/>
  <c r="K9" i="14"/>
  <c r="E15" i="20" a="1"/>
  <c r="E15" s="1"/>
  <c r="D16"/>
  <c r="I11" i="14"/>
  <c r="E15"/>
  <c r="L8"/>
  <c r="F14"/>
  <c r="J10"/>
  <c r="C17"/>
  <c r="M7"/>
  <c r="N6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1"/>
  <c r="H12"/>
  <c r="G13"/>
  <c r="D16"/>
  <c r="L14" i="20"/>
  <c r="AB14"/>
  <c r="O13"/>
  <c r="P16"/>
  <c r="F19" i="225" l="1"/>
  <c r="O21" i="221"/>
  <c r="F13" i="231"/>
  <c r="F15" i="229"/>
  <c r="O14"/>
  <c r="F22" i="221"/>
  <c r="D23" i="222"/>
  <c r="G23"/>
  <c r="E23" s="1" a="1"/>
  <c r="E23" s="1"/>
  <c r="G20" i="225"/>
  <c r="E20" s="1" a="1"/>
  <c r="E20" s="1"/>
  <c r="D20"/>
  <c r="D21" i="224"/>
  <c r="G21"/>
  <c r="E21" s="1" a="1"/>
  <c r="E21" s="1"/>
  <c r="G15" i="230"/>
  <c r="E15" s="1" a="1"/>
  <c r="E15" s="1"/>
  <c r="D15"/>
  <c r="O18" i="225"/>
  <c r="M11" i="231"/>
  <c r="N22" i="222"/>
  <c r="I22"/>
  <c r="J22"/>
  <c r="AB22"/>
  <c r="L22"/>
  <c r="M22" s="1"/>
  <c r="AB21" i="223"/>
  <c r="L21"/>
  <c r="M21" s="1"/>
  <c r="I21"/>
  <c r="J21"/>
  <c r="AB13" i="231"/>
  <c r="I13"/>
  <c r="J13"/>
  <c r="L13"/>
  <c r="M21" i="222"/>
  <c r="O10" i="232"/>
  <c r="I20" i="224"/>
  <c r="L20"/>
  <c r="AB20"/>
  <c r="J20"/>
  <c r="N20"/>
  <c r="AB16" i="228"/>
  <c r="I16"/>
  <c r="J16"/>
  <c r="L16"/>
  <c r="I14" i="230"/>
  <c r="J14"/>
  <c r="AB14"/>
  <c r="L14"/>
  <c r="M14" s="1"/>
  <c r="F18" i="226"/>
  <c r="F17" i="227"/>
  <c r="M13" i="230"/>
  <c r="F12" i="232"/>
  <c r="D22" i="223"/>
  <c r="G22"/>
  <c r="E22" s="1" a="1"/>
  <c r="E22" s="1"/>
  <c r="G18" i="227"/>
  <c r="E18" s="1" a="1"/>
  <c r="E18" s="1"/>
  <c r="D18"/>
  <c r="D19" i="226"/>
  <c r="G19"/>
  <c r="E19" s="1" a="1"/>
  <c r="E19" s="1"/>
  <c r="D13" i="232"/>
  <c r="G13"/>
  <c r="E13" s="1" a="1"/>
  <c r="E13" s="1"/>
  <c r="G16" i="229"/>
  <c r="E16" s="1" a="1"/>
  <c r="E16" s="1"/>
  <c r="D16"/>
  <c r="F16" s="1"/>
  <c r="D14" i="231"/>
  <c r="G14"/>
  <c r="E14" s="1" a="1"/>
  <c r="E14" s="1"/>
  <c r="D17" i="228"/>
  <c r="G17"/>
  <c r="E17" s="1" a="1"/>
  <c r="E17" s="1"/>
  <c r="G23" i="221"/>
  <c r="E23" s="1" a="1"/>
  <c r="E23" s="1"/>
  <c r="D23"/>
  <c r="F23" s="1"/>
  <c r="AB11" i="232"/>
  <c r="L11"/>
  <c r="N11"/>
  <c r="I11"/>
  <c r="J11"/>
  <c r="AB18" i="226"/>
  <c r="I18"/>
  <c r="J18"/>
  <c r="L18"/>
  <c r="M18"/>
  <c r="AB17" i="227"/>
  <c r="L17"/>
  <c r="J17"/>
  <c r="N17"/>
  <c r="I17"/>
  <c r="O17"/>
  <c r="J22" i="221"/>
  <c r="L22"/>
  <c r="M22" s="1"/>
  <c r="AB22"/>
  <c r="I22"/>
  <c r="N15" i="229"/>
  <c r="I15"/>
  <c r="J15"/>
  <c r="AB15"/>
  <c r="L15"/>
  <c r="J19" i="225"/>
  <c r="L19"/>
  <c r="M19" s="1"/>
  <c r="AB19"/>
  <c r="N19"/>
  <c r="I19"/>
  <c r="O19"/>
  <c r="J12" i="232"/>
  <c r="L12"/>
  <c r="O12" s="1"/>
  <c r="AB12"/>
  <c r="I12"/>
  <c r="M12"/>
  <c r="O17" i="226"/>
  <c r="F22" i="222"/>
  <c r="O22" s="1"/>
  <c r="F21" i="223"/>
  <c r="O21" s="1"/>
  <c r="N20"/>
  <c r="M20"/>
  <c r="O21" i="222"/>
  <c r="O15" i="228"/>
  <c r="F11" i="232"/>
  <c r="F20" i="224"/>
  <c r="O20" s="1"/>
  <c r="F16" i="228"/>
  <c r="F14" i="230"/>
  <c r="O14" s="1"/>
  <c r="B18" i="14"/>
  <c r="M14" i="20"/>
  <c r="G17"/>
  <c r="F15"/>
  <c r="I15"/>
  <c r="J15"/>
  <c r="O14"/>
  <c r="G14" i="14"/>
  <c r="D17"/>
  <c r="K10"/>
  <c r="H13"/>
  <c r="M8"/>
  <c r="C18"/>
  <c r="J11"/>
  <c r="F15"/>
  <c r="L9"/>
  <c r="E16"/>
  <c r="E16" i="20" a="1"/>
  <c r="E16" s="1"/>
  <c r="D17"/>
  <c r="I12" i="14"/>
  <c r="AB15" i="20"/>
  <c r="L15"/>
  <c r="P17"/>
  <c r="M20" i="224" l="1"/>
  <c r="O22" i="221"/>
  <c r="O13" i="231"/>
  <c r="G17" i="229"/>
  <c r="E17" s="1" a="1"/>
  <c r="E17" s="1"/>
  <c r="D17"/>
  <c r="D16" i="230"/>
  <c r="G16"/>
  <c r="E16" s="1" a="1"/>
  <c r="E16" s="1"/>
  <c r="I17" i="228"/>
  <c r="J17"/>
  <c r="AB17"/>
  <c r="L17"/>
  <c r="J14" i="231"/>
  <c r="L14"/>
  <c r="AB14"/>
  <c r="I14"/>
  <c r="L13" i="232"/>
  <c r="M13" s="1"/>
  <c r="AB13"/>
  <c r="I13"/>
  <c r="J13"/>
  <c r="J19" i="226"/>
  <c r="L19"/>
  <c r="AB19"/>
  <c r="I19"/>
  <c r="AB22" i="223"/>
  <c r="L22"/>
  <c r="M22" s="1"/>
  <c r="I22"/>
  <c r="J22"/>
  <c r="L15" i="230"/>
  <c r="M15" s="1"/>
  <c r="AB15"/>
  <c r="I15"/>
  <c r="J15"/>
  <c r="AB20" i="225"/>
  <c r="I20"/>
  <c r="J20"/>
  <c r="L20"/>
  <c r="M20" s="1"/>
  <c r="O11" i="232"/>
  <c r="F18" i="227"/>
  <c r="O16" i="228"/>
  <c r="N16"/>
  <c r="F21" i="224"/>
  <c r="F23" i="222"/>
  <c r="G18" i="228"/>
  <c r="E18" s="1" a="1"/>
  <c r="E18" s="1"/>
  <c r="D18"/>
  <c r="D15" i="231"/>
  <c r="G15"/>
  <c r="E15" s="1" a="1"/>
  <c r="E15" s="1"/>
  <c r="G14" i="232"/>
  <c r="E14" s="1" a="1"/>
  <c r="E14" s="1"/>
  <c r="D14"/>
  <c r="G20" i="226"/>
  <c r="E20" s="1" a="1"/>
  <c r="E20" s="1"/>
  <c r="D20"/>
  <c r="G22" i="224"/>
  <c r="E22" s="1" a="1"/>
  <c r="E22" s="1"/>
  <c r="D22"/>
  <c r="G21" i="225"/>
  <c r="E21" s="1" a="1"/>
  <c r="E21" s="1"/>
  <c r="D21"/>
  <c r="G24" i="222"/>
  <c r="E24" s="1" a="1"/>
  <c r="E24" s="1"/>
  <c r="D24"/>
  <c r="G19" i="227"/>
  <c r="E19" s="1" a="1"/>
  <c r="E19" s="1"/>
  <c r="D19"/>
  <c r="D23" i="223"/>
  <c r="F23" s="1"/>
  <c r="G23"/>
  <c r="E23" s="1" a="1"/>
  <c r="E23" s="1"/>
  <c r="G24" i="221"/>
  <c r="E24" s="1" a="1"/>
  <c r="E24" s="1"/>
  <c r="D24"/>
  <c r="M17" i="227"/>
  <c r="M11" i="232"/>
  <c r="J23" i="221"/>
  <c r="I23"/>
  <c r="AB23"/>
  <c r="L23"/>
  <c r="O23"/>
  <c r="AB16" i="229"/>
  <c r="L16"/>
  <c r="M16" s="1"/>
  <c r="J16"/>
  <c r="I16"/>
  <c r="J18" i="227"/>
  <c r="L18"/>
  <c r="M18" s="1"/>
  <c r="AB18"/>
  <c r="I18"/>
  <c r="O18" i="226"/>
  <c r="M16" i="228"/>
  <c r="I21" i="224"/>
  <c r="J21"/>
  <c r="AB21"/>
  <c r="L21"/>
  <c r="M21" s="1"/>
  <c r="I23" i="222"/>
  <c r="J23"/>
  <c r="AB23"/>
  <c r="L23"/>
  <c r="M15" i="229"/>
  <c r="F17" i="228"/>
  <c r="O17" s="1"/>
  <c r="F14" i="231"/>
  <c r="F13" i="232"/>
  <c r="O13" s="1"/>
  <c r="F19" i="226"/>
  <c r="F22" i="223"/>
  <c r="O22" s="1"/>
  <c r="O15" i="229"/>
  <c r="N13" i="231"/>
  <c r="M13"/>
  <c r="F15" i="230"/>
  <c r="O15" s="1"/>
  <c r="F20" i="225"/>
  <c r="O20" s="1"/>
  <c r="B19" i="14"/>
  <c r="G18" i="20"/>
  <c r="F16"/>
  <c r="I16"/>
  <c r="J16"/>
  <c r="M15"/>
  <c r="E17" a="1"/>
  <c r="E17" s="1"/>
  <c r="I13" i="14"/>
  <c r="D18" i="20"/>
  <c r="AB16"/>
  <c r="L16"/>
  <c r="L10" i="14"/>
  <c r="J12"/>
  <c r="C19"/>
  <c r="H14"/>
  <c r="K11"/>
  <c r="D18"/>
  <c r="O15" i="20"/>
  <c r="E17" i="14"/>
  <c r="F16"/>
  <c r="M9"/>
  <c r="G15"/>
  <c r="P18" i="20"/>
  <c r="M17" i="228" l="1"/>
  <c r="M23" i="222"/>
  <c r="O16" i="229"/>
  <c r="M23" i="221"/>
  <c r="O18" i="227"/>
  <c r="O19" i="226"/>
  <c r="F15" i="231"/>
  <c r="O21" i="224"/>
  <c r="M19" i="226"/>
  <c r="F17" i="229"/>
  <c r="G15" i="232"/>
  <c r="E15" s="1" a="1"/>
  <c r="E15" s="1"/>
  <c r="D15"/>
  <c r="D23" i="224"/>
  <c r="G23"/>
  <c r="E23" s="1" a="1"/>
  <c r="E23" s="1"/>
  <c r="G24" i="223"/>
  <c r="E24" s="1" a="1"/>
  <c r="E24" s="1"/>
  <c r="D24"/>
  <c r="D20" i="227"/>
  <c r="G20"/>
  <c r="E20" s="1" a="1"/>
  <c r="E20" s="1"/>
  <c r="G18" i="229"/>
  <c r="E18" s="1" a="1"/>
  <c r="E18" s="1"/>
  <c r="D18"/>
  <c r="D25" i="221"/>
  <c r="G25"/>
  <c r="E25" s="1" a="1"/>
  <c r="E25" s="1"/>
  <c r="AB19" i="227"/>
  <c r="J19"/>
  <c r="I19"/>
  <c r="L19"/>
  <c r="M19" s="1"/>
  <c r="N19"/>
  <c r="J21" i="225"/>
  <c r="I21"/>
  <c r="AB21"/>
  <c r="L21"/>
  <c r="M21" s="1"/>
  <c r="AB20" i="226"/>
  <c r="I20"/>
  <c r="J20"/>
  <c r="L20"/>
  <c r="M20" s="1"/>
  <c r="D21"/>
  <c r="G21"/>
  <c r="E21" s="1" a="1"/>
  <c r="E21" s="1"/>
  <c r="G22" i="225"/>
  <c r="E22" s="1" a="1"/>
  <c r="E22" s="1"/>
  <c r="D22"/>
  <c r="D17" i="230"/>
  <c r="G17"/>
  <c r="E17" s="1" a="1"/>
  <c r="E17" s="1"/>
  <c r="D25" i="222"/>
  <c r="G25"/>
  <c r="E25" s="1" a="1"/>
  <c r="E25" s="1"/>
  <c r="G16" i="231"/>
  <c r="E16" s="1" a="1"/>
  <c r="E16" s="1"/>
  <c r="D16"/>
  <c r="F16" s="1"/>
  <c r="D19" i="228"/>
  <c r="G19"/>
  <c r="E19" s="1" a="1"/>
  <c r="E19" s="1"/>
  <c r="J23" i="223"/>
  <c r="L23"/>
  <c r="AB23"/>
  <c r="N23"/>
  <c r="I23"/>
  <c r="M23"/>
  <c r="AB15" i="231"/>
  <c r="L15"/>
  <c r="M15" s="1"/>
  <c r="J15"/>
  <c r="N15"/>
  <c r="I15"/>
  <c r="L17" i="229"/>
  <c r="AB17"/>
  <c r="I17"/>
  <c r="J17"/>
  <c r="O15" i="231"/>
  <c r="N23" i="222"/>
  <c r="N21" i="224"/>
  <c r="F24" i="221"/>
  <c r="F19" i="227"/>
  <c r="O19" s="1"/>
  <c r="F24" i="222"/>
  <c r="F21" i="225"/>
  <c r="O21" s="1"/>
  <c r="F22" i="224"/>
  <c r="F20" i="226"/>
  <c r="O20" s="1"/>
  <c r="F14" i="232"/>
  <c r="F18" i="228"/>
  <c r="O23" i="222"/>
  <c r="N22" i="223"/>
  <c r="N17" i="228"/>
  <c r="F16" i="230"/>
  <c r="J24" i="221"/>
  <c r="L24"/>
  <c r="AB24"/>
  <c r="I24"/>
  <c r="N24" i="222"/>
  <c r="I24"/>
  <c r="J24"/>
  <c r="AB24"/>
  <c r="L24"/>
  <c r="I22" i="224"/>
  <c r="J22"/>
  <c r="AB22"/>
  <c r="L22"/>
  <c r="M22" s="1"/>
  <c r="N14" i="232"/>
  <c r="I14"/>
  <c r="J14"/>
  <c r="AB14"/>
  <c r="L14"/>
  <c r="M14" s="1"/>
  <c r="N18" i="228"/>
  <c r="I18"/>
  <c r="J18"/>
  <c r="AB18"/>
  <c r="L18"/>
  <c r="M18" s="1"/>
  <c r="M14" i="231"/>
  <c r="AB16" i="230"/>
  <c r="N16"/>
  <c r="I16"/>
  <c r="J16"/>
  <c r="L16"/>
  <c r="N19" i="226"/>
  <c r="N13" i="232"/>
  <c r="O14" i="231"/>
  <c r="O17" i="229"/>
  <c r="B20" i="14"/>
  <c r="G19" i="20"/>
  <c r="O16"/>
  <c r="F17"/>
  <c r="I17"/>
  <c r="J17"/>
  <c r="M16"/>
  <c r="G16" i="14"/>
  <c r="M10"/>
  <c r="H15"/>
  <c r="C20"/>
  <c r="J13"/>
  <c r="L11"/>
  <c r="E18" i="20" a="1"/>
  <c r="E18" s="1"/>
  <c r="F17" i="14"/>
  <c r="E18"/>
  <c r="D19"/>
  <c r="K12"/>
  <c r="I14"/>
  <c r="D19" i="20"/>
  <c r="L17"/>
  <c r="AB17"/>
  <c r="P19"/>
  <c r="O16" i="230" l="1"/>
  <c r="O24" i="221"/>
  <c r="O23" i="223"/>
  <c r="M17" i="229"/>
  <c r="F25" i="221"/>
  <c r="F20" i="227"/>
  <c r="F23" i="224"/>
  <c r="G20" i="228"/>
  <c r="E20" s="1" a="1"/>
  <c r="E20" s="1"/>
  <c r="D20"/>
  <c r="D23" i="225"/>
  <c r="G23"/>
  <c r="E23" s="1" a="1"/>
  <c r="E23" s="1"/>
  <c r="G26" i="222"/>
  <c r="E26" s="1" a="1"/>
  <c r="E26" s="1"/>
  <c r="D26"/>
  <c r="G26" i="221"/>
  <c r="E26" s="1" a="1"/>
  <c r="E26" s="1"/>
  <c r="D26"/>
  <c r="D18" i="230"/>
  <c r="G18"/>
  <c r="E18" s="1" a="1"/>
  <c r="E18" s="1"/>
  <c r="G24" i="224"/>
  <c r="E24" s="1" a="1"/>
  <c r="E24" s="1"/>
  <c r="D24"/>
  <c r="D19" i="229"/>
  <c r="G19"/>
  <c r="E19" s="1" a="1"/>
  <c r="E19" s="1"/>
  <c r="G21" i="227"/>
  <c r="E21" s="1" a="1"/>
  <c r="E21" s="1"/>
  <c r="D21"/>
  <c r="D22" i="226"/>
  <c r="G22"/>
  <c r="E22" s="1" a="1"/>
  <c r="E22" s="1"/>
  <c r="I16" i="231"/>
  <c r="J16"/>
  <c r="AB16"/>
  <c r="L16"/>
  <c r="M16"/>
  <c r="N22" i="225"/>
  <c r="I22"/>
  <c r="J22"/>
  <c r="AB22"/>
  <c r="L22"/>
  <c r="M22"/>
  <c r="AB18" i="229"/>
  <c r="L18"/>
  <c r="M18" s="1"/>
  <c r="N18"/>
  <c r="I18"/>
  <c r="J18"/>
  <c r="AB24" i="223"/>
  <c r="L24"/>
  <c r="M24" s="1"/>
  <c r="I24"/>
  <c r="J24"/>
  <c r="AB15" i="232"/>
  <c r="L15"/>
  <c r="M15"/>
  <c r="I15"/>
  <c r="J15"/>
  <c r="M24" i="222"/>
  <c r="M24" i="221"/>
  <c r="O14" i="232"/>
  <c r="O22" i="224"/>
  <c r="O24" i="222"/>
  <c r="F19" i="228"/>
  <c r="F25" i="222"/>
  <c r="F17" i="230"/>
  <c r="F21" i="226"/>
  <c r="G25" i="223"/>
  <c r="E25" s="1" a="1"/>
  <c r="E25" s="1"/>
  <c r="D25"/>
  <c r="D17" i="231"/>
  <c r="G17"/>
  <c r="E17" s="1" a="1"/>
  <c r="E17" s="1"/>
  <c r="G16" i="232"/>
  <c r="E16" s="1" a="1"/>
  <c r="E16" s="1"/>
  <c r="D16"/>
  <c r="M16" i="230"/>
  <c r="AB19" i="228"/>
  <c r="I19"/>
  <c r="J19"/>
  <c r="L19"/>
  <c r="O19" s="1"/>
  <c r="J25" i="222"/>
  <c r="L25"/>
  <c r="M25" s="1"/>
  <c r="AB25"/>
  <c r="N25"/>
  <c r="I25"/>
  <c r="O25"/>
  <c r="AB17" i="230"/>
  <c r="I17"/>
  <c r="J17"/>
  <c r="L17"/>
  <c r="M17" s="1"/>
  <c r="J21" i="226"/>
  <c r="L21"/>
  <c r="O21" s="1"/>
  <c r="AB21"/>
  <c r="N21"/>
  <c r="I21"/>
  <c r="M21"/>
  <c r="AB25" i="221"/>
  <c r="I25"/>
  <c r="L25"/>
  <c r="J25"/>
  <c r="N25"/>
  <c r="J20" i="227"/>
  <c r="I20"/>
  <c r="AB20"/>
  <c r="L20"/>
  <c r="N20"/>
  <c r="L23" i="224"/>
  <c r="M23" s="1"/>
  <c r="AB23"/>
  <c r="I23"/>
  <c r="J23"/>
  <c r="O18" i="228"/>
  <c r="O16" i="231"/>
  <c r="F22" i="225"/>
  <c r="O22" s="1"/>
  <c r="F18" i="229"/>
  <c r="O18" s="1"/>
  <c r="F24" i="223"/>
  <c r="O24" s="1"/>
  <c r="F15" i="232"/>
  <c r="B21" i="14"/>
  <c r="G20" i="20"/>
  <c r="M17"/>
  <c r="I18"/>
  <c r="J18"/>
  <c r="O17"/>
  <c r="D20" i="14"/>
  <c r="AB18" i="20"/>
  <c r="L18"/>
  <c r="L12" i="14"/>
  <c r="M11"/>
  <c r="E19" i="20" a="1"/>
  <c r="E19" s="1"/>
  <c r="I15" i="14"/>
  <c r="D20" i="20"/>
  <c r="K13" i="14"/>
  <c r="E19"/>
  <c r="F18"/>
  <c r="J14"/>
  <c r="C21"/>
  <c r="H16"/>
  <c r="G17"/>
  <c r="F18" i="20"/>
  <c r="P20"/>
  <c r="M19" i="228" l="1"/>
  <c r="O25" i="221"/>
  <c r="O20" i="227"/>
  <c r="M25" i="221"/>
  <c r="M20" i="227"/>
  <c r="O17" i="230"/>
  <c r="F26" i="222"/>
  <c r="G23" i="226"/>
  <c r="E23" s="1" a="1"/>
  <c r="E23" s="1"/>
  <c r="D23"/>
  <c r="D27" i="222"/>
  <c r="G27"/>
  <c r="E27" s="1" a="1"/>
  <c r="E27" s="1"/>
  <c r="G24" i="225"/>
  <c r="E24" s="1" a="1"/>
  <c r="E24" s="1"/>
  <c r="D24"/>
  <c r="G19" i="230"/>
  <c r="E19" s="1" a="1"/>
  <c r="E19" s="1"/>
  <c r="D19"/>
  <c r="D21" i="228"/>
  <c r="F21" s="1"/>
  <c r="G21"/>
  <c r="E21" s="1" a="1"/>
  <c r="E21" s="1"/>
  <c r="G17" i="232"/>
  <c r="E17" s="1" a="1"/>
  <c r="E17" s="1"/>
  <c r="D17"/>
  <c r="D26" i="223"/>
  <c r="F26" s="1"/>
  <c r="G26"/>
  <c r="E26" s="1" a="1"/>
  <c r="E26" s="1"/>
  <c r="G27" i="221"/>
  <c r="E27" s="1" a="1"/>
  <c r="E27" s="1"/>
  <c r="D27"/>
  <c r="AB16" i="232"/>
  <c r="L16"/>
  <c r="M16"/>
  <c r="I16"/>
  <c r="J16"/>
  <c r="AB25" i="223"/>
  <c r="L25"/>
  <c r="M25" s="1"/>
  <c r="I25"/>
  <c r="J25"/>
  <c r="AB22" i="226"/>
  <c r="L22"/>
  <c r="J22"/>
  <c r="N22"/>
  <c r="I22"/>
  <c r="I19" i="229"/>
  <c r="AB19"/>
  <c r="L19"/>
  <c r="J19"/>
  <c r="AB18" i="230"/>
  <c r="N18"/>
  <c r="I18"/>
  <c r="J18"/>
  <c r="L18"/>
  <c r="AB23" i="225"/>
  <c r="L23"/>
  <c r="M23" s="1"/>
  <c r="I23"/>
  <c r="J23"/>
  <c r="F17" i="231"/>
  <c r="F21" i="227"/>
  <c r="F24" i="224"/>
  <c r="F26" i="221"/>
  <c r="F20" i="228"/>
  <c r="G22" i="227"/>
  <c r="E22" s="1" a="1"/>
  <c r="E22" s="1"/>
  <c r="D22"/>
  <c r="G20" i="229"/>
  <c r="E20" s="1" a="1"/>
  <c r="E20" s="1"/>
  <c r="D20"/>
  <c r="D25" i="224"/>
  <c r="G25"/>
  <c r="E25" s="1" a="1"/>
  <c r="E25" s="1"/>
  <c r="G18" i="231"/>
  <c r="E18" s="1" a="1"/>
  <c r="E18" s="1"/>
  <c r="D18"/>
  <c r="O15" i="232"/>
  <c r="AB17" i="231"/>
  <c r="L17"/>
  <c r="M17" s="1"/>
  <c r="I17"/>
  <c r="J17"/>
  <c r="AB21" i="227"/>
  <c r="L21"/>
  <c r="M21" s="1"/>
  <c r="I21"/>
  <c r="J21"/>
  <c r="N24" i="224"/>
  <c r="I24"/>
  <c r="J24"/>
  <c r="AB24"/>
  <c r="L24"/>
  <c r="M24" s="1"/>
  <c r="AB26" i="221"/>
  <c r="L26"/>
  <c r="M26" s="1"/>
  <c r="N26"/>
  <c r="I26"/>
  <c r="J26"/>
  <c r="J26" i="222"/>
  <c r="L26"/>
  <c r="M26" s="1"/>
  <c r="AB26"/>
  <c r="I26"/>
  <c r="L20" i="228"/>
  <c r="J20"/>
  <c r="AB20"/>
  <c r="I20"/>
  <c r="O20"/>
  <c r="O23" i="224"/>
  <c r="F16" i="232"/>
  <c r="O16" s="1"/>
  <c r="F25" i="223"/>
  <c r="O25" s="1"/>
  <c r="N15" i="232"/>
  <c r="N24" i="223"/>
  <c r="N16" i="231"/>
  <c r="F22" i="226"/>
  <c r="O22" s="1"/>
  <c r="F19" i="229"/>
  <c r="O19" s="1"/>
  <c r="F18" i="230"/>
  <c r="O18" s="1"/>
  <c r="F23" i="225"/>
  <c r="O23" s="1"/>
  <c r="B22" i="14"/>
  <c r="G21" i="20"/>
  <c r="F19"/>
  <c r="I19"/>
  <c r="J19"/>
  <c r="O18"/>
  <c r="E20" a="1"/>
  <c r="E20" s="1"/>
  <c r="G18" i="14"/>
  <c r="H17"/>
  <c r="C22"/>
  <c r="J15"/>
  <c r="F19"/>
  <c r="E20"/>
  <c r="K14"/>
  <c r="I16"/>
  <c r="D21" i="20"/>
  <c r="L19"/>
  <c r="M19" s="1"/>
  <c r="AB19"/>
  <c r="M12" i="14"/>
  <c r="L13"/>
  <c r="D21"/>
  <c r="M18" i="20"/>
  <c r="P21"/>
  <c r="O26" i="222" l="1"/>
  <c r="O24" i="224"/>
  <c r="N21" i="227"/>
  <c r="M18" i="230"/>
  <c r="M22" i="226"/>
  <c r="O17" i="231"/>
  <c r="M20" i="228"/>
  <c r="F25" i="224"/>
  <c r="F27" i="222"/>
  <c r="G27" i="223"/>
  <c r="E27" s="1" a="1"/>
  <c r="E27" s="1"/>
  <c r="D27"/>
  <c r="D18" i="232"/>
  <c r="G18"/>
  <c r="E18" s="1" a="1"/>
  <c r="E18" s="1"/>
  <c r="G22" i="228"/>
  <c r="E22" s="1" a="1"/>
  <c r="E22" s="1"/>
  <c r="D22"/>
  <c r="G26" i="224"/>
  <c r="E26" s="1" a="1"/>
  <c r="E26" s="1"/>
  <c r="D26"/>
  <c r="G21" i="229"/>
  <c r="E21" s="1" a="1"/>
  <c r="E21" s="1"/>
  <c r="D21"/>
  <c r="D23" i="227"/>
  <c r="F23" s="1"/>
  <c r="G23"/>
  <c r="E23" s="1" a="1"/>
  <c r="E23" s="1"/>
  <c r="G28" i="221"/>
  <c r="E28" s="1" a="1"/>
  <c r="E28" s="1"/>
  <c r="D28"/>
  <c r="I18" i="231"/>
  <c r="J18"/>
  <c r="AB18"/>
  <c r="L18"/>
  <c r="M18" s="1"/>
  <c r="D19"/>
  <c r="G19"/>
  <c r="E19" s="1" a="1"/>
  <c r="E19" s="1"/>
  <c r="D20" i="230"/>
  <c r="G20"/>
  <c r="E20" s="1" a="1"/>
  <c r="E20" s="1"/>
  <c r="D25" i="225"/>
  <c r="G25"/>
  <c r="E25" s="1" a="1"/>
  <c r="E25" s="1"/>
  <c r="D28" i="222"/>
  <c r="G28"/>
  <c r="E28" s="1" a="1"/>
  <c r="E28" s="1"/>
  <c r="D24" i="226"/>
  <c r="G24"/>
  <c r="E24" s="1" a="1"/>
  <c r="E24" s="1"/>
  <c r="AB25" i="224"/>
  <c r="I25"/>
  <c r="J25"/>
  <c r="L25"/>
  <c r="M25" s="1"/>
  <c r="J26" i="223"/>
  <c r="I26"/>
  <c r="AB26"/>
  <c r="L26"/>
  <c r="M26" s="1"/>
  <c r="J21" i="228"/>
  <c r="L21"/>
  <c r="AB21"/>
  <c r="N21"/>
  <c r="I21"/>
  <c r="O21"/>
  <c r="AB27" i="222"/>
  <c r="L27"/>
  <c r="J27"/>
  <c r="I27"/>
  <c r="N17" i="231"/>
  <c r="F18"/>
  <c r="O18" s="1"/>
  <c r="F20" i="229"/>
  <c r="F22" i="227"/>
  <c r="O26" i="221"/>
  <c r="O21" i="227"/>
  <c r="M19" i="229"/>
  <c r="F27" i="221"/>
  <c r="F17" i="232"/>
  <c r="F19" i="230"/>
  <c r="F24" i="225"/>
  <c r="F23" i="226"/>
  <c r="L20" i="229"/>
  <c r="M20" s="1"/>
  <c r="AB20"/>
  <c r="I20"/>
  <c r="J20"/>
  <c r="N20"/>
  <c r="AB22" i="227"/>
  <c r="L22"/>
  <c r="M22" s="1"/>
  <c r="I22"/>
  <c r="J22"/>
  <c r="AB27" i="221"/>
  <c r="J27"/>
  <c r="I27"/>
  <c r="L27"/>
  <c r="M27" s="1"/>
  <c r="N27"/>
  <c r="L17" i="232"/>
  <c r="AB17"/>
  <c r="I17"/>
  <c r="J17"/>
  <c r="N19" i="230"/>
  <c r="J19"/>
  <c r="AB19"/>
  <c r="I19"/>
  <c r="L19"/>
  <c r="J24" i="225"/>
  <c r="L24"/>
  <c r="AB24"/>
  <c r="I24"/>
  <c r="N23" i="226"/>
  <c r="I23"/>
  <c r="J23"/>
  <c r="AB23"/>
  <c r="L23"/>
  <c r="M23" s="1"/>
  <c r="B23" i="14"/>
  <c r="G22" i="20"/>
  <c r="F20"/>
  <c r="I20"/>
  <c r="J20"/>
  <c r="O19"/>
  <c r="D22" i="14"/>
  <c r="C23"/>
  <c r="AB20" i="20"/>
  <c r="L20"/>
  <c r="M13" i="14"/>
  <c r="E21" i="20" a="1"/>
  <c r="E21" s="1"/>
  <c r="L14" i="14"/>
  <c r="I17"/>
  <c r="D22" i="20"/>
  <c r="K15" i="14"/>
  <c r="E21"/>
  <c r="F20"/>
  <c r="J16"/>
  <c r="H18"/>
  <c r="G19"/>
  <c r="P22" i="20"/>
  <c r="M24" i="225" l="1"/>
  <c r="O19" i="230"/>
  <c r="O25" i="224"/>
  <c r="M27" i="222"/>
  <c r="O24" i="225"/>
  <c r="O27" i="221"/>
  <c r="O27" i="222"/>
  <c r="F18" i="232"/>
  <c r="N24" i="225"/>
  <c r="O26" i="223"/>
  <c r="F28" i="222"/>
  <c r="F25" i="225"/>
  <c r="F20" i="230"/>
  <c r="F19" i="231"/>
  <c r="G22" i="229"/>
  <c r="E22" s="1" a="1"/>
  <c r="E22" s="1"/>
  <c r="D22"/>
  <c r="D27" i="224"/>
  <c r="G27"/>
  <c r="E27" s="1" a="1"/>
  <c r="E27" s="1"/>
  <c r="D28" i="223"/>
  <c r="G28"/>
  <c r="E28" s="1" a="1"/>
  <c r="E28" s="1"/>
  <c r="D29" i="221"/>
  <c r="G29"/>
  <c r="E29" s="1" a="1"/>
  <c r="E29" s="1"/>
  <c r="I28"/>
  <c r="J28"/>
  <c r="AB28"/>
  <c r="L28"/>
  <c r="M28" s="1"/>
  <c r="N21" i="229"/>
  <c r="I21"/>
  <c r="AB21"/>
  <c r="L21"/>
  <c r="M21" s="1"/>
  <c r="J21"/>
  <c r="AB26" i="224"/>
  <c r="N26"/>
  <c r="I26"/>
  <c r="J26"/>
  <c r="L26"/>
  <c r="J22" i="228"/>
  <c r="L22"/>
  <c r="M22" s="1"/>
  <c r="AB22"/>
  <c r="I22"/>
  <c r="L27" i="223"/>
  <c r="M27" s="1"/>
  <c r="AB27"/>
  <c r="I27"/>
  <c r="J27"/>
  <c r="N27"/>
  <c r="O23" i="226"/>
  <c r="F24"/>
  <c r="G25"/>
  <c r="E25" s="1" a="1"/>
  <c r="E25" s="1"/>
  <c r="D25"/>
  <c r="D20" i="231"/>
  <c r="F20" s="1"/>
  <c r="G20"/>
  <c r="E20" s="1" a="1"/>
  <c r="E20" s="1"/>
  <c r="D19" i="232"/>
  <c r="G19"/>
  <c r="E19" s="1" a="1"/>
  <c r="E19" s="1"/>
  <c r="D24" i="227"/>
  <c r="G24"/>
  <c r="E24" s="1" a="1"/>
  <c r="E24" s="1"/>
  <c r="G26" i="225"/>
  <c r="E26" s="1" a="1"/>
  <c r="E26" s="1"/>
  <c r="D26"/>
  <c r="D21" i="230"/>
  <c r="G21"/>
  <c r="E21" s="1" a="1"/>
  <c r="E21" s="1"/>
  <c r="D23" i="228"/>
  <c r="G23"/>
  <c r="E23" s="1" a="1"/>
  <c r="E23" s="1"/>
  <c r="D29" i="222"/>
  <c r="G29"/>
  <c r="E29" s="1" a="1"/>
  <c r="E29" s="1"/>
  <c r="M21" i="228"/>
  <c r="AB24" i="226"/>
  <c r="L24"/>
  <c r="M24" s="1"/>
  <c r="I24"/>
  <c r="J24"/>
  <c r="I28" i="222"/>
  <c r="J28"/>
  <c r="AB28"/>
  <c r="L28"/>
  <c r="O28" s="1"/>
  <c r="J25" i="225"/>
  <c r="L25"/>
  <c r="AB25"/>
  <c r="N25"/>
  <c r="I25"/>
  <c r="M25"/>
  <c r="AB20" i="230"/>
  <c r="I20"/>
  <c r="J20"/>
  <c r="L20"/>
  <c r="M20" s="1"/>
  <c r="N20"/>
  <c r="J19" i="231"/>
  <c r="I19"/>
  <c r="AB19"/>
  <c r="L19"/>
  <c r="M19" s="1"/>
  <c r="L23" i="227"/>
  <c r="AB23"/>
  <c r="I23"/>
  <c r="J23"/>
  <c r="AB18" i="232"/>
  <c r="L18"/>
  <c r="N18"/>
  <c r="I18"/>
  <c r="J18"/>
  <c r="M19" i="230"/>
  <c r="M17" i="232"/>
  <c r="O22" i="227"/>
  <c r="O17" i="232"/>
  <c r="O20" i="229"/>
  <c r="F28" i="221"/>
  <c r="O28" s="1"/>
  <c r="F21" i="229"/>
  <c r="O21" s="1"/>
  <c r="F26" i="224"/>
  <c r="O26" s="1"/>
  <c r="F22" i="228"/>
  <c r="O22" s="1"/>
  <c r="F27" i="223"/>
  <c r="O27" s="1"/>
  <c r="B24" i="14"/>
  <c r="G23" i="20"/>
  <c r="O20"/>
  <c r="I21"/>
  <c r="J21"/>
  <c r="M20"/>
  <c r="H19" i="14"/>
  <c r="F21"/>
  <c r="E22"/>
  <c r="K16"/>
  <c r="L15"/>
  <c r="AB21" i="20"/>
  <c r="L21"/>
  <c r="M21" s="1"/>
  <c r="F21"/>
  <c r="G20" i="14"/>
  <c r="J17"/>
  <c r="E22" i="20" a="1"/>
  <c r="E22" s="1"/>
  <c r="I18" i="14"/>
  <c r="D23" i="20"/>
  <c r="M14" i="14"/>
  <c r="C24"/>
  <c r="D23"/>
  <c r="P23" i="20"/>
  <c r="O25" i="225" l="1"/>
  <c r="F21" i="230"/>
  <c r="F24" i="227"/>
  <c r="F19" i="232"/>
  <c r="O23" i="227"/>
  <c r="M23"/>
  <c r="F23" i="228"/>
  <c r="D30" i="222"/>
  <c r="G30"/>
  <c r="E30" s="1" a="1"/>
  <c r="E30" s="1"/>
  <c r="G21" i="231"/>
  <c r="E21" s="1" a="1"/>
  <c r="E21" s="1"/>
  <c r="D21"/>
  <c r="G28" i="224"/>
  <c r="E28" s="1" a="1"/>
  <c r="E28" s="1"/>
  <c r="D28"/>
  <c r="G25" i="227"/>
  <c r="E25" s="1" a="1"/>
  <c r="E25" s="1"/>
  <c r="D25"/>
  <c r="D30" i="221"/>
  <c r="F30" s="1"/>
  <c r="G30"/>
  <c r="E30" s="1" a="1"/>
  <c r="E30" s="1"/>
  <c r="N29" i="222"/>
  <c r="I29"/>
  <c r="J29"/>
  <c r="AB29"/>
  <c r="L29"/>
  <c r="M29" s="1"/>
  <c r="I23" i="228"/>
  <c r="J23"/>
  <c r="AB23"/>
  <c r="L23"/>
  <c r="M23" s="1"/>
  <c r="AB21" i="230"/>
  <c r="I21"/>
  <c r="J21"/>
  <c r="L21"/>
  <c r="M21" s="1"/>
  <c r="N24" i="227"/>
  <c r="I24"/>
  <c r="J24"/>
  <c r="AB24"/>
  <c r="L24"/>
  <c r="M24" s="1"/>
  <c r="O24"/>
  <c r="J19" i="232"/>
  <c r="L19"/>
  <c r="M19" s="1"/>
  <c r="AB19"/>
  <c r="I19"/>
  <c r="AB20" i="231"/>
  <c r="I20"/>
  <c r="J20"/>
  <c r="L20"/>
  <c r="N20"/>
  <c r="M26" i="224"/>
  <c r="AB22" i="229"/>
  <c r="L22"/>
  <c r="M22" s="1"/>
  <c r="I22"/>
  <c r="J22"/>
  <c r="F26" i="225"/>
  <c r="F25" i="226"/>
  <c r="N28" i="221"/>
  <c r="F29"/>
  <c r="F28" i="223"/>
  <c r="F27" i="224"/>
  <c r="G26" i="226"/>
  <c r="E26" s="1" a="1"/>
  <c r="E26" s="1"/>
  <c r="D26"/>
  <c r="D29" i="223"/>
  <c r="G29"/>
  <c r="E29" s="1" a="1"/>
  <c r="E29" s="1"/>
  <c r="D20" i="232"/>
  <c r="G20"/>
  <c r="E20" s="1" a="1"/>
  <c r="E20" s="1"/>
  <c r="D24" i="228"/>
  <c r="G24"/>
  <c r="E24" s="1" a="1"/>
  <c r="E24" s="1"/>
  <c r="D23" i="229"/>
  <c r="G23"/>
  <c r="E23" s="1" a="1"/>
  <c r="E23" s="1"/>
  <c r="G22" i="230"/>
  <c r="E22" s="1" a="1"/>
  <c r="E22" s="1"/>
  <c r="D22"/>
  <c r="F22" s="1"/>
  <c r="G27" i="225"/>
  <c r="E27" s="1" a="1"/>
  <c r="E27" s="1"/>
  <c r="D27"/>
  <c r="J26"/>
  <c r="L26"/>
  <c r="M26" s="1"/>
  <c r="AB26"/>
  <c r="N26"/>
  <c r="I26"/>
  <c r="O26"/>
  <c r="L25" i="226"/>
  <c r="J25"/>
  <c r="AB25"/>
  <c r="I25"/>
  <c r="M25"/>
  <c r="AB29" i="221"/>
  <c r="L29"/>
  <c r="M29" s="1"/>
  <c r="I29"/>
  <c r="J29"/>
  <c r="I28" i="223"/>
  <c r="J28"/>
  <c r="AB28"/>
  <c r="L28"/>
  <c r="M28" s="1"/>
  <c r="J27" i="224"/>
  <c r="I27"/>
  <c r="AB27"/>
  <c r="L27"/>
  <c r="M27" s="1"/>
  <c r="N27"/>
  <c r="O18" i="232"/>
  <c r="M18"/>
  <c r="O19" i="231"/>
  <c r="O20" i="230"/>
  <c r="M28" i="222"/>
  <c r="O24" i="226"/>
  <c r="F29" i="222"/>
  <c r="O29" s="1"/>
  <c r="O23" i="228"/>
  <c r="O20" i="231"/>
  <c r="F22" i="229"/>
  <c r="O22" s="1"/>
  <c r="B25" i="14"/>
  <c r="G24" i="20"/>
  <c r="F22"/>
  <c r="I22"/>
  <c r="J22"/>
  <c r="C25" i="14"/>
  <c r="M15"/>
  <c r="J18"/>
  <c r="G21"/>
  <c r="K17"/>
  <c r="E23"/>
  <c r="D24"/>
  <c r="E23" i="20" a="1"/>
  <c r="E23" s="1"/>
  <c r="I19" i="14"/>
  <c r="D24" i="20"/>
  <c r="L22"/>
  <c r="M22" s="1"/>
  <c r="AB22"/>
  <c r="L16" i="14"/>
  <c r="F22"/>
  <c r="H20"/>
  <c r="O21" i="20"/>
  <c r="P24"/>
  <c r="F21" i="231" l="1"/>
  <c r="O27" i="224"/>
  <c r="O19" i="232"/>
  <c r="O21" i="230"/>
  <c r="F27" i="225"/>
  <c r="F26" i="226"/>
  <c r="D30" i="223"/>
  <c r="G30"/>
  <c r="E30" s="1" a="1"/>
  <c r="E30" s="1"/>
  <c r="D24" i="229"/>
  <c r="G24"/>
  <c r="E24" s="1" a="1"/>
  <c r="E24" s="1"/>
  <c r="AB23"/>
  <c r="L23"/>
  <c r="M23" s="1"/>
  <c r="I23"/>
  <c r="J23"/>
  <c r="AB24" i="228"/>
  <c r="L24"/>
  <c r="J24"/>
  <c r="I24"/>
  <c r="AB20" i="232"/>
  <c r="I20"/>
  <c r="J20"/>
  <c r="L20"/>
  <c r="M20" s="1"/>
  <c r="N29" i="223"/>
  <c r="I29"/>
  <c r="J29"/>
  <c r="AB29"/>
  <c r="L29"/>
  <c r="M29" s="1"/>
  <c r="I25" i="227"/>
  <c r="J25"/>
  <c r="AB25"/>
  <c r="L25"/>
  <c r="M25" s="1"/>
  <c r="AB28" i="224"/>
  <c r="L28"/>
  <c r="M28" s="1"/>
  <c r="I28"/>
  <c r="J28"/>
  <c r="J21" i="231"/>
  <c r="L21"/>
  <c r="O21" s="1"/>
  <c r="AB21"/>
  <c r="I21"/>
  <c r="N22" i="229"/>
  <c r="F30" i="222"/>
  <c r="D26" i="227"/>
  <c r="G26"/>
  <c r="E26" s="1" a="1"/>
  <c r="E26" s="1"/>
  <c r="G22" i="231"/>
  <c r="E22" s="1" a="1"/>
  <c r="E22" s="1"/>
  <c r="D22"/>
  <c r="G25" i="228"/>
  <c r="E25" s="1" a="1"/>
  <c r="E25" s="1"/>
  <c r="D25"/>
  <c r="D23" i="230"/>
  <c r="G23"/>
  <c r="E23" s="1" a="1"/>
  <c r="E23" s="1"/>
  <c r="G31" i="222"/>
  <c r="E31" s="1" a="1"/>
  <c r="E31" s="1"/>
  <c r="D31"/>
  <c r="G28" i="225"/>
  <c r="E28" s="1" a="1"/>
  <c r="E28" s="1"/>
  <c r="D28"/>
  <c r="G29" i="224"/>
  <c r="E29" s="1" a="1"/>
  <c r="E29" s="1"/>
  <c r="D29"/>
  <c r="D27" i="226"/>
  <c r="G27"/>
  <c r="E27" s="1" a="1"/>
  <c r="E27" s="1"/>
  <c r="G21" i="232"/>
  <c r="E21" s="1" a="1"/>
  <c r="E21" s="1"/>
  <c r="D21"/>
  <c r="D31" i="221"/>
  <c r="G31"/>
  <c r="E31" s="1" a="1"/>
  <c r="E31" s="1"/>
  <c r="L27" i="225"/>
  <c r="AB27"/>
  <c r="J27"/>
  <c r="I27"/>
  <c r="M27"/>
  <c r="AB22" i="230"/>
  <c r="I22"/>
  <c r="L22"/>
  <c r="O22" s="1"/>
  <c r="J22"/>
  <c r="N26" i="226"/>
  <c r="I26"/>
  <c r="J26"/>
  <c r="AB26"/>
  <c r="L26"/>
  <c r="AB30" i="221"/>
  <c r="I30"/>
  <c r="J30"/>
  <c r="L30"/>
  <c r="M30" s="1"/>
  <c r="O30"/>
  <c r="N30" i="222"/>
  <c r="I30"/>
  <c r="J30"/>
  <c r="AB30"/>
  <c r="L30"/>
  <c r="M30" s="1"/>
  <c r="O29" i="221"/>
  <c r="F23" i="229"/>
  <c r="O23" s="1"/>
  <c r="F24" i="228"/>
  <c r="O24" s="1"/>
  <c r="F20" i="232"/>
  <c r="O20" s="1"/>
  <c r="F29" i="223"/>
  <c r="O29" s="1"/>
  <c r="O28"/>
  <c r="O25" i="226"/>
  <c r="M20" i="231"/>
  <c r="N23" i="228"/>
  <c r="F25" i="227"/>
  <c r="O25" s="1"/>
  <c r="F28" i="224"/>
  <c r="O28" s="1"/>
  <c r="B26" i="14"/>
  <c r="G25" i="20"/>
  <c r="I23"/>
  <c r="J23"/>
  <c r="O22"/>
  <c r="L17" i="14"/>
  <c r="D25" i="20"/>
  <c r="I20" i="14"/>
  <c r="L23" i="20"/>
  <c r="AB23"/>
  <c r="D25" i="14"/>
  <c r="K18"/>
  <c r="J19"/>
  <c r="M16"/>
  <c r="C26"/>
  <c r="F23" i="20"/>
  <c r="H21" i="14"/>
  <c r="F23"/>
  <c r="E24" i="20" a="1"/>
  <c r="E24" s="1"/>
  <c r="E24" i="14"/>
  <c r="G22"/>
  <c r="P25" i="20"/>
  <c r="M22" i="230" l="1"/>
  <c r="M24" i="228"/>
  <c r="O27" i="225"/>
  <c r="F28"/>
  <c r="F31" i="222"/>
  <c r="F25" i="228"/>
  <c r="F22" i="231"/>
  <c r="O30" i="222"/>
  <c r="M21" i="231"/>
  <c r="F21" i="232"/>
  <c r="F29" i="224"/>
  <c r="D32" i="222"/>
  <c r="G32"/>
  <c r="E32" s="1" a="1"/>
  <c r="E32" s="1"/>
  <c r="G31" i="223"/>
  <c r="E31" s="1" a="1"/>
  <c r="E31" s="1"/>
  <c r="D31"/>
  <c r="F31" s="1"/>
  <c r="G32" i="221"/>
  <c r="E32" s="1" a="1"/>
  <c r="E32" s="1"/>
  <c r="D32"/>
  <c r="I31"/>
  <c r="J31"/>
  <c r="AB31"/>
  <c r="L31"/>
  <c r="J27" i="226"/>
  <c r="I27"/>
  <c r="AB27"/>
  <c r="L27"/>
  <c r="M27" s="1"/>
  <c r="AB23" i="230"/>
  <c r="I23"/>
  <c r="J23"/>
  <c r="L23"/>
  <c r="AB26" i="227"/>
  <c r="I26"/>
  <c r="J26"/>
  <c r="L26"/>
  <c r="AB24" i="229"/>
  <c r="I24"/>
  <c r="J24"/>
  <c r="L24"/>
  <c r="M24" s="1"/>
  <c r="N30" i="223"/>
  <c r="I30"/>
  <c r="J30"/>
  <c r="AB30"/>
  <c r="L30"/>
  <c r="M30" s="1"/>
  <c r="N28" i="224"/>
  <c r="N24" i="228"/>
  <c r="G28" i="226"/>
  <c r="E28" s="1" a="1"/>
  <c r="E28" s="1"/>
  <c r="D28"/>
  <c r="G27" i="227"/>
  <c r="E27" s="1" a="1"/>
  <c r="E27" s="1"/>
  <c r="D27"/>
  <c r="G25" i="229"/>
  <c r="E25" s="1" a="1"/>
  <c r="E25" s="1"/>
  <c r="D25"/>
  <c r="G30" i="224"/>
  <c r="E30" s="1" a="1"/>
  <c r="E30" s="1"/>
  <c r="D30"/>
  <c r="D29" i="225"/>
  <c r="F29" s="1"/>
  <c r="G29"/>
  <c r="E29" s="1" a="1"/>
  <c r="E29" s="1"/>
  <c r="D22" i="232"/>
  <c r="G22"/>
  <c r="E22" s="1" a="1"/>
  <c r="E22" s="1"/>
  <c r="G24" i="230"/>
  <c r="E24" s="1" a="1"/>
  <c r="E24" s="1"/>
  <c r="D24"/>
  <c r="G26" i="228"/>
  <c r="E26" s="1" a="1"/>
  <c r="E26" s="1"/>
  <c r="D26"/>
  <c r="G23" i="231"/>
  <c r="E23" s="1" a="1"/>
  <c r="E23" s="1"/>
  <c r="D23"/>
  <c r="J21" i="232"/>
  <c r="L21"/>
  <c r="AB21"/>
  <c r="N21"/>
  <c r="I21"/>
  <c r="M21"/>
  <c r="O21"/>
  <c r="AB29" i="224"/>
  <c r="L29"/>
  <c r="M29" s="1"/>
  <c r="I29"/>
  <c r="J29"/>
  <c r="AB28" i="225"/>
  <c r="I28"/>
  <c r="J28"/>
  <c r="L28"/>
  <c r="M28" s="1"/>
  <c r="N31" i="222"/>
  <c r="I31"/>
  <c r="J31"/>
  <c r="AB31"/>
  <c r="L31"/>
  <c r="M31" s="1"/>
  <c r="I25" i="228"/>
  <c r="J25"/>
  <c r="AB25"/>
  <c r="L25"/>
  <c r="M25" s="1"/>
  <c r="I22" i="231"/>
  <c r="J22"/>
  <c r="AB22"/>
  <c r="L22"/>
  <c r="M22" s="1"/>
  <c r="M26" i="226"/>
  <c r="F31" i="221"/>
  <c r="O31" s="1"/>
  <c r="F27" i="226"/>
  <c r="O27" s="1"/>
  <c r="F23" i="230"/>
  <c r="O23" s="1"/>
  <c r="F26" i="227"/>
  <c r="O26" s="1"/>
  <c r="O26" i="226"/>
  <c r="N20" i="232"/>
  <c r="F24" i="229"/>
  <c r="O24" s="1"/>
  <c r="F30" i="223"/>
  <c r="O30" s="1"/>
  <c r="B27" i="14"/>
  <c r="G26" i="20"/>
  <c r="I24"/>
  <c r="J24"/>
  <c r="M23"/>
  <c r="J20" i="14"/>
  <c r="I21"/>
  <c r="D26" i="20"/>
  <c r="O23"/>
  <c r="G23" i="14"/>
  <c r="E25"/>
  <c r="L24" i="20"/>
  <c r="AB24"/>
  <c r="F24" i="14"/>
  <c r="H22"/>
  <c r="C27"/>
  <c r="M17"/>
  <c r="K19"/>
  <c r="D26"/>
  <c r="E25" i="20" a="1"/>
  <c r="E25" s="1"/>
  <c r="L18" i="14"/>
  <c r="F24" i="20"/>
  <c r="P26"/>
  <c r="O31" i="222" l="1"/>
  <c r="O28" i="225"/>
  <c r="N25" i="228"/>
  <c r="F28" i="226"/>
  <c r="F22" i="232"/>
  <c r="D24" i="231"/>
  <c r="G24"/>
  <c r="E24" s="1" a="1"/>
  <c r="E24" s="1"/>
  <c r="G27" i="228"/>
  <c r="E27" s="1" a="1"/>
  <c r="E27" s="1"/>
  <c r="D27"/>
  <c r="F27" s="1"/>
  <c r="G33" i="221"/>
  <c r="E33" s="1" a="1"/>
  <c r="E33" s="1"/>
  <c r="D33"/>
  <c r="G25" i="230"/>
  <c r="E25" s="1" a="1"/>
  <c r="E25" s="1"/>
  <c r="D25"/>
  <c r="G33" i="222"/>
  <c r="E33" s="1" a="1"/>
  <c r="E33" s="1"/>
  <c r="D33"/>
  <c r="G30" i="225"/>
  <c r="E30" s="1" a="1"/>
  <c r="E30" s="1"/>
  <c r="D30"/>
  <c r="D29" i="226"/>
  <c r="F29" s="1"/>
  <c r="G29"/>
  <c r="E29" s="1" a="1"/>
  <c r="E29" s="1"/>
  <c r="G26" i="229"/>
  <c r="E26" s="1" a="1"/>
  <c r="E26" s="1"/>
  <c r="D26"/>
  <c r="J22" i="232"/>
  <c r="L22"/>
  <c r="AB22"/>
  <c r="I22"/>
  <c r="M22"/>
  <c r="O22"/>
  <c r="I29" i="225"/>
  <c r="AB29"/>
  <c r="L29"/>
  <c r="J29"/>
  <c r="O29"/>
  <c r="J32" i="221"/>
  <c r="L32"/>
  <c r="M32" s="1"/>
  <c r="AB32"/>
  <c r="N32"/>
  <c r="I32"/>
  <c r="AB31" i="223"/>
  <c r="L31"/>
  <c r="M31" s="1"/>
  <c r="J31"/>
  <c r="I31"/>
  <c r="O31"/>
  <c r="N22" i="231"/>
  <c r="O29" i="224"/>
  <c r="F23" i="231"/>
  <c r="F26" i="228"/>
  <c r="F24" i="230"/>
  <c r="F30" i="224"/>
  <c r="F25" i="229"/>
  <c r="F27" i="227"/>
  <c r="O25" i="228"/>
  <c r="N26" i="227"/>
  <c r="F32" i="222"/>
  <c r="G32" i="223"/>
  <c r="E32" s="1" a="1"/>
  <c r="E32" s="1"/>
  <c r="D32"/>
  <c r="D23" i="232"/>
  <c r="G23"/>
  <c r="E23" s="1" a="1"/>
  <c r="E23" s="1"/>
  <c r="G28" i="227"/>
  <c r="E28" s="1" a="1"/>
  <c r="E28" s="1"/>
  <c r="D28"/>
  <c r="D31" i="224"/>
  <c r="G31"/>
  <c r="E31" s="1" a="1"/>
  <c r="E31" s="1"/>
  <c r="AB23" i="231"/>
  <c r="L23"/>
  <c r="M23" s="1"/>
  <c r="N23"/>
  <c r="I23"/>
  <c r="J23"/>
  <c r="J26" i="228"/>
  <c r="L26"/>
  <c r="M26" s="1"/>
  <c r="AB26"/>
  <c r="I26"/>
  <c r="AB24" i="230"/>
  <c r="L24"/>
  <c r="M24" s="1"/>
  <c r="J24"/>
  <c r="I24"/>
  <c r="L30" i="224"/>
  <c r="M30" s="1"/>
  <c r="AB30"/>
  <c r="I30"/>
  <c r="J30"/>
  <c r="J25" i="229"/>
  <c r="L25"/>
  <c r="O25" s="1"/>
  <c r="AB25"/>
  <c r="N25"/>
  <c r="I25"/>
  <c r="M25"/>
  <c r="L27" i="227"/>
  <c r="I27"/>
  <c r="AB27"/>
  <c r="J27"/>
  <c r="AB28" i="226"/>
  <c r="L28"/>
  <c r="N28"/>
  <c r="I28"/>
  <c r="J28"/>
  <c r="M26" i="227"/>
  <c r="AB32" i="222"/>
  <c r="L32"/>
  <c r="M32" s="1"/>
  <c r="N32"/>
  <c r="I32"/>
  <c r="J32"/>
  <c r="O22" i="231"/>
  <c r="M23" i="230"/>
  <c r="N23"/>
  <c r="M31" i="221"/>
  <c r="F32"/>
  <c r="O32" s="1"/>
  <c r="B28" i="14"/>
  <c r="G27" i="20"/>
  <c r="M24"/>
  <c r="I25"/>
  <c r="J25"/>
  <c r="O24"/>
  <c r="L25"/>
  <c r="AB25"/>
  <c r="D27" i="14"/>
  <c r="C28"/>
  <c r="H23"/>
  <c r="F25"/>
  <c r="E26"/>
  <c r="D27" i="20"/>
  <c r="I22" i="14"/>
  <c r="L19"/>
  <c r="K20"/>
  <c r="M18"/>
  <c r="G24"/>
  <c r="E26" i="20" a="1"/>
  <c r="E26" s="1"/>
  <c r="J21" i="14"/>
  <c r="F25" i="20"/>
  <c r="P27"/>
  <c r="O24" i="230" l="1"/>
  <c r="M27" i="227"/>
  <c r="N27"/>
  <c r="O26" i="228"/>
  <c r="F28" i="227"/>
  <c r="F32" i="223"/>
  <c r="G24" i="232"/>
  <c r="E24" s="1" a="1"/>
  <c r="E24" s="1"/>
  <c r="D24"/>
  <c r="D25" i="231"/>
  <c r="F25" s="1"/>
  <c r="G25"/>
  <c r="E25" s="1" a="1"/>
  <c r="E25" s="1"/>
  <c r="G31" i="225"/>
  <c r="E31" s="1" a="1"/>
  <c r="E31" s="1"/>
  <c r="D31"/>
  <c r="G34" i="222"/>
  <c r="E34" s="1" a="1"/>
  <c r="E34" s="1"/>
  <c r="D34"/>
  <c r="J23" i="232"/>
  <c r="L23"/>
  <c r="M23" s="1"/>
  <c r="AB23"/>
  <c r="I23"/>
  <c r="M29" i="225"/>
  <c r="I26" i="229"/>
  <c r="J26"/>
  <c r="AB26"/>
  <c r="L26"/>
  <c r="M26" s="1"/>
  <c r="I30" i="225"/>
  <c r="J30"/>
  <c r="AB30"/>
  <c r="L30"/>
  <c r="I33" i="222"/>
  <c r="J33"/>
  <c r="AB33"/>
  <c r="L33"/>
  <c r="M33" s="1"/>
  <c r="AB25" i="230"/>
  <c r="L25"/>
  <c r="I25"/>
  <c r="J25"/>
  <c r="I33" i="221"/>
  <c r="J33"/>
  <c r="AB33"/>
  <c r="L33"/>
  <c r="M33" s="1"/>
  <c r="J27" i="228"/>
  <c r="I27"/>
  <c r="AB27"/>
  <c r="L27"/>
  <c r="O28" i="226"/>
  <c r="O23" i="231"/>
  <c r="F24"/>
  <c r="AB31" i="224"/>
  <c r="L31"/>
  <c r="I31"/>
  <c r="J31"/>
  <c r="D27" i="229"/>
  <c r="G27"/>
  <c r="E27" s="1" a="1"/>
  <c r="E27" s="1"/>
  <c r="G30" i="226"/>
  <c r="E30" s="1" a="1"/>
  <c r="E30" s="1"/>
  <c r="D30"/>
  <c r="D26" i="230"/>
  <c r="G26"/>
  <c r="E26" s="1" a="1"/>
  <c r="E26" s="1"/>
  <c r="G28" i="228"/>
  <c r="E28" s="1" a="1"/>
  <c r="E28" s="1"/>
  <c r="D28"/>
  <c r="G32" i="224"/>
  <c r="E32" s="1" a="1"/>
  <c r="E32" s="1"/>
  <c r="D32"/>
  <c r="D29" i="227"/>
  <c r="G29"/>
  <c r="E29" s="1" a="1"/>
  <c r="E29" s="1"/>
  <c r="G33" i="223"/>
  <c r="E33" s="1" a="1"/>
  <c r="E33" s="1"/>
  <c r="D33"/>
  <c r="D34" i="221"/>
  <c r="G34"/>
  <c r="E34" s="1" a="1"/>
  <c r="E34" s="1"/>
  <c r="I28" i="227"/>
  <c r="J28"/>
  <c r="AB28"/>
  <c r="L28"/>
  <c r="O28" s="1"/>
  <c r="AB32" i="223"/>
  <c r="L32"/>
  <c r="O32" s="1"/>
  <c r="I32"/>
  <c r="J32"/>
  <c r="AB29" i="226"/>
  <c r="L29"/>
  <c r="N29"/>
  <c r="I29"/>
  <c r="J29"/>
  <c r="AB24" i="231"/>
  <c r="L24"/>
  <c r="M24" s="1"/>
  <c r="N24"/>
  <c r="I24"/>
  <c r="J24"/>
  <c r="O32" i="222"/>
  <c r="M28" i="226"/>
  <c r="O27" i="227"/>
  <c r="F31" i="224"/>
  <c r="F23" i="232"/>
  <c r="O23" s="1"/>
  <c r="O30" i="224"/>
  <c r="N31" i="223"/>
  <c r="N29" i="225"/>
  <c r="N22" i="232"/>
  <c r="F26" i="229"/>
  <c r="O26" s="1"/>
  <c r="F30" i="225"/>
  <c r="O30" s="1"/>
  <c r="F33" i="222"/>
  <c r="O33" s="1"/>
  <c r="F25" i="230"/>
  <c r="O25" s="1"/>
  <c r="F33" i="221"/>
  <c r="O33" s="1"/>
  <c r="B29" i="14"/>
  <c r="G28" i="20"/>
  <c r="F26"/>
  <c r="I26"/>
  <c r="J26"/>
  <c r="O25"/>
  <c r="K21" i="14"/>
  <c r="G25"/>
  <c r="M19"/>
  <c r="D28" i="20"/>
  <c r="I23" i="14"/>
  <c r="E27"/>
  <c r="M25" i="20"/>
  <c r="J22" i="14"/>
  <c r="AB26" i="20"/>
  <c r="L26"/>
  <c r="L20" i="14"/>
  <c r="E27" i="20" a="1"/>
  <c r="E27" s="1"/>
  <c r="F26" i="14"/>
  <c r="H24"/>
  <c r="C29"/>
  <c r="D28"/>
  <c r="P28" i="20"/>
  <c r="M29" i="226" l="1"/>
  <c r="M25" i="230"/>
  <c r="M32" i="223"/>
  <c r="M27" i="228"/>
  <c r="O29" i="226"/>
  <c r="N28" i="227"/>
  <c r="F34" i="221"/>
  <c r="F29" i="227"/>
  <c r="F26" i="230"/>
  <c r="F27" i="229"/>
  <c r="D35" i="222"/>
  <c r="G35"/>
  <c r="E35" s="1" a="1"/>
  <c r="E35" s="1"/>
  <c r="G32" i="225"/>
  <c r="E32" s="1" a="1"/>
  <c r="E32" s="1"/>
  <c r="D32"/>
  <c r="G26" i="231"/>
  <c r="E26" s="1" a="1"/>
  <c r="E26" s="1"/>
  <c r="D26"/>
  <c r="D25" i="232"/>
  <c r="G25"/>
  <c r="E25" s="1" a="1"/>
  <c r="E25" s="1"/>
  <c r="G35" i="221"/>
  <c r="E35" s="1" a="1"/>
  <c r="E35" s="1"/>
  <c r="D35"/>
  <c r="AB33" i="223"/>
  <c r="I33"/>
  <c r="M33"/>
  <c r="L33"/>
  <c r="J33"/>
  <c r="J32" i="224"/>
  <c r="L32"/>
  <c r="M32" s="1"/>
  <c r="AB32"/>
  <c r="I32"/>
  <c r="I28" i="228"/>
  <c r="J28"/>
  <c r="AB28"/>
  <c r="L28"/>
  <c r="M28" s="1"/>
  <c r="I30" i="226"/>
  <c r="J30"/>
  <c r="AB30"/>
  <c r="L30"/>
  <c r="M30" s="1"/>
  <c r="L34" i="222"/>
  <c r="M34" s="1"/>
  <c r="J34"/>
  <c r="AB34"/>
  <c r="I34"/>
  <c r="AB31" i="225"/>
  <c r="L31"/>
  <c r="M31" s="1"/>
  <c r="N31"/>
  <c r="I31"/>
  <c r="J31"/>
  <c r="L24" i="232"/>
  <c r="AB24"/>
  <c r="I24"/>
  <c r="J24"/>
  <c r="N31" i="224"/>
  <c r="O24" i="231"/>
  <c r="N33" i="221"/>
  <c r="D29" i="228"/>
  <c r="G29"/>
  <c r="E29" s="1" a="1"/>
  <c r="E29" s="1"/>
  <c r="G27" i="230"/>
  <c r="E27" s="1" a="1"/>
  <c r="E27" s="1"/>
  <c r="D27"/>
  <c r="D34" i="223"/>
  <c r="G34"/>
  <c r="E34" s="1" a="1"/>
  <c r="E34" s="1"/>
  <c r="G30" i="227"/>
  <c r="E30" s="1" a="1"/>
  <c r="E30" s="1"/>
  <c r="D30"/>
  <c r="G28" i="229"/>
  <c r="E28" s="1" a="1"/>
  <c r="E28" s="1"/>
  <c r="D28"/>
  <c r="G33" i="224"/>
  <c r="E33" s="1" a="1"/>
  <c r="E33" s="1"/>
  <c r="D33"/>
  <c r="D31" i="226"/>
  <c r="G31"/>
  <c r="E31" s="1" a="1"/>
  <c r="E31" s="1"/>
  <c r="J34" i="221"/>
  <c r="I34"/>
  <c r="AB34"/>
  <c r="L34"/>
  <c r="O34" s="1"/>
  <c r="M34"/>
  <c r="N34"/>
  <c r="I29" i="227"/>
  <c r="AB29"/>
  <c r="L29"/>
  <c r="M29" s="1"/>
  <c r="J29"/>
  <c r="AB26" i="230"/>
  <c r="L26"/>
  <c r="N26"/>
  <c r="I26"/>
  <c r="J26"/>
  <c r="J27" i="229"/>
  <c r="I27"/>
  <c r="AB27"/>
  <c r="L27"/>
  <c r="M27" s="1"/>
  <c r="N27"/>
  <c r="J25" i="231"/>
  <c r="L25"/>
  <c r="O25" s="1"/>
  <c r="AB25"/>
  <c r="I25"/>
  <c r="M28" i="227"/>
  <c r="F33" i="223"/>
  <c r="O33" s="1"/>
  <c r="F32" i="224"/>
  <c r="O32" s="1"/>
  <c r="F28" i="228"/>
  <c r="O28" s="1"/>
  <c r="F30" i="226"/>
  <c r="O30" s="1"/>
  <c r="O31" i="224"/>
  <c r="M31"/>
  <c r="O27" i="228"/>
  <c r="N25" i="230"/>
  <c r="M30" i="225"/>
  <c r="F34" i="222"/>
  <c r="O34" s="1"/>
  <c r="F31" i="225"/>
  <c r="F24" i="232"/>
  <c r="O24" s="1"/>
  <c r="B30" i="14"/>
  <c r="G29" i="20"/>
  <c r="O26"/>
  <c r="F27"/>
  <c r="I27"/>
  <c r="J27"/>
  <c r="M26"/>
  <c r="D29" i="14"/>
  <c r="J23"/>
  <c r="E28" i="20" a="1"/>
  <c r="E28" s="1"/>
  <c r="D29"/>
  <c r="I24" i="14"/>
  <c r="G26"/>
  <c r="C30"/>
  <c r="H25"/>
  <c r="F27"/>
  <c r="L27" i="20"/>
  <c r="M27" s="1"/>
  <c r="AB27"/>
  <c r="L21" i="14"/>
  <c r="E28"/>
  <c r="M20"/>
  <c r="K22"/>
  <c r="P29" i="20"/>
  <c r="F31" i="226" l="1"/>
  <c r="M25" i="231"/>
  <c r="F32" i="225"/>
  <c r="M24" i="232"/>
  <c r="O27" i="229"/>
  <c r="G27" i="231"/>
  <c r="E27" s="1" a="1"/>
  <c r="E27" s="1"/>
  <c r="D27"/>
  <c r="D31" i="227"/>
  <c r="G31"/>
  <c r="E31" s="1" a="1"/>
  <c r="E31" s="1"/>
  <c r="G32" i="226"/>
  <c r="E32" s="1" a="1"/>
  <c r="E32" s="1"/>
  <c r="D32"/>
  <c r="D29" i="229"/>
  <c r="G29"/>
  <c r="E29" s="1" a="1"/>
  <c r="E29" s="1"/>
  <c r="G36" i="221"/>
  <c r="E36" s="1" a="1"/>
  <c r="E36" s="1"/>
  <c r="D36"/>
  <c r="M26" i="230"/>
  <c r="I33" i="224"/>
  <c r="J33"/>
  <c r="AB33"/>
  <c r="L33"/>
  <c r="AB28" i="229"/>
  <c r="L28"/>
  <c r="M28" s="1"/>
  <c r="J28"/>
  <c r="N28"/>
  <c r="I28"/>
  <c r="L30" i="227"/>
  <c r="M30" s="1"/>
  <c r="AB30"/>
  <c r="I30"/>
  <c r="J30"/>
  <c r="L27" i="230"/>
  <c r="M27" s="1"/>
  <c r="AB27"/>
  <c r="I27"/>
  <c r="J27"/>
  <c r="AB25" i="232"/>
  <c r="L25"/>
  <c r="I25"/>
  <c r="J25"/>
  <c r="AB35" i="222"/>
  <c r="L35"/>
  <c r="J35"/>
  <c r="I35"/>
  <c r="F34" i="223"/>
  <c r="F29" i="228"/>
  <c r="O29" i="227"/>
  <c r="N30" i="226"/>
  <c r="N28" i="228"/>
  <c r="F35" i="221"/>
  <c r="F26" i="231"/>
  <c r="D26" i="232"/>
  <c r="G26"/>
  <c r="E26" s="1" a="1"/>
  <c r="E26" s="1"/>
  <c r="D28" i="230"/>
  <c r="G28"/>
  <c r="E28" s="1" a="1"/>
  <c r="E28" s="1"/>
  <c r="G34" i="224"/>
  <c r="E34" s="1" a="1"/>
  <c r="E34" s="1"/>
  <c r="D34"/>
  <c r="G33" i="225"/>
  <c r="E33" s="1" a="1"/>
  <c r="E33" s="1"/>
  <c r="D33"/>
  <c r="G36" i="222"/>
  <c r="E36" s="1" a="1"/>
  <c r="E36" s="1"/>
  <c r="D36"/>
  <c r="G30" i="228"/>
  <c r="E30" s="1" a="1"/>
  <c r="E30" s="1"/>
  <c r="D30"/>
  <c r="G35" i="223"/>
  <c r="E35" s="1" a="1"/>
  <c r="E35" s="1"/>
  <c r="D35"/>
  <c r="AB31" i="226"/>
  <c r="L31"/>
  <c r="M31" s="1"/>
  <c r="I31"/>
  <c r="J31"/>
  <c r="L34" i="223"/>
  <c r="I34"/>
  <c r="AB34"/>
  <c r="J34"/>
  <c r="O34"/>
  <c r="AB29" i="228"/>
  <c r="L29"/>
  <c r="M29" s="1"/>
  <c r="I29"/>
  <c r="J29"/>
  <c r="AB35" i="221"/>
  <c r="L35"/>
  <c r="M35" s="1"/>
  <c r="N35"/>
  <c r="I35"/>
  <c r="J35"/>
  <c r="L26" i="231"/>
  <c r="AB26"/>
  <c r="I26"/>
  <c r="J26"/>
  <c r="N32" i="225"/>
  <c r="I32"/>
  <c r="AB32"/>
  <c r="L32"/>
  <c r="O32" s="1"/>
  <c r="J32"/>
  <c r="F33" i="224"/>
  <c r="O33" s="1"/>
  <c r="F28" i="229"/>
  <c r="O28" s="1"/>
  <c r="F30" i="227"/>
  <c r="O30" s="1"/>
  <c r="F27" i="230"/>
  <c r="O27" s="1"/>
  <c r="O26"/>
  <c r="O31" i="225"/>
  <c r="F25" i="232"/>
  <c r="F35" i="222"/>
  <c r="O35" s="1"/>
  <c r="B31" i="14"/>
  <c r="G30" i="20"/>
  <c r="F28"/>
  <c r="I28"/>
  <c r="J28"/>
  <c r="O27"/>
  <c r="F28" i="14"/>
  <c r="C31"/>
  <c r="E29" i="20" a="1"/>
  <c r="E29" s="1"/>
  <c r="D30"/>
  <c r="I25" i="14"/>
  <c r="D30"/>
  <c r="M21"/>
  <c r="K23"/>
  <c r="E29"/>
  <c r="L22"/>
  <c r="H26"/>
  <c r="G27"/>
  <c r="AB28" i="20"/>
  <c r="L28"/>
  <c r="J24" i="14"/>
  <c r="P30" i="20"/>
  <c r="N34" i="223" l="1"/>
  <c r="F29" i="229"/>
  <c r="F31" i="227"/>
  <c r="M26" i="231"/>
  <c r="M34" i="223"/>
  <c r="F35"/>
  <c r="F30" i="228"/>
  <c r="F36" i="222"/>
  <c r="F33" i="225"/>
  <c r="F34" i="224"/>
  <c r="D30" i="229"/>
  <c r="G30"/>
  <c r="E30" s="1" a="1"/>
  <c r="E30" s="1"/>
  <c r="G32" i="227"/>
  <c r="E32" s="1" a="1"/>
  <c r="E32" s="1"/>
  <c r="D32"/>
  <c r="D35" i="224"/>
  <c r="G35"/>
  <c r="E35" s="1" a="1"/>
  <c r="E35" s="1"/>
  <c r="G27" i="232"/>
  <c r="E27" s="1" a="1"/>
  <c r="E27" s="1"/>
  <c r="D27"/>
  <c r="D31" i="228"/>
  <c r="G31"/>
  <c r="E31" s="1" a="1"/>
  <c r="E31" s="1"/>
  <c r="G33" i="226"/>
  <c r="E33" s="1" a="1"/>
  <c r="E33" s="1"/>
  <c r="D33"/>
  <c r="G28" i="231"/>
  <c r="E28" s="1" a="1"/>
  <c r="E28" s="1"/>
  <c r="D28"/>
  <c r="G29" i="230"/>
  <c r="E29" s="1" a="1"/>
  <c r="E29" s="1"/>
  <c r="D29"/>
  <c r="D36" i="223"/>
  <c r="F36" s="1"/>
  <c r="G36"/>
  <c r="E36" s="1" a="1"/>
  <c r="E36" s="1"/>
  <c r="G37" i="222"/>
  <c r="E37" s="1" a="1"/>
  <c r="E37" s="1"/>
  <c r="D37"/>
  <c r="AB28" i="230"/>
  <c r="L28"/>
  <c r="M28"/>
  <c r="I28"/>
  <c r="J28"/>
  <c r="J26" i="232"/>
  <c r="L26"/>
  <c r="M26" s="1"/>
  <c r="AB26"/>
  <c r="I26"/>
  <c r="M35" i="222"/>
  <c r="AB36" i="221"/>
  <c r="L36"/>
  <c r="M36" s="1"/>
  <c r="I36"/>
  <c r="J36"/>
  <c r="AB32" i="226"/>
  <c r="I32"/>
  <c r="J32"/>
  <c r="L32"/>
  <c r="J27" i="231"/>
  <c r="I27"/>
  <c r="AB27"/>
  <c r="L27"/>
  <c r="M27" s="1"/>
  <c r="N27"/>
  <c r="M32" i="225"/>
  <c r="O26" i="231"/>
  <c r="N25" i="232"/>
  <c r="O25"/>
  <c r="N27" i="230"/>
  <c r="N33" i="224"/>
  <c r="D34" i="225"/>
  <c r="G34"/>
  <c r="E34" s="1" a="1"/>
  <c r="E34" s="1"/>
  <c r="G37" i="221"/>
  <c r="E37" s="1" a="1"/>
  <c r="E37" s="1"/>
  <c r="D37"/>
  <c r="AB35" i="223"/>
  <c r="L35"/>
  <c r="M35" s="1"/>
  <c r="I35"/>
  <c r="J35"/>
  <c r="AB30" i="228"/>
  <c r="L30"/>
  <c r="J30"/>
  <c r="M30"/>
  <c r="N30"/>
  <c r="I30"/>
  <c r="AB36" i="222"/>
  <c r="L36"/>
  <c r="M36" s="1"/>
  <c r="J36"/>
  <c r="N36"/>
  <c r="I36"/>
  <c r="O36"/>
  <c r="I33" i="225"/>
  <c r="J33"/>
  <c r="AB33"/>
  <c r="L33"/>
  <c r="O33" s="1"/>
  <c r="J34" i="224"/>
  <c r="I34"/>
  <c r="AB34"/>
  <c r="L34"/>
  <c r="N34"/>
  <c r="AB29" i="229"/>
  <c r="L29"/>
  <c r="O29" s="1"/>
  <c r="N29"/>
  <c r="I29"/>
  <c r="J29"/>
  <c r="AB31" i="227"/>
  <c r="L31"/>
  <c r="M31" s="1"/>
  <c r="N31"/>
  <c r="I31"/>
  <c r="J31"/>
  <c r="O31" i="226"/>
  <c r="F28" i="230"/>
  <c r="O28" s="1"/>
  <c r="F26" i="232"/>
  <c r="O26" s="1"/>
  <c r="O35" i="221"/>
  <c r="O29" i="228"/>
  <c r="M25" i="232"/>
  <c r="M33" i="224"/>
  <c r="F36" i="221"/>
  <c r="F32" i="226"/>
  <c r="O32" s="1"/>
  <c r="F27" i="231"/>
  <c r="O27" s="1"/>
  <c r="B32" i="14"/>
  <c r="G31" i="20"/>
  <c r="O28"/>
  <c r="F29"/>
  <c r="I29"/>
  <c r="J29"/>
  <c r="M28"/>
  <c r="G28" i="14"/>
  <c r="L23"/>
  <c r="E30"/>
  <c r="K24"/>
  <c r="M22"/>
  <c r="D31" i="20"/>
  <c r="I26" i="14"/>
  <c r="AB29" i="20"/>
  <c r="L29"/>
  <c r="C32" i="14"/>
  <c r="J25"/>
  <c r="H27"/>
  <c r="D31"/>
  <c r="E30" i="20" a="1"/>
  <c r="E30" s="1"/>
  <c r="F29" i="14"/>
  <c r="P31" i="20"/>
  <c r="N33" i="225" l="1"/>
  <c r="O30" i="228"/>
  <c r="M34" i="224"/>
  <c r="M32" i="226"/>
  <c r="M29" i="229"/>
  <c r="O34" i="224"/>
  <c r="M33" i="225"/>
  <c r="F34"/>
  <c r="F33" i="226"/>
  <c r="F27" i="232"/>
  <c r="F32" i="227"/>
  <c r="D28" i="232"/>
  <c r="G28"/>
  <c r="E28" s="1" a="1"/>
  <c r="E28" s="1"/>
  <c r="G34" i="226"/>
  <c r="E34" s="1" a="1"/>
  <c r="E34" s="1"/>
  <c r="D34"/>
  <c r="L37" i="221"/>
  <c r="M37" s="1"/>
  <c r="AB37"/>
  <c r="I37"/>
  <c r="J37"/>
  <c r="AB37" i="222"/>
  <c r="L37"/>
  <c r="I37"/>
  <c r="J37"/>
  <c r="AB29" i="230"/>
  <c r="I29"/>
  <c r="J29"/>
  <c r="L29"/>
  <c r="I28" i="231"/>
  <c r="J28"/>
  <c r="AB28"/>
  <c r="L28"/>
  <c r="M28" s="1"/>
  <c r="I33" i="226"/>
  <c r="AB33"/>
  <c r="L33"/>
  <c r="J33"/>
  <c r="L27" i="232"/>
  <c r="AB27"/>
  <c r="I27"/>
  <c r="J27"/>
  <c r="N27"/>
  <c r="J32" i="227"/>
  <c r="I32"/>
  <c r="L32"/>
  <c r="O32" s="1"/>
  <c r="AB32"/>
  <c r="M32"/>
  <c r="O35" i="223"/>
  <c r="F31" i="228"/>
  <c r="F35" i="224"/>
  <c r="F30" i="229"/>
  <c r="D35" i="225"/>
  <c r="G35"/>
  <c r="E35" s="1" a="1"/>
  <c r="E35" s="1"/>
  <c r="G37" i="223"/>
  <c r="E37" s="1" a="1"/>
  <c r="E37" s="1"/>
  <c r="D37"/>
  <c r="D31" i="229"/>
  <c r="G31"/>
  <c r="E31" s="1" a="1"/>
  <c r="E31" s="1"/>
  <c r="D32" i="228"/>
  <c r="G32"/>
  <c r="E32" s="1" a="1"/>
  <c r="E32" s="1"/>
  <c r="D36" i="224"/>
  <c r="G36"/>
  <c r="E36" s="1" a="1"/>
  <c r="E36" s="1"/>
  <c r="G33" i="227"/>
  <c r="E33" s="1" a="1"/>
  <c r="E33" s="1"/>
  <c r="D33"/>
  <c r="F33" s="1"/>
  <c r="G38" i="222"/>
  <c r="E38" s="1" a="1"/>
  <c r="E38" s="1"/>
  <c r="D38"/>
  <c r="F38" s="1"/>
  <c r="D30" i="230"/>
  <c r="G30"/>
  <c r="E30" s="1" a="1"/>
  <c r="E30" s="1"/>
  <c r="G29" i="231"/>
  <c r="E29" s="1" a="1"/>
  <c r="E29" s="1"/>
  <c r="D29"/>
  <c r="F29" s="1"/>
  <c r="G38" i="221"/>
  <c r="E38" s="1" a="1"/>
  <c r="E38" s="1"/>
  <c r="D38"/>
  <c r="F38" s="1"/>
  <c r="L34" i="225"/>
  <c r="M34" s="1"/>
  <c r="AB34"/>
  <c r="I34"/>
  <c r="J34"/>
  <c r="AB36" i="223"/>
  <c r="L36"/>
  <c r="N36"/>
  <c r="I36"/>
  <c r="J36"/>
  <c r="AB31" i="228"/>
  <c r="L31"/>
  <c r="M31" s="1"/>
  <c r="N31"/>
  <c r="I31"/>
  <c r="J31"/>
  <c r="AB35" i="224"/>
  <c r="L35"/>
  <c r="M35" s="1"/>
  <c r="J35"/>
  <c r="I35"/>
  <c r="J30" i="229"/>
  <c r="L30"/>
  <c r="M30" s="1"/>
  <c r="AB30"/>
  <c r="I30"/>
  <c r="F37" i="221"/>
  <c r="O37" s="1"/>
  <c r="O31" i="227"/>
  <c r="O36" i="221"/>
  <c r="F37" i="222"/>
  <c r="O37" s="1"/>
  <c r="F29" i="230"/>
  <c r="O29" s="1"/>
  <c r="F28" i="231"/>
  <c r="O28" s="1"/>
  <c r="O33" i="226"/>
  <c r="O27" i="232"/>
  <c r="B33" i="14"/>
  <c r="G32" i="20"/>
  <c r="I30"/>
  <c r="J30"/>
  <c r="O29"/>
  <c r="M29"/>
  <c r="L30"/>
  <c r="M30" s="1"/>
  <c r="AB30"/>
  <c r="C33" i="14"/>
  <c r="D32" i="20"/>
  <c r="I27" i="14"/>
  <c r="M23"/>
  <c r="K25"/>
  <c r="E31"/>
  <c r="L24"/>
  <c r="D32"/>
  <c r="F30"/>
  <c r="H28"/>
  <c r="J26"/>
  <c r="E31" i="20" a="1"/>
  <c r="E31" s="1"/>
  <c r="G29" i="14"/>
  <c r="F30" i="20"/>
  <c r="P32"/>
  <c r="M37" i="222" l="1"/>
  <c r="M27" i="232"/>
  <c r="O30" i="229"/>
  <c r="O36" i="223"/>
  <c r="M36"/>
  <c r="M29" i="230"/>
  <c r="N35" i="224"/>
  <c r="N33" i="226"/>
  <c r="G35"/>
  <c r="E35" s="1" a="1"/>
  <c r="E35" s="1"/>
  <c r="D35"/>
  <c r="G32" i="229"/>
  <c r="E32" s="1" a="1"/>
  <c r="E32" s="1"/>
  <c r="D32"/>
  <c r="D36" i="225"/>
  <c r="G36"/>
  <c r="E36" s="1" a="1"/>
  <c r="E36" s="1"/>
  <c r="G30" i="231"/>
  <c r="E30" s="1" a="1"/>
  <c r="E30" s="1"/>
  <c r="D30"/>
  <c r="D31" i="230"/>
  <c r="G31"/>
  <c r="E31" s="1" a="1"/>
  <c r="E31" s="1"/>
  <c r="D33" i="228"/>
  <c r="G33"/>
  <c r="E33" s="1" a="1"/>
  <c r="E33" s="1"/>
  <c r="G39" i="222"/>
  <c r="E39" s="1" a="1"/>
  <c r="E39" s="1"/>
  <c r="D39"/>
  <c r="F39" s="1"/>
  <c r="D39" i="221"/>
  <c r="G39"/>
  <c r="E39" s="1" a="1"/>
  <c r="E39" s="1"/>
  <c r="J30" i="230"/>
  <c r="AB30"/>
  <c r="L30"/>
  <c r="M30" s="1"/>
  <c r="N30"/>
  <c r="I30"/>
  <c r="AB36" i="224"/>
  <c r="L36"/>
  <c r="M36" s="1"/>
  <c r="J36"/>
  <c r="I36"/>
  <c r="J32" i="228"/>
  <c r="L32"/>
  <c r="AB32"/>
  <c r="I32"/>
  <c r="M32"/>
  <c r="AB31" i="229"/>
  <c r="I31"/>
  <c r="J31"/>
  <c r="L31"/>
  <c r="L35" i="225"/>
  <c r="AB35"/>
  <c r="I35"/>
  <c r="J35"/>
  <c r="I28" i="232"/>
  <c r="J28"/>
  <c r="AB28"/>
  <c r="L28"/>
  <c r="M28" s="1"/>
  <c r="F37" i="223"/>
  <c r="O31" i="228"/>
  <c r="O34" i="225"/>
  <c r="N37" i="222"/>
  <c r="F34" i="226"/>
  <c r="D34" i="227"/>
  <c r="G34"/>
  <c r="E34" s="1" a="1"/>
  <c r="E34" s="1"/>
  <c r="G38" i="223"/>
  <c r="E38" s="1" a="1"/>
  <c r="E38" s="1"/>
  <c r="D38"/>
  <c r="D37" i="224"/>
  <c r="G37"/>
  <c r="E37" s="1" a="1"/>
  <c r="E37" s="1"/>
  <c r="G29" i="232"/>
  <c r="E29" s="1" a="1"/>
  <c r="E29" s="1"/>
  <c r="D29"/>
  <c r="AB38" i="221"/>
  <c r="L38"/>
  <c r="I38"/>
  <c r="J38"/>
  <c r="AB29" i="231"/>
  <c r="L29"/>
  <c r="M29" s="1"/>
  <c r="N29"/>
  <c r="I29"/>
  <c r="J29"/>
  <c r="AB38" i="222"/>
  <c r="I38"/>
  <c r="L38"/>
  <c r="O38" s="1"/>
  <c r="J38"/>
  <c r="AB33" i="227"/>
  <c r="L33"/>
  <c r="J33"/>
  <c r="I33"/>
  <c r="M33"/>
  <c r="N37" i="223"/>
  <c r="I37"/>
  <c r="J37"/>
  <c r="AB37"/>
  <c r="L37"/>
  <c r="M37" s="1"/>
  <c r="L34" i="226"/>
  <c r="AB34"/>
  <c r="J34"/>
  <c r="I34"/>
  <c r="M34"/>
  <c r="F30" i="230"/>
  <c r="O30" s="1"/>
  <c r="F36" i="224"/>
  <c r="O36" s="1"/>
  <c r="F32" i="228"/>
  <c r="F31" i="229"/>
  <c r="O31" s="1"/>
  <c r="F35" i="225"/>
  <c r="O35" s="1"/>
  <c r="O35" i="224"/>
  <c r="M33" i="226"/>
  <c r="F28" i="232"/>
  <c r="O28" s="1"/>
  <c r="B34" i="14"/>
  <c r="G33" i="20"/>
  <c r="F31"/>
  <c r="I31"/>
  <c r="J31"/>
  <c r="O30"/>
  <c r="AB31"/>
  <c r="L31"/>
  <c r="M31" s="1"/>
  <c r="H29" i="14"/>
  <c r="F31"/>
  <c r="D33"/>
  <c r="L25"/>
  <c r="E32"/>
  <c r="M24"/>
  <c r="D33" i="20"/>
  <c r="I28" i="14"/>
  <c r="G30"/>
  <c r="J27"/>
  <c r="K26"/>
  <c r="E32" i="20" a="1"/>
  <c r="E32" s="1"/>
  <c r="C34" i="14"/>
  <c r="P33" i="20"/>
  <c r="O34" i="226" l="1"/>
  <c r="N33" i="227"/>
  <c r="N32" i="228"/>
  <c r="F33"/>
  <c r="F31" i="230"/>
  <c r="F36" i="225"/>
  <c r="M35"/>
  <c r="M31" i="229"/>
  <c r="M38" i="222"/>
  <c r="F29" i="232"/>
  <c r="F38" i="223"/>
  <c r="O32" i="228"/>
  <c r="D33" i="229"/>
  <c r="G33"/>
  <c r="E33" s="1" a="1"/>
  <c r="E33" s="1"/>
  <c r="G34" i="228"/>
  <c r="E34" s="1" a="1"/>
  <c r="E34" s="1"/>
  <c r="D34"/>
  <c r="G30" i="232"/>
  <c r="E30" s="1" a="1"/>
  <c r="E30" s="1"/>
  <c r="D30"/>
  <c r="G31" i="231"/>
  <c r="E31" s="1" a="1"/>
  <c r="E31" s="1"/>
  <c r="D31"/>
  <c r="G37" i="225"/>
  <c r="E37" s="1" a="1"/>
  <c r="E37" s="1"/>
  <c r="D37"/>
  <c r="G40" i="222"/>
  <c r="E40" s="1" a="1"/>
  <c r="E40" s="1"/>
  <c r="D40"/>
  <c r="F40" s="1"/>
  <c r="M45" s="1"/>
  <c r="D32" i="230"/>
  <c r="G32"/>
  <c r="E32" s="1" a="1"/>
  <c r="E32" s="1"/>
  <c r="G36" i="226"/>
  <c r="E36" s="1" a="1"/>
  <c r="E36" s="1"/>
  <c r="D36"/>
  <c r="G38" i="224"/>
  <c r="E38" s="1" a="1"/>
  <c r="E38" s="1"/>
  <c r="D38"/>
  <c r="D39" i="223"/>
  <c r="F39" s="1"/>
  <c r="G39"/>
  <c r="E39" s="1" a="1"/>
  <c r="E39" s="1"/>
  <c r="G35" i="227"/>
  <c r="E35" s="1" a="1"/>
  <c r="E35" s="1"/>
  <c r="D35"/>
  <c r="D40" i="221"/>
  <c r="F40" s="1"/>
  <c r="G40"/>
  <c r="E40" s="1" a="1"/>
  <c r="E40" s="1"/>
  <c r="L37" i="224"/>
  <c r="M37" s="1"/>
  <c r="J37"/>
  <c r="AB37"/>
  <c r="I37"/>
  <c r="J34" i="227"/>
  <c r="I34"/>
  <c r="AB34"/>
  <c r="L34"/>
  <c r="M34"/>
  <c r="AB39" i="222"/>
  <c r="L39"/>
  <c r="J39"/>
  <c r="N39"/>
  <c r="I39"/>
  <c r="O39"/>
  <c r="AB30" i="231"/>
  <c r="L30"/>
  <c r="N30"/>
  <c r="I30"/>
  <c r="J30"/>
  <c r="J32" i="229"/>
  <c r="L32"/>
  <c r="AB32"/>
  <c r="N32"/>
  <c r="I32"/>
  <c r="M32"/>
  <c r="N35" i="226"/>
  <c r="I35"/>
  <c r="J35"/>
  <c r="AB35"/>
  <c r="L35"/>
  <c r="M35" s="1"/>
  <c r="O37" i="223"/>
  <c r="N28" i="232"/>
  <c r="F39" i="221"/>
  <c r="N29" i="232"/>
  <c r="I29"/>
  <c r="J29"/>
  <c r="AB29"/>
  <c r="L29"/>
  <c r="O29" s="1"/>
  <c r="AB38" i="223"/>
  <c r="L38"/>
  <c r="M38" s="1"/>
  <c r="N38"/>
  <c r="I38"/>
  <c r="J38"/>
  <c r="N39" i="221"/>
  <c r="I39"/>
  <c r="AB39"/>
  <c r="L39"/>
  <c r="J39"/>
  <c r="AB33" i="228"/>
  <c r="L33"/>
  <c r="O33" s="1"/>
  <c r="I33"/>
  <c r="J33"/>
  <c r="I31" i="230"/>
  <c r="J31"/>
  <c r="AB31"/>
  <c r="L31"/>
  <c r="M31" s="1"/>
  <c r="N36" i="225"/>
  <c r="I36"/>
  <c r="J36"/>
  <c r="AB36"/>
  <c r="L36"/>
  <c r="O36" s="1"/>
  <c r="O38" i="221"/>
  <c r="M38"/>
  <c r="F37" i="224"/>
  <c r="O37" s="1"/>
  <c r="F34" i="227"/>
  <c r="O34" s="1"/>
  <c r="O33"/>
  <c r="O29" i="231"/>
  <c r="F30"/>
  <c r="F32" i="229"/>
  <c r="F35" i="226"/>
  <c r="G34" i="20"/>
  <c r="F32"/>
  <c r="I32"/>
  <c r="J32"/>
  <c r="AB32"/>
  <c r="L32"/>
  <c r="K27" i="14"/>
  <c r="M25"/>
  <c r="E33"/>
  <c r="D34"/>
  <c r="F32"/>
  <c r="H30"/>
  <c r="J28"/>
  <c r="G31"/>
  <c r="E33" i="20" a="1"/>
  <c r="E33" s="1"/>
  <c r="D34"/>
  <c r="I29" i="14"/>
  <c r="L26"/>
  <c r="O31" i="20"/>
  <c r="P34"/>
  <c r="M30" i="231" l="1"/>
  <c r="O30"/>
  <c r="O35" i="226"/>
  <c r="O32" i="229"/>
  <c r="O31" i="230"/>
  <c r="O38" i="223"/>
  <c r="N34" i="227"/>
  <c r="F31" i="231"/>
  <c r="F30" i="232"/>
  <c r="F34" i="228"/>
  <c r="G38" i="225"/>
  <c r="E38" s="1" a="1"/>
  <c r="E38" s="1"/>
  <c r="D38"/>
  <c r="G39" i="224"/>
  <c r="E39" s="1" a="1"/>
  <c r="E39" s="1"/>
  <c r="D39"/>
  <c r="D33" i="230"/>
  <c r="F33" s="1"/>
  <c r="G33"/>
  <c r="E33" s="1" a="1"/>
  <c r="E33" s="1"/>
  <c r="G32" i="231"/>
  <c r="E32" s="1" a="1"/>
  <c r="E32" s="1"/>
  <c r="D32"/>
  <c r="D37" i="226"/>
  <c r="F37" s="1"/>
  <c r="G37"/>
  <c r="E37" s="1" a="1"/>
  <c r="E37" s="1"/>
  <c r="D36" i="227"/>
  <c r="G36"/>
  <c r="E36" s="1" a="1"/>
  <c r="E36" s="1"/>
  <c r="G40" i="223"/>
  <c r="E40" s="1" a="1"/>
  <c r="E40" s="1"/>
  <c r="D40"/>
  <c r="G31" i="232"/>
  <c r="E31" s="1" a="1"/>
  <c r="E31" s="1"/>
  <c r="D31"/>
  <c r="L40" i="221"/>
  <c r="AB40"/>
  <c r="AB41" s="1"/>
  <c r="I40"/>
  <c r="J40"/>
  <c r="I45"/>
  <c r="I49"/>
  <c r="I47"/>
  <c r="I48"/>
  <c r="I39" i="223"/>
  <c r="AB39"/>
  <c r="L39"/>
  <c r="M39" s="1"/>
  <c r="J39"/>
  <c r="N32" i="230"/>
  <c r="I32"/>
  <c r="J32"/>
  <c r="AB32"/>
  <c r="L32"/>
  <c r="M32" s="1"/>
  <c r="I33" i="229"/>
  <c r="J33"/>
  <c r="AB33"/>
  <c r="L33"/>
  <c r="M33" s="1"/>
  <c r="M36" i="225"/>
  <c r="M33" i="228"/>
  <c r="M39" i="221"/>
  <c r="M29" i="232"/>
  <c r="O39" i="221"/>
  <c r="F35" i="227"/>
  <c r="F38" i="224"/>
  <c r="F36" i="226"/>
  <c r="F37" i="225"/>
  <c r="D35" i="228"/>
  <c r="G35"/>
  <c r="E35" s="1" a="1"/>
  <c r="E35" s="1"/>
  <c r="G34" i="229"/>
  <c r="E34" s="1" a="1"/>
  <c r="E34" s="1"/>
  <c r="D34"/>
  <c r="M39" i="222"/>
  <c r="O40" i="221"/>
  <c r="O41" s="1"/>
  <c r="M45"/>
  <c r="AB35" i="227"/>
  <c r="L35"/>
  <c r="M35" s="1"/>
  <c r="N35"/>
  <c r="I35"/>
  <c r="J35"/>
  <c r="N38" i="224"/>
  <c r="I38"/>
  <c r="J38"/>
  <c r="AB38"/>
  <c r="L38"/>
  <c r="O38" s="1"/>
  <c r="AB36" i="226"/>
  <c r="L36"/>
  <c r="M36" s="1"/>
  <c r="N36"/>
  <c r="I36"/>
  <c r="J36"/>
  <c r="L40" i="222"/>
  <c r="N35" s="1"/>
  <c r="J40"/>
  <c r="AB40"/>
  <c r="AB41" s="1"/>
  <c r="I40"/>
  <c r="O40"/>
  <c r="O41" s="1"/>
  <c r="N40"/>
  <c r="I47"/>
  <c r="I49"/>
  <c r="I45"/>
  <c r="I48"/>
  <c r="AB37" i="225"/>
  <c r="L37"/>
  <c r="M37" s="1"/>
  <c r="J37"/>
  <c r="I37"/>
  <c r="O37"/>
  <c r="AB31" i="231"/>
  <c r="L31"/>
  <c r="O31" s="1"/>
  <c r="N31"/>
  <c r="I31"/>
  <c r="J31"/>
  <c r="I30" i="232"/>
  <c r="AB30"/>
  <c r="L30"/>
  <c r="M30" s="1"/>
  <c r="J30"/>
  <c r="L34" i="228"/>
  <c r="J34"/>
  <c r="AB34"/>
  <c r="I34"/>
  <c r="M34"/>
  <c r="O39" i="223"/>
  <c r="F32" i="230"/>
  <c r="O32" s="1"/>
  <c r="F33" i="229"/>
  <c r="O33" s="1"/>
  <c r="G35" i="20"/>
  <c r="O32"/>
  <c r="I33"/>
  <c r="J33"/>
  <c r="M32"/>
  <c r="AB33"/>
  <c r="L33"/>
  <c r="M33" s="1"/>
  <c r="D35"/>
  <c r="I30" i="14"/>
  <c r="G32"/>
  <c r="J29"/>
  <c r="F33" i="20"/>
  <c r="L27" i="14"/>
  <c r="E34" i="20" a="1"/>
  <c r="E34" s="1"/>
  <c r="H31" i="14"/>
  <c r="F33"/>
  <c r="E34"/>
  <c r="M26"/>
  <c r="K28"/>
  <c r="P35" i="20"/>
  <c r="N36" i="221" l="1"/>
  <c r="N10"/>
  <c r="N17"/>
  <c r="N24"/>
  <c r="N31"/>
  <c r="F36" i="227"/>
  <c r="N14" i="222"/>
  <c r="N21"/>
  <c r="N28"/>
  <c r="N38" i="221"/>
  <c r="O34" i="228"/>
  <c r="N12" i="222"/>
  <c r="N19"/>
  <c r="N26"/>
  <c r="N33"/>
  <c r="N37" i="221"/>
  <c r="N15"/>
  <c r="N22"/>
  <c r="N29"/>
  <c r="F35" i="228"/>
  <c r="G34" i="230"/>
  <c r="E34" s="1" a="1"/>
  <c r="E34" s="1"/>
  <c r="D34"/>
  <c r="D37" i="227"/>
  <c r="G37"/>
  <c r="E37" s="1" a="1"/>
  <c r="E37" s="1"/>
  <c r="G35" i="229"/>
  <c r="E35" s="1" a="1"/>
  <c r="E35" s="1"/>
  <c r="D35"/>
  <c r="D36" i="228"/>
  <c r="G36"/>
  <c r="E36" s="1" a="1"/>
  <c r="E36" s="1"/>
  <c r="G32" i="232"/>
  <c r="E32" s="1" a="1"/>
  <c r="E32" s="1"/>
  <c r="D32"/>
  <c r="G39" i="225"/>
  <c r="E39" s="1" a="1"/>
  <c r="E39" s="1"/>
  <c r="D39"/>
  <c r="G38" i="226"/>
  <c r="E38" s="1" a="1"/>
  <c r="E38" s="1"/>
  <c r="D38"/>
  <c r="M40" i="222"/>
  <c r="I46"/>
  <c r="N13"/>
  <c r="L41"/>
  <c r="N20"/>
  <c r="N27"/>
  <c r="N34"/>
  <c r="N35" i="228"/>
  <c r="I35"/>
  <c r="J35"/>
  <c r="AB35"/>
  <c r="L35"/>
  <c r="M35"/>
  <c r="AB36" i="227"/>
  <c r="L36"/>
  <c r="M36" s="1"/>
  <c r="I36"/>
  <c r="J36"/>
  <c r="AB37" i="226"/>
  <c r="L37"/>
  <c r="I37"/>
  <c r="J37"/>
  <c r="AB33" i="230"/>
  <c r="L33"/>
  <c r="J33"/>
  <c r="N33"/>
  <c r="I33"/>
  <c r="M33"/>
  <c r="O30" i="232"/>
  <c r="M31" i="231"/>
  <c r="M38" i="224"/>
  <c r="N38" i="222"/>
  <c r="F34" i="229"/>
  <c r="O36" i="226"/>
  <c r="O35" i="227"/>
  <c r="N40" i="221"/>
  <c r="M40"/>
  <c r="F31" i="232"/>
  <c r="F40" i="223"/>
  <c r="F32" i="231"/>
  <c r="F39" i="224"/>
  <c r="F38" i="225"/>
  <c r="D40" i="224"/>
  <c r="F40" s="1"/>
  <c r="G40"/>
  <c r="E40" s="1" a="1"/>
  <c r="E40" s="1"/>
  <c r="D33" i="231"/>
  <c r="G33"/>
  <c r="E33" s="1" a="1"/>
  <c r="E33" s="1"/>
  <c r="L34" i="229"/>
  <c r="M34" s="1"/>
  <c r="I34"/>
  <c r="AB34"/>
  <c r="J34"/>
  <c r="N34"/>
  <c r="I46" i="221"/>
  <c r="L41"/>
  <c r="N16"/>
  <c r="N23"/>
  <c r="N30"/>
  <c r="L31" i="232"/>
  <c r="M31" s="1"/>
  <c r="AB31"/>
  <c r="I31"/>
  <c r="J31"/>
  <c r="L40" i="223"/>
  <c r="M40" s="1"/>
  <c r="AB40"/>
  <c r="AB41" s="1"/>
  <c r="I40"/>
  <c r="J40"/>
  <c r="I45"/>
  <c r="I47"/>
  <c r="I48"/>
  <c r="I49"/>
  <c r="AB32" i="231"/>
  <c r="L32"/>
  <c r="M32" s="1"/>
  <c r="I32"/>
  <c r="J32"/>
  <c r="I39" i="224"/>
  <c r="AB39"/>
  <c r="L39"/>
  <c r="J39"/>
  <c r="AB38" i="225"/>
  <c r="L38"/>
  <c r="N38"/>
  <c r="I38"/>
  <c r="J38"/>
  <c r="O35" i="228"/>
  <c r="O37" i="226"/>
  <c r="O33" i="230"/>
  <c r="G36" i="20"/>
  <c r="O33"/>
  <c r="F34"/>
  <c r="I34"/>
  <c r="J34"/>
  <c r="F34" i="14"/>
  <c r="L28"/>
  <c r="J30"/>
  <c r="E35" i="20" a="1"/>
  <c r="E35" s="1"/>
  <c r="K29" i="14"/>
  <c r="M27"/>
  <c r="H32"/>
  <c r="L34" i="20"/>
  <c r="AB34"/>
  <c r="G33" i="14"/>
  <c r="I31"/>
  <c r="D36" i="20"/>
  <c r="P36"/>
  <c r="M38" i="225" l="1"/>
  <c r="N40" i="223"/>
  <c r="M37" i="226"/>
  <c r="N14" i="223"/>
  <c r="N21"/>
  <c r="N28"/>
  <c r="N35"/>
  <c r="N11"/>
  <c r="N18"/>
  <c r="N25"/>
  <c r="N32"/>
  <c r="N39"/>
  <c r="O34" i="229"/>
  <c r="N37" i="226"/>
  <c r="G35" i="230"/>
  <c r="E35" s="1" a="1"/>
  <c r="E35" s="1"/>
  <c r="D35"/>
  <c r="D40" i="225"/>
  <c r="G40"/>
  <c r="E40" s="1" a="1"/>
  <c r="E40" s="1"/>
  <c r="D39" i="226"/>
  <c r="G39"/>
  <c r="E39" s="1" a="1"/>
  <c r="E39" s="1"/>
  <c r="D33" i="232"/>
  <c r="G33"/>
  <c r="E33" s="1" a="1"/>
  <c r="E33" s="1"/>
  <c r="G34" i="231"/>
  <c r="E34" s="1" a="1"/>
  <c r="E34" s="1"/>
  <c r="D34"/>
  <c r="F34" s="1"/>
  <c r="L41" i="223"/>
  <c r="N12"/>
  <c r="I46"/>
  <c r="N19"/>
  <c r="N26"/>
  <c r="N33"/>
  <c r="B11" i="221"/>
  <c r="N41"/>
  <c r="B13"/>
  <c r="B14"/>
  <c r="B12"/>
  <c r="B10"/>
  <c r="M45" i="224"/>
  <c r="O40" i="223"/>
  <c r="O41" s="1"/>
  <c r="M45"/>
  <c r="M47" i="221"/>
  <c r="M46"/>
  <c r="M41"/>
  <c r="N46" s="1"/>
  <c r="J42" i="222"/>
  <c r="S53"/>
  <c r="AB36" i="228"/>
  <c r="L36"/>
  <c r="M36" s="1"/>
  <c r="J36"/>
  <c r="I36"/>
  <c r="AB37" i="227"/>
  <c r="I37"/>
  <c r="J37"/>
  <c r="L37"/>
  <c r="M37" s="1"/>
  <c r="M39" i="224"/>
  <c r="O31" i="232"/>
  <c r="F33" i="231"/>
  <c r="O39" i="224"/>
  <c r="O36" i="227"/>
  <c r="F38" i="226"/>
  <c r="F39" i="225"/>
  <c r="F32" i="232"/>
  <c r="F35" i="229"/>
  <c r="F34" i="230"/>
  <c r="G37" i="228"/>
  <c r="E37" s="1" a="1"/>
  <c r="E37" s="1"/>
  <c r="D37"/>
  <c r="G38" i="227"/>
  <c r="E38" s="1" a="1"/>
  <c r="E38" s="1"/>
  <c r="D38"/>
  <c r="G36" i="229"/>
  <c r="E36" s="1" a="1"/>
  <c r="E36" s="1"/>
  <c r="D36"/>
  <c r="M46" i="223"/>
  <c r="M47"/>
  <c r="M41"/>
  <c r="N46" s="1"/>
  <c r="J42" i="221"/>
  <c r="S53"/>
  <c r="L33" i="231"/>
  <c r="M33" s="1"/>
  <c r="AB33"/>
  <c r="I33"/>
  <c r="J33"/>
  <c r="AB40" i="224"/>
  <c r="AB41" s="1"/>
  <c r="I40"/>
  <c r="J40"/>
  <c r="L40"/>
  <c r="N40"/>
  <c r="I47"/>
  <c r="I49"/>
  <c r="I45"/>
  <c r="I48"/>
  <c r="B12" i="222"/>
  <c r="B10"/>
  <c r="N41"/>
  <c r="B13"/>
  <c r="B11"/>
  <c r="B14"/>
  <c r="M41"/>
  <c r="N46" s="1"/>
  <c r="M46"/>
  <c r="M47"/>
  <c r="I38" i="226"/>
  <c r="AB38"/>
  <c r="L38"/>
  <c r="M38" s="1"/>
  <c r="J38"/>
  <c r="N39" i="225"/>
  <c r="I39"/>
  <c r="AB39"/>
  <c r="L39"/>
  <c r="M39" s="1"/>
  <c r="J39"/>
  <c r="N32" i="232"/>
  <c r="I32"/>
  <c r="AB32"/>
  <c r="J32"/>
  <c r="L32"/>
  <c r="M32" s="1"/>
  <c r="N35" i="229"/>
  <c r="I35"/>
  <c r="J35"/>
  <c r="AB35"/>
  <c r="L35"/>
  <c r="L34" i="230"/>
  <c r="M34" s="1"/>
  <c r="AB34"/>
  <c r="I34"/>
  <c r="J34"/>
  <c r="N34"/>
  <c r="O38" i="225"/>
  <c r="O32" i="231"/>
  <c r="F36" i="228"/>
  <c r="F37" i="227"/>
  <c r="O37" s="1"/>
  <c r="G37" i="20"/>
  <c r="O34"/>
  <c r="F35"/>
  <c r="I35"/>
  <c r="J35"/>
  <c r="M34"/>
  <c r="D37"/>
  <c r="I32" i="14"/>
  <c r="M28"/>
  <c r="AB35" i="20"/>
  <c r="L35"/>
  <c r="M35" s="1"/>
  <c r="E36" a="1"/>
  <c r="E36" s="1"/>
  <c r="G34" i="14"/>
  <c r="H33"/>
  <c r="K30"/>
  <c r="J31"/>
  <c r="L29"/>
  <c r="P37" i="20"/>
  <c r="N36" i="224" l="1"/>
  <c r="N11"/>
  <c r="N18"/>
  <c r="N25"/>
  <c r="N32"/>
  <c r="M35" i="229"/>
  <c r="N39" i="224"/>
  <c r="M40"/>
  <c r="N15"/>
  <c r="N22"/>
  <c r="N29"/>
  <c r="O32" i="232"/>
  <c r="O36" i="228"/>
  <c r="D37" i="229"/>
  <c r="G37"/>
  <c r="E37" s="1" a="1"/>
  <c r="E37" s="1"/>
  <c r="G39" i="227"/>
  <c r="E39" s="1" a="1"/>
  <c r="E39" s="1"/>
  <c r="D39"/>
  <c r="F39" s="1"/>
  <c r="G38" i="228"/>
  <c r="E38" s="1" a="1"/>
  <c r="E38" s="1"/>
  <c r="D38"/>
  <c r="L41" i="224"/>
  <c r="I46"/>
  <c r="N16"/>
  <c r="N23"/>
  <c r="N30"/>
  <c r="B13" i="223"/>
  <c r="N41"/>
  <c r="B14"/>
  <c r="B12"/>
  <c r="B10"/>
  <c r="B11"/>
  <c r="I33" i="232"/>
  <c r="J33"/>
  <c r="AB33"/>
  <c r="L33"/>
  <c r="M33" s="1"/>
  <c r="AB39" i="226"/>
  <c r="I39"/>
  <c r="L39"/>
  <c r="M39" s="1"/>
  <c r="J39"/>
  <c r="AB40" i="225"/>
  <c r="AB41" s="1"/>
  <c r="I40"/>
  <c r="J40"/>
  <c r="L40"/>
  <c r="I47"/>
  <c r="I48"/>
  <c r="I45"/>
  <c r="I49"/>
  <c r="F36" i="229"/>
  <c r="F38" i="227"/>
  <c r="F37" i="228"/>
  <c r="O34" i="230"/>
  <c r="O38" i="226"/>
  <c r="O33" i="231"/>
  <c r="F35" i="230"/>
  <c r="N37" i="224"/>
  <c r="D35" i="231"/>
  <c r="G35"/>
  <c r="E35" s="1" a="1"/>
  <c r="E35" s="1"/>
  <c r="D36" i="230"/>
  <c r="G36"/>
  <c r="E36" s="1" a="1"/>
  <c r="E36" s="1"/>
  <c r="G40" i="226"/>
  <c r="E40" s="1" a="1"/>
  <c r="E40" s="1"/>
  <c r="D40"/>
  <c r="F40" s="1"/>
  <c r="G34" i="232"/>
  <c r="E34" s="1" a="1"/>
  <c r="E34" s="1"/>
  <c r="D34"/>
  <c r="F34" s="1"/>
  <c r="M47" i="224"/>
  <c r="M46"/>
  <c r="M41"/>
  <c r="N46" s="1"/>
  <c r="AB36" i="229"/>
  <c r="L36"/>
  <c r="M36"/>
  <c r="I36"/>
  <c r="J36"/>
  <c r="J38" i="227"/>
  <c r="L38"/>
  <c r="M38" s="1"/>
  <c r="AB38"/>
  <c r="N38"/>
  <c r="I38"/>
  <c r="O38"/>
  <c r="N37" i="228"/>
  <c r="I37"/>
  <c r="J37"/>
  <c r="AB37"/>
  <c r="L37"/>
  <c r="S53" i="223"/>
  <c r="J42"/>
  <c r="L34" i="231"/>
  <c r="AB34"/>
  <c r="I34"/>
  <c r="J34"/>
  <c r="I35" i="230"/>
  <c r="AB35"/>
  <c r="L35"/>
  <c r="M35" s="1"/>
  <c r="J35"/>
  <c r="O35" i="229"/>
  <c r="O39" i="225"/>
  <c r="O40" i="224"/>
  <c r="O41" s="1"/>
  <c r="F33" i="232"/>
  <c r="O33" s="1"/>
  <c r="F39" i="226"/>
  <c r="O39" s="1"/>
  <c r="F40" i="225"/>
  <c r="G38" i="20"/>
  <c r="F36"/>
  <c r="I36"/>
  <c r="J36"/>
  <c r="O35"/>
  <c r="J32" i="14"/>
  <c r="K31"/>
  <c r="H34"/>
  <c r="I33"/>
  <c r="D38" i="20"/>
  <c r="L30" i="14"/>
  <c r="L36" i="20"/>
  <c r="AB36"/>
  <c r="M29" i="14"/>
  <c r="E37" i="20" a="1"/>
  <c r="E37" s="1"/>
  <c r="P38"/>
  <c r="N34" i="225" l="1"/>
  <c r="N16"/>
  <c r="N23"/>
  <c r="N30"/>
  <c r="N37"/>
  <c r="N40"/>
  <c r="N10"/>
  <c r="N13"/>
  <c r="N20"/>
  <c r="N27"/>
  <c r="N34" i="231"/>
  <c r="N36" i="229"/>
  <c r="D40" i="227"/>
  <c r="G40"/>
  <c r="E40" s="1" a="1"/>
  <c r="E40" s="1"/>
  <c r="G38" i="229"/>
  <c r="E38" s="1" a="1"/>
  <c r="E38" s="1"/>
  <c r="D38"/>
  <c r="L36" i="230"/>
  <c r="AB36"/>
  <c r="I36"/>
  <c r="J36"/>
  <c r="I35" i="231"/>
  <c r="J35"/>
  <c r="AB35"/>
  <c r="L35"/>
  <c r="M35" s="1"/>
  <c r="N14" i="225"/>
  <c r="L41"/>
  <c r="I46"/>
  <c r="N21"/>
  <c r="N28"/>
  <c r="N35"/>
  <c r="B12" i="224"/>
  <c r="B11"/>
  <c r="B13"/>
  <c r="N41"/>
  <c r="B14"/>
  <c r="B10"/>
  <c r="S53"/>
  <c r="J42"/>
  <c r="AB38" i="228"/>
  <c r="L38"/>
  <c r="M38" s="1"/>
  <c r="I38"/>
  <c r="J38"/>
  <c r="J39" i="227"/>
  <c r="L39"/>
  <c r="M39" s="1"/>
  <c r="AB39"/>
  <c r="I39"/>
  <c r="M45" i="226"/>
  <c r="O34" i="231"/>
  <c r="O37" i="228"/>
  <c r="O36" i="229"/>
  <c r="B13" i="225"/>
  <c r="F37" i="229"/>
  <c r="G35" i="232"/>
  <c r="E35" s="1" a="1"/>
  <c r="E35" s="1"/>
  <c r="D35"/>
  <c r="O40" i="225"/>
  <c r="O41" s="1"/>
  <c r="M45"/>
  <c r="G36" i="231"/>
  <c r="E36" s="1" a="1"/>
  <c r="E36" s="1"/>
  <c r="D36"/>
  <c r="G39" i="228"/>
  <c r="E39" s="1" a="1"/>
  <c r="E39" s="1"/>
  <c r="D39"/>
  <c r="G37" i="230"/>
  <c r="E37" s="1" a="1"/>
  <c r="E37" s="1"/>
  <c r="D37"/>
  <c r="L34" i="232"/>
  <c r="J34"/>
  <c r="AB34"/>
  <c r="I34"/>
  <c r="M34"/>
  <c r="AB40" i="226"/>
  <c r="AB41" s="1"/>
  <c r="I40"/>
  <c r="L40"/>
  <c r="J40"/>
  <c r="N40"/>
  <c r="I47"/>
  <c r="I45"/>
  <c r="I49"/>
  <c r="I48"/>
  <c r="AB37" i="229"/>
  <c r="L37"/>
  <c r="M37" s="1"/>
  <c r="I37"/>
  <c r="J37"/>
  <c r="M34" i="231"/>
  <c r="M37" i="228"/>
  <c r="F36" i="230"/>
  <c r="F35" i="231"/>
  <c r="O35" s="1"/>
  <c r="O35" i="230"/>
  <c r="M40" i="225"/>
  <c r="F38" i="228"/>
  <c r="G39" i="20"/>
  <c r="F37"/>
  <c r="I37"/>
  <c r="J37"/>
  <c r="O36"/>
  <c r="M36"/>
  <c r="L31" i="14"/>
  <c r="AB37" i="20"/>
  <c r="L37"/>
  <c r="M30" i="14"/>
  <c r="D39" i="20"/>
  <c r="I34" i="14"/>
  <c r="E38" i="20" a="1"/>
  <c r="E38" s="1"/>
  <c r="K32" i="14"/>
  <c r="J33"/>
  <c r="P39" i="20"/>
  <c r="O39" i="227" l="1"/>
  <c r="N13" i="226"/>
  <c r="N20"/>
  <c r="N27"/>
  <c r="N34"/>
  <c r="M36" i="230"/>
  <c r="N17" i="226"/>
  <c r="N24"/>
  <c r="N31"/>
  <c r="N38"/>
  <c r="O36" i="230"/>
  <c r="N34" i="232"/>
  <c r="F38" i="229"/>
  <c r="D39"/>
  <c r="G39"/>
  <c r="E39" s="1" a="1"/>
  <c r="E39" s="1"/>
  <c r="G37" i="231"/>
  <c r="E37" s="1" a="1"/>
  <c r="E37" s="1"/>
  <c r="D37"/>
  <c r="M40" i="226"/>
  <c r="N11"/>
  <c r="I46"/>
  <c r="L41"/>
  <c r="N18"/>
  <c r="N25"/>
  <c r="N32"/>
  <c r="I39" i="228"/>
  <c r="AB39"/>
  <c r="L39"/>
  <c r="M39" s="1"/>
  <c r="J39"/>
  <c r="AB36" i="231"/>
  <c r="L36"/>
  <c r="J36"/>
  <c r="N36"/>
  <c r="I36"/>
  <c r="I35" i="232"/>
  <c r="J35"/>
  <c r="AB35"/>
  <c r="L35"/>
  <c r="N41" i="225"/>
  <c r="B14"/>
  <c r="B11"/>
  <c r="B12"/>
  <c r="B10"/>
  <c r="AB38" i="229"/>
  <c r="I38"/>
  <c r="J38"/>
  <c r="L38"/>
  <c r="N39" i="226"/>
  <c r="O38" i="228"/>
  <c r="F40" i="227"/>
  <c r="M45" s="1"/>
  <c r="I37" i="230"/>
  <c r="J37"/>
  <c r="AB37"/>
  <c r="L37"/>
  <c r="M37" s="1"/>
  <c r="G38"/>
  <c r="E38" s="1" a="1"/>
  <c r="E38" s="1"/>
  <c r="D38"/>
  <c r="G40" i="228"/>
  <c r="E40" s="1" a="1"/>
  <c r="E40" s="1"/>
  <c r="D40"/>
  <c r="G36" i="232"/>
  <c r="E36" s="1" a="1"/>
  <c r="E36" s="1"/>
  <c r="D36"/>
  <c r="M46" i="225"/>
  <c r="M41"/>
  <c r="N46" s="1"/>
  <c r="M47"/>
  <c r="J42"/>
  <c r="S53"/>
  <c r="AB40" i="227"/>
  <c r="AB41" s="1"/>
  <c r="L40"/>
  <c r="J40"/>
  <c r="I40"/>
  <c r="I49"/>
  <c r="I45"/>
  <c r="I48"/>
  <c r="I47"/>
  <c r="O40" i="226"/>
  <c r="O41" s="1"/>
  <c r="F37" i="230"/>
  <c r="O37" s="1"/>
  <c r="F39" i="228"/>
  <c r="O39" s="1"/>
  <c r="F36" i="231"/>
  <c r="O36" s="1"/>
  <c r="F35" i="232"/>
  <c r="O35" s="1"/>
  <c r="O37" i="229"/>
  <c r="O34" i="232"/>
  <c r="N38" i="228"/>
  <c r="O38" i="229"/>
  <c r="G40" i="20"/>
  <c r="F38"/>
  <c r="I38"/>
  <c r="J38"/>
  <c r="M37"/>
  <c r="J34" i="14"/>
  <c r="D40" i="20"/>
  <c r="M31" i="14"/>
  <c r="K33"/>
  <c r="AB38" i="20"/>
  <c r="L38"/>
  <c r="M38" s="1"/>
  <c r="E39" a="1"/>
  <c r="E39" s="1"/>
  <c r="L32" i="14"/>
  <c r="O37" i="20"/>
  <c r="P40"/>
  <c r="N11" i="227" l="1"/>
  <c r="N18"/>
  <c r="N25"/>
  <c r="N32"/>
  <c r="N39"/>
  <c r="M35" i="232"/>
  <c r="O40" i="227"/>
  <c r="O41" s="1"/>
  <c r="N15"/>
  <c r="N22"/>
  <c r="N29"/>
  <c r="M38" i="229"/>
  <c r="F37" i="231"/>
  <c r="N36" i="227"/>
  <c r="M40"/>
  <c r="D38" i="231"/>
  <c r="G38"/>
  <c r="E38" s="1" a="1"/>
  <c r="E38" s="1"/>
  <c r="D37" i="232"/>
  <c r="G37"/>
  <c r="E37" s="1" a="1"/>
  <c r="E37" s="1"/>
  <c r="G40" i="229"/>
  <c r="E40" s="1" a="1"/>
  <c r="E40" s="1"/>
  <c r="D40"/>
  <c r="F40" s="1"/>
  <c r="M36" i="231"/>
  <c r="M46" i="226"/>
  <c r="M47"/>
  <c r="M41"/>
  <c r="N46" s="1"/>
  <c r="AB37" i="231"/>
  <c r="N37"/>
  <c r="I37"/>
  <c r="J37"/>
  <c r="L37"/>
  <c r="N40" i="227"/>
  <c r="F36" i="232"/>
  <c r="F40" i="228"/>
  <c r="F38" i="230"/>
  <c r="N37"/>
  <c r="N35" i="232"/>
  <c r="F39" i="229"/>
  <c r="G39" i="230"/>
  <c r="E39" s="1" a="1"/>
  <c r="E39" s="1"/>
  <c r="D39"/>
  <c r="M41" i="227"/>
  <c r="N46" s="1"/>
  <c r="M47"/>
  <c r="M46"/>
  <c r="L41"/>
  <c r="I46"/>
  <c r="N16"/>
  <c r="N23"/>
  <c r="N30"/>
  <c r="N37"/>
  <c r="AB36" i="232"/>
  <c r="L36"/>
  <c r="M36" s="1"/>
  <c r="N36"/>
  <c r="I36"/>
  <c r="J36"/>
  <c r="AB40" i="228"/>
  <c r="AB41" s="1"/>
  <c r="I40"/>
  <c r="J40"/>
  <c r="L40"/>
  <c r="I48"/>
  <c r="I45"/>
  <c r="I49"/>
  <c r="I47"/>
  <c r="AB38" i="230"/>
  <c r="L38"/>
  <c r="I38"/>
  <c r="J38"/>
  <c r="J42" i="226"/>
  <c r="S53"/>
  <c r="B10"/>
  <c r="N41"/>
  <c r="B13"/>
  <c r="B11"/>
  <c r="B12"/>
  <c r="B14"/>
  <c r="I39" i="229"/>
  <c r="AB39"/>
  <c r="L39"/>
  <c r="J39"/>
  <c r="N39" i="228"/>
  <c r="F39" i="20"/>
  <c r="I39"/>
  <c r="J39"/>
  <c r="M32" i="14"/>
  <c r="L33"/>
  <c r="AB39" i="20"/>
  <c r="L39"/>
  <c r="M39" s="1"/>
  <c r="K34" i="14"/>
  <c r="E40" i="20" a="1"/>
  <c r="E40" s="1"/>
  <c r="O38"/>
  <c r="F39" i="230" l="1"/>
  <c r="N15" i="228"/>
  <c r="N22"/>
  <c r="N29"/>
  <c r="N36"/>
  <c r="M37" i="231"/>
  <c r="N40" i="228"/>
  <c r="N12"/>
  <c r="N19"/>
  <c r="N26"/>
  <c r="N33"/>
  <c r="G38" i="232"/>
  <c r="E38" s="1" a="1"/>
  <c r="E38" s="1"/>
  <c r="D38"/>
  <c r="N13" i="228"/>
  <c r="L41"/>
  <c r="I46"/>
  <c r="N20"/>
  <c r="N27"/>
  <c r="N34"/>
  <c r="I39" i="230"/>
  <c r="AB39"/>
  <c r="L39"/>
  <c r="M39" s="1"/>
  <c r="J39"/>
  <c r="L40" i="229"/>
  <c r="AB40"/>
  <c r="AB41" s="1"/>
  <c r="I40"/>
  <c r="J40"/>
  <c r="N40"/>
  <c r="I45"/>
  <c r="I49"/>
  <c r="I48"/>
  <c r="I47"/>
  <c r="O36" i="232"/>
  <c r="O37" i="231"/>
  <c r="F37" i="232"/>
  <c r="F38" i="231"/>
  <c r="G40" i="230"/>
  <c r="E40" s="1" a="1"/>
  <c r="E40" s="1"/>
  <c r="D40"/>
  <c r="G39" i="231"/>
  <c r="E39" s="1" a="1"/>
  <c r="E39" s="1"/>
  <c r="D39"/>
  <c r="B13" i="227"/>
  <c r="B10"/>
  <c r="B12"/>
  <c r="B11"/>
  <c r="B14"/>
  <c r="N41"/>
  <c r="J42"/>
  <c r="S53"/>
  <c r="O40" i="228"/>
  <c r="O41" s="1"/>
  <c r="M45"/>
  <c r="O40" i="229"/>
  <c r="M45"/>
  <c r="AB37" i="232"/>
  <c r="L37"/>
  <c r="M37" s="1"/>
  <c r="I37"/>
  <c r="J37"/>
  <c r="AB38" i="231"/>
  <c r="I38"/>
  <c r="L38"/>
  <c r="M38" s="1"/>
  <c r="J38"/>
  <c r="N38" i="229"/>
  <c r="M39"/>
  <c r="O38" i="230"/>
  <c r="M38"/>
  <c r="M40" i="228"/>
  <c r="O39" i="230"/>
  <c r="O39" i="229"/>
  <c r="F40" i="20"/>
  <c r="M45" s="1"/>
  <c r="I40"/>
  <c r="J40"/>
  <c r="N11"/>
  <c r="N18"/>
  <c r="N25"/>
  <c r="N32"/>
  <c r="O39"/>
  <c r="AB40"/>
  <c r="AB41" s="1"/>
  <c r="L40"/>
  <c r="I47"/>
  <c r="I48"/>
  <c r="I45"/>
  <c r="I49"/>
  <c r="L34" i="14"/>
  <c r="N10" i="20"/>
  <c r="N17"/>
  <c r="M33" i="14"/>
  <c r="N12" i="229" l="1"/>
  <c r="N19"/>
  <c r="N26"/>
  <c r="N33"/>
  <c r="N39"/>
  <c r="O38" i="231"/>
  <c r="N38"/>
  <c r="N16" i="229"/>
  <c r="N23"/>
  <c r="N30"/>
  <c r="N37"/>
  <c r="F39" i="231"/>
  <c r="F40" i="230"/>
  <c r="M45" s="1"/>
  <c r="D39" i="232"/>
  <c r="G39"/>
  <c r="E39" s="1" a="1"/>
  <c r="E39" s="1"/>
  <c r="L41" i="229"/>
  <c r="N10"/>
  <c r="I46"/>
  <c r="N17"/>
  <c r="N24"/>
  <c r="N31"/>
  <c r="B13" i="228"/>
  <c r="B12"/>
  <c r="N41"/>
  <c r="B10"/>
  <c r="B11"/>
  <c r="B14"/>
  <c r="AB38" i="232"/>
  <c r="I38"/>
  <c r="J38"/>
  <c r="L38"/>
  <c r="N39" i="230"/>
  <c r="G40" i="231"/>
  <c r="E40" s="1" a="1"/>
  <c r="E40" s="1"/>
  <c r="D40"/>
  <c r="F40" s="1"/>
  <c r="M41" i="228"/>
  <c r="N46" s="1"/>
  <c r="M46"/>
  <c r="M47"/>
  <c r="L39" i="231"/>
  <c r="O39" s="1"/>
  <c r="J39"/>
  <c r="AB39"/>
  <c r="I39"/>
  <c r="M39"/>
  <c r="L40" i="230"/>
  <c r="AB40"/>
  <c r="AB41" s="1"/>
  <c r="I40"/>
  <c r="J40"/>
  <c r="I49"/>
  <c r="I48"/>
  <c r="I47"/>
  <c r="I45"/>
  <c r="J42" i="228"/>
  <c r="S53"/>
  <c r="O41" i="229"/>
  <c r="O37" i="232"/>
  <c r="M40" i="229"/>
  <c r="F38" i="232"/>
  <c r="O38" s="1"/>
  <c r="N40" i="20"/>
  <c r="N20"/>
  <c r="N34"/>
  <c r="N13"/>
  <c r="N27"/>
  <c r="N37"/>
  <c r="N23"/>
  <c r="N30"/>
  <c r="N16"/>
  <c r="N12"/>
  <c r="N19"/>
  <c r="N26"/>
  <c r="N33"/>
  <c r="N14"/>
  <c r="N21"/>
  <c r="N28"/>
  <c r="N35"/>
  <c r="N15"/>
  <c r="N22"/>
  <c r="N29"/>
  <c r="N36"/>
  <c r="N38"/>
  <c r="N39"/>
  <c r="I46"/>
  <c r="L41"/>
  <c r="N24"/>
  <c r="N31"/>
  <c r="M34" i="14"/>
  <c r="O40" i="20"/>
  <c r="O41" s="1"/>
  <c r="M40"/>
  <c r="N10" i="230" l="1"/>
  <c r="N17"/>
  <c r="N24"/>
  <c r="N31"/>
  <c r="N38"/>
  <c r="O40"/>
  <c r="O41" s="1"/>
  <c r="N14"/>
  <c r="N21"/>
  <c r="N28"/>
  <c r="N35"/>
  <c r="M38" i="232"/>
  <c r="D40"/>
  <c r="G40"/>
  <c r="E40" s="1" a="1"/>
  <c r="E40" s="1"/>
  <c r="M45" i="231"/>
  <c r="S53" i="229"/>
  <c r="J42"/>
  <c r="N40" i="230"/>
  <c r="M40"/>
  <c r="F39" i="232"/>
  <c r="M47" i="229"/>
  <c r="M46"/>
  <c r="M41"/>
  <c r="N46" s="1"/>
  <c r="I46" i="230"/>
  <c r="L41"/>
  <c r="N15"/>
  <c r="N22"/>
  <c r="N29"/>
  <c r="N36"/>
  <c r="AB40" i="231"/>
  <c r="AB41" s="1"/>
  <c r="I40"/>
  <c r="J40"/>
  <c r="L40"/>
  <c r="N40"/>
  <c r="I47"/>
  <c r="I48"/>
  <c r="I49"/>
  <c r="I45"/>
  <c r="B13" i="229"/>
  <c r="B10"/>
  <c r="B11"/>
  <c r="N41"/>
  <c r="B12"/>
  <c r="B14"/>
  <c r="N39" i="232"/>
  <c r="I39"/>
  <c r="AB39"/>
  <c r="L39"/>
  <c r="J39"/>
  <c r="B11" i="20"/>
  <c r="C11" s="1"/>
  <c r="B10"/>
  <c r="C10" s="1"/>
  <c r="B12"/>
  <c r="C12" s="1"/>
  <c r="B13"/>
  <c r="C13" s="1"/>
  <c r="M46"/>
  <c r="M47"/>
  <c r="M41"/>
  <c r="N46" s="1"/>
  <c r="K64" i="1"/>
  <c r="J42" i="20"/>
  <c r="S53"/>
  <c r="B14"/>
  <c r="C14" s="1"/>
  <c r="N41"/>
  <c r="N14" i="231" l="1"/>
  <c r="N21"/>
  <c r="N28"/>
  <c r="N35"/>
  <c r="N11"/>
  <c r="N18"/>
  <c r="N25"/>
  <c r="N32"/>
  <c r="L41"/>
  <c r="I46"/>
  <c r="N12"/>
  <c r="N19"/>
  <c r="N26"/>
  <c r="N33"/>
  <c r="S53" i="230"/>
  <c r="J42"/>
  <c r="N39" i="231"/>
  <c r="O40"/>
  <c r="O41" s="1"/>
  <c r="F40" i="232"/>
  <c r="B13" i="230"/>
  <c r="B12"/>
  <c r="B11"/>
  <c r="B10"/>
  <c r="B14"/>
  <c r="N41"/>
  <c r="M46"/>
  <c r="M47"/>
  <c r="M41"/>
  <c r="N46" s="1"/>
  <c r="L40" i="232"/>
  <c r="M40"/>
  <c r="AB40"/>
  <c r="AB41" s="1"/>
  <c r="I40"/>
  <c r="J40"/>
  <c r="N40"/>
  <c r="I49"/>
  <c r="I48"/>
  <c r="I47"/>
  <c r="I45"/>
  <c r="N38"/>
  <c r="M39"/>
  <c r="M40" i="231"/>
  <c r="O39" i="232"/>
  <c r="J69" i="1"/>
  <c r="J64"/>
  <c r="J68"/>
  <c r="J65"/>
  <c r="C53" s="1"/>
  <c r="N37" i="232" l="1"/>
  <c r="N12"/>
  <c r="N19"/>
  <c r="N26"/>
  <c r="N33"/>
  <c r="N16"/>
  <c r="N23"/>
  <c r="N30"/>
  <c r="M41" i="231"/>
  <c r="N46" s="1"/>
  <c r="M47"/>
  <c r="M46"/>
  <c r="N10" i="232"/>
  <c r="I46"/>
  <c r="L41"/>
  <c r="N17"/>
  <c r="N24"/>
  <c r="N31"/>
  <c r="O40"/>
  <c r="O41" s="1"/>
  <c r="M46"/>
  <c r="M45"/>
  <c r="B10" i="231"/>
  <c r="B14"/>
  <c r="B11"/>
  <c r="B13"/>
  <c r="B12"/>
  <c r="N41"/>
  <c r="J42"/>
  <c r="S53"/>
  <c r="M41" i="232"/>
  <c r="N46" s="1"/>
  <c r="M47"/>
  <c r="S53" l="1"/>
  <c r="J42"/>
  <c r="B13"/>
  <c r="B10"/>
  <c r="B11"/>
  <c r="N41"/>
  <c r="B12"/>
  <c r="B14"/>
</calcChain>
</file>

<file path=xl/sharedStrings.xml><?xml version="1.0" encoding="utf-8"?>
<sst xmlns="http://schemas.openxmlformats.org/spreadsheetml/2006/main" count="554" uniqueCount="132">
  <si>
    <t>Année</t>
  </si>
  <si>
    <t>1er jour de l'année</t>
  </si>
  <si>
    <t>Nombre de jour en Février</t>
  </si>
  <si>
    <t>Congés</t>
  </si>
  <si>
    <t>MALADIE</t>
  </si>
  <si>
    <t>N°</t>
  </si>
  <si>
    <t>Mois</t>
  </si>
  <si>
    <t>Jour</t>
  </si>
  <si>
    <t>Statut</t>
  </si>
  <si>
    <t>DEBUT</t>
  </si>
  <si>
    <t>FIN</t>
  </si>
  <si>
    <t>02\16\2020</t>
  </si>
  <si>
    <t>JANVIER</t>
  </si>
  <si>
    <t>Dim</t>
  </si>
  <si>
    <t>Lun</t>
  </si>
  <si>
    <t>W</t>
  </si>
  <si>
    <t>D</t>
  </si>
  <si>
    <t>FÉVRIER</t>
  </si>
  <si>
    <t>LUN</t>
  </si>
  <si>
    <t>Jeu</t>
  </si>
  <si>
    <t>Ven</t>
  </si>
  <si>
    <t>T</t>
  </si>
  <si>
    <t>J</t>
  </si>
  <si>
    <t>MARS</t>
  </si>
  <si>
    <t>a</t>
  </si>
  <si>
    <t>FORMULE DATE ANGLAIS Français</t>
  </si>
  <si>
    <t>Mar</t>
  </si>
  <si>
    <t>L</t>
  </si>
  <si>
    <t>Avril</t>
  </si>
  <si>
    <t>formule juste</t>
  </si>
  <si>
    <t>Mer</t>
  </si>
  <si>
    <t>M</t>
  </si>
  <si>
    <t>MAI</t>
  </si>
  <si>
    <t>Juin</t>
  </si>
  <si>
    <t>Sam</t>
  </si>
  <si>
    <t>S</t>
  </si>
  <si>
    <t>Juillet</t>
  </si>
  <si>
    <t>Août</t>
  </si>
  <si>
    <t>Septembre</t>
  </si>
  <si>
    <t>Férié</t>
  </si>
  <si>
    <t>F</t>
  </si>
  <si>
    <t>Octobre</t>
  </si>
  <si>
    <t>OUI</t>
  </si>
  <si>
    <t>Congé</t>
  </si>
  <si>
    <t>CJ</t>
  </si>
  <si>
    <t>Novembre</t>
  </si>
  <si>
    <t>NON</t>
  </si>
  <si>
    <t xml:space="preserve">Jours travaillé </t>
  </si>
  <si>
    <t>Décembre</t>
  </si>
  <si>
    <t>Week-End</t>
  </si>
  <si>
    <t>date recherché</t>
  </si>
  <si>
    <t>statut</t>
  </si>
  <si>
    <t>date/jour</t>
  </si>
  <si>
    <t>h;debut</t>
  </si>
  <si>
    <t>h,fin</t>
  </si>
  <si>
    <t>pause</t>
  </si>
  <si>
    <t>total</t>
  </si>
  <si>
    <t>note</t>
  </si>
  <si>
    <t>0 veut dire cellule vide</t>
  </si>
  <si>
    <t>pr pas 0 mettrecellule d'origine =""</t>
  </si>
  <si>
    <t>JOURS FERIE</t>
  </si>
  <si>
    <t>Premier de l'an</t>
  </si>
  <si>
    <t>HEURE</t>
  </si>
  <si>
    <t>PAUSE</t>
  </si>
  <si>
    <t>Lundi de Pâques</t>
  </si>
  <si>
    <t xml:space="preserve">travail pr les vieux 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</si>
  <si>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</si>
  <si>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</si>
  <si>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</si>
  <si>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</si>
  <si>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</si>
  <si>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</si>
  <si>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</si>
  <si>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</si>
  <si>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</si>
  <si>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</si>
  <si>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raz</t>
  </si>
  <si>
    <t>oui</t>
  </si>
  <si>
    <t>NBS DE KM TRAJET ALLER :</t>
  </si>
  <si>
    <t>NOMBRES DE KM EFFECTUER</t>
  </si>
  <si>
    <t>verif</t>
  </si>
  <si>
    <t xml:space="preserve">NBS DE JOURS OUVRES </t>
  </si>
  <si>
    <t>NBS DE JOUR TRAVAILLER DANS L'ANNEE :</t>
  </si>
  <si>
    <t>NBS DE JOURS DE CONGES :</t>
  </si>
  <si>
    <t>NBS DE JOURS RESTANTS A TRVAILLER :</t>
  </si>
  <si>
    <t>maladie :</t>
  </si>
  <si>
    <t>Heures travaillées</t>
  </si>
  <si>
    <t>DATE</t>
  </si>
  <si>
    <t>Total</t>
  </si>
  <si>
    <t>TOTAL  SEMAINE</t>
  </si>
  <si>
    <t>H,SUP</t>
  </si>
  <si>
    <t>N°.SEM</t>
  </si>
  <si>
    <t>NOTE</t>
  </si>
  <si>
    <t>TOTAL HEURE DU MOIS</t>
  </si>
  <si>
    <t xml:space="preserve"> HEURE SUP</t>
  </si>
  <si>
    <t xml:space="preserve">Jours ouvrés : </t>
  </si>
  <si>
    <t xml:space="preserve">Jours travaillés : </t>
  </si>
  <si>
    <t xml:space="preserve">Jours de congé : </t>
  </si>
  <si>
    <t xml:space="preserve">Jours de MALADIE : </t>
  </si>
  <si>
    <t>heure en centieme</t>
  </si>
  <si>
    <t>REALISER</t>
  </si>
  <si>
    <t>DÉCEMBRE</t>
  </si>
  <si>
    <t>AVRIL</t>
  </si>
  <si>
    <t>JUIN</t>
  </si>
  <si>
    <t>JUILLET</t>
  </si>
  <si>
    <t>AOÛT</t>
  </si>
  <si>
    <t>SEPTEMBRE</t>
  </si>
  <si>
    <t>OCTOBRE</t>
  </si>
  <si>
    <t>NOVEMBRE</t>
  </si>
  <si>
    <t>©</t>
  </si>
  <si>
    <t>Jour 1 en surbrillance :</t>
  </si>
  <si>
    <t>Mercredi</t>
  </si>
  <si>
    <t>Jour 2 en surbrillance :</t>
  </si>
  <si>
    <t>Lundi</t>
  </si>
  <si>
    <t>Jour 3 en surbrillance :</t>
  </si>
  <si>
    <t>T/100</t>
  </si>
  <si>
    <t>PAUSE ONET2</t>
  </si>
  <si>
    <t>REPOS</t>
  </si>
  <si>
    <t>jours de repos</t>
  </si>
  <si>
    <t>repos :</t>
  </si>
  <si>
    <t>heure de nuit</t>
  </si>
  <si>
    <t>HEURE SUP</t>
  </si>
  <si>
    <t>HRS TH SEM</t>
  </si>
  <si>
    <t>sem</t>
  </si>
  <si>
    <t xml:space="preserve">date </t>
  </si>
  <si>
    <t>H,N</t>
  </si>
  <si>
    <t>Temps de travail matin</t>
  </si>
  <si>
    <t>Temps de travail après-midi</t>
  </si>
  <si>
    <t>Heure début</t>
  </si>
  <si>
    <t>Heure fin</t>
  </si>
  <si>
    <t>ANNEE</t>
  </si>
  <si>
    <t>planning_decoupe_abattage</t>
  </si>
</sst>
</file>

<file path=xl/styles.xml><?xml version="1.0" encoding="utf-8"?>
<styleSheet xmlns="http://schemas.openxmlformats.org/spreadsheetml/2006/main">
  <numFmts count="26">
    <numFmt numFmtId="43" formatCode="_-* #,##0.00\ _€_-;\-* #,##0.00\ _€_-;_-* &quot;-&quot;??\ _€_-;_-@_-"/>
    <numFmt numFmtId="164" formatCode="#,##0.00\ [$€];[Red]\-#,##0.00\ [$€]"/>
    <numFmt numFmtId="165" formatCode="0.0000"/>
    <numFmt numFmtId="166" formatCode="[$-40C]d\-mmm;@"/>
    <numFmt numFmtId="167" formatCode="[$-40C]d\ mmmm\ yyyy;@"/>
    <numFmt numFmtId="168" formatCode="d/m/yy;@"/>
    <numFmt numFmtId="169" formatCode="mmm\ yyyy"/>
    <numFmt numFmtId="170" formatCode="ddd\ dd"/>
    <numFmt numFmtId="171" formatCode="h:mm;@"/>
    <numFmt numFmtId="172" formatCode="0\ &quot;km&quot;"/>
    <numFmt numFmtId="173" formatCode="0\ &quot;jours&quot;"/>
    <numFmt numFmtId="174" formatCode="#,###__&quot;jours&quot;"/>
    <numFmt numFmtId="175" formatCode="[$-40C]dd\-mmm"/>
    <numFmt numFmtId="176" formatCode="[$-40C]d\ mmmm"/>
    <numFmt numFmtId="177" formatCode="[h]&quot;h&quot;mm"/>
    <numFmt numFmtId="178" formatCode="0_ ;[Red]\-0\ "/>
    <numFmt numFmtId="179" formatCode="d\ &quot; Jours&quot;"/>
    <numFmt numFmtId="180" formatCode="[$-F400]h:mm:ss\ AM/PM"/>
    <numFmt numFmtId="181" formatCode="&quot;    &quot;d&quot;  &quot;dddd"/>
    <numFmt numFmtId="182" formatCode="&quot;  &quot;d&quot;  &quot;dddd"/>
    <numFmt numFmtId="183" formatCode="ddd\ mm"/>
    <numFmt numFmtId="184" formatCode="dd/m/yy"/>
    <numFmt numFmtId="185" formatCode="d/m;@"/>
    <numFmt numFmtId="186" formatCode="dd/mm/yy;@"/>
    <numFmt numFmtId="187" formatCode="dddd"/>
    <numFmt numFmtId="188" formatCode="ddd"/>
  </numFmts>
  <fonts count="3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Geneva"/>
    </font>
    <font>
      <sz val="10"/>
      <name val="Geneva"/>
    </font>
    <font>
      <sz val="12"/>
      <name val="Times New Roman"/>
      <family val="1"/>
    </font>
    <font>
      <sz val="8"/>
      <color rgb="FF333333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8"/>
      <name val="Arial"/>
      <family val="2"/>
    </font>
    <font>
      <sz val="16"/>
      <name val="Arial"/>
      <family val="2"/>
    </font>
    <font>
      <b/>
      <sz val="12"/>
      <color rgb="FF000000"/>
      <name val="Calibri"/>
      <family val="2"/>
    </font>
    <font>
      <sz val="28"/>
      <name val="Arial"/>
      <family val="2"/>
    </font>
    <font>
      <b/>
      <sz val="15"/>
      <color rgb="FF000000"/>
      <name val="Calibri"/>
      <family val="2"/>
    </font>
    <font>
      <b/>
      <sz val="36"/>
      <color rgb="FF000000"/>
      <name val="Arial Rounded MT Bold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7"/>
      <color rgb="FF333333"/>
      <name val="Courier New"/>
      <family val="3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Verdana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darkGray">
        <bgColor rgb="FFFFFFFF"/>
      </patternFill>
    </fill>
    <fill>
      <patternFill patternType="darkGray">
        <bgColor rgb="FF000000"/>
      </patternFill>
    </fill>
    <fill>
      <patternFill patternType="darkGray"/>
    </fill>
    <fill>
      <patternFill patternType="solid">
        <fgColor rgb="FFFFFF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99336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</fills>
  <borders count="9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FF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8080"/>
      </left>
      <right/>
      <top/>
      <bottom/>
      <diagonal/>
    </border>
    <border>
      <left/>
      <right style="thick">
        <color rgb="FF008080"/>
      </right>
      <top/>
      <bottom/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5">
    <xf numFmtId="0" fontId="0" fillId="0" borderId="0"/>
    <xf numFmtId="0" fontId="29" fillId="0" borderId="0">
      <protection locked="0"/>
    </xf>
    <xf numFmtId="0" fontId="30" fillId="0" borderId="0">
      <protection locked="0"/>
    </xf>
    <xf numFmtId="0" fontId="1" fillId="0" borderId="0"/>
    <xf numFmtId="43" fontId="1" fillId="0" borderId="0" applyFont="0" applyFill="0" applyBorder="0" applyAlignment="0" applyProtection="0"/>
  </cellStyleXfs>
  <cellXfs count="399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6" fontId="4" fillId="3" borderId="14" xfId="0" applyNumberFormat="1" applyFont="1" applyFill="1" applyBorder="1" applyAlignment="1" applyProtection="1">
      <alignment horizontal="center" vertical="center"/>
      <protection locked="0"/>
    </xf>
    <xf numFmtId="166" fontId="4" fillId="3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6" fontId="4" fillId="3" borderId="14" xfId="0" applyNumberFormat="1" applyFont="1" applyFill="1" applyBorder="1" applyAlignment="1" applyProtection="1">
      <alignment vertical="center"/>
      <protection locked="0"/>
    </xf>
    <xf numFmtId="166" fontId="4" fillId="3" borderId="15" xfId="0" applyNumberFormat="1" applyFont="1" applyFill="1" applyBorder="1" applyAlignment="1" applyProtection="1">
      <alignment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6" fontId="4" fillId="3" borderId="22" xfId="0" applyNumberFormat="1" applyFont="1" applyFill="1" applyBorder="1" applyAlignment="1" applyProtection="1">
      <alignment horizontal="center" vertical="center"/>
      <protection locked="0"/>
    </xf>
    <xf numFmtId="166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12" borderId="3" xfId="0" applyFont="1" applyFill="1" applyBorder="1" applyAlignment="1" applyProtection="1">
      <alignment vertical="center"/>
      <protection locked="0"/>
    </xf>
    <xf numFmtId="0" fontId="8" fillId="9" borderId="0" xfId="0" applyFont="1" applyFill="1" applyAlignment="1" applyProtection="1">
      <alignment vertical="center"/>
      <protection locked="0"/>
    </xf>
    <xf numFmtId="168" fontId="2" fillId="0" borderId="1" xfId="0" applyNumberFormat="1" applyFont="1" applyBorder="1" applyAlignment="1" applyProtection="1">
      <alignment vertical="center"/>
      <protection locked="0"/>
    </xf>
    <xf numFmtId="20" fontId="2" fillId="12" borderId="3" xfId="0" applyNumberFormat="1" applyFont="1" applyFill="1" applyBorder="1" applyAlignment="1" applyProtection="1">
      <alignment vertical="center"/>
      <protection locked="0"/>
    </xf>
    <xf numFmtId="172" fontId="2" fillId="0" borderId="0" xfId="0" applyNumberFormat="1" applyFont="1" applyAlignment="1" applyProtection="1">
      <alignment vertical="center"/>
      <protection locked="0"/>
    </xf>
    <xf numFmtId="20" fontId="8" fillId="9" borderId="0" xfId="0" applyNumberFormat="1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72" fontId="2" fillId="0" borderId="1" xfId="0" applyNumberFormat="1" applyFont="1" applyBorder="1" applyAlignment="1" applyProtection="1">
      <alignment vertical="center"/>
      <protection locked="0"/>
    </xf>
    <xf numFmtId="20" fontId="2" fillId="12" borderId="6" xfId="0" applyNumberFormat="1" applyFont="1" applyFill="1" applyBorder="1" applyAlignment="1" applyProtection="1">
      <alignment vertical="center"/>
      <protection locked="0"/>
    </xf>
    <xf numFmtId="166" fontId="4" fillId="3" borderId="27" xfId="0" applyNumberFormat="1" applyFont="1" applyFill="1" applyBorder="1" applyAlignment="1" applyProtection="1">
      <alignment horizontal="center" vertical="center"/>
      <protection locked="0"/>
    </xf>
    <xf numFmtId="176" fontId="4" fillId="3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77" fontId="13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77" fontId="4" fillId="0" borderId="3" xfId="0" applyNumberFormat="1" applyFont="1" applyBorder="1" applyAlignment="1" applyProtection="1">
      <alignment horizontal="center" vertical="center"/>
      <protection locked="0" hidden="1"/>
    </xf>
    <xf numFmtId="177" fontId="3" fillId="14" borderId="3" xfId="0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vertical="center"/>
    </xf>
    <xf numFmtId="177" fontId="5" fillId="0" borderId="32" xfId="0" applyNumberFormat="1" applyFont="1" applyBorder="1" applyAlignment="1">
      <alignment horizontal="center" vertical="top"/>
    </xf>
    <xf numFmtId="177" fontId="2" fillId="0" borderId="0" xfId="0" applyNumberFormat="1" applyFont="1" applyAlignment="1">
      <alignment vertical="center"/>
    </xf>
    <xf numFmtId="177" fontId="3" fillId="0" borderId="28" xfId="0" applyNumberFormat="1" applyFont="1" applyBorder="1" applyAlignment="1">
      <alignment horizontal="right" vertical="center"/>
    </xf>
    <xf numFmtId="171" fontId="3" fillId="0" borderId="0" xfId="0" applyNumberFormat="1" applyFont="1" applyAlignment="1">
      <alignment horizontal="right" vertical="center"/>
    </xf>
    <xf numFmtId="20" fontId="2" fillId="0" borderId="0" xfId="0" applyNumberFormat="1" applyFont="1" applyAlignment="1">
      <alignment vertical="center"/>
    </xf>
    <xf numFmtId="170" fontId="4" fillId="0" borderId="0" xfId="0" applyNumberFormat="1" applyFont="1" applyAlignment="1">
      <alignment horizontal="center" vertical="center"/>
    </xf>
    <xf numFmtId="180" fontId="2" fillId="0" borderId="0" xfId="0" applyNumberFormat="1" applyFont="1" applyAlignment="1">
      <alignment vertical="center"/>
    </xf>
    <xf numFmtId="170" fontId="4" fillId="0" borderId="35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vertical="center"/>
    </xf>
    <xf numFmtId="171" fontId="0" fillId="0" borderId="0" xfId="0" applyNumberFormat="1" applyFont="1" applyAlignment="1">
      <alignment vertical="center"/>
    </xf>
    <xf numFmtId="171" fontId="2" fillId="0" borderId="3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15" borderId="0" xfId="0" applyFont="1" applyFill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20" fillId="0" borderId="0" xfId="0" applyFont="1" applyAlignment="1"/>
    <xf numFmtId="0" fontId="20" fillId="0" borderId="38" xfId="0" applyFont="1" applyBorder="1" applyAlignment="1"/>
    <xf numFmtId="0" fontId="5" fillId="0" borderId="0" xfId="0" applyFont="1" applyAlignment="1">
      <alignment horizontal="center"/>
    </xf>
    <xf numFmtId="0" fontId="19" fillId="16" borderId="39" xfId="0" applyFont="1" applyFill="1" applyBorder="1" applyAlignment="1">
      <alignment horizontal="center" vertical="center"/>
    </xf>
    <xf numFmtId="0" fontId="19" fillId="11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8" borderId="28" xfId="0" applyFont="1" applyFill="1" applyBorder="1" applyAlignment="1">
      <alignment horizontal="center" vertical="center"/>
    </xf>
    <xf numFmtId="0" fontId="19" fillId="19" borderId="28" xfId="0" applyFont="1" applyFill="1" applyBorder="1" applyAlignment="1">
      <alignment horizontal="center" vertical="center"/>
    </xf>
    <xf numFmtId="0" fontId="19" fillId="20" borderId="28" xfId="0" applyFont="1" applyFill="1" applyBorder="1" applyAlignment="1">
      <alignment horizontal="center" vertical="center"/>
    </xf>
    <xf numFmtId="0" fontId="19" fillId="21" borderId="28" xfId="0" applyFont="1" applyFill="1" applyBorder="1" applyAlignment="1">
      <alignment horizontal="center" vertical="center"/>
    </xf>
    <xf numFmtId="0" fontId="19" fillId="22" borderId="28" xfId="0" applyFont="1" applyFill="1" applyBorder="1" applyAlignment="1">
      <alignment horizontal="center" vertical="center"/>
    </xf>
    <xf numFmtId="0" fontId="19" fillId="23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19" fillId="11" borderId="39" xfId="0" applyFont="1" applyFill="1" applyBorder="1" applyAlignment="1">
      <alignment horizontal="center" vertical="center"/>
    </xf>
    <xf numFmtId="0" fontId="19" fillId="17" borderId="39" xfId="0" applyFont="1" applyFill="1" applyBorder="1" applyAlignment="1">
      <alignment horizontal="center" vertical="center"/>
    </xf>
    <xf numFmtId="181" fontId="21" fillId="0" borderId="40" xfId="0" applyNumberFormat="1" applyFont="1" applyBorder="1" applyAlignment="1">
      <alignment horizontal="left" vertical="center"/>
    </xf>
    <xf numFmtId="182" fontId="21" fillId="0" borderId="40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82" fontId="21" fillId="0" borderId="39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5" fillId="0" borderId="0" xfId="0" applyFont="1" applyAlignment="1" applyProtection="1">
      <alignment horizontal="left"/>
      <protection locked="0"/>
    </xf>
    <xf numFmtId="0" fontId="5" fillId="23" borderId="1" xfId="0" applyFont="1" applyFill="1" applyBorder="1" applyAlignment="1">
      <alignment horizontal="center"/>
    </xf>
    <xf numFmtId="182" fontId="5" fillId="0" borderId="0" xfId="0" applyNumberFormat="1" applyFont="1" applyAlignment="1" applyProtection="1">
      <alignment horizontal="center"/>
      <protection locked="0" hidden="1"/>
    </xf>
    <xf numFmtId="182" fontId="5" fillId="0" borderId="0" xfId="0" applyNumberFormat="1" applyFont="1" applyAlignment="1">
      <alignment horizontal="left"/>
    </xf>
    <xf numFmtId="182" fontId="5" fillId="0" borderId="0" xfId="0" applyNumberFormat="1" applyFont="1" applyAlignment="1" applyProtection="1">
      <protection locked="0" hidden="1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protection locked="0"/>
    </xf>
    <xf numFmtId="14" fontId="22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83" fontId="21" fillId="0" borderId="0" xfId="0" applyNumberFormat="1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5" fillId="25" borderId="1" xfId="0" applyFont="1" applyFill="1" applyBorder="1" applyAlignment="1">
      <alignment horizontal="center"/>
    </xf>
    <xf numFmtId="0" fontId="5" fillId="0" borderId="0" xfId="0" applyFont="1" applyAlignment="1"/>
    <xf numFmtId="0" fontId="22" fillId="0" borderId="0" xfId="0" applyFont="1" applyAlignment="1">
      <alignment horizontal="center"/>
    </xf>
    <xf numFmtId="183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 vertical="center"/>
    </xf>
    <xf numFmtId="170" fontId="2" fillId="0" borderId="0" xfId="0" applyNumberFormat="1" applyFont="1" applyAlignment="1">
      <alignment vertical="center"/>
    </xf>
    <xf numFmtId="168" fontId="5" fillId="0" borderId="0" xfId="0" applyNumberFormat="1" applyFont="1" applyAlignment="1"/>
    <xf numFmtId="170" fontId="5" fillId="0" borderId="0" xfId="0" applyNumberFormat="1" applyFont="1" applyAlignment="1">
      <alignment horizontal="left"/>
    </xf>
    <xf numFmtId="184" fontId="5" fillId="0" borderId="0" xfId="0" applyNumberFormat="1" applyFont="1" applyAlignme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0" fontId="21" fillId="0" borderId="0" xfId="0" applyNumberFormat="1" applyFont="1" applyAlignment="1">
      <alignment horizontal="left" vertical="center"/>
    </xf>
    <xf numFmtId="2" fontId="4" fillId="0" borderId="11" xfId="0" applyNumberFormat="1" applyFont="1" applyBorder="1" applyAlignment="1">
      <alignment horizontal="center" vertical="center"/>
    </xf>
    <xf numFmtId="171" fontId="18" fillId="0" borderId="25" xfId="0" applyNumberFormat="1" applyFont="1" applyBorder="1" applyAlignment="1">
      <alignment vertical="center"/>
    </xf>
    <xf numFmtId="177" fontId="27" fillId="0" borderId="43" xfId="0" applyNumberFormat="1" applyFont="1" applyBorder="1" applyAlignment="1">
      <alignment vertical="center"/>
    </xf>
    <xf numFmtId="20" fontId="2" fillId="0" borderId="0" xfId="0" applyNumberFormat="1" applyFont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0" fontId="4" fillId="0" borderId="3" xfId="0" applyNumberFormat="1" applyFont="1" applyBorder="1" applyAlignment="1">
      <alignment vertical="center"/>
    </xf>
    <xf numFmtId="171" fontId="2" fillId="0" borderId="0" xfId="0" applyNumberFormat="1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77" fontId="4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4" fillId="0" borderId="8" xfId="0" applyNumberFormat="1" applyFont="1" applyBorder="1" applyAlignment="1" applyProtection="1">
      <alignment vertical="center"/>
      <protection locked="0"/>
    </xf>
    <xf numFmtId="168" fontId="29" fillId="0" borderId="8" xfId="0" applyNumberFormat="1" applyFont="1" applyBorder="1" applyAlignment="1" applyProtection="1">
      <alignment horizontal="center" vertical="center"/>
      <protection locked="0"/>
    </xf>
    <xf numFmtId="14" fontId="4" fillId="0" borderId="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171" fontId="2" fillId="0" borderId="66" xfId="0" applyNumberFormat="1" applyFont="1" applyBorder="1" applyAlignment="1">
      <alignment horizontal="center" vertical="center"/>
    </xf>
    <xf numFmtId="171" fontId="2" fillId="0" borderId="69" xfId="0" applyNumberFormat="1" applyFont="1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2" fillId="27" borderId="69" xfId="0" applyFont="1" applyFill="1" applyBorder="1" applyAlignment="1">
      <alignment vertical="center"/>
    </xf>
    <xf numFmtId="2" fontId="4" fillId="0" borderId="31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2" fontId="0" fillId="28" borderId="77" xfId="0" applyNumberFormat="1" applyFont="1" applyFill="1" applyBorder="1" applyAlignment="1">
      <alignment horizontal="center" vertical="center"/>
    </xf>
    <xf numFmtId="179" fontId="5" fillId="0" borderId="76" xfId="0" applyNumberFormat="1" applyFont="1" applyBorder="1" applyAlignment="1">
      <alignment vertical="center"/>
    </xf>
    <xf numFmtId="179" fontId="5" fillId="0" borderId="0" xfId="0" applyNumberFormat="1" applyFont="1" applyAlignment="1">
      <alignment vertical="center"/>
    </xf>
    <xf numFmtId="177" fontId="2" fillId="29" borderId="3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8" borderId="6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4" fontId="2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165" fontId="2" fillId="0" borderId="0" xfId="0" applyNumberFormat="1" applyFont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vertical="center"/>
      <protection locked="0"/>
    </xf>
    <xf numFmtId="16" fontId="2" fillId="5" borderId="3" xfId="0" applyNumberFormat="1" applyFont="1" applyFill="1" applyBorder="1" applyAlignment="1" applyProtection="1">
      <alignment vertical="center"/>
      <protection locked="0"/>
    </xf>
    <xf numFmtId="16" fontId="2" fillId="5" borderId="8" xfId="0" applyNumberFormat="1" applyFont="1" applyFill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2" fontId="7" fillId="0" borderId="0" xfId="0" applyNumberFormat="1" applyFont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8" xfId="0" applyFont="1" applyFill="1" applyBorder="1" applyAlignment="1" applyProtection="1">
      <alignment vertical="center"/>
      <protection locked="0"/>
    </xf>
    <xf numFmtId="167" fontId="2" fillId="9" borderId="6" xfId="0" applyNumberFormat="1" applyFont="1" applyFill="1" applyBorder="1" applyAlignment="1" applyProtection="1">
      <alignment vertical="center"/>
      <protection locked="0"/>
    </xf>
    <xf numFmtId="167" fontId="4" fillId="10" borderId="18" xfId="0" applyNumberFormat="1" applyFont="1" applyFill="1" applyBorder="1" applyAlignment="1" applyProtection="1">
      <alignment vertical="center" wrapText="1"/>
      <protection locked="0"/>
    </xf>
    <xf numFmtId="0" fontId="5" fillId="11" borderId="19" xfId="0" applyFont="1" applyFill="1" applyBorder="1" applyAlignment="1" applyProtection="1">
      <alignment vertical="center" wrapText="1"/>
      <protection locked="0"/>
    </xf>
    <xf numFmtId="168" fontId="4" fillId="5" borderId="3" xfId="0" applyNumberFormat="1" applyFont="1" applyFill="1" applyBorder="1" applyAlignment="1" applyProtection="1">
      <alignment horizontal="center" vertical="center"/>
      <protection locked="0"/>
    </xf>
    <xf numFmtId="168" fontId="4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/>
      <protection locked="0"/>
    </xf>
    <xf numFmtId="0" fontId="4" fillId="5" borderId="8" xfId="0" applyFont="1" applyFill="1" applyBorder="1" applyAlignment="1" applyProtection="1">
      <alignment vertical="center"/>
      <protection locked="0"/>
    </xf>
    <xf numFmtId="169" fontId="7" fillId="0" borderId="0" xfId="0" applyNumberFormat="1" applyFont="1" applyAlignment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2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1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6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170" fontId="2" fillId="0" borderId="3" xfId="0" applyNumberFormat="1" applyFont="1" applyBorder="1" applyAlignment="1" applyProtection="1">
      <alignment vertical="center"/>
      <protection locked="0"/>
    </xf>
    <xf numFmtId="171" fontId="2" fillId="0" borderId="3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protection locked="0"/>
    </xf>
    <xf numFmtId="168" fontId="7" fillId="0" borderId="0" xfId="0" applyNumberFormat="1" applyFont="1" applyAlignment="1" applyProtection="1">
      <protection locked="0"/>
    </xf>
    <xf numFmtId="14" fontId="8" fillId="0" borderId="3" xfId="0" applyNumberFormat="1" applyFont="1" applyBorder="1" applyAlignment="1" applyProtection="1">
      <protection locked="0"/>
    </xf>
    <xf numFmtId="14" fontId="8" fillId="0" borderId="8" xfId="0" applyNumberFormat="1" applyFont="1" applyBorder="1" applyAlignment="1" applyProtection="1"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20" fontId="11" fillId="9" borderId="0" xfId="0" applyNumberFormat="1" applyFont="1" applyFill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171" fontId="2" fillId="5" borderId="0" xfId="0" applyNumberFormat="1" applyFont="1" applyFill="1" applyAlignment="1" applyProtection="1">
      <alignment vertical="center"/>
      <protection locked="0"/>
    </xf>
    <xf numFmtId="168" fontId="5" fillId="0" borderId="0" xfId="0" applyNumberFormat="1" applyFont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173" fontId="2" fillId="0" borderId="3" xfId="0" applyNumberFormat="1" applyFont="1" applyBorder="1" applyAlignment="1" applyProtection="1">
      <alignment horizontal="center" vertical="center"/>
      <protection locked="0"/>
    </xf>
    <xf numFmtId="173" fontId="2" fillId="9" borderId="11" xfId="0" applyNumberFormat="1" applyFont="1" applyFill="1" applyBorder="1" applyAlignment="1" applyProtection="1">
      <alignment vertical="center"/>
      <protection locked="0"/>
    </xf>
    <xf numFmtId="173" fontId="2" fillId="0" borderId="0" xfId="0" applyNumberFormat="1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4" fontId="32" fillId="0" borderId="69" xfId="0" applyNumberFormat="1" applyFont="1" applyBorder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16" fontId="0" fillId="0" borderId="69" xfId="0" applyNumberFormat="1" applyBorder="1" applyAlignment="1" applyProtection="1">
      <alignment vertical="center"/>
      <protection locked="0"/>
    </xf>
    <xf numFmtId="14" fontId="0" fillId="0" borderId="69" xfId="0" applyNumberFormat="1" applyBorder="1" applyAlignment="1" applyProtection="1">
      <alignment vertical="center"/>
      <protection locked="0"/>
    </xf>
    <xf numFmtId="174" fontId="2" fillId="0" borderId="0" xfId="0" applyNumberFormat="1" applyFont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20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175" fontId="2" fillId="0" borderId="0" xfId="0" applyNumberFormat="1" applyFont="1" applyBorder="1" applyAlignment="1" applyProtection="1">
      <alignment vertical="center"/>
      <protection locked="0"/>
    </xf>
    <xf numFmtId="175" fontId="2" fillId="0" borderId="25" xfId="0" applyNumberFormat="1" applyFont="1" applyBorder="1" applyAlignment="1" applyProtection="1">
      <alignment vertical="center"/>
      <protection locked="0"/>
    </xf>
    <xf numFmtId="0" fontId="31" fillId="0" borderId="74" xfId="0" applyFont="1" applyFill="1" applyBorder="1" applyAlignment="1" applyProtection="1">
      <alignment horizontal="center" vertical="center"/>
    </xf>
    <xf numFmtId="0" fontId="31" fillId="0" borderId="78" xfId="0" applyFont="1" applyFill="1" applyBorder="1" applyAlignment="1" applyProtection="1">
      <alignment horizontal="center" vertical="center"/>
    </xf>
    <xf numFmtId="177" fontId="5" fillId="0" borderId="37" xfId="0" applyNumberFormat="1" applyFont="1" applyBorder="1" applyAlignment="1">
      <alignment horizontal="center" vertical="top"/>
    </xf>
    <xf numFmtId="0" fontId="5" fillId="0" borderId="0" xfId="0" applyNumberFormat="1" applyFont="1" applyAlignment="1">
      <alignment horizontal="center" vertical="center"/>
    </xf>
    <xf numFmtId="170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79" fontId="5" fillId="0" borderId="0" xfId="0" applyNumberFormat="1" applyFont="1" applyAlignment="1">
      <alignment horizontal="center" vertical="center"/>
    </xf>
    <xf numFmtId="177" fontId="27" fillId="8" borderId="43" xfId="0" applyNumberFormat="1" applyFont="1" applyFill="1" applyBorder="1" applyAlignment="1">
      <alignment vertical="center"/>
    </xf>
    <xf numFmtId="177" fontId="27" fillId="8" borderId="34" xfId="0" applyNumberFormat="1" applyFont="1" applyFill="1" applyBorder="1" applyAlignment="1">
      <alignment vertical="center"/>
    </xf>
    <xf numFmtId="177" fontId="27" fillId="8" borderId="3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70" fontId="4" fillId="0" borderId="11" xfId="0" applyNumberFormat="1" applyFont="1" applyBorder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173" fontId="2" fillId="0" borderId="3" xfId="0" applyNumberFormat="1" applyFont="1" applyBorder="1" applyAlignment="1">
      <alignment horizontal="center" vertical="center"/>
    </xf>
    <xf numFmtId="173" fontId="2" fillId="0" borderId="0" xfId="0" applyNumberFormat="1" applyFont="1" applyAlignment="1" applyProtection="1">
      <alignment horizontal="center" vertical="center"/>
      <protection locked="0"/>
    </xf>
    <xf numFmtId="14" fontId="32" fillId="0" borderId="88" xfId="0" applyNumberFormat="1" applyFont="1" applyBorder="1" applyAlignment="1" applyProtection="1">
      <alignment vertical="center"/>
      <protection locked="0"/>
    </xf>
    <xf numFmtId="14" fontId="32" fillId="0" borderId="89" xfId="0" applyNumberFormat="1" applyFont="1" applyBorder="1" applyAlignment="1" applyProtection="1">
      <alignment vertical="center"/>
      <protection locked="0"/>
    </xf>
    <xf numFmtId="14" fontId="32" fillId="0" borderId="90" xfId="0" applyNumberFormat="1" applyFont="1" applyBorder="1" applyAlignment="1" applyProtection="1">
      <alignment vertical="center"/>
      <protection locked="0"/>
    </xf>
    <xf numFmtId="187" fontId="31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2" fontId="4" fillId="9" borderId="11" xfId="0" applyNumberFormat="1" applyFont="1" applyFill="1" applyBorder="1" applyAlignment="1" applyProtection="1">
      <alignment horizontal="center" vertical="center"/>
      <protection locked="0"/>
    </xf>
    <xf numFmtId="20" fontId="2" fillId="0" borderId="93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8" fontId="3" fillId="2" borderId="2" xfId="0" applyNumberFormat="1" applyFont="1" applyFill="1" applyBorder="1" applyAlignment="1" applyProtection="1">
      <alignment horizontal="center" vertical="center"/>
    </xf>
    <xf numFmtId="0" fontId="2" fillId="27" borderId="69" xfId="0" quotePrefix="1" applyFont="1" applyFill="1" applyBorder="1" applyAlignment="1">
      <alignment vertical="center"/>
    </xf>
    <xf numFmtId="2" fontId="5" fillId="0" borderId="26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0" borderId="29" xfId="0" applyFont="1" applyBorder="1" applyAlignment="1">
      <alignment vertical="top"/>
    </xf>
    <xf numFmtId="0" fontId="5" fillId="0" borderId="30" xfId="0" applyFont="1" applyBorder="1" applyAlignment="1">
      <alignment vertical="top"/>
    </xf>
    <xf numFmtId="0" fontId="2" fillId="0" borderId="33" xfId="0" applyFont="1" applyBorder="1" applyAlignment="1">
      <alignment vertical="center"/>
    </xf>
    <xf numFmtId="2" fontId="5" fillId="0" borderId="63" xfId="0" applyNumberFormat="1" applyFont="1" applyBorder="1" applyAlignment="1">
      <alignment vertical="center"/>
    </xf>
    <xf numFmtId="2" fontId="5" fillId="0" borderId="64" xfId="0" applyNumberFormat="1" applyFont="1" applyBorder="1" applyAlignment="1">
      <alignment vertical="center"/>
    </xf>
    <xf numFmtId="0" fontId="35" fillId="0" borderId="0" xfId="0" applyFont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42" xfId="0" applyNumberFormat="1" applyFont="1" applyBorder="1" applyAlignment="1" applyProtection="1">
      <alignment horizontal="center" vertical="center"/>
      <protection locked="0"/>
    </xf>
    <xf numFmtId="1" fontId="4" fillId="0" borderId="5" xfId="0" applyNumberFormat="1" applyFont="1" applyBorder="1" applyAlignment="1" applyProtection="1">
      <alignment horizontal="center" vertical="center"/>
      <protection locked="0"/>
    </xf>
    <xf numFmtId="0" fontId="33" fillId="30" borderId="85" xfId="0" applyFont="1" applyFill="1" applyBorder="1" applyAlignment="1" applyProtection="1">
      <alignment horizontal="center" vertical="center"/>
    </xf>
    <xf numFmtId="0" fontId="33" fillId="30" borderId="86" xfId="0" applyFont="1" applyFill="1" applyBorder="1" applyAlignment="1" applyProtection="1">
      <alignment horizontal="center" vertical="center"/>
    </xf>
    <xf numFmtId="0" fontId="33" fillId="30" borderId="87" xfId="0" applyFont="1" applyFill="1" applyBorder="1" applyAlignment="1" applyProtection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9" fontId="0" fillId="0" borderId="46" xfId="0" applyNumberFormat="1" applyFont="1" applyBorder="1" applyAlignment="1">
      <alignment horizontal="center" vertical="center"/>
    </xf>
    <xf numFmtId="179" fontId="0" fillId="0" borderId="47" xfId="0" applyNumberFormat="1" applyFont="1" applyBorder="1" applyAlignment="1">
      <alignment horizontal="center" vertical="center"/>
    </xf>
    <xf numFmtId="179" fontId="0" fillId="0" borderId="67" xfId="0" applyNumberFormat="1" applyFont="1" applyBorder="1" applyAlignment="1">
      <alignment horizontal="center" vertical="center"/>
    </xf>
    <xf numFmtId="179" fontId="0" fillId="0" borderId="82" xfId="0" applyNumberFormat="1" applyFont="1" applyBorder="1" applyAlignment="1">
      <alignment horizontal="center" vertical="center"/>
    </xf>
    <xf numFmtId="179" fontId="0" fillId="0" borderId="83" xfId="0" applyNumberFormat="1" applyFont="1" applyBorder="1" applyAlignment="1">
      <alignment horizontal="center" vertical="center"/>
    </xf>
    <xf numFmtId="179" fontId="0" fillId="0" borderId="84" xfId="0" applyNumberFormat="1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6" fillId="0" borderId="48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2" fillId="26" borderId="8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15" fillId="31" borderId="57" xfId="0" applyFont="1" applyFill="1" applyBorder="1" applyAlignment="1">
      <alignment horizontal="center" vertical="center"/>
    </xf>
    <xf numFmtId="0" fontId="15" fillId="31" borderId="36" xfId="0" applyFont="1" applyFill="1" applyBorder="1" applyAlignment="1">
      <alignment horizontal="center" vertical="center"/>
    </xf>
    <xf numFmtId="0" fontId="15" fillId="31" borderId="58" xfId="0" applyFont="1" applyFill="1" applyBorder="1" applyAlignment="1">
      <alignment horizontal="center" vertical="center"/>
    </xf>
    <xf numFmtId="0" fontId="15" fillId="31" borderId="59" xfId="0" applyFont="1" applyFill="1" applyBorder="1" applyAlignment="1">
      <alignment horizontal="center" vertical="center"/>
    </xf>
    <xf numFmtId="0" fontId="15" fillId="31" borderId="60" xfId="0" applyFont="1" applyFill="1" applyBorder="1" applyAlignment="1">
      <alignment horizontal="center" vertical="center"/>
    </xf>
    <xf numFmtId="0" fontId="15" fillId="31" borderId="61" xfId="0" applyFont="1" applyFill="1" applyBorder="1" applyAlignment="1">
      <alignment horizontal="center" vertical="center"/>
    </xf>
    <xf numFmtId="177" fontId="16" fillId="0" borderId="36" xfId="0" applyNumberFormat="1" applyFont="1" applyBorder="1" applyAlignment="1">
      <alignment horizontal="center" vertical="center"/>
    </xf>
    <xf numFmtId="177" fontId="16" fillId="0" borderId="6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1" fontId="2" fillId="0" borderId="3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179" fontId="5" fillId="0" borderId="0" xfId="0" applyNumberFormat="1" applyFont="1" applyBorder="1" applyAlignment="1">
      <alignment horizontal="center" vertical="center"/>
    </xf>
    <xf numFmtId="179" fontId="5" fillId="0" borderId="45" xfId="0" applyNumberFormat="1" applyFont="1" applyBorder="1" applyAlignment="1">
      <alignment horizontal="center" vertical="center"/>
    </xf>
    <xf numFmtId="173" fontId="2" fillId="0" borderId="79" xfId="0" applyNumberFormat="1" applyFont="1" applyBorder="1" applyAlignment="1">
      <alignment horizontal="center" vertical="center"/>
    </xf>
    <xf numFmtId="173" fontId="2" fillId="0" borderId="80" xfId="0" applyNumberFormat="1" applyFont="1" applyBorder="1" applyAlignment="1">
      <alignment horizontal="center" vertical="center"/>
    </xf>
    <xf numFmtId="173" fontId="2" fillId="0" borderId="8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9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77" fontId="2" fillId="0" borderId="4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71" fontId="2" fillId="0" borderId="4" xfId="0" applyNumberFormat="1" applyFont="1" applyFill="1" applyBorder="1" applyAlignment="1" applyProtection="1">
      <alignment horizontal="center" vertical="center"/>
      <protection locked="0"/>
    </xf>
    <xf numFmtId="171" fontId="2" fillId="0" borderId="0" xfId="0" applyNumberFormat="1" applyFont="1" applyFill="1" applyBorder="1" applyAlignment="1" applyProtection="1">
      <alignment horizontal="center" vertical="center"/>
      <protection locked="0"/>
    </xf>
    <xf numFmtId="20" fontId="2" fillId="19" borderId="91" xfId="0" applyNumberFormat="1" applyFont="1" applyFill="1" applyBorder="1" applyAlignment="1" applyProtection="1">
      <alignment horizontal="center" vertical="center"/>
      <protection locked="0"/>
    </xf>
    <xf numFmtId="20" fontId="2" fillId="19" borderId="49" xfId="0" applyNumberFormat="1" applyFont="1" applyFill="1" applyBorder="1" applyAlignment="1" applyProtection="1">
      <alignment horizontal="center" vertical="center"/>
      <protection locked="0"/>
    </xf>
    <xf numFmtId="20" fontId="2" fillId="0" borderId="92" xfId="0" applyNumberFormat="1" applyFont="1" applyFill="1" applyBorder="1" applyAlignment="1" applyProtection="1">
      <alignment horizontal="center" vertical="center"/>
      <protection locked="0"/>
    </xf>
    <xf numFmtId="2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85" fontId="5" fillId="0" borderId="55" xfId="0" applyNumberFormat="1" applyFont="1" applyBorder="1" applyAlignment="1" applyProtection="1">
      <alignment horizontal="center" vertical="center"/>
      <protection locked="0"/>
    </xf>
    <xf numFmtId="185" fontId="5" fillId="0" borderId="56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86" fontId="12" fillId="0" borderId="3" xfId="0" applyNumberFormat="1" applyFont="1" applyBorder="1" applyAlignment="1" applyProtection="1">
      <alignment horizontal="center" vertical="center"/>
      <protection locked="0"/>
    </xf>
    <xf numFmtId="185" fontId="5" fillId="0" borderId="53" xfId="0" applyNumberFormat="1" applyFont="1" applyBorder="1" applyAlignment="1" applyProtection="1">
      <alignment horizontal="center" vertical="center"/>
      <protection locked="0"/>
    </xf>
    <xf numFmtId="185" fontId="5" fillId="0" borderId="5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2" fillId="0" borderId="75" xfId="0" applyFont="1" applyBorder="1" applyAlignment="1" applyProtection="1">
      <alignment horizontal="center" vertical="center"/>
      <protection locked="0"/>
    </xf>
    <xf numFmtId="0" fontId="2" fillId="0" borderId="73" xfId="0" applyFont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8" fillId="9" borderId="7" xfId="0" applyFont="1" applyFill="1" applyBorder="1" applyAlignment="1" applyProtection="1">
      <alignment horizontal="center" vertical="center"/>
      <protection locked="0"/>
    </xf>
    <xf numFmtId="0" fontId="8" fillId="9" borderId="25" xfId="0" applyFont="1" applyFill="1" applyBorder="1" applyAlignment="1" applyProtection="1">
      <alignment horizontal="center" vertical="center"/>
      <protection locked="0"/>
    </xf>
    <xf numFmtId="0" fontId="8" fillId="9" borderId="24" xfId="0" applyFont="1" applyFill="1" applyBorder="1" applyAlignment="1" applyProtection="1">
      <alignment horizontal="center" vertical="center"/>
      <protection locked="0"/>
    </xf>
    <xf numFmtId="0" fontId="8" fillId="9" borderId="43" xfId="0" applyFont="1" applyFill="1" applyBorder="1" applyAlignment="1" applyProtection="1">
      <alignment horizontal="center" vertical="center"/>
      <protection locked="0"/>
    </xf>
    <xf numFmtId="0" fontId="8" fillId="9" borderId="34" xfId="0" applyFont="1" applyFill="1" applyBorder="1" applyAlignment="1" applyProtection="1">
      <alignment horizontal="center" vertical="center"/>
      <protection locked="0"/>
    </xf>
    <xf numFmtId="0" fontId="8" fillId="9" borderId="3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172" fontId="2" fillId="0" borderId="3" xfId="0" applyNumberFormat="1" applyFont="1" applyBorder="1" applyAlignment="1" applyProtection="1">
      <alignment horizontal="center" vertical="center"/>
      <protection locked="0"/>
    </xf>
    <xf numFmtId="0" fontId="2" fillId="9" borderId="41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17" fillId="2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9" fillId="19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60" xfId="0" applyFont="1" applyBorder="1" applyAlignment="1">
      <alignment horizontal="center"/>
    </xf>
  </cellXfs>
  <cellStyles count="5">
    <cellStyle name="Milliers 2" xfId="4"/>
    <cellStyle name="Normal" xfId="0" builtinId="0"/>
    <cellStyle name="Normal 2" xfId="2"/>
    <cellStyle name="Normal 2 2" xfId="1"/>
    <cellStyle name="Normal 3" xfId="3"/>
  </cellStyles>
  <dxfs count="478"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CCFF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indent="0" relativeIndent="0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  <protection locked="0" hidden="0"/>
    </dxf>
    <dxf>
      <border outline="0"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relativeIndent="0" justifyLastLine="0" shrinkToFit="0" readingOrder="0"/>
      <protection locked="0" hidden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readingOrder="0"/>
      <protection locked="0" hidden="0"/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33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cs typeface="+mn-cs"/>
              </a:defRPr>
            </a:pPr>
            <a:r>
              <a:rPr lang="fr-FR" altLang="fr-FR"/>
              <a:t>recap annee</a:t>
            </a:r>
          </a:p>
        </c:rich>
      </c:tx>
      <c:spPr>
        <a:noFill/>
        <a:ln w="3175">
          <a:noFill/>
        </a:ln>
      </c:spPr>
    </c:title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explosion val="26"/>
            <c:spPr>
              <a:solidFill>
                <a:srgbClr val="538DD3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B27F-4BC5-A36C-FE166252A5DD}"/>
              </c:ext>
            </c:extLst>
          </c:dPt>
          <c:dPt>
            <c:idx val="1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27F-4BC5-A36C-FE166252A5DD}"/>
              </c:ext>
            </c:extLst>
          </c:dPt>
          <c:dPt>
            <c:idx val="2"/>
            <c:spPr>
              <a:solidFill>
                <a:srgbClr val="0C0C0C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B27F-4BC5-A36C-FE166252A5DD}"/>
              </c:ext>
            </c:extLst>
          </c:dPt>
          <c:dPt>
            <c:idx val="3"/>
            <c:spPr>
              <a:solidFill>
                <a:srgbClr val="8064A2"/>
              </a:solidFill>
              <a:ln w="12700">
                <a:solidFill>
                  <a:srgbClr val="FF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27F-4BC5-A36C-FE166252A5DD}"/>
              </c:ext>
            </c:extLst>
          </c:dPt>
          <c:dLbls>
            <c:dLbl>
              <c:idx val="1"/>
              <c:layout>
                <c:manualLayout>
                  <c:x val="-9.2305227026176884E-2"/>
                  <c:y val="0.12014271971763379"/>
                </c:manualLayout>
              </c:layout>
              <c:dLblPos val="bestFit"/>
              <c:showVal val="1"/>
              <c:showCatName val="1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27F-4BC5-A36C-FE166252A5DD}"/>
                </c:ext>
              </c:extLst>
            </c:dLbl>
            <c:dLbl>
              <c:idx val="2"/>
              <c:layout>
                <c:manualLayout>
                  <c:x val="-6.0264409532974792E-3"/>
                  <c:y val="1.6415567868769843E-2"/>
                </c:manualLayout>
              </c:layout>
              <c:dLblPos val="bestFit"/>
              <c:showVal val="1"/>
              <c:showCatName val="1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27F-4BC5-A36C-FE166252A5DD}"/>
                </c:ext>
              </c:extLst>
            </c:dLbl>
            <c:dLbl>
              <c:idx val="4"/>
              <c:layout>
                <c:manualLayout>
                  <c:x val="0.20146828927844349"/>
                  <c:y val="8.2847627865522688E-2"/>
                </c:manualLayout>
              </c:layout>
              <c:dLblPos val="bestFit"/>
              <c:showVal val="1"/>
              <c:showCatName val="1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27F-4BC5-A36C-FE166252A5DD}"/>
                </c:ext>
              </c:extLst>
            </c:dLbl>
            <c:spPr>
              <a:noFill/>
              <a:ln w="3175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cs typeface="+mn-cs"/>
                  </a:defRPr>
                </a:pPr>
                <a:endParaRPr lang="fr-FR"/>
              </a:p>
            </c:txPr>
            <c:dLblPos val="bestFit"/>
            <c:showVal val="1"/>
            <c:showCatName val="1"/>
            <c:separator> 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Données!$D$65:$D$69</c:f>
              <c:strCache>
                <c:ptCount val="5"/>
                <c:pt idx="0">
                  <c:v>NBS DE JOUR TRAVAILLER DANS L'ANNEE :</c:v>
                </c:pt>
                <c:pt idx="1">
                  <c:v>NBS DE JOURS DE CONGES :</c:v>
                </c:pt>
                <c:pt idx="2">
                  <c:v>NBS DE JOURS RESTANTS A TRVAILLER :</c:v>
                </c:pt>
                <c:pt idx="3">
                  <c:v>maladie :</c:v>
                </c:pt>
                <c:pt idx="4">
                  <c:v>repos :</c:v>
                </c:pt>
              </c:strCache>
            </c:strRef>
          </c:cat>
          <c:val>
            <c:numRef>
              <c:f>Données!$J$65:$J$68</c:f>
              <c:numCache>
                <c:formatCode>0\ "jours"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695-334A-8572-0CF2E73BAC48}"/>
            </c:ext>
          </c:extLst>
        </c:ser>
        <c:ser>
          <c:idx val="1"/>
          <c:order val="1"/>
          <c:tx>
            <c:strRef>
              <c:f>Données!$D$69</c:f>
              <c:strCache>
                <c:ptCount val="1"/>
                <c:pt idx="0">
                  <c:v>repos :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12700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  <c:showCatName val="1"/>
            <c:separator>,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Données!$J$68</c:f>
              <c:numCache>
                <c:formatCode>0\ "jours"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695-334A-8572-0CF2E73BAC48}"/>
            </c:ext>
          </c:extLst>
        </c:ser>
        <c:firstSliceAng val="0"/>
      </c:pieChart>
      <c:spPr>
        <a:solidFill>
          <a:srgbClr val="FFFFFF">
            <a:alpha val="0"/>
          </a:srgbClr>
        </a:solidFill>
        <a:ln w="3175">
          <a:noFill/>
        </a:ln>
      </c:spPr>
    </c:plotArea>
    <c:dispBlanksAs val="zero"/>
  </c:chart>
  <c:spPr>
    <a:solidFill>
      <a:srgbClr val="FFFFFF"/>
    </a:solidFill>
    <a:ln w="3175">
      <a:solidFill>
        <a:srgbClr val="868686"/>
      </a:solidFill>
      <a:prstDash val="solid"/>
    </a:ln>
  </c:spPr>
  <c:txPr>
    <a:bodyPr rot="0" vert="horz"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</xdr:row>
      <xdr:rowOff>135131</xdr:rowOff>
    </xdr:from>
    <xdr:to>
      <xdr:col>8</xdr:col>
      <xdr:colOff>677731</xdr:colOff>
      <xdr:row>119</xdr:row>
      <xdr:rowOff>0</xdr:rowOff>
    </xdr:to>
    <xdr:graphicFrame macro="">
      <xdr:nvGraphicFramePr>
        <xdr:cNvPr id="1025" name="Chart 1025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ANNEE" displayName="ANNEE" ref="U77:U101" totalsRowShown="0" headerRowDxfId="446" dataDxfId="445">
  <autoFilter ref="U77:U101"/>
  <tableColumns count="1">
    <tableColumn id="1" name="ANNEE" dataDxfId="4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planning_decoupe_abattage" displayName="planning_decoupe_abattage" ref="R76:R113" totalsRowShown="0" headerRowDxfId="443" dataDxfId="441" headerRowBorderDxfId="442" tableBorderDxfId="440" totalsRowBorderDxfId="439">
  <autoFilter ref="R76:R113"/>
  <tableColumns count="1">
    <tableColumn id="1" name="planning_decoupe_abattage" dataDxfId="43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9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105</v>
      </c>
      <c r="S2" s="53">
        <f>INDEX(Données!K7:K18,MATCH($R$2,Données!$L$7:$L$18,0))</f>
        <v>8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50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4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4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4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4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4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 ca="1"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 ca="1"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 ca="1"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 ca="1"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 ca="1"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51" t="s">
        <v>93</v>
      </c>
      <c r="F41" s="252"/>
      <c r="G41" s="252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200.25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3" t="str">
        <f ca="1">SUMIFS(F10:F40,M10:M40,"&gt;0:00",E10:E40,"&lt;&gt;F")&amp;" /  "&amp;SUMIF(M10:M40,"&gt;0:00",F10:F40)+SUMIF(M10:M40,"f",F10:F40)</f>
        <v>0 /  0</v>
      </c>
      <c r="N47" s="247"/>
      <c r="O47" s="253"/>
      <c r="P47" s="253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3"/>
      <c r="P48" s="253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49"/>
      <c r="N49" s="257"/>
      <c r="O49" s="249"/>
      <c r="P49" s="249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50"/>
      <c r="N50" s="250"/>
      <c r="O50" s="250"/>
      <c r="P50" s="250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str">
        <f>IF(OR($E10="w",$E10="f",$E10=""),"",$L10-Données!$M$9)</f>
        <v/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H7:P7"/>
    <mergeCell ref="R56:U56"/>
    <mergeCell ref="R51:R52"/>
    <mergeCell ref="S52:T52"/>
    <mergeCell ref="G53:Q54"/>
    <mergeCell ref="R53:R54"/>
    <mergeCell ref="S53:T54"/>
    <mergeCell ref="R55:S55"/>
    <mergeCell ref="Q51:Q52"/>
    <mergeCell ref="I48:L48"/>
    <mergeCell ref="I49:L49"/>
    <mergeCell ref="G50:L50"/>
    <mergeCell ref="I47:L47"/>
    <mergeCell ref="Q37:AA37"/>
    <mergeCell ref="Q38:AA38"/>
    <mergeCell ref="Q39:AA39"/>
    <mergeCell ref="Q40:AA40"/>
    <mergeCell ref="J42:R42"/>
    <mergeCell ref="I45:L45"/>
    <mergeCell ref="I46:L46"/>
    <mergeCell ref="Q36:AA36"/>
    <mergeCell ref="Q33:AA33"/>
    <mergeCell ref="Q34:AA34"/>
    <mergeCell ref="Q25:AA25"/>
    <mergeCell ref="Q26:AA26"/>
    <mergeCell ref="Q27:AA27"/>
    <mergeCell ref="Q28:AA28"/>
    <mergeCell ref="Q29:AA29"/>
    <mergeCell ref="Q35:AA35"/>
    <mergeCell ref="Q24:AA24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23:AA23"/>
    <mergeCell ref="Q30:AA30"/>
    <mergeCell ref="Q31:AA31"/>
    <mergeCell ref="Q32:AA32"/>
    <mergeCell ref="Q12:AA12"/>
    <mergeCell ref="H8:I8"/>
    <mergeCell ref="J8:K8"/>
    <mergeCell ref="Q9:AA9"/>
    <mergeCell ref="Q10:AA10"/>
    <mergeCell ref="Q11:AA11"/>
  </mergeCells>
  <conditionalFormatting sqref="D10:G40 H10:L41 M10:AA40">
    <cfRule type="expression" dxfId="477" priority="34">
      <formula>IF(INDEX(planning_decoupe_abattage2,MATCH($G10,planning_decoupe_abattage2,1))=$G10,"vrai")</formula>
    </cfRule>
    <cfRule type="expression" dxfId="476" priority="35">
      <formula>$E10="REPOS"</formula>
    </cfRule>
    <cfRule type="expression" dxfId="475" priority="37">
      <formula>$E10="M"</formula>
    </cfRule>
    <cfRule type="expression" dxfId="474" priority="38" stopIfTrue="1">
      <formula>$G10=TODAY()</formula>
    </cfRule>
  </conditionalFormatting>
  <conditionalFormatting sqref="L10:L41">
    <cfRule type="expression" priority="32" stopIfTrue="1">
      <formula>$L10=""</formula>
    </cfRule>
    <cfRule type="expression" dxfId="473" priority="33" stopIfTrue="1">
      <formula>$L10&gt;="10:00"*1</formula>
    </cfRule>
  </conditionalFormatting>
  <conditionalFormatting sqref="N10:N40">
    <cfRule type="expression" dxfId="472" priority="31" stopIfTrue="1">
      <formula>$N10&lt;&gt;""</formula>
    </cfRule>
  </conditionalFormatting>
  <conditionalFormatting sqref="L10:L41">
    <cfRule type="expression" dxfId="471" priority="25" stopIfTrue="1">
      <formula>$E10="REPOS"</formula>
    </cfRule>
    <cfRule type="expression" dxfId="470" priority="26" stopIfTrue="1">
      <formula>$E10="M"</formula>
    </cfRule>
    <cfRule type="expression" dxfId="469" priority="30" stopIfTrue="1">
      <formula>$E10="CJ"</formula>
    </cfRule>
  </conditionalFormatting>
  <conditionalFormatting sqref="L10:O40">
    <cfRule type="expression" dxfId="468" priority="17">
      <formula>$E10="REPOS"</formula>
    </cfRule>
    <cfRule type="expression" dxfId="467" priority="18">
      <formula>$E10="M"</formula>
    </cfRule>
    <cfRule type="expression" dxfId="466" priority="20" stopIfTrue="1">
      <formula>$E10="CJ"</formula>
    </cfRule>
  </conditionalFormatting>
  <conditionalFormatting sqref="L10:O40">
    <cfRule type="expression" dxfId="465" priority="16">
      <formula>IF(INDEX(planning_decoupe_abattage2,MATCH($G10,planning_decoupe_abattage2,1))=$G10,"vrai")</formula>
    </cfRule>
  </conditionalFormatting>
  <conditionalFormatting sqref="N10:N40">
    <cfRule type="expression" dxfId="464" priority="15">
      <formula>$N10&lt;&gt;""</formula>
    </cfRule>
  </conditionalFormatting>
  <conditionalFormatting sqref="L10:L40">
    <cfRule type="expression" dxfId="463" priority="8" stopIfTrue="1">
      <formula>IF(INDEX(planning_decoupe_abattage2,MATCH($G10,planning_decoupe_abattage2,1))=$G10,"vrai")</formula>
    </cfRule>
    <cfRule type="expression" dxfId="462" priority="9" stopIfTrue="1">
      <formula>$E10="REPOS"</formula>
    </cfRule>
    <cfRule type="expression" dxfId="461" priority="11" stopIfTrue="1">
      <formula>$E10="w"</formula>
    </cfRule>
    <cfRule type="expression" dxfId="460" priority="12" stopIfTrue="1">
      <formula>$E10="F"</formula>
    </cfRule>
    <cfRule type="expression" dxfId="459" priority="13" stopIfTrue="1">
      <formula>$G10=TODAY()</formula>
    </cfRule>
    <cfRule type="expression" dxfId="458" priority="14" stopIfTrue="1">
      <formula>$E10="CJ"</formula>
    </cfRule>
  </conditionalFormatting>
  <conditionalFormatting sqref="D10:AB41">
    <cfRule type="expression" dxfId="457" priority="2">
      <formula>$E10="M"</formula>
    </cfRule>
    <cfRule type="expression" dxfId="456" priority="7">
      <formula>IF(INDEX(planning_decoupe_abattage2,MATCH($G10,planning_decoupe_abattage2,1))=$G10,"vrai")</formula>
    </cfRule>
    <cfRule type="expression" dxfId="455" priority="19" stopIfTrue="1">
      <formula>$G10=TODAY()</formula>
    </cfRule>
    <cfRule type="expression" dxfId="454" priority="21" stopIfTrue="1">
      <formula>$E10="w"</formula>
    </cfRule>
    <cfRule type="expression" dxfId="453" priority="23">
      <formula>IF(INDEX(planning_decoupe_abattage2,MATCH($G10,planning_decoupe_abattage2,1))=$G10,"vrai")</formula>
    </cfRule>
    <cfRule type="expression" dxfId="452" priority="28" stopIfTrue="1">
      <formula>$E10="F"</formula>
    </cfRule>
  </conditionalFormatting>
  <conditionalFormatting sqref="K10:K41">
    <cfRule type="expression" dxfId="451" priority="6" stopIfTrue="1">
      <formula>$E10="F"</formula>
    </cfRule>
  </conditionalFormatting>
  <conditionalFormatting sqref="D10:L41">
    <cfRule type="expression" dxfId="450" priority="1">
      <formula>$E10="REPOS"</formula>
    </cfRule>
    <cfRule type="expression" dxfId="449" priority="4" stopIfTrue="1">
      <formula>$E10="CJ"</formula>
    </cfRule>
    <cfRule type="expression" dxfId="448" priority="5" stopIfTrue="1">
      <formula>$E10="w"</formula>
    </cfRule>
    <cfRule type="expression" dxfId="447" priority="39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indexed="10"/>
  </sheetPr>
  <dimension ref="A1:IV124"/>
  <sheetViews>
    <sheetView tabSelected="1" zoomScale="75" zoomScaleNormal="75" workbookViewId="0">
      <selection activeCell="E2" sqref="E2"/>
    </sheetView>
  </sheetViews>
  <sheetFormatPr baseColWidth="10" defaultColWidth="8.88671875" defaultRowHeight="0" customHeight="1" zeroHeight="1"/>
  <cols>
    <col min="1" max="4" width="10" style="39" customWidth="1"/>
    <col min="5" max="5" width="14.44140625" style="39" customWidth="1"/>
    <col min="6" max="6" width="14.88671875" style="39" customWidth="1"/>
    <col min="7" max="8" width="12.109375" style="39" customWidth="1"/>
    <col min="9" max="9" width="12.33203125" style="39" customWidth="1"/>
    <col min="10" max="10" width="13.44140625" style="39" customWidth="1"/>
    <col min="11" max="13" width="10" style="39" customWidth="1"/>
    <col min="14" max="14" width="11.5546875" style="39" customWidth="1"/>
    <col min="15" max="15" width="14.88671875" style="39" customWidth="1"/>
    <col min="16" max="16" width="18.44140625" style="39" customWidth="1"/>
    <col min="17" max="17" width="10" style="39" customWidth="1"/>
    <col min="18" max="18" width="13" style="39" customWidth="1"/>
    <col min="19" max="20" width="10" style="39" customWidth="1"/>
    <col min="21" max="21" width="30.5546875" style="39" customWidth="1"/>
    <col min="22" max="22" width="14.6640625" style="39" customWidth="1"/>
    <col min="23" max="30" width="10" style="39" customWidth="1"/>
    <col min="31" max="256" width="10" style="39" hidden="1"/>
    <col min="257" max="16384" width="8.88671875" style="168"/>
  </cols>
  <sheetData>
    <row r="1" spans="1:28" ht="14.4">
      <c r="A1"/>
      <c r="B1" s="286">
        <v>2027</v>
      </c>
      <c r="C1" s="333" t="s">
        <v>0</v>
      </c>
      <c r="D1" s="333"/>
      <c r="E1" s="23"/>
      <c r="F1" s="23"/>
      <c r="G1" s="23"/>
      <c r="H1" s="23"/>
      <c r="I1" s="23"/>
      <c r="J1" s="23"/>
      <c r="K1" s="23"/>
      <c r="L1" s="23"/>
      <c r="M1" s="23"/>
      <c r="O1" s="167"/>
    </row>
    <row r="2" spans="1:28" ht="18">
      <c r="A2" s="146"/>
      <c r="B2" s="274" t="str">
        <f>UPPER(TEXT(DATE(B1,1,1),"jjj"))</f>
        <v>VEN</v>
      </c>
      <c r="C2" s="341" t="s">
        <v>1</v>
      </c>
      <c r="D2" s="333"/>
      <c r="E2" s="285"/>
      <c r="F2" s="23"/>
      <c r="G2" s="23"/>
      <c r="H2" s="23"/>
      <c r="I2" s="23"/>
      <c r="J2" s="23"/>
      <c r="K2" s="23"/>
      <c r="L2" s="23"/>
      <c r="M2" s="23"/>
      <c r="N2" s="23"/>
      <c r="P2" s="23"/>
      <c r="R2" s="39" t="s">
        <v>101</v>
      </c>
      <c r="W2" s="39" t="s">
        <v>0</v>
      </c>
    </row>
    <row r="3" spans="1:28" ht="14.4">
      <c r="A3"/>
      <c r="B3" s="166" t="str">
        <f>TEXT(EOMONTH(DATE(B1,2,1),0),"jj")</f>
        <v>28</v>
      </c>
      <c r="C3" s="169" t="s">
        <v>2</v>
      </c>
      <c r="D3" s="24"/>
      <c r="E3" s="24"/>
      <c r="F3" s="23"/>
      <c r="G3" s="23"/>
      <c r="H3" s="23"/>
      <c r="I3" s="23"/>
      <c r="J3" s="23"/>
      <c r="K3" s="23"/>
      <c r="L3" s="23"/>
      <c r="M3" s="23"/>
      <c r="N3" s="23"/>
      <c r="P3" s="23"/>
      <c r="W3" s="39">
        <v>2025</v>
      </c>
    </row>
    <row r="4" spans="1:28" ht="14.4">
      <c r="A4"/>
      <c r="B4" s="170"/>
      <c r="C4" s="24"/>
      <c r="P4" s="23"/>
      <c r="W4" s="39">
        <v>2026</v>
      </c>
    </row>
    <row r="5" spans="1:28" ht="14.4">
      <c r="F5" s="344" t="s">
        <v>3</v>
      </c>
      <c r="G5" s="345"/>
      <c r="H5" s="171" t="s">
        <v>117</v>
      </c>
      <c r="I5" s="346" t="s">
        <v>4</v>
      </c>
      <c r="J5" s="347"/>
      <c r="K5" s="172" t="s">
        <v>5</v>
      </c>
      <c r="L5" s="172" t="s">
        <v>6</v>
      </c>
      <c r="O5" s="170"/>
      <c r="W5" s="39">
        <v>2027</v>
      </c>
      <c r="Y5" s="111"/>
      <c r="Z5" s="173"/>
      <c r="AA5" s="334"/>
      <c r="AB5" s="334"/>
    </row>
    <row r="6" spans="1:28" ht="15" thickBot="1">
      <c r="B6" s="170" t="s">
        <v>7</v>
      </c>
      <c r="D6" s="170" t="s">
        <v>8</v>
      </c>
      <c r="F6" s="174" t="s">
        <v>9</v>
      </c>
      <c r="G6" s="175" t="s">
        <v>10</v>
      </c>
      <c r="H6" s="176"/>
      <c r="I6" s="177" t="s">
        <v>9</v>
      </c>
      <c r="J6" s="178" t="s">
        <v>10</v>
      </c>
      <c r="K6" s="172"/>
      <c r="L6" s="172"/>
      <c r="O6" s="170"/>
      <c r="P6" s="167" t="s">
        <v>11</v>
      </c>
      <c r="W6" s="39">
        <v>2028</v>
      </c>
      <c r="Y6" s="179"/>
      <c r="Z6" s="179"/>
      <c r="AA6" s="179"/>
      <c r="AB6" s="179"/>
    </row>
    <row r="7" spans="1:28" ht="15" thickTop="1">
      <c r="F7" s="3"/>
      <c r="G7" s="4"/>
      <c r="H7" s="5"/>
      <c r="I7" s="180"/>
      <c r="J7" s="180"/>
      <c r="K7" s="181">
        <v>1</v>
      </c>
      <c r="L7" s="182" t="s">
        <v>12</v>
      </c>
      <c r="P7" s="39" t="e">
        <f ca="1">TEXT(TODAY(),"dd/mm/yy")</f>
        <v>#VALUE!</v>
      </c>
      <c r="W7" s="39">
        <v>2029</v>
      </c>
      <c r="X7" s="25"/>
      <c r="Y7" s="340"/>
      <c r="Z7" s="340"/>
      <c r="AA7" s="179"/>
      <c r="AB7" s="179"/>
    </row>
    <row r="8" spans="1:28" ht="15.6" customHeight="1">
      <c r="A8" s="7" t="s">
        <v>13</v>
      </c>
      <c r="B8" s="7" t="s">
        <v>13</v>
      </c>
      <c r="C8" s="8" t="s">
        <v>14</v>
      </c>
      <c r="D8" s="9" t="s">
        <v>15</v>
      </c>
      <c r="E8" s="10" t="s">
        <v>16</v>
      </c>
      <c r="F8" s="11"/>
      <c r="G8" s="12"/>
      <c r="H8" s="184"/>
      <c r="I8" s="185"/>
      <c r="J8" s="186"/>
      <c r="K8" s="181">
        <v>2</v>
      </c>
      <c r="L8" s="187" t="s">
        <v>17</v>
      </c>
      <c r="M8" s="335"/>
      <c r="N8" s="336"/>
      <c r="O8" s="24"/>
      <c r="P8" s="39" t="s">
        <v>18</v>
      </c>
      <c r="V8" s="25"/>
      <c r="W8" s="39">
        <v>2030</v>
      </c>
      <c r="X8" s="25"/>
      <c r="Y8" s="179"/>
      <c r="Z8" s="188"/>
      <c r="AA8" s="179"/>
      <c r="AB8" s="179"/>
    </row>
    <row r="9" spans="1:28" ht="21" customHeight="1" thickBot="1">
      <c r="A9" s="13" t="s">
        <v>19</v>
      </c>
      <c r="B9" s="13" t="s">
        <v>19</v>
      </c>
      <c r="C9" s="13" t="s">
        <v>20</v>
      </c>
      <c r="D9" s="9" t="s">
        <v>21</v>
      </c>
      <c r="E9" s="14" t="s">
        <v>22</v>
      </c>
      <c r="F9" s="11"/>
      <c r="G9" s="12"/>
      <c r="I9" s="189"/>
      <c r="J9" s="190"/>
      <c r="K9" s="181">
        <v>3</v>
      </c>
      <c r="L9" s="182" t="s">
        <v>23</v>
      </c>
      <c r="M9" s="348"/>
      <c r="N9" s="349"/>
      <c r="O9" s="269" t="s">
        <v>24</v>
      </c>
      <c r="P9" s="191">
        <f ca="1">IF($P$8="lun",TODAY(),TEXT(TODAY(),"j/mm/aaaa"))</f>
        <v>46054</v>
      </c>
      <c r="Q9" s="337" t="s">
        <v>25</v>
      </c>
      <c r="R9" s="337"/>
      <c r="S9" s="337"/>
      <c r="T9" s="337"/>
      <c r="V9" s="25"/>
      <c r="W9" s="39">
        <v>2031</v>
      </c>
      <c r="X9" s="25"/>
      <c r="Y9" s="179"/>
      <c r="Z9" s="188"/>
      <c r="AA9" s="188"/>
      <c r="AB9" s="188"/>
    </row>
    <row r="10" spans="1:28" ht="15" customHeight="1" thickBot="1">
      <c r="A10" s="13" t="s">
        <v>14</v>
      </c>
      <c r="B10" s="13" t="s">
        <v>14</v>
      </c>
      <c r="C10" s="13" t="s">
        <v>26</v>
      </c>
      <c r="D10" s="9" t="s">
        <v>21</v>
      </c>
      <c r="E10" s="14" t="s">
        <v>27</v>
      </c>
      <c r="F10" s="11"/>
      <c r="G10" s="12"/>
      <c r="H10" s="137"/>
      <c r="I10" s="189"/>
      <c r="J10" s="190"/>
      <c r="K10" s="181">
        <v>4</v>
      </c>
      <c r="L10" s="187" t="s">
        <v>28</v>
      </c>
      <c r="M10" s="335"/>
      <c r="N10" s="336"/>
      <c r="O10" s="15"/>
      <c r="P10" s="192" t="str">
        <f ca="1">IF(OR(Q10="lun",Q10="MAR",Q10="MER",Q10="jeu",Q10="VEN",Q10="SAM",Q10="DIM"),TEXT(TODAY(),"j/mm/aaa"),TEXT(TODAY(),"d/mm/yyy"))</f>
        <v>1/02/2026</v>
      </c>
      <c r="Q10" s="193" t="str">
        <f ca="1">IF(TEXT(TODAY(),"ddd")="ddd",TEXT(TODAY(),"jjj"),TEXT(TODAY(),"ddd"))</f>
        <v>dim</v>
      </c>
      <c r="R10" s="338" t="s">
        <v>29</v>
      </c>
      <c r="S10" s="338"/>
      <c r="T10" s="339"/>
      <c r="V10" s="25"/>
      <c r="W10" s="39">
        <v>2032</v>
      </c>
      <c r="X10" s="25"/>
      <c r="Y10" s="179"/>
      <c r="Z10" s="179"/>
      <c r="AA10" s="179"/>
      <c r="AB10" s="179"/>
    </row>
    <row r="11" spans="1:28" ht="14.4">
      <c r="A11" s="13" t="s">
        <v>26</v>
      </c>
      <c r="B11" s="13" t="s">
        <v>26</v>
      </c>
      <c r="C11" s="13" t="s">
        <v>30</v>
      </c>
      <c r="D11" s="9" t="s">
        <v>21</v>
      </c>
      <c r="E11" s="14" t="s">
        <v>31</v>
      </c>
      <c r="F11" s="11"/>
      <c r="G11" s="12"/>
      <c r="H11" s="149"/>
      <c r="I11" s="189"/>
      <c r="J11" s="190"/>
      <c r="K11" s="181">
        <v>5</v>
      </c>
      <c r="L11" s="182" t="s">
        <v>32</v>
      </c>
      <c r="M11" s="342"/>
      <c r="N11" s="343"/>
      <c r="O11" s="15"/>
      <c r="V11" s="25"/>
      <c r="W11" s="39">
        <v>2033</v>
      </c>
      <c r="X11" s="25"/>
      <c r="Y11" s="179"/>
      <c r="Z11" s="179"/>
      <c r="AA11" s="179"/>
      <c r="AB11" s="179"/>
    </row>
    <row r="12" spans="1:28" ht="14.4">
      <c r="A12" s="13" t="s">
        <v>30</v>
      </c>
      <c r="B12" s="13" t="s">
        <v>30</v>
      </c>
      <c r="C12" s="13" t="s">
        <v>19</v>
      </c>
      <c r="D12" s="9" t="s">
        <v>21</v>
      </c>
      <c r="E12" s="14" t="s">
        <v>31</v>
      </c>
      <c r="F12" s="11"/>
      <c r="G12" s="12"/>
      <c r="H12" s="150"/>
      <c r="I12" s="194"/>
      <c r="J12" s="195"/>
      <c r="K12" s="181">
        <v>6</v>
      </c>
      <c r="L12" s="187" t="s">
        <v>33</v>
      </c>
      <c r="M12" s="335"/>
      <c r="N12" s="336"/>
      <c r="O12" s="15"/>
      <c r="V12" s="25"/>
      <c r="W12" s="39">
        <v>2034</v>
      </c>
      <c r="X12" s="25"/>
      <c r="Y12" s="179"/>
      <c r="Z12" s="179"/>
      <c r="AA12" s="179"/>
      <c r="AB12" s="179"/>
    </row>
    <row r="13" spans="1:28" ht="15" thickBot="1">
      <c r="A13" s="16" t="s">
        <v>34</v>
      </c>
      <c r="B13" s="16" t="s">
        <v>34</v>
      </c>
      <c r="C13" s="16" t="s">
        <v>13</v>
      </c>
      <c r="D13" s="9" t="s">
        <v>15</v>
      </c>
      <c r="E13" s="196" t="s">
        <v>35</v>
      </c>
      <c r="F13" s="17"/>
      <c r="G13" s="18"/>
      <c r="H13" s="148"/>
      <c r="I13" s="197"/>
      <c r="J13" s="198"/>
      <c r="K13" s="181">
        <v>7</v>
      </c>
      <c r="L13" s="187" t="s">
        <v>36</v>
      </c>
      <c r="M13" s="270"/>
      <c r="N13" s="210"/>
      <c r="O13" s="15"/>
      <c r="V13" s="25"/>
      <c r="W13" s="39">
        <v>2035</v>
      </c>
      <c r="X13" s="25"/>
      <c r="Y13" s="179"/>
      <c r="Z13" s="179"/>
      <c r="AA13" s="179"/>
      <c r="AB13" s="199"/>
    </row>
    <row r="14" spans="1:28" ht="15.6" thickTop="1" thickBot="1">
      <c r="A14" s="19" t="s">
        <v>20</v>
      </c>
      <c r="B14" s="19" t="s">
        <v>20</v>
      </c>
      <c r="C14" s="20" t="s">
        <v>34</v>
      </c>
      <c r="D14" s="9" t="s">
        <v>21</v>
      </c>
      <c r="E14" s="200" t="str">
        <f>"v"</f>
        <v>v</v>
      </c>
      <c r="F14" s="21"/>
      <c r="G14" s="22"/>
      <c r="H14" s="142"/>
      <c r="I14" s="201"/>
      <c r="J14" s="202"/>
      <c r="K14" s="181">
        <v>8</v>
      </c>
      <c r="L14" s="187" t="s">
        <v>37</v>
      </c>
      <c r="M14" s="352"/>
      <c r="N14" s="353"/>
      <c r="O14" s="350" t="s">
        <v>116</v>
      </c>
      <c r="P14" s="351"/>
      <c r="V14" s="25"/>
      <c r="W14" s="39">
        <v>2036</v>
      </c>
      <c r="X14" s="25"/>
      <c r="Y14" s="179"/>
      <c r="Z14" s="179"/>
      <c r="AA14" s="179"/>
      <c r="AB14" s="179"/>
    </row>
    <row r="15" spans="1:28" ht="15" thickTop="1">
      <c r="K15" s="9">
        <v>9</v>
      </c>
      <c r="L15" s="187" t="s">
        <v>38</v>
      </c>
      <c r="M15" s="352"/>
      <c r="N15" s="336"/>
      <c r="O15" s="136">
        <v>2.0833333333333332E-2</v>
      </c>
      <c r="V15" s="25"/>
      <c r="W15" s="39">
        <v>2037</v>
      </c>
      <c r="X15" s="25"/>
      <c r="Y15" s="179"/>
      <c r="Z15" s="179"/>
      <c r="AA15" s="179"/>
      <c r="AB15" s="179"/>
    </row>
    <row r="16" spans="1:28" ht="14.4">
      <c r="B16" s="24" t="s">
        <v>39</v>
      </c>
      <c r="D16" s="203" t="s">
        <v>40</v>
      </c>
      <c r="K16" s="9">
        <v>10</v>
      </c>
      <c r="L16" s="182" t="s">
        <v>41</v>
      </c>
      <c r="M16" s="271"/>
      <c r="N16" s="210"/>
      <c r="V16" s="25"/>
      <c r="W16" s="39">
        <v>2038</v>
      </c>
      <c r="X16" s="25"/>
      <c r="Y16" s="179"/>
      <c r="Z16" s="179"/>
      <c r="AA16" s="179"/>
      <c r="AB16" s="204"/>
    </row>
    <row r="17" spans="2:28" ht="14.4">
      <c r="B17" s="24" t="s">
        <v>43</v>
      </c>
      <c r="C17" s="23"/>
      <c r="D17" s="205" t="s">
        <v>44</v>
      </c>
      <c r="F17" s="369"/>
      <c r="G17" s="369"/>
      <c r="H17" s="163"/>
      <c r="K17" s="9">
        <v>11</v>
      </c>
      <c r="L17" s="182" t="s">
        <v>45</v>
      </c>
      <c r="M17" s="271"/>
      <c r="N17" s="210"/>
      <c r="V17" s="25"/>
      <c r="W17" s="39">
        <v>2039</v>
      </c>
      <c r="X17" s="25"/>
      <c r="Y17" s="179"/>
      <c r="Z17" s="179"/>
      <c r="AA17" s="179"/>
      <c r="AB17" s="179"/>
    </row>
    <row r="18" spans="2:28" ht="14.4">
      <c r="B18" s="24" t="s">
        <v>47</v>
      </c>
      <c r="D18" s="23" t="s">
        <v>21</v>
      </c>
      <c r="F18" s="163"/>
      <c r="G18" s="163"/>
      <c r="H18" s="163"/>
      <c r="K18" s="9">
        <v>12</v>
      </c>
      <c r="L18" s="182" t="s">
        <v>48</v>
      </c>
      <c r="V18" s="25"/>
      <c r="W18" s="39">
        <v>2040</v>
      </c>
      <c r="X18" s="25"/>
      <c r="Y18" s="179"/>
      <c r="Z18" s="179"/>
      <c r="AA18" s="179"/>
      <c r="AB18" s="179"/>
    </row>
    <row r="19" spans="2:28" ht="14.4">
      <c r="B19" s="24" t="s">
        <v>49</v>
      </c>
      <c r="D19" s="206" t="s">
        <v>15</v>
      </c>
      <c r="F19" s="163"/>
      <c r="G19" s="163"/>
      <c r="H19" s="163"/>
      <c r="V19" s="25"/>
      <c r="W19" s="39">
        <v>2041</v>
      </c>
      <c r="X19" s="183"/>
      <c r="Y19" s="179"/>
      <c r="Z19" s="179"/>
      <c r="AA19" s="179"/>
      <c r="AB19" s="179"/>
    </row>
    <row r="20" spans="2:28" ht="14.4">
      <c r="B20" s="207" t="s">
        <v>4</v>
      </c>
      <c r="C20" s="207"/>
      <c r="D20" s="208" t="s">
        <v>31</v>
      </c>
      <c r="E20" s="24"/>
      <c r="F20" s="157"/>
      <c r="G20" s="157"/>
      <c r="H20" s="209"/>
      <c r="I20" s="23"/>
      <c r="J20" s="23"/>
      <c r="K20" s="23"/>
      <c r="L20" s="23"/>
      <c r="M20" s="23"/>
      <c r="P20" s="23"/>
      <c r="Q20" s="24"/>
      <c r="V20" s="25"/>
      <c r="W20" s="39">
        <v>2042</v>
      </c>
      <c r="X20" s="25"/>
      <c r="Y20" s="179"/>
      <c r="Z20" s="179"/>
      <c r="AA20" s="179"/>
      <c r="AB20" s="179"/>
    </row>
    <row r="21" spans="2:28" ht="14.4">
      <c r="E21" s="24"/>
      <c r="F21" s="157"/>
      <c r="G21" s="157"/>
      <c r="H21" s="210"/>
      <c r="I21" s="15"/>
      <c r="J21" s="23"/>
      <c r="K21" s="23"/>
      <c r="L21" s="23"/>
      <c r="M21" s="23"/>
      <c r="P21" s="23"/>
      <c r="Q21" s="24"/>
      <c r="V21" s="25"/>
      <c r="W21" s="39">
        <v>2043</v>
      </c>
      <c r="X21" s="25"/>
      <c r="Y21" s="179"/>
      <c r="Z21" s="179"/>
      <c r="AA21" s="179"/>
      <c r="AB21" s="179"/>
    </row>
    <row r="22" spans="2:28" ht="14.4">
      <c r="E22" s="24"/>
      <c r="I22" s="23"/>
      <c r="J22" s="23"/>
      <c r="K22" s="23"/>
      <c r="L22" s="23"/>
      <c r="M22" s="23"/>
      <c r="V22" s="25"/>
      <c r="W22" s="39">
        <v>2044</v>
      </c>
      <c r="X22" s="25"/>
      <c r="Y22" s="179"/>
      <c r="Z22" s="179"/>
      <c r="AA22" s="179"/>
      <c r="AB22" s="179"/>
    </row>
    <row r="23" spans="2:28" ht="14.4">
      <c r="B23" s="364" t="s">
        <v>50</v>
      </c>
      <c r="C23" s="365"/>
      <c r="D23" s="211" t="s">
        <v>51</v>
      </c>
      <c r="E23" s="212" t="s">
        <v>52</v>
      </c>
      <c r="F23" s="211" t="s">
        <v>53</v>
      </c>
      <c r="G23" s="211" t="s">
        <v>54</v>
      </c>
      <c r="H23" s="211" t="s">
        <v>55</v>
      </c>
      <c r="I23" s="211" t="s">
        <v>56</v>
      </c>
      <c r="J23" s="361" t="s">
        <v>57</v>
      </c>
      <c r="K23" s="362"/>
      <c r="L23" s="362"/>
      <c r="M23" s="362"/>
      <c r="N23" s="362"/>
      <c r="O23" s="363"/>
      <c r="P23" s="360" t="s">
        <v>58</v>
      </c>
      <c r="Q23" s="354"/>
      <c r="V23" s="25"/>
      <c r="W23" s="39">
        <v>2045</v>
      </c>
      <c r="X23" s="25"/>
      <c r="Y23" s="179"/>
      <c r="Z23" s="179"/>
      <c r="AA23" s="179"/>
      <c r="AB23" s="179"/>
    </row>
    <row r="24" spans="2:28" ht="15.6">
      <c r="B24" s="367">
        <v>44266</v>
      </c>
      <c r="C24" s="368"/>
      <c r="D24" s="213" t="str">
        <f ca="1">IFERROR(IF(AND(VLOOKUP($B24,INDIRECT("'"&amp;TEXT($B24,"mmmm")&amp;"'!B10:V40"),2,EPÄTOSI)=0,$B24=0),"",VLOOKUP($B24,INDIRECT("'"&amp;TEXT($B24,"mmmm")&amp;"'!B10:V40"),2,EPÄTOSI)),"")</f>
        <v/>
      </c>
      <c r="E24" s="214" t="str">
        <f ca="1">IFERROR(IF(AND(VLOOKUP($B24,INDIRECT("'"&amp;TEXT($B24,"mmmm")&amp;"'!B10:V40"),1,EPÄTOSI)=0,$B24=0),"",VLOOKUP($B24,INDIRECT("'"&amp;TEXT($B24,"mmmm")&amp;"'!B10:V40"),1,EPÄTOSI)),"")</f>
        <v/>
      </c>
      <c r="F24" s="215" t="str">
        <f ca="1">IFERROR(IF(AND(VLOOKUP($B24,INDIRECT("'"&amp;TEXT($B24,"mmmm")&amp;"'!B10:V40"),5,EPÄTOSI)=0,$B24=0),"",VLOOKUP($B24,INDIRECT("'"&amp;TEXT($B24,"mmmm")&amp;"'!B10:V40"),5,EPÄTOSI)),"")</f>
        <v/>
      </c>
      <c r="G24" s="215" t="str">
        <f ca="1">IFERROR(IF(AND(VLOOKUP($B24,INDIRECT("'"&amp;TEXT($B24,"mmmm")&amp;"'!B10:V40"),6,EPÄTOSI)=0,$B24=0),"",VLOOKUP($B24,INDIRECT("'"&amp;TEXT($B24,"mmmm")&amp;"'!B10:V40"),6,EPÄTOSI)),"")</f>
        <v/>
      </c>
      <c r="H24" s="215" t="str">
        <f ca="1">IFERROR(IF(AND(VLOOKUP($B24,INDIRECT("'"&amp;TEXT($B24,"mmmm")&amp;"'!B10:V40"),7,EPÄTOSI)=0,$B24=0),"",VLOOKUP($B24,INDIRECT("'"&amp;TEXT($B24,"mmmm")&amp;"'!B10:V40"),7,EPÄTOSI)),"")</f>
        <v/>
      </c>
      <c r="I24" s="215" t="str">
        <f ca="1">IFERROR(IF(AND(VLOOKUP($B24,INDIRECT("'"&amp;TEXT($B24,"mmmm")&amp;"'!B10:V40"),8,EPÄTOSI)=0,$B24=0),"",VLOOKUP($B24,INDIRECT("'"&amp;TEXT($B24,"mmmm")&amp;"'!B10:V40"),8,EPÄTOSI)),"")</f>
        <v/>
      </c>
      <c r="J24" s="358" t="str">
        <f ca="1">IFERROR(IF(AND(VLOOKUP($B24,INDIRECT("'"&amp;TEXT($B24,"mmmm")&amp;"'!B10:V40"),16,EPÄTOSI)=0,$B24=0),"",VLOOKUP($B24,INDIRECT("'"&amp;TEXT($B24,"mmmm")&amp;"'!B10:V40"),16,EPÄTOSI)),"")</f>
        <v/>
      </c>
      <c r="K24" s="359"/>
      <c r="L24" s="359"/>
      <c r="M24" s="359"/>
      <c r="N24" s="359"/>
      <c r="O24" s="359"/>
      <c r="P24" s="360" t="s">
        <v>59</v>
      </c>
      <c r="Q24" s="354"/>
      <c r="R24" s="354"/>
      <c r="V24" s="25"/>
      <c r="W24" s="39">
        <v>2046</v>
      </c>
      <c r="X24" s="25"/>
      <c r="Y24" s="216"/>
      <c r="Z24" s="179"/>
      <c r="AA24" s="179"/>
      <c r="AB24" s="179"/>
    </row>
    <row r="25" spans="2:28" ht="14.4">
      <c r="B25" s="367">
        <v>44197</v>
      </c>
      <c r="C25" s="368"/>
      <c r="D25" s="213" t="str">
        <f ca="1">IFERROR(IF(AND(VLOOKUP($B25,INDIRECT("'"&amp;TEXT($B25,"mmmm")&amp;"'!B10:V40"),2,EPÄTOSI)=0,$B25=0),"",VLOOKUP($B25,INDIRECT("'"&amp;TEXT($B25,"mmmm")&amp;"'!B10:V40"),2,EPÄTOSI)),"")</f>
        <v/>
      </c>
      <c r="E25" s="214" t="str">
        <f ca="1">IFERROR(IF(AND(VLOOKUP($B25,INDIRECT("'"&amp;TEXT($B25,"mmmm")&amp;"'!B10:V40"),1,EPÄTOSI)=0,$B25=0),"",VLOOKUP($B25,INDIRECT("'"&amp;TEXT($B25,"mmmm")&amp;"'!B10:V40"),1,EPÄTOSI)),"")</f>
        <v/>
      </c>
      <c r="F25" s="215" t="str">
        <f ca="1">IFERROR(IF(AND(VLOOKUP($B25,INDIRECT("'"&amp;TEXT($B25,"mmmm")&amp;"'!B10:V40"),5,EPÄTOSI)=0,$B25=0),"",VLOOKUP($B25,INDIRECT("'"&amp;TEXT($B25,"mmmm")&amp;"'!B10:V40"),5,EPÄTOSI)),"")</f>
        <v/>
      </c>
      <c r="G25" s="215" t="str">
        <f ca="1">IFERROR(IF(AND(VLOOKUP($B25,INDIRECT("'"&amp;TEXT($B25,"mmmm")&amp;"'!B10:V40"),6,EPÄTOSI)=0,$B25=0),"",VLOOKUP($B25,INDIRECT("'"&amp;TEXT($B25,"mmmm")&amp;"'!B10:V40"),6,EPÄTOSI)),"")</f>
        <v/>
      </c>
      <c r="H25" s="215" t="str">
        <f ca="1">IFERROR(IF(AND(VLOOKUP($B25,INDIRECT("'"&amp;TEXT($B25,"mmmm")&amp;"'!B10:V40"),7,EPÄTOSI)=0,$B25=0),"",VLOOKUP($B25,INDIRECT("'"&amp;TEXT($B25,"mmmm")&amp;"'!B10:V40"),7,EPÄTOSI)),"")</f>
        <v/>
      </c>
      <c r="I25" s="215" t="str">
        <f ca="1">IFERROR(IF(AND(VLOOKUP($B25,INDIRECT("'"&amp;TEXT($B25,"mmmm")&amp;"'!B10:V40"),8,EPÄTOSI)=0,$B25=0),"",VLOOKUP($B25,INDIRECT("'"&amp;TEXT($B25,"mmmm")&amp;"'!B10:V40"),8,EPÄTOSI)),"")</f>
        <v/>
      </c>
      <c r="J25" s="358" t="str">
        <f ca="1">IFERROR(IF(AND(VLOOKUP($B25,INDIRECT("'"&amp;TEXT($B25,"mmmm")&amp;"'!B10:V40"),16,EPÄTOSI)=0,$B25=0),"",VLOOKUP($B25,INDIRECT("'"&amp;TEXT($B25,"mmmm")&amp;"'!B10:V40"),16,EPÄTOSI)),"")</f>
        <v/>
      </c>
      <c r="K25" s="359"/>
      <c r="L25" s="359"/>
      <c r="M25" s="359"/>
      <c r="N25" s="359"/>
      <c r="O25" s="359"/>
      <c r="V25" s="25"/>
      <c r="W25" s="39">
        <v>2047</v>
      </c>
      <c r="X25" s="25"/>
      <c r="Y25" s="179"/>
      <c r="Z25" s="217"/>
      <c r="AA25" s="179"/>
      <c r="AB25" s="179"/>
    </row>
    <row r="26" spans="2:28" ht="14.4">
      <c r="B26" s="367">
        <v>44266</v>
      </c>
      <c r="C26" s="368"/>
      <c r="D26" s="213" t="str">
        <f ca="1">IFERROR(IF(AND(VLOOKUP($B26,INDIRECT("'"&amp;TEXT($B26,"mmmm")&amp;"'!B10:V40"),2,EPÄTOSI)=0,$B26=0),"",VLOOKUP($B26,INDIRECT("'"&amp;TEXT($B26,"mmmm")&amp;"'!B10:V40"),2,EPÄTOSI)),"")</f>
        <v/>
      </c>
      <c r="E26" s="214" t="str">
        <f ca="1">IFERROR(IF(AND(VLOOKUP($B26,INDIRECT("'"&amp;TEXT($B26,"mmmm")&amp;"'!B10:V40"),1,EPÄTOSI)=0,$B26=0),"",VLOOKUP($B26,INDIRECT("'"&amp;TEXT($B26,"mmmm")&amp;"'!B10:V40"),1,EPÄTOSI)),"")</f>
        <v/>
      </c>
      <c r="F26" s="215" t="str">
        <f ca="1">IFERROR(IF(AND(VLOOKUP($B26,INDIRECT("'"&amp;TEXT($B26,"mmmm")&amp;"'!B10:V40"),5,EPÄTOSI)=0,$B26=0),"",VLOOKUP($B26,INDIRECT("'"&amp;TEXT($B26,"mmmm")&amp;"'!B10:V40"),5,EPÄTOSI)),"")</f>
        <v/>
      </c>
      <c r="G26" s="215" t="str">
        <f ca="1">IFERROR(IF(AND(VLOOKUP($B26,INDIRECT("'"&amp;TEXT($B26,"mmmm")&amp;"'!B10:V40"),6,EPÄTOSI)=0,$B26=0),"",VLOOKUP($B26,INDIRECT("'"&amp;TEXT($B26,"mmmm")&amp;"'!B10:V40"),6,EPÄTOSI)),"")</f>
        <v/>
      </c>
      <c r="H26" s="215" t="str">
        <f ca="1">IFERROR(IF(AND(VLOOKUP($B26,INDIRECT("'"&amp;TEXT($B26,"mmmm")&amp;"'!B10:V40"),7,EPÄTOSI)=0,$B26=0),"",VLOOKUP($B26,INDIRECT("'"&amp;TEXT($B26,"mmmm")&amp;"'!B10:V40"),7,EPÄTOSI)),"")</f>
        <v/>
      </c>
      <c r="I26" s="215" t="str">
        <f ca="1">IFERROR(IF(AND(VLOOKUP($B26,INDIRECT("'"&amp;TEXT($B26,"mmmm")&amp;"'!B10:V40"),8,EPÄTOSI)=0,$B26=0),"",VLOOKUP($B26,INDIRECT("'"&amp;TEXT($B26,"mmmm")&amp;"'!B10:V40"),8,EPÄTOSI)),"")</f>
        <v/>
      </c>
      <c r="J26" s="358" t="str">
        <f ca="1">IFERROR(IF(AND(VLOOKUP($B26,INDIRECT("'"&amp;TEXT($B26,"mmmm")&amp;"'!B10:V40"),16,EPÄTOSI)=0,$B26=0),"",VLOOKUP($B26,INDIRECT("'"&amp;TEXT($B26,"mmmm")&amp;"'!B10:V40"),16,EPÄTOSI)),"")</f>
        <v/>
      </c>
      <c r="K26" s="359"/>
      <c r="L26" s="359"/>
      <c r="M26" s="359"/>
      <c r="N26" s="359"/>
      <c r="O26" s="359"/>
      <c r="V26" s="25"/>
      <c r="W26" s="39">
        <v>2048</v>
      </c>
      <c r="X26" s="25"/>
      <c r="Y26" s="179"/>
      <c r="Z26" s="217"/>
      <c r="AA26" s="179"/>
      <c r="AB26" s="179"/>
    </row>
    <row r="27" spans="2:28" ht="14.4">
      <c r="B27" s="367">
        <v>43174</v>
      </c>
      <c r="C27" s="368"/>
      <c r="D27" s="213" t="str">
        <f ca="1">IFERROR(IF(AND(VLOOKUP($B27,INDIRECT("'"&amp;TEXT($B27,"mmmm")&amp;"'!B10:V40"),2,EPÄTOSI)=0,$B27=0),"",VLOOKUP($B27,INDIRECT("'"&amp;TEXT($B27,"mmmm")&amp;"'!B10:V40"),2,EPÄTOSI)),"")</f>
        <v/>
      </c>
      <c r="E27" s="214" t="str">
        <f ca="1">IFERROR(IF(AND(VLOOKUP($B27,INDIRECT("'"&amp;TEXT($B27,"mmmm")&amp;"'!B10:V40"),1,EPÄTOSI)=0,$B27=0),"",VLOOKUP($B27,INDIRECT("'"&amp;TEXT($B27,"mmmm")&amp;"'!B10:V40"),1,EPÄTOSI)),"")</f>
        <v/>
      </c>
      <c r="F27" s="215" t="str">
        <f ca="1">IFERROR(IF(AND(VLOOKUP($B27,INDIRECT("'"&amp;TEXT($B27,"mmmm")&amp;"'!B10:V40"),5,EPÄTOSI)=0,$B27=0),"",VLOOKUP($B27,INDIRECT("'"&amp;TEXT($B27,"mmmm")&amp;"'!B10:V40"),5,EPÄTOSI)),"")</f>
        <v/>
      </c>
      <c r="G27" s="215" t="str">
        <f ca="1">IFERROR(IF(AND(VLOOKUP($B27,INDIRECT("'"&amp;TEXT($B27,"mmmm")&amp;"'!B10:V40"),6,EPÄTOSI)=0,$B27=0),"",VLOOKUP($B27,INDIRECT("'"&amp;TEXT($B27,"mmmm")&amp;"'!B10:V40"),6,EPÄTOSI)),"")</f>
        <v/>
      </c>
      <c r="H27" s="215" t="str">
        <f ca="1">IFERROR(IF(AND(VLOOKUP($B27,INDIRECT("'"&amp;TEXT($B27,"mmmm")&amp;"'!B10:V40"),7,EPÄTOSI)=0,$B27=0),"",VLOOKUP($B27,INDIRECT("'"&amp;TEXT($B27,"mmmm")&amp;"'!B10:V40"),7,EPÄTOSI)),"")</f>
        <v/>
      </c>
      <c r="I27" s="215" t="str">
        <f ca="1">IFERROR(IF(AND(VLOOKUP($B27,INDIRECT("'"&amp;TEXT($B27,"mmmm")&amp;"'!B10:V40"),8,EPÄTOSI)=0,$B27=0),"",VLOOKUP($B27,INDIRECT("'"&amp;TEXT($B27,"mmmm")&amp;"'!B10:V40"),8,EPÄTOSI)),"")</f>
        <v/>
      </c>
      <c r="J27" s="358" t="str">
        <f ca="1">IFERROR(IF(AND(VLOOKUP($B27,INDIRECT("'"&amp;TEXT($B27,"mmmm")&amp;"'!B10:V40"),16,EPÄTOSI)=0,$B27=0),"",VLOOKUP($B27,INDIRECT("'"&amp;TEXT($B27,"mmmm")&amp;"'!B10:V40"),16,EPÄTOSI)),"")</f>
        <v/>
      </c>
      <c r="K27" s="359"/>
      <c r="L27" s="359"/>
      <c r="M27" s="359"/>
      <c r="N27" s="359"/>
      <c r="O27" s="359"/>
      <c r="P27" s="218"/>
      <c r="Q27" s="219"/>
      <c r="V27" s="25"/>
      <c r="W27" s="39">
        <v>2049</v>
      </c>
      <c r="X27" s="25"/>
      <c r="Y27" s="179"/>
      <c r="Z27" s="179"/>
      <c r="AA27" s="179"/>
      <c r="AB27" s="179"/>
    </row>
    <row r="28" spans="2:28" ht="14.4">
      <c r="B28" s="367">
        <v>43175</v>
      </c>
      <c r="C28" s="368"/>
      <c r="D28" s="213" t="str">
        <f ca="1">IFERROR(IF(AND(VLOOKUP($B28,INDIRECT("'"&amp;TEXT($B28,"mmmm")&amp;"'!B10:V40"),2,EPÄTOSI)=0,$B28=0),"",VLOOKUP($B28,INDIRECT("'"&amp;TEXT($B28,"mmmm")&amp;"'!B10:V40"),2,EPÄTOSI)),"")</f>
        <v/>
      </c>
      <c r="E28" s="214" t="str">
        <f ca="1">IFERROR(IF(AND(VLOOKUP($B28,INDIRECT("'"&amp;TEXT($B28,"mmmm")&amp;"'!B10:V40"),1,EPÄTOSI)=0,$B28=0),"",VLOOKUP($B28,INDIRECT("'"&amp;TEXT($B28,"mmmm")&amp;"'!B10:V40"),1,EPÄTOSI)),"")</f>
        <v/>
      </c>
      <c r="F28" s="215" t="str">
        <f ca="1">IFERROR(IF(AND(VLOOKUP($B28,INDIRECT("'"&amp;TEXT($B28,"mmmm")&amp;"'!B10:V40"),5,EPÄTOSI)=0,$B28=0),"",VLOOKUP($B28,INDIRECT("'"&amp;TEXT($B28,"mmmm")&amp;"'!B10:V40"),5,EPÄTOSI)),"")</f>
        <v/>
      </c>
      <c r="G28" s="215" t="str">
        <f ca="1">IFERROR(IF(AND(VLOOKUP($B28,INDIRECT("'"&amp;TEXT($B28,"mmmm")&amp;"'!B10:V40"),6,EPÄTOSI)=0,$B28=0),"",VLOOKUP($B28,INDIRECT("'"&amp;TEXT($B28,"mmmm")&amp;"'!B10:V40"),6,EPÄTOSI)),"")</f>
        <v/>
      </c>
      <c r="H28" s="215" t="str">
        <f ca="1">IFERROR(IF(AND(VLOOKUP($B28,INDIRECT("'"&amp;TEXT($B28,"mmmm")&amp;"'!B10:V40"),7,EPÄTOSI)=0,$B28=0),"",VLOOKUP($B28,INDIRECT("'"&amp;TEXT($B28,"mmmm")&amp;"'!B10:V40"),7,EPÄTOSI)),"")</f>
        <v/>
      </c>
      <c r="I28" s="215" t="str">
        <f ca="1">IFERROR(IF(AND(VLOOKUP($B28,INDIRECT("'"&amp;TEXT($B28,"mmmm")&amp;"'!B10:V40"),8,EPÄTOSI)=0,$B28=0),"",VLOOKUP($B28,INDIRECT("'"&amp;TEXT($B28,"mmmm")&amp;"'!B10:V40"),8,EPÄTOSI)),"")</f>
        <v/>
      </c>
      <c r="J28" s="358" t="str">
        <f ca="1">IFERROR(IF(AND(VLOOKUP($B28,INDIRECT("'"&amp;TEXT($B28,"mmmm")&amp;"'!B10:V40"),16,EPÄTOSI)=0,$B28=0),"",VLOOKUP($B28,INDIRECT("'"&amp;TEXT($B28,"mmmm")&amp;"'!B10:V40"),16,EPÄTOSI)),"")</f>
        <v/>
      </c>
      <c r="K28" s="359"/>
      <c r="L28" s="359"/>
      <c r="M28" s="359"/>
      <c r="N28" s="359"/>
      <c r="O28" s="359"/>
      <c r="W28" s="39">
        <v>2050</v>
      </c>
      <c r="X28" s="25"/>
      <c r="Y28" s="179"/>
      <c r="Z28" s="179"/>
      <c r="AA28" s="179"/>
      <c r="AB28" s="179"/>
    </row>
    <row r="29" spans="2:28" ht="15" thickBot="1">
      <c r="B29" s="355"/>
      <c r="C29" s="356"/>
      <c r="D29" s="213" t="str">
        <f ca="1">IFERROR(IF(AND(VLOOKUP($B29,INDIRECT("'"&amp;TEXT($B29,"mmmm")&amp;"'!B10:V40"),2,EPÄTOSI)=0,$B29=0),"",VLOOKUP($B29,INDIRECT("'"&amp;TEXT($B29,"mmmm")&amp;"'!B10:V40"),2,EPÄTOSI)),"")</f>
        <v/>
      </c>
      <c r="E29" s="214" t="str">
        <f ca="1">IFERROR(IF(AND(VLOOKUP($B29,INDIRECT("'"&amp;TEXT($B29,"mmmm")&amp;"'!B10:V40"),1,EPÄTOSI)=0,$B29=0),"",VLOOKUP($B29,INDIRECT("'"&amp;TEXT($B29,"mmmm")&amp;"'!B10:V40"),1,EPÄTOSI)),"")</f>
        <v/>
      </c>
      <c r="F29" s="215" t="str">
        <f ca="1">IFERROR(IF(AND(VLOOKUP($B29,INDIRECT("'"&amp;TEXT($B29,"mmmm")&amp;"'!B10:V40"),5,EPÄTOSI)=0,$B29=0),"",VLOOKUP($B29,INDIRECT("'"&amp;TEXT($B29,"mmmm")&amp;"'!B10:V40"),5,EPÄTOSI)),"")</f>
        <v/>
      </c>
      <c r="G29" s="215" t="str">
        <f ca="1">IFERROR(IF(AND(VLOOKUP($B29,INDIRECT("'"&amp;TEXT($B29,"mmmm")&amp;"'!B10:V40"),6,EPÄTOSI)=0,$B29=0),"",VLOOKUP($B29,INDIRECT("'"&amp;TEXT($B29,"mmmm")&amp;"'!B10:V40"),6,EPÄTOSI)),"")</f>
        <v/>
      </c>
      <c r="H29" s="215" t="str">
        <f ca="1">IFERROR(IF(AND(VLOOKUP($B29,INDIRECT("'"&amp;TEXT($B29,"mmmm")&amp;"'!B10:V40"),7,EPÄTOSI)=0,$B29=0),"",VLOOKUP($B29,INDIRECT("'"&amp;TEXT($B29,"mmmm")&amp;"'!B10:V40"),7,EPÄTOSI)),"")</f>
        <v/>
      </c>
      <c r="I29" s="215" t="str">
        <f ca="1">IFERROR(IF(AND(VLOOKUP($B29,INDIRECT("'"&amp;TEXT($B29,"mmmm")&amp;"'!B10:V40"),8,EPÄTOSI)=0,$B29=0),"",VLOOKUP($B29,INDIRECT("'"&amp;TEXT($B29,"mmmm")&amp;"'!B10:V40"),8,EPÄTOSI)),"")</f>
        <v/>
      </c>
      <c r="J29" s="358" t="str">
        <f ca="1">IFERROR(IF(AND(VLOOKUP($B29,INDIRECT("'"&amp;TEXT($B29,"mmmm")&amp;"'!B10:V40"),16,EPÄTOSI)=0,$B29=0),"",VLOOKUP($B29,INDIRECT("'"&amp;TEXT($B29,"mmmm")&amp;"'!B10:V40"),16,EPÄTOSI)),"")</f>
        <v/>
      </c>
      <c r="K29" s="359"/>
      <c r="L29" s="359"/>
      <c r="M29" s="359"/>
      <c r="N29" s="359"/>
      <c r="O29" s="359"/>
      <c r="P29" s="207"/>
      <c r="Q29" s="207"/>
      <c r="U29" s="164"/>
      <c r="W29" s="25"/>
      <c r="X29" s="25"/>
      <c r="Y29" s="179"/>
      <c r="Z29" s="179"/>
      <c r="AA29" s="179"/>
      <c r="AB29" s="179"/>
    </row>
    <row r="30" spans="2:28" ht="15" thickTop="1">
      <c r="V30" s="25"/>
      <c r="Y30" s="179"/>
      <c r="Z30" s="179"/>
      <c r="AA30" s="179"/>
      <c r="AB30" s="179"/>
    </row>
    <row r="31" spans="2:28" ht="16.5" customHeight="1">
      <c r="C31" s="380" t="s">
        <v>60</v>
      </c>
      <c r="D31" s="381"/>
      <c r="E31" s="381"/>
      <c r="F31" s="381"/>
      <c r="G31" s="381"/>
      <c r="H31" s="382"/>
      <c r="I31" s="145"/>
      <c r="Y31" s="179"/>
      <c r="Z31" s="179"/>
      <c r="AA31" s="179"/>
      <c r="AB31" s="179"/>
    </row>
    <row r="32" spans="2:28" ht="16.5" customHeight="1">
      <c r="C32" s="383"/>
      <c r="D32" s="384"/>
      <c r="E32" s="384"/>
      <c r="F32" s="384"/>
      <c r="G32" s="384"/>
      <c r="H32" s="385"/>
      <c r="I32" s="145"/>
      <c r="T32" s="26"/>
      <c r="V32" s="25"/>
      <c r="Y32" s="179"/>
      <c r="Z32" s="179"/>
      <c r="AA32" s="179"/>
      <c r="AB32" s="179"/>
    </row>
    <row r="33" spans="3:28" ht="15.6">
      <c r="C33" s="366">
        <f>DATE(B1,1,1)</f>
        <v>46388</v>
      </c>
      <c r="D33" s="366"/>
      <c r="E33" s="220">
        <f>YEAR($C$33)</f>
        <v>2027</v>
      </c>
      <c r="F33" s="220">
        <f>E33+1</f>
        <v>2028</v>
      </c>
      <c r="G33" s="220">
        <f>F33+1</f>
        <v>2029</v>
      </c>
      <c r="H33" s="220">
        <f>G33+1</f>
        <v>2030</v>
      </c>
      <c r="V33" s="221"/>
      <c r="W33" s="221"/>
      <c r="X33" s="179"/>
      <c r="Y33" s="179"/>
      <c r="Z33" s="221"/>
      <c r="AA33" s="179"/>
      <c r="AB33" s="221"/>
    </row>
    <row r="34" spans="3:28" ht="16.2" thickBot="1">
      <c r="C34" s="357" t="s">
        <v>61</v>
      </c>
      <c r="D34" s="357"/>
      <c r="E34" s="222">
        <f>DATE(E33,1,1)</f>
        <v>46388</v>
      </c>
      <c r="F34" s="222">
        <f>DATE(F33,1,1)</f>
        <v>46753</v>
      </c>
      <c r="G34" s="222">
        <f>DATE(G33,1,1)</f>
        <v>47119</v>
      </c>
      <c r="H34" s="222">
        <f>DATE(H33,1,1)</f>
        <v>47484</v>
      </c>
      <c r="N34" s="27" t="s">
        <v>62</v>
      </c>
      <c r="O34" s="28" t="s">
        <v>63</v>
      </c>
      <c r="Q34" s="172" t="s">
        <v>6</v>
      </c>
      <c r="V34" s="188"/>
      <c r="W34" s="179"/>
      <c r="X34" s="179"/>
      <c r="Y34" s="179"/>
      <c r="Z34" s="179"/>
      <c r="AA34" s="179"/>
      <c r="AB34" s="179"/>
    </row>
    <row r="35" spans="3:28" ht="16.8" thickTop="1" thickBot="1">
      <c r="C35" s="357" t="s">
        <v>64</v>
      </c>
      <c r="D35" s="357"/>
      <c r="E35" s="222">
        <f>E45+1</f>
        <v>46475</v>
      </c>
      <c r="F35" s="222">
        <f>F45+1</f>
        <v>46860</v>
      </c>
      <c r="G35" s="222">
        <f>G45+1</f>
        <v>47210</v>
      </c>
      <c r="H35" s="223">
        <f>H45+1</f>
        <v>47595</v>
      </c>
      <c r="I35" s="378" t="s">
        <v>65</v>
      </c>
      <c r="J35" s="379"/>
      <c r="K35" s="29">
        <f>E38</f>
        <v>46513</v>
      </c>
      <c r="N35" s="27"/>
      <c r="O35" s="28"/>
      <c r="Q35" s="172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3:28" ht="16.2" thickTop="1">
      <c r="C36" s="357" t="s">
        <v>66</v>
      </c>
      <c r="D36" s="357"/>
      <c r="E36" s="222">
        <f>DATE(E33,5,1)</f>
        <v>46508</v>
      </c>
      <c r="F36" s="222">
        <f>DATE(F33,5,1)</f>
        <v>46874</v>
      </c>
      <c r="G36" s="222">
        <f>DATE(G33,5,1)</f>
        <v>47239</v>
      </c>
      <c r="H36" s="223">
        <f>DATE(H33,5,1)</f>
        <v>47604</v>
      </c>
      <c r="J36" s="354"/>
      <c r="K36" s="354"/>
      <c r="L36" s="354"/>
      <c r="M36" s="31"/>
      <c r="N36" s="30">
        <v>0</v>
      </c>
      <c r="O36" s="28" t="s">
        <v>42</v>
      </c>
      <c r="Q36" s="182" t="s">
        <v>12</v>
      </c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3:28" ht="15.6">
      <c r="C37" s="357" t="s">
        <v>67</v>
      </c>
      <c r="D37" s="357"/>
      <c r="E37" s="222">
        <f>DATE(E33,5,8)</f>
        <v>46515</v>
      </c>
      <c r="F37" s="222">
        <f>DATE(F33,5,8)</f>
        <v>46881</v>
      </c>
      <c r="G37" s="222">
        <f>DATE(G33,5,8)</f>
        <v>47246</v>
      </c>
      <c r="H37" s="222">
        <f>DATE(H33,5,8)</f>
        <v>47611</v>
      </c>
      <c r="N37" s="30">
        <v>2.0833333333333301E-2</v>
      </c>
      <c r="O37" s="28" t="s">
        <v>46</v>
      </c>
      <c r="Q37" s="187" t="s">
        <v>17</v>
      </c>
      <c r="W37" s="224"/>
    </row>
    <row r="38" spans="3:28" ht="15.6">
      <c r="C38" s="357" t="s">
        <v>68</v>
      </c>
      <c r="D38" s="357"/>
      <c r="E38" s="222">
        <f>E45+39</f>
        <v>46513</v>
      </c>
      <c r="F38" s="222">
        <f>F45+39</f>
        <v>46898</v>
      </c>
      <c r="G38" s="222">
        <f>G45+39</f>
        <v>47248</v>
      </c>
      <c r="H38" s="222">
        <f>H45+39</f>
        <v>47633</v>
      </c>
      <c r="N38" s="30">
        <v>4.1666666666666699E-2</v>
      </c>
      <c r="O38" s="225">
        <v>4.1666666666666699E-2</v>
      </c>
      <c r="Q38" s="182" t="s">
        <v>23</v>
      </c>
      <c r="T38" s="354">
        <f>VLOOKUP("AOÛT",Q36:R47,2,FALSE)</f>
        <v>0</v>
      </c>
      <c r="U38" s="354"/>
      <c r="V38" s="354"/>
      <c r="W38" s="354"/>
      <c r="X38" s="354"/>
    </row>
    <row r="39" spans="3:28" ht="15.6">
      <c r="C39" s="357" t="s">
        <v>69</v>
      </c>
      <c r="D39" s="357"/>
      <c r="E39" s="222">
        <f>E45+50</f>
        <v>46524</v>
      </c>
      <c r="F39" s="222">
        <f>F45+50</f>
        <v>46909</v>
      </c>
      <c r="G39" s="222">
        <f>G45+50</f>
        <v>47259</v>
      </c>
      <c r="H39" s="222">
        <f>H45+50</f>
        <v>47644</v>
      </c>
      <c r="N39" s="30">
        <v>6.25E-2</v>
      </c>
      <c r="O39" s="32">
        <v>3.4722222222222199E-3</v>
      </c>
      <c r="Q39" s="182" t="s">
        <v>102</v>
      </c>
    </row>
    <row r="40" spans="3:28" ht="15.6">
      <c r="C40" s="357" t="s">
        <v>70</v>
      </c>
      <c r="D40" s="357"/>
      <c r="E40" s="222">
        <f>DATE(E33,7,14)</f>
        <v>46582</v>
      </c>
      <c r="F40" s="222">
        <f>DATE(F33,7,14)</f>
        <v>46948</v>
      </c>
      <c r="G40" s="222">
        <f>DATE(G33,7,14)</f>
        <v>47313</v>
      </c>
      <c r="H40" s="222">
        <f>DATE(H33,7,14)</f>
        <v>47678</v>
      </c>
      <c r="N40" s="30">
        <v>8.3333333333333301E-2</v>
      </c>
      <c r="O40" s="32">
        <v>6.9444444444444397E-3</v>
      </c>
      <c r="Q40" s="187" t="s">
        <v>32</v>
      </c>
    </row>
    <row r="41" spans="3:28" ht="15.6">
      <c r="C41" s="357" t="s">
        <v>71</v>
      </c>
      <c r="D41" s="357"/>
      <c r="E41" s="222">
        <f>DATE(E33,8,15)</f>
        <v>46614</v>
      </c>
      <c r="F41" s="222">
        <f>DATE(F33,8,15)</f>
        <v>46980</v>
      </c>
      <c r="G41" s="222">
        <f>DATE(G33,8,15)</f>
        <v>47345</v>
      </c>
      <c r="H41" s="222">
        <f>DATE(H33,8,15)</f>
        <v>47710</v>
      </c>
      <c r="N41" s="30">
        <v>0.104166666666667</v>
      </c>
      <c r="O41" s="32">
        <v>1.0416666666666701E-2</v>
      </c>
      <c r="Q41" s="182" t="s">
        <v>103</v>
      </c>
    </row>
    <row r="42" spans="3:28" ht="15.6">
      <c r="C42" s="357" t="s">
        <v>72</v>
      </c>
      <c r="D42" s="357"/>
      <c r="E42" s="222">
        <f>DATE(E33,11,1)</f>
        <v>46692</v>
      </c>
      <c r="F42" s="222">
        <f>DATE(F33,11,1)</f>
        <v>47058</v>
      </c>
      <c r="G42" s="222">
        <f>DATE(G33,11,1)</f>
        <v>47423</v>
      </c>
      <c r="H42" s="222">
        <f>DATE(H33,11,1)</f>
        <v>47788</v>
      </c>
      <c r="N42" s="30">
        <v>0.125</v>
      </c>
      <c r="O42" s="32">
        <v>1.38888888888889E-2</v>
      </c>
      <c r="Q42" s="182" t="s">
        <v>104</v>
      </c>
    </row>
    <row r="43" spans="3:28" ht="15.6">
      <c r="C43" s="357" t="s">
        <v>73</v>
      </c>
      <c r="D43" s="357"/>
      <c r="E43" s="222">
        <f>DATE(E33,11,11)</f>
        <v>46702</v>
      </c>
      <c r="F43" s="222">
        <f>DATE(F33,11,11)</f>
        <v>47068</v>
      </c>
      <c r="G43" s="222">
        <f>DATE(G33,11,11)</f>
        <v>47433</v>
      </c>
      <c r="H43" s="222">
        <f>DATE(H33,11,11)</f>
        <v>47798</v>
      </c>
      <c r="N43" s="30">
        <v>0.14583333333333301</v>
      </c>
      <c r="O43" s="32">
        <v>1.7361111111111101E-2</v>
      </c>
      <c r="Q43" s="187" t="s">
        <v>105</v>
      </c>
    </row>
    <row r="44" spans="3:28" ht="15.6">
      <c r="C44" s="357" t="s">
        <v>74</v>
      </c>
      <c r="D44" s="357"/>
      <c r="E44" s="222">
        <f>DATE(E33,12,25)</f>
        <v>46746</v>
      </c>
      <c r="F44" s="222">
        <f>DATE(F33,12,25)</f>
        <v>47112</v>
      </c>
      <c r="G44" s="222">
        <f>DATE(G33,12,25)</f>
        <v>47477</v>
      </c>
      <c r="H44" s="222">
        <f>DATE(H33,12,25)</f>
        <v>47842</v>
      </c>
      <c r="N44" s="30">
        <v>0.16666666666666699</v>
      </c>
      <c r="O44" s="32">
        <v>2.0833333333333301E-2</v>
      </c>
      <c r="Q44" s="182" t="s">
        <v>106</v>
      </c>
    </row>
    <row r="45" spans="3:28" ht="15.6">
      <c r="C45" s="357" t="s">
        <v>75</v>
      </c>
      <c r="D45" s="357"/>
      <c r="E45" s="222">
        <f>ROUND(DATE(E33,4,MOD(234-11*MOD(E33,19),30))/7,0)*7-6</f>
        <v>46474</v>
      </c>
      <c r="F45" s="222">
        <f>ROUND(DATE(F33,4,MOD(234-11*MOD(F33,19),30))/7,0)*7-6</f>
        <v>46859</v>
      </c>
      <c r="G45" s="222">
        <f>ROUND(DATE(G33,4,MOD(234-11*MOD(G33,19),30))/7,0)*7-6</f>
        <v>47209</v>
      </c>
      <c r="H45" s="222">
        <f>ROUND(DATE(H33,4,MOD(234-11*MOD(H33,19),30))/7,0)*7-6</f>
        <v>47594</v>
      </c>
      <c r="N45" s="30">
        <v>0.1875</v>
      </c>
      <c r="O45" s="32">
        <v>2.43055555555555E-2</v>
      </c>
      <c r="Q45" s="182" t="s">
        <v>107</v>
      </c>
    </row>
    <row r="46" spans="3:28" ht="15.6">
      <c r="D46" s="226"/>
      <c r="E46" s="226"/>
      <c r="F46" s="226"/>
      <c r="G46" s="226"/>
      <c r="H46" s="226"/>
      <c r="N46" s="30">
        <v>0.20833333333333301</v>
      </c>
      <c r="O46" s="32">
        <v>2.7777777777777801E-2</v>
      </c>
      <c r="Q46" s="187" t="s">
        <v>108</v>
      </c>
    </row>
    <row r="47" spans="3:28" ht="15.6">
      <c r="N47" s="30">
        <v>0.22916666666666699</v>
      </c>
      <c r="O47" s="32">
        <v>3.4722222222222203E-2</v>
      </c>
      <c r="P47" s="39" t="s">
        <v>76</v>
      </c>
      <c r="Q47" s="182" t="s">
        <v>101</v>
      </c>
    </row>
    <row r="48" spans="3:28" ht="15" thickBot="1">
      <c r="N48" s="30">
        <v>0.25</v>
      </c>
      <c r="O48" s="227">
        <v>0</v>
      </c>
      <c r="P48" s="33" t="s">
        <v>77</v>
      </c>
    </row>
    <row r="49" spans="3:17" ht="15.6" thickTop="1" thickBot="1">
      <c r="C49" s="388" t="s">
        <v>78</v>
      </c>
      <c r="D49" s="389"/>
      <c r="E49" s="389"/>
      <c r="F49" s="34">
        <v>39</v>
      </c>
      <c r="G49" s="164"/>
      <c r="H49" s="164"/>
      <c r="I49" s="164"/>
      <c r="J49" s="164"/>
      <c r="K49" s="164"/>
      <c r="L49" s="164"/>
      <c r="M49" s="164"/>
      <c r="N49" s="30">
        <v>0.27083333333333298</v>
      </c>
      <c r="O49" s="215"/>
      <c r="P49" s="215"/>
      <c r="Q49" s="215"/>
    </row>
    <row r="50" spans="3:17" ht="14.4">
      <c r="C50" s="371" t="s">
        <v>79</v>
      </c>
      <c r="D50" s="371"/>
      <c r="E50" s="371"/>
      <c r="F50" s="371"/>
      <c r="G50" s="228"/>
      <c r="H50" s="228"/>
      <c r="I50" s="228"/>
      <c r="J50" s="228"/>
      <c r="K50" s="228"/>
      <c r="L50" s="228"/>
      <c r="M50" s="228"/>
      <c r="N50" s="30">
        <v>0.29166666666666702</v>
      </c>
      <c r="O50" s="228"/>
      <c r="P50" s="228"/>
      <c r="Q50" s="228"/>
    </row>
    <row r="51" spans="3:17" ht="14.4">
      <c r="C51" s="372"/>
      <c r="D51" s="372"/>
      <c r="E51" s="372"/>
      <c r="F51" s="372"/>
      <c r="N51" s="30">
        <v>0.3125</v>
      </c>
    </row>
    <row r="52" spans="3:17" ht="14.4">
      <c r="C52" s="372"/>
      <c r="D52" s="372"/>
      <c r="E52" s="372"/>
      <c r="F52" s="372"/>
      <c r="N52" s="30">
        <v>0.33333333333333298</v>
      </c>
    </row>
    <row r="53" spans="3:17" ht="14.4">
      <c r="C53" s="387" t="e">
        <f>J65*(F49*2)</f>
        <v>#REF!</v>
      </c>
      <c r="D53" s="387"/>
      <c r="E53" s="387"/>
      <c r="F53" s="387"/>
      <c r="N53" s="30">
        <v>0.35416666666666702</v>
      </c>
    </row>
    <row r="54" spans="3:17" ht="14.4">
      <c r="C54" s="387"/>
      <c r="D54" s="387"/>
      <c r="E54" s="387"/>
      <c r="F54" s="387"/>
      <c r="N54" s="30">
        <v>0.375</v>
      </c>
    </row>
    <row r="55" spans="3:17" ht="14.4">
      <c r="C55" s="387"/>
      <c r="D55" s="387"/>
      <c r="E55" s="387"/>
      <c r="F55" s="387"/>
      <c r="N55" s="30">
        <v>0.39583333333333298</v>
      </c>
    </row>
    <row r="56" spans="3:17" ht="14.4">
      <c r="C56" s="387"/>
      <c r="D56" s="387"/>
      <c r="E56" s="387"/>
      <c r="F56" s="387"/>
      <c r="N56" s="30">
        <v>0.41666666666666702</v>
      </c>
    </row>
    <row r="57" spans="3:17" ht="14.4">
      <c r="N57" s="30">
        <v>0.4375</v>
      </c>
    </row>
    <row r="58" spans="3:17" ht="14.4">
      <c r="N58" s="30">
        <v>0.45833333333333298</v>
      </c>
    </row>
    <row r="59" spans="3:17" ht="14.4">
      <c r="N59" s="30">
        <v>0.47916666666666702</v>
      </c>
    </row>
    <row r="60" spans="3:17" ht="14.4">
      <c r="N60" s="30">
        <v>0.5</v>
      </c>
    </row>
    <row r="61" spans="3:17" ht="14.4">
      <c r="N61" s="30">
        <v>0.52083333333333304</v>
      </c>
    </row>
    <row r="62" spans="3:17" ht="14.4">
      <c r="N62" s="30">
        <v>0.54166666666666696</v>
      </c>
    </row>
    <row r="63" spans="3:17" ht="14.4">
      <c r="K63" s="229" t="s">
        <v>80</v>
      </c>
      <c r="N63" s="30">
        <v>0.5625</v>
      </c>
    </row>
    <row r="64" spans="3:17" ht="15">
      <c r="D64" s="390" t="s">
        <v>81</v>
      </c>
      <c r="E64" s="390"/>
      <c r="F64" s="390"/>
      <c r="G64" s="390"/>
      <c r="H64" s="390"/>
      <c r="I64" s="390"/>
      <c r="J64" s="230" t="e">
        <f>SUM(#REF!+#REF!+#REF!+#REF!+#REF!+#REF!+#REF!+#REF!+#REF!+#REF!+#REF!+#REF!)</f>
        <v>#REF!</v>
      </c>
      <c r="K64" s="231">
        <f>NETWORKDAYS('CALENDRIER PERPETUEL'!$B$4,'CALENDRIER PERPETUEL'!$M$34,JOURS_FERIE)</f>
        <v>254</v>
      </c>
      <c r="N64" s="30">
        <v>0.58333333333333304</v>
      </c>
    </row>
    <row r="65" spans="4:22" ht="14.4">
      <c r="D65" s="370" t="s">
        <v>82</v>
      </c>
      <c r="E65" s="370"/>
      <c r="F65" s="370"/>
      <c r="G65" s="370"/>
      <c r="H65" s="370"/>
      <c r="I65" s="370"/>
      <c r="J65" s="230" t="e">
        <f>SUM(#REF!+#REF!+#REF!+#REF!+#REF!+#REF!+#REF!+#REF!+#REF!+#REF!+#REF!+#REF!)</f>
        <v>#REF!</v>
      </c>
      <c r="N65" s="30">
        <v>0.60416666666666696</v>
      </c>
    </row>
    <row r="66" spans="4:22" ht="14.4">
      <c r="D66" s="370" t="s">
        <v>83</v>
      </c>
      <c r="E66" s="370"/>
      <c r="F66" s="370"/>
      <c r="G66" s="370"/>
      <c r="H66" s="370"/>
      <c r="I66" s="370"/>
      <c r="J66" s="260" t="e">
        <v>#REF!</v>
      </c>
      <c r="N66" s="30">
        <v>0.625</v>
      </c>
    </row>
    <row r="67" spans="4:22" ht="14.4">
      <c r="D67" s="370" t="s">
        <v>84</v>
      </c>
      <c r="E67" s="370"/>
      <c r="F67" s="370"/>
      <c r="G67" s="370"/>
      <c r="H67" s="370"/>
      <c r="I67" s="370"/>
      <c r="J67" s="260"/>
      <c r="N67" s="30">
        <v>0.64583333333333304</v>
      </c>
    </row>
    <row r="68" spans="4:22" ht="14.4">
      <c r="D68" s="386" t="s">
        <v>85</v>
      </c>
      <c r="E68" s="386"/>
      <c r="F68" s="386"/>
      <c r="G68" s="386"/>
      <c r="H68" s="386"/>
      <c r="I68" s="386"/>
      <c r="J68" s="260" t="e">
        <f>SUM(#REF!+#REF!+#REF!+#REF!+#REF!+#REF!+#REF!+#REF!+#REF!+#REF!+#REF!+#REF!)</f>
        <v>#REF!</v>
      </c>
      <c r="N68" s="30">
        <v>0.66666666666666696</v>
      </c>
      <c r="Q68" s="265"/>
      <c r="R68" s="265"/>
      <c r="S68" s="265"/>
      <c r="T68" s="265"/>
      <c r="U68" s="265"/>
      <c r="V68" s="266"/>
    </row>
    <row r="69" spans="4:22" ht="14.4">
      <c r="D69" s="375" t="s">
        <v>119</v>
      </c>
      <c r="E69" s="376"/>
      <c r="F69" s="376"/>
      <c r="G69" s="376"/>
      <c r="H69" s="376"/>
      <c r="I69" s="377"/>
      <c r="J69" s="261" t="e">
        <f>SUM(#REF!+#REF!+#REF!+#REF!+#REF!+#REF!+#REF!+#REF!+#REF!+#REF!+#REF!+#REF!)</f>
        <v>#REF!</v>
      </c>
      <c r="L69" s="232"/>
      <c r="N69" s="30">
        <v>0.6875</v>
      </c>
      <c r="Q69" s="267"/>
      <c r="R69" s="267"/>
      <c r="S69" s="267"/>
      <c r="T69" s="267"/>
      <c r="U69" s="267"/>
      <c r="V69" s="268"/>
    </row>
    <row r="70" spans="4:22" ht="15">
      <c r="D70" s="373"/>
      <c r="E70" s="373"/>
      <c r="F70" s="373"/>
      <c r="G70" s="373"/>
      <c r="H70" s="233"/>
      <c r="I70" s="232"/>
      <c r="K70" s="232"/>
      <c r="L70" s="232"/>
      <c r="N70" s="30">
        <v>0.70833333333333304</v>
      </c>
      <c r="Q70" s="210"/>
      <c r="R70" s="210"/>
      <c r="S70" s="210"/>
      <c r="T70" s="210"/>
      <c r="U70" s="210"/>
      <c r="V70" s="268"/>
    </row>
    <row r="71" spans="4:22" ht="14.4">
      <c r="E71" s="344" t="s">
        <v>3</v>
      </c>
      <c r="F71" s="345"/>
      <c r="G71" s="171" t="s">
        <v>117</v>
      </c>
      <c r="H71" s="346" t="s">
        <v>4</v>
      </c>
      <c r="I71" s="347"/>
      <c r="N71" s="30">
        <v>0.72916666666666685</v>
      </c>
      <c r="Q71" s="210"/>
      <c r="R71" s="210"/>
      <c r="S71" s="210"/>
      <c r="T71" s="210"/>
      <c r="U71" s="210"/>
      <c r="V71" s="210"/>
    </row>
    <row r="72" spans="4:22" ht="15" thickBot="1">
      <c r="E72" s="174" t="s">
        <v>9</v>
      </c>
      <c r="F72" s="175" t="s">
        <v>10</v>
      </c>
      <c r="G72" s="176"/>
      <c r="H72" s="177" t="s">
        <v>9</v>
      </c>
      <c r="I72" s="178" t="s">
        <v>10</v>
      </c>
      <c r="N72" s="30">
        <v>0.75</v>
      </c>
      <c r="Q72" s="232"/>
    </row>
    <row r="73" spans="4:22" ht="15" thickTop="1">
      <c r="E73" s="3"/>
      <c r="F73" s="4"/>
      <c r="G73" s="5"/>
      <c r="H73" s="180"/>
      <c r="I73" s="180"/>
      <c r="N73" s="30">
        <v>0.77083333333333315</v>
      </c>
    </row>
    <row r="74" spans="4:22" ht="14.4">
      <c r="E74" s="11"/>
      <c r="F74" s="12"/>
      <c r="G74" s="184"/>
      <c r="H74" s="185"/>
      <c r="I74" s="186"/>
      <c r="N74" s="30">
        <v>0.79166666666666685</v>
      </c>
    </row>
    <row r="75" spans="4:22" ht="14.4">
      <c r="E75" s="11"/>
      <c r="F75" s="12"/>
      <c r="H75" s="189"/>
      <c r="I75" s="190"/>
      <c r="N75" s="30">
        <v>0.8125</v>
      </c>
    </row>
    <row r="76" spans="4:22" ht="15" thickBot="1">
      <c r="E76" s="11"/>
      <c r="F76" s="12"/>
      <c r="G76" s="137"/>
      <c r="H76" s="189"/>
      <c r="I76" s="190"/>
      <c r="N76" s="30">
        <v>0.83333333333333315</v>
      </c>
      <c r="R76" s="263" t="s">
        <v>131</v>
      </c>
    </row>
    <row r="77" spans="4:22" ht="14.4" customHeight="1" thickTop="1" thickBot="1">
      <c r="E77" s="11"/>
      <c r="F77" s="12"/>
      <c r="G77" s="149"/>
      <c r="H77" s="189"/>
      <c r="I77" s="190"/>
      <c r="N77" s="30">
        <v>0.85416666666666685</v>
      </c>
      <c r="R77" s="262">
        <f>DATE(2025,1,3)</f>
        <v>45660</v>
      </c>
      <c r="U77" s="39" t="s">
        <v>130</v>
      </c>
    </row>
    <row r="78" spans="4:22" ht="14.4" customHeight="1" thickTop="1" thickBot="1">
      <c r="E78" s="11"/>
      <c r="F78" s="12"/>
      <c r="G78" s="150"/>
      <c r="H78" s="194"/>
      <c r="I78" s="195"/>
      <c r="N78" s="30">
        <v>0.875</v>
      </c>
      <c r="R78" s="262">
        <f>DATE(2025,1,31)</f>
        <v>45688</v>
      </c>
      <c r="U78" s="39">
        <v>2025</v>
      </c>
    </row>
    <row r="79" spans="4:22" ht="15.6" thickTop="1" thickBot="1">
      <c r="E79" s="17"/>
      <c r="F79" s="18"/>
      <c r="G79" s="148"/>
      <c r="H79" s="197"/>
      <c r="I79" s="198"/>
      <c r="N79" s="30">
        <v>0.89583333333333315</v>
      </c>
      <c r="R79" s="262">
        <f>DATE(2025,2,14)</f>
        <v>45702</v>
      </c>
      <c r="U79" s="39">
        <v>2026</v>
      </c>
    </row>
    <row r="80" spans="4:22" ht="15.6" thickTop="1" thickBot="1">
      <c r="E80" s="21"/>
      <c r="F80" s="22"/>
      <c r="G80" s="142"/>
      <c r="H80" s="201"/>
      <c r="I80" s="202"/>
      <c r="N80" s="30">
        <v>0.91666666666666685</v>
      </c>
      <c r="R80" s="262">
        <f>DATE(2025,2,21)</f>
        <v>45709</v>
      </c>
      <c r="U80" s="39">
        <v>2027</v>
      </c>
    </row>
    <row r="81" spans="4:21" ht="15.6" thickTop="1" thickBot="1">
      <c r="N81" s="30">
        <v>0.9375</v>
      </c>
      <c r="R81" s="262">
        <f>DATE(2025,2,28)</f>
        <v>45716</v>
      </c>
      <c r="U81" s="39">
        <v>2028</v>
      </c>
    </row>
    <row r="82" spans="4:21" ht="15.6" thickTop="1" thickBot="1">
      <c r="N82" s="30">
        <v>0.95833333333333315</v>
      </c>
      <c r="R82" s="262">
        <f>DATE(2025,3,21)</f>
        <v>45737</v>
      </c>
      <c r="U82" s="39">
        <v>2029</v>
      </c>
    </row>
    <row r="83" spans="4:21" ht="15.6" thickTop="1" thickBot="1">
      <c r="N83" s="30">
        <v>0.97916666666666685</v>
      </c>
      <c r="R83" s="262">
        <f>DATE(2025,3,28)</f>
        <v>45744</v>
      </c>
      <c r="U83" s="39">
        <v>2030</v>
      </c>
    </row>
    <row r="84" spans="4:21" ht="15.6" thickTop="1" thickBot="1">
      <c r="G84" s="232"/>
      <c r="H84" s="232"/>
      <c r="I84" s="232"/>
      <c r="J84" s="232"/>
      <c r="K84" s="232"/>
      <c r="N84" s="35">
        <v>1</v>
      </c>
      <c r="R84" s="262">
        <f>DATE(2025,4,18)</f>
        <v>45765</v>
      </c>
      <c r="U84" s="39">
        <v>2031</v>
      </c>
    </row>
    <row r="85" spans="4:21" ht="15.6" thickTop="1" thickBot="1">
      <c r="G85" s="232"/>
      <c r="H85" s="232"/>
      <c r="I85" s="232"/>
      <c r="J85" s="232"/>
      <c r="K85" s="232"/>
      <c r="N85" s="136"/>
      <c r="R85" s="262">
        <f>DATE(2025,4,25)</f>
        <v>45772</v>
      </c>
      <c r="U85" s="39">
        <v>2032</v>
      </c>
    </row>
    <row r="86" spans="4:21" ht="15.6" thickTop="1" thickBot="1">
      <c r="G86" s="232"/>
      <c r="H86" s="232"/>
      <c r="I86" s="232"/>
      <c r="J86" s="232"/>
      <c r="K86" s="232"/>
      <c r="N86" s="136"/>
      <c r="R86" s="262">
        <f>DATE(2025,5,2)</f>
        <v>45779</v>
      </c>
      <c r="U86" s="39">
        <v>2033</v>
      </c>
    </row>
    <row r="87" spans="4:21" ht="15.6" thickTop="1" thickBot="1">
      <c r="N87" s="136"/>
      <c r="R87" s="262">
        <f>DATE(2025,5,9)</f>
        <v>45786</v>
      </c>
      <c r="U87" s="39">
        <v>2034</v>
      </c>
    </row>
    <row r="88" spans="4:21" ht="15.6" thickTop="1" thickBot="1">
      <c r="D88" s="235"/>
      <c r="E88" s="25"/>
      <c r="N88" s="374" t="s">
        <v>124</v>
      </c>
      <c r="O88" s="374"/>
      <c r="R88" s="262">
        <f>DATE(2024,5,16)</f>
        <v>45428</v>
      </c>
      <c r="U88" s="39">
        <v>2035</v>
      </c>
    </row>
    <row r="89" spans="4:21" ht="15.6" thickTop="1" thickBot="1">
      <c r="D89" s="235"/>
      <c r="E89" s="25"/>
      <c r="N89" s="236">
        <v>44939</v>
      </c>
      <c r="O89" s="234">
        <f>DATE(2024,1,5)</f>
        <v>45296</v>
      </c>
      <c r="P89" s="237">
        <f>DATE(2024,1,5)</f>
        <v>45296</v>
      </c>
      <c r="R89" s="262">
        <f>DATE(2025,5,23)</f>
        <v>45800</v>
      </c>
      <c r="U89" s="39">
        <v>2036</v>
      </c>
    </row>
    <row r="90" spans="4:21" ht="15.6" thickTop="1" thickBot="1">
      <c r="D90" s="238"/>
      <c r="E90" s="25"/>
      <c r="N90" s="236">
        <v>44981</v>
      </c>
      <c r="O90" s="234">
        <f>DATE(2024,1,12)</f>
        <v>45303</v>
      </c>
      <c r="P90" s="237">
        <f>DATE(2024,1,12)</f>
        <v>45303</v>
      </c>
      <c r="R90" s="262">
        <f>DATE(2025,5,29)</f>
        <v>45806</v>
      </c>
      <c r="U90" s="39">
        <v>2037</v>
      </c>
    </row>
    <row r="91" spans="4:21" ht="15.6" thickTop="1" thickBot="1">
      <c r="N91" s="236">
        <v>45009</v>
      </c>
      <c r="O91" s="234">
        <f>DATE(2024,1,26)</f>
        <v>45317</v>
      </c>
      <c r="P91" s="237">
        <f>DATE(2024,1,26)</f>
        <v>45317</v>
      </c>
      <c r="R91" s="262">
        <f>DATE(2025,5,30)</f>
        <v>45807</v>
      </c>
      <c r="U91" s="39">
        <v>2038</v>
      </c>
    </row>
    <row r="92" spans="4:21" ht="15.6" thickTop="1" thickBot="1">
      <c r="N92" s="236">
        <v>45016</v>
      </c>
      <c r="O92" s="234">
        <f>DATE(2024,2,2)</f>
        <v>45324</v>
      </c>
      <c r="P92" s="237">
        <f>DATE(2024,2,2)</f>
        <v>45324</v>
      </c>
      <c r="R92" s="262">
        <f>DATE(2025,6,6)</f>
        <v>45814</v>
      </c>
      <c r="U92" s="39">
        <v>2039</v>
      </c>
    </row>
    <row r="93" spans="4:21" ht="15.6" thickTop="1" thickBot="1">
      <c r="N93" s="236">
        <v>45023</v>
      </c>
      <c r="O93" s="234">
        <f>DATE(2024,3,29)</f>
        <v>45380</v>
      </c>
      <c r="P93" s="237">
        <f>DATE(2024,3,29)</f>
        <v>45380</v>
      </c>
      <c r="R93" s="262">
        <f>DATE(2025,6,13)</f>
        <v>45821</v>
      </c>
      <c r="U93" s="39">
        <v>2040</v>
      </c>
    </row>
    <row r="94" spans="4:21" ht="15.6" thickTop="1" thickBot="1">
      <c r="N94" s="236">
        <v>45030</v>
      </c>
      <c r="O94" s="234">
        <f>DATE(2024,4,5)</f>
        <v>45387</v>
      </c>
      <c r="P94" s="237">
        <f>DATE(2024,4,5)</f>
        <v>45387</v>
      </c>
      <c r="R94" s="262">
        <f>DATE(2025,8,22)</f>
        <v>45891</v>
      </c>
      <c r="U94" s="39">
        <v>2041</v>
      </c>
    </row>
    <row r="95" spans="4:21" ht="15.6" thickTop="1" thickBot="1">
      <c r="N95" s="236">
        <v>45037</v>
      </c>
      <c r="O95" s="234">
        <f>DATE(2024,4,26)</f>
        <v>45408</v>
      </c>
      <c r="P95" s="237">
        <f>DATE(2024,4,26)</f>
        <v>45408</v>
      </c>
      <c r="R95" s="262">
        <f>DATE(2025,8,29)</f>
        <v>45898</v>
      </c>
      <c r="U95" s="39">
        <v>2042</v>
      </c>
    </row>
    <row r="96" spans="4:21" ht="15.6" thickTop="1" thickBot="1">
      <c r="N96" s="236">
        <v>45044</v>
      </c>
      <c r="O96" s="234">
        <f>DATE(2024,5,3)</f>
        <v>45415</v>
      </c>
      <c r="P96" s="237">
        <f>DATE(2024,5,3)</f>
        <v>45415</v>
      </c>
      <c r="R96" s="262">
        <f>DATE(2025,9,19)</f>
        <v>45919</v>
      </c>
      <c r="U96" s="39">
        <v>2043</v>
      </c>
    </row>
    <row r="97" spans="8:21" ht="15.6" thickTop="1" thickBot="1">
      <c r="N97" s="236">
        <v>45051</v>
      </c>
      <c r="O97" s="234">
        <f>DATE(2024,5,9)</f>
        <v>45421</v>
      </c>
      <c r="P97" s="237">
        <f>DATE(2024,5,9)</f>
        <v>45421</v>
      </c>
      <c r="R97" s="262">
        <f>DATE(2025,9,26)</f>
        <v>45926</v>
      </c>
      <c r="U97" s="39">
        <v>2044</v>
      </c>
    </row>
    <row r="98" spans="8:21" ht="15.6" thickTop="1" thickBot="1">
      <c r="N98" s="236">
        <v>45058</v>
      </c>
      <c r="O98" s="234">
        <f>DATE(2024,5,10)</f>
        <v>45422</v>
      </c>
      <c r="P98" s="237">
        <f>DATE(2024,5,10)</f>
        <v>45422</v>
      </c>
      <c r="R98" s="262">
        <f>DATE(2025,10,17)</f>
        <v>45947</v>
      </c>
      <c r="U98" s="39">
        <v>2045</v>
      </c>
    </row>
    <row r="99" spans="8:21" ht="15.6" thickTop="1" thickBot="1">
      <c r="N99" s="236">
        <v>45064</v>
      </c>
      <c r="O99" s="234">
        <f>DATE(2024,5,17)</f>
        <v>45429</v>
      </c>
      <c r="P99" s="237">
        <f>DATE(2024,5,17)</f>
        <v>45429</v>
      </c>
      <c r="R99" s="262">
        <f>DATE(2025,10,24)</f>
        <v>45954</v>
      </c>
      <c r="U99" s="39">
        <v>2046</v>
      </c>
    </row>
    <row r="100" spans="8:21" ht="15.6" thickTop="1" thickBot="1">
      <c r="N100" s="236">
        <v>45065</v>
      </c>
      <c r="O100" s="234">
        <f>DATE(2024,5,24)</f>
        <v>45436</v>
      </c>
      <c r="P100" s="237">
        <f>DATE(2024,5,24)</f>
        <v>45436</v>
      </c>
      <c r="R100" s="262">
        <f>DATE(2025,10,31)</f>
        <v>45961</v>
      </c>
      <c r="U100" s="39">
        <v>2047</v>
      </c>
    </row>
    <row r="101" spans="8:21" ht="15.6" thickTop="1" thickBot="1">
      <c r="N101" s="236">
        <v>45072</v>
      </c>
      <c r="O101" s="234">
        <f>DATE(2024,5,24)</f>
        <v>45436</v>
      </c>
      <c r="P101" s="237">
        <f>DATE(2024,5,24)</f>
        <v>45436</v>
      </c>
      <c r="R101" s="262">
        <f>DATE(2025,11,7)</f>
        <v>45968</v>
      </c>
      <c r="U101" s="39">
        <v>2048</v>
      </c>
    </row>
    <row r="102" spans="8:21" ht="15.6" thickTop="1" thickBot="1">
      <c r="N102" s="236">
        <v>45079</v>
      </c>
      <c r="O102" s="234">
        <f>DATE(2024,6,21)</f>
        <v>45464</v>
      </c>
      <c r="P102" s="237">
        <f>DATE(2024,8,16)</f>
        <v>45520</v>
      </c>
      <c r="R102" s="262">
        <f>DATE(2025,11,14)</f>
        <v>45975</v>
      </c>
    </row>
    <row r="103" spans="8:21" ht="15.6" thickTop="1" thickBot="1">
      <c r="N103" s="236">
        <v>45093</v>
      </c>
      <c r="O103" s="234">
        <f>DATE(2024,7,26)</f>
        <v>45499</v>
      </c>
      <c r="P103" s="237">
        <f>DATE(2024,8,23)</f>
        <v>45527</v>
      </c>
      <c r="R103" s="262">
        <f>DATE(2025,11,21)</f>
        <v>45982</v>
      </c>
    </row>
    <row r="104" spans="8:21" ht="15.6" thickTop="1" thickBot="1">
      <c r="N104" s="236">
        <v>45114</v>
      </c>
      <c r="O104" s="234">
        <f>DATE(2024,8,2)</f>
        <v>45506</v>
      </c>
      <c r="P104" s="237">
        <f>DATE(2024,11,15)</f>
        <v>45611</v>
      </c>
      <c r="R104" s="262">
        <f>DATE(2025,12,5)</f>
        <v>45996</v>
      </c>
    </row>
    <row r="105" spans="8:21" ht="15.6" thickTop="1" thickBot="1">
      <c r="N105" s="236">
        <v>45149</v>
      </c>
      <c r="O105" s="234">
        <f>DATE(2024,8,16)</f>
        <v>45520</v>
      </c>
      <c r="P105" s="237">
        <f>DATE(2024,12,6)</f>
        <v>45632</v>
      </c>
      <c r="R105" s="262">
        <f>DATE(2025,12,12)</f>
        <v>46003</v>
      </c>
    </row>
    <row r="106" spans="8:21" ht="15.6" thickTop="1" thickBot="1">
      <c r="N106" s="236">
        <v>45156</v>
      </c>
      <c r="O106" s="234">
        <f>DATE(2024,8,23)</f>
        <v>45527</v>
      </c>
      <c r="P106" s="237">
        <f>DATE(2024,12,13)</f>
        <v>45639</v>
      </c>
      <c r="R106" s="262">
        <f>DATE(2025,12,19)</f>
        <v>46010</v>
      </c>
    </row>
    <row r="107" spans="8:21" ht="15.6" thickTop="1" thickBot="1">
      <c r="H107" s="163"/>
      <c r="I107" s="163"/>
      <c r="N107" s="236">
        <v>45191</v>
      </c>
      <c r="O107" s="234">
        <f>DATE(2024,8,30)</f>
        <v>45534</v>
      </c>
      <c r="P107" s="237">
        <f>DATE(2024,12,14)</f>
        <v>45640</v>
      </c>
      <c r="R107" s="262">
        <f>DATE(2025,12,20)</f>
        <v>46011</v>
      </c>
    </row>
    <row r="108" spans="8:21" ht="15.6" thickTop="1" thickBot="1">
      <c r="H108" s="163"/>
      <c r="I108" s="163"/>
      <c r="N108" s="236">
        <v>45219</v>
      </c>
      <c r="O108" s="234">
        <f>DATE(2024,9,27)</f>
        <v>45562</v>
      </c>
      <c r="P108" s="237">
        <f>DATE(2024,12,20)</f>
        <v>45646</v>
      </c>
      <c r="R108" s="262">
        <f>DATE(2025,12,26)</f>
        <v>46017</v>
      </c>
    </row>
    <row r="109" spans="8:21" ht="15.6" thickTop="1" thickBot="1">
      <c r="H109" s="157"/>
      <c r="I109" s="157"/>
      <c r="L109" s="239" t="s">
        <v>3</v>
      </c>
      <c r="M109" s="240">
        <v>2022</v>
      </c>
      <c r="N109" s="236">
        <v>45233</v>
      </c>
      <c r="O109" s="234">
        <f>DATE(2024,10,4)</f>
        <v>45569</v>
      </c>
      <c r="P109" s="237">
        <f>DATE(2024,12,21)</f>
        <v>45647</v>
      </c>
      <c r="R109" s="262">
        <f>DATE(2025,12,27)</f>
        <v>46018</v>
      </c>
    </row>
    <row r="110" spans="8:21" ht="15.6" thickTop="1" thickBot="1">
      <c r="H110" s="157"/>
      <c r="I110" s="157"/>
      <c r="L110" s="239" t="s">
        <v>9</v>
      </c>
      <c r="M110" s="241" t="s">
        <v>10</v>
      </c>
      <c r="N110" s="236">
        <v>45247</v>
      </c>
      <c r="O110" s="234">
        <f>DATE(2024,10,18)</f>
        <v>45583</v>
      </c>
      <c r="P110" s="237">
        <f>DATE(2024,12,27)</f>
        <v>45653</v>
      </c>
      <c r="R110" s="262">
        <f>DATE(2026,1,2)</f>
        <v>46024</v>
      </c>
    </row>
    <row r="111" spans="8:21" ht="15.6" thickTop="1" thickBot="1">
      <c r="H111" s="157"/>
      <c r="I111" s="157"/>
      <c r="L111" s="11">
        <v>45055</v>
      </c>
      <c r="M111" s="12">
        <v>45073</v>
      </c>
      <c r="N111" s="236">
        <v>45254</v>
      </c>
      <c r="O111" s="234">
        <f>DATE(2024,10,25)</f>
        <v>45590</v>
      </c>
      <c r="P111" s="237">
        <f>DATE(2024,12,28)</f>
        <v>45654</v>
      </c>
      <c r="R111" s="262">
        <f>DATE(2026,1,9)</f>
        <v>46031</v>
      </c>
    </row>
    <row r="112" spans="8:21" ht="15.6" thickTop="1" thickBot="1">
      <c r="H112" s="158"/>
      <c r="I112" s="157"/>
      <c r="L112" s="11">
        <v>45076</v>
      </c>
      <c r="M112" s="12">
        <v>45076</v>
      </c>
      <c r="N112" s="236">
        <v>45275</v>
      </c>
      <c r="O112" s="234">
        <f>DATE(2024,11,8)</f>
        <v>45604</v>
      </c>
      <c r="P112" s="237">
        <f>DATE(2025,1,3)</f>
        <v>45660</v>
      </c>
      <c r="R112" s="264">
        <f>DATE(2026,1,16)</f>
        <v>46038</v>
      </c>
    </row>
    <row r="113" spans="8:18" ht="15.6" thickTop="1" thickBot="1">
      <c r="H113" s="242"/>
      <c r="I113" s="242"/>
      <c r="L113" s="11"/>
      <c r="M113" s="12"/>
      <c r="N113" s="236">
        <v>45276</v>
      </c>
      <c r="O113" s="234">
        <f>DATE(2024,11,15)</f>
        <v>45611</v>
      </c>
      <c r="P113" s="237">
        <f>DATE(2024,6,21)</f>
        <v>45464</v>
      </c>
      <c r="R113" s="264">
        <v>46042</v>
      </c>
    </row>
    <row r="114" spans="8:18" ht="15.6" thickTop="1" thickBot="1">
      <c r="H114" s="15"/>
      <c r="I114" s="15"/>
      <c r="L114" s="37"/>
      <c r="M114" s="36"/>
      <c r="N114" s="236">
        <v>45282</v>
      </c>
      <c r="O114" s="234">
        <f>DATE(2024,11,22)</f>
        <v>45618</v>
      </c>
    </row>
    <row r="115" spans="8:18" ht="15.6" thickTop="1" thickBot="1">
      <c r="H115" s="24"/>
      <c r="I115" s="24"/>
      <c r="L115" s="243"/>
      <c r="M115" s="243"/>
      <c r="N115" s="236">
        <v>45289</v>
      </c>
      <c r="O115" s="234">
        <f>DATE(2024,11,29)</f>
        <v>45625</v>
      </c>
      <c r="P115" s="237"/>
    </row>
    <row r="116" spans="8:18" ht="15.6" thickTop="1" thickBot="1">
      <c r="N116" s="237">
        <v>45296</v>
      </c>
      <c r="O116" s="234">
        <f>DATE(2024,12,6)</f>
        <v>45632</v>
      </c>
      <c r="P116" s="237"/>
    </row>
    <row r="117" spans="8:18" ht="15.6" thickTop="1" thickBot="1">
      <c r="N117" s="237">
        <v>45303</v>
      </c>
      <c r="O117" s="234">
        <f>DATE(2024,12,13)</f>
        <v>45639</v>
      </c>
      <c r="P117" s="237"/>
    </row>
    <row r="118" spans="8:18" ht="15.6" thickTop="1" thickBot="1">
      <c r="N118" s="136"/>
      <c r="O118" s="234">
        <f>DATE(2024,12,14)</f>
        <v>45640</v>
      </c>
    </row>
    <row r="119" spans="8:18" ht="15.6" thickTop="1" thickBot="1">
      <c r="N119" s="136"/>
      <c r="O119" s="234">
        <f>DATE(2024,12,20)</f>
        <v>45646</v>
      </c>
    </row>
    <row r="120" spans="8:18" ht="0" hidden="1" customHeight="1">
      <c r="N120" s="136"/>
      <c r="O120" s="234">
        <f>DATE(2024,12,21)</f>
        <v>45647</v>
      </c>
    </row>
    <row r="121" spans="8:18" ht="0" hidden="1" customHeight="1">
      <c r="O121" s="234">
        <f>DATE(2024,12,27)</f>
        <v>45653</v>
      </c>
    </row>
    <row r="122" spans="8:18" ht="0" hidden="1" customHeight="1">
      <c r="O122" s="234">
        <f>DATE(2024,12,28)</f>
        <v>45654</v>
      </c>
    </row>
    <row r="123" spans="8:18" ht="0" hidden="1" customHeight="1">
      <c r="O123" s="234">
        <f>DATE(2025,1,3)</f>
        <v>45660</v>
      </c>
    </row>
    <row r="124" spans="8:18" ht="0" hidden="1" customHeight="1">
      <c r="O124" s="234"/>
    </row>
  </sheetData>
  <mergeCells count="64">
    <mergeCell ref="N88:O88"/>
    <mergeCell ref="D69:I69"/>
    <mergeCell ref="C39:D39"/>
    <mergeCell ref="J26:O26"/>
    <mergeCell ref="I35:J35"/>
    <mergeCell ref="J28:O28"/>
    <mergeCell ref="C31:H32"/>
    <mergeCell ref="C34:D34"/>
    <mergeCell ref="D68:I68"/>
    <mergeCell ref="D67:I67"/>
    <mergeCell ref="C45:D45"/>
    <mergeCell ref="C53:F56"/>
    <mergeCell ref="D65:I65"/>
    <mergeCell ref="C49:E49"/>
    <mergeCell ref="D64:I64"/>
    <mergeCell ref="E71:F71"/>
    <mergeCell ref="H71:I71"/>
    <mergeCell ref="B24:C24"/>
    <mergeCell ref="B28:C28"/>
    <mergeCell ref="D66:I66"/>
    <mergeCell ref="C50:F52"/>
    <mergeCell ref="D70:G70"/>
    <mergeCell ref="B25:C25"/>
    <mergeCell ref="B26:C26"/>
    <mergeCell ref="C37:D37"/>
    <mergeCell ref="M15:N15"/>
    <mergeCell ref="C44:D44"/>
    <mergeCell ref="C40:D40"/>
    <mergeCell ref="C41:D41"/>
    <mergeCell ref="C42:D42"/>
    <mergeCell ref="C43:D43"/>
    <mergeCell ref="B27:C27"/>
    <mergeCell ref="J29:O29"/>
    <mergeCell ref="F17:G17"/>
    <mergeCell ref="J25:O25"/>
    <mergeCell ref="O14:P14"/>
    <mergeCell ref="M14:N14"/>
    <mergeCell ref="T38:V38"/>
    <mergeCell ref="B29:C29"/>
    <mergeCell ref="W38:X38"/>
    <mergeCell ref="C35:D35"/>
    <mergeCell ref="J24:O24"/>
    <mergeCell ref="P23:Q23"/>
    <mergeCell ref="C38:D38"/>
    <mergeCell ref="P24:R24"/>
    <mergeCell ref="J23:O23"/>
    <mergeCell ref="C36:D36"/>
    <mergeCell ref="B23:C23"/>
    <mergeCell ref="J27:O27"/>
    <mergeCell ref="C33:D33"/>
    <mergeCell ref="J36:L36"/>
    <mergeCell ref="C1:D1"/>
    <mergeCell ref="AA5:AB5"/>
    <mergeCell ref="M12:N12"/>
    <mergeCell ref="Q9:T9"/>
    <mergeCell ref="M10:N10"/>
    <mergeCell ref="R10:T10"/>
    <mergeCell ref="M8:N8"/>
    <mergeCell ref="Y7:Z7"/>
    <mergeCell ref="C2:D2"/>
    <mergeCell ref="M11:N11"/>
    <mergeCell ref="F5:G5"/>
    <mergeCell ref="I5:J5"/>
    <mergeCell ref="M9:N9"/>
  </mergeCells>
  <phoneticPr fontId="34" type="noConversion"/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4">
    <pageSetUpPr fitToPage="1"/>
  </sheetPr>
  <dimension ref="A1:IV57"/>
  <sheetViews>
    <sheetView workbookViewId="0">
      <selection activeCell="B1" sqref="B1:M2"/>
    </sheetView>
  </sheetViews>
  <sheetFormatPr baseColWidth="10" defaultColWidth="8.88671875" defaultRowHeight="14.4" customHeight="1"/>
  <cols>
    <col min="1" max="1" width="18" style="71" customWidth="1"/>
    <col min="2" max="2" width="18.44140625" style="71" customWidth="1"/>
    <col min="3" max="3" width="18.44140625" style="72" customWidth="1"/>
    <col min="4" max="5" width="19" style="71" customWidth="1"/>
    <col min="6" max="6" width="19" style="72" customWidth="1"/>
    <col min="7" max="7" width="23.109375" style="73" customWidth="1"/>
    <col min="8" max="8" width="17.6640625" style="71" customWidth="1"/>
    <col min="9" max="9" width="21" style="73" customWidth="1"/>
    <col min="10" max="10" width="20" style="74" customWidth="1"/>
    <col min="11" max="11" width="19.33203125" style="73" customWidth="1"/>
    <col min="12" max="12" width="21.33203125" style="71" customWidth="1"/>
    <col min="13" max="13" width="19" style="73" customWidth="1"/>
    <col min="14" max="14" width="19" style="71" customWidth="1"/>
    <col min="15" max="15" width="18.44140625" style="71" customWidth="1"/>
    <col min="16" max="19" width="19" style="71" customWidth="1"/>
    <col min="20" max="256" width="11.44140625" style="71" customWidth="1"/>
  </cols>
  <sheetData>
    <row r="1" spans="1:21" ht="50.1" customHeight="1">
      <c r="A1" s="394">
        <f>YEAR(A4)</f>
        <v>2026</v>
      </c>
      <c r="B1" s="395">
        <f>Données!B1</f>
        <v>2027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75">
        <f>YEAR(N5)</f>
        <v>2028</v>
      </c>
      <c r="O1" s="75"/>
      <c r="Q1" s="76"/>
      <c r="R1" s="77"/>
      <c r="S1" s="78"/>
    </row>
    <row r="2" spans="1:21" ht="24.9" customHeight="1">
      <c r="A2" s="394"/>
      <c r="B2" s="397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75"/>
      <c r="O2" s="75"/>
      <c r="Q2" s="76"/>
    </row>
    <row r="3" spans="1:21" s="79" customFormat="1" ht="21.9" customHeight="1">
      <c r="A3" s="80" t="s">
        <v>101</v>
      </c>
      <c r="B3" s="81" t="s">
        <v>12</v>
      </c>
      <c r="C3" s="82" t="s">
        <v>17</v>
      </c>
      <c r="D3" s="83" t="s">
        <v>23</v>
      </c>
      <c r="E3" s="84" t="s">
        <v>102</v>
      </c>
      <c r="F3" s="85" t="s">
        <v>32</v>
      </c>
      <c r="G3" s="86" t="s">
        <v>103</v>
      </c>
      <c r="H3" s="87" t="s">
        <v>104</v>
      </c>
      <c r="I3" s="88" t="s">
        <v>105</v>
      </c>
      <c r="J3" s="89" t="s">
        <v>106</v>
      </c>
      <c r="K3" s="90" t="s">
        <v>107</v>
      </c>
      <c r="L3" s="91" t="s">
        <v>108</v>
      </c>
      <c r="M3" s="92" t="s">
        <v>101</v>
      </c>
      <c r="N3" s="93" t="s">
        <v>12</v>
      </c>
      <c r="O3" s="94" t="s">
        <v>17</v>
      </c>
    </row>
    <row r="4" spans="1:21" ht="15" customHeight="1">
      <c r="A4" s="95">
        <f>DATE(YEAR(B4),MONTH(B4)-1,1)</f>
        <v>46357</v>
      </c>
      <c r="B4" s="95">
        <f>DATE(B1,1,1)</f>
        <v>46388</v>
      </c>
      <c r="C4" s="95">
        <f t="shared" ref="C4:O4" si="0">DATE(YEAR(B4),MONTH(B4)+1,1)</f>
        <v>46419</v>
      </c>
      <c r="D4" s="95">
        <f t="shared" si="0"/>
        <v>46447</v>
      </c>
      <c r="E4" s="95">
        <f t="shared" si="0"/>
        <v>46478</v>
      </c>
      <c r="F4" s="95">
        <f t="shared" si="0"/>
        <v>46508</v>
      </c>
      <c r="G4" s="95">
        <f t="shared" si="0"/>
        <v>46539</v>
      </c>
      <c r="H4" s="95">
        <f t="shared" si="0"/>
        <v>46569</v>
      </c>
      <c r="I4" s="95">
        <f t="shared" si="0"/>
        <v>46600</v>
      </c>
      <c r="J4" s="95">
        <f t="shared" si="0"/>
        <v>46631</v>
      </c>
      <c r="K4" s="95">
        <f t="shared" si="0"/>
        <v>46661</v>
      </c>
      <c r="L4" s="95">
        <f t="shared" si="0"/>
        <v>46692</v>
      </c>
      <c r="M4" s="95">
        <f t="shared" si="0"/>
        <v>46722</v>
      </c>
      <c r="N4" s="95">
        <f t="shared" si="0"/>
        <v>46753</v>
      </c>
      <c r="O4" s="95">
        <f t="shared" si="0"/>
        <v>46784</v>
      </c>
    </row>
    <row r="5" spans="1:21" ht="15" customHeight="1">
      <c r="A5" s="95">
        <f t="shared" ref="A5:A33" si="1">IF(A4="","",IF(MONTH(A4+1)&gt;MONTH(A4),"",A4+1))</f>
        <v>46358</v>
      </c>
      <c r="B5" s="95">
        <f t="shared" ref="B5:B33" si="2">IF(B4="","",IF(MONTH(B4+1)&gt;MONTH(B4),"",B4+1))</f>
        <v>46389</v>
      </c>
      <c r="C5" s="95">
        <f t="shared" ref="C5:C33" si="3">IF(C4="","",IF(MONTH(C4+1)&gt;MONTH(C4),"",C4+1))</f>
        <v>46420</v>
      </c>
      <c r="D5" s="95">
        <f t="shared" ref="D5:D33" si="4">IF(D4="","",IF(MONTH(D4+1)&gt;MONTH(D4),"",D4+1))</f>
        <v>46448</v>
      </c>
      <c r="E5" s="95">
        <f t="shared" ref="E5:E33" si="5">IF(E4="","",IF(MONTH(E4+1)&gt;MONTH(E4),"",E4+1))</f>
        <v>46479</v>
      </c>
      <c r="F5" s="95">
        <f t="shared" ref="F5:F33" si="6">IF(F4="","",IF(MONTH(F4+1)&gt;MONTH(F4),"",F4+1))</f>
        <v>46509</v>
      </c>
      <c r="G5" s="95">
        <f t="shared" ref="G5:G33" si="7">IF(G4="","",IF(MONTH(G4+1)&gt;MONTH(G4),"",G4+1))</f>
        <v>46540</v>
      </c>
      <c r="H5" s="95">
        <f t="shared" ref="H5:H33" si="8">IF(H4="","",IF(MONTH(H4+1)&gt;MONTH(H4),"",H4+1))</f>
        <v>46570</v>
      </c>
      <c r="I5" s="95">
        <f t="shared" ref="I5:I33" si="9">IF(I4="","",IF(MONTH(I4+1)&gt;MONTH(I4),"",I4+1))</f>
        <v>46601</v>
      </c>
      <c r="J5" s="95">
        <f t="shared" ref="J5:J33" si="10">IF(J4="","",IF(MONTH(J4+1)&gt;MONTH(J4),"",J4+1))</f>
        <v>46632</v>
      </c>
      <c r="K5" s="95">
        <f t="shared" ref="K5:K33" si="11">IF(K4="","",IF(MONTH(K4+1)&gt;MONTH(K4),"",K4+1))</f>
        <v>46662</v>
      </c>
      <c r="L5" s="95">
        <f t="shared" ref="L5:L33" si="12">IF(L4="","",IF(MONTH(L4+1)&gt;MONTH(L4),"",L4+1))</f>
        <v>46693</v>
      </c>
      <c r="M5" s="95">
        <f t="shared" ref="M5:M33" si="13">IF(M4="","",IF(MONTH(M4+1)&gt;MONTH(M4),"",M4+1))</f>
        <v>46723</v>
      </c>
      <c r="N5" s="95">
        <f t="shared" ref="N5:N33" si="14">IF(N4="","",IF(MONTH(N4+1)&gt;MONTH(N4),"",N4+1))</f>
        <v>46754</v>
      </c>
      <c r="O5" s="95">
        <f t="shared" ref="O5:O33" si="15">IF(O4="","",IF(MONTH(O4+1)&gt;MONTH(O4),"",O4+1))</f>
        <v>46785</v>
      </c>
    </row>
    <row r="6" spans="1:21" ht="15" customHeight="1">
      <c r="A6" s="95">
        <f t="shared" si="1"/>
        <v>46359</v>
      </c>
      <c r="B6" s="95">
        <f t="shared" si="2"/>
        <v>46390</v>
      </c>
      <c r="C6" s="95">
        <f t="shared" si="3"/>
        <v>46421</v>
      </c>
      <c r="D6" s="95">
        <f t="shared" si="4"/>
        <v>46449</v>
      </c>
      <c r="E6" s="95">
        <f t="shared" si="5"/>
        <v>46480</v>
      </c>
      <c r="F6" s="95">
        <f t="shared" si="6"/>
        <v>46510</v>
      </c>
      <c r="G6" s="95">
        <f t="shared" si="7"/>
        <v>46541</v>
      </c>
      <c r="H6" s="95">
        <f t="shared" si="8"/>
        <v>46571</v>
      </c>
      <c r="I6" s="95">
        <f t="shared" si="9"/>
        <v>46602</v>
      </c>
      <c r="J6" s="95">
        <f t="shared" si="10"/>
        <v>46633</v>
      </c>
      <c r="K6" s="95">
        <f t="shared" si="11"/>
        <v>46663</v>
      </c>
      <c r="L6" s="95">
        <f t="shared" si="12"/>
        <v>46694</v>
      </c>
      <c r="M6" s="95">
        <f t="shared" si="13"/>
        <v>46724</v>
      </c>
      <c r="N6" s="95">
        <f t="shared" si="14"/>
        <v>46755</v>
      </c>
      <c r="O6" s="95">
        <f t="shared" si="15"/>
        <v>46786</v>
      </c>
    </row>
    <row r="7" spans="1:21" ht="15.6">
      <c r="A7" s="95">
        <f t="shared" si="1"/>
        <v>46360</v>
      </c>
      <c r="B7" s="95">
        <f t="shared" si="2"/>
        <v>46391</v>
      </c>
      <c r="C7" s="95">
        <f t="shared" si="3"/>
        <v>46422</v>
      </c>
      <c r="D7" s="95">
        <f t="shared" si="4"/>
        <v>46450</v>
      </c>
      <c r="E7" s="95">
        <f t="shared" si="5"/>
        <v>46481</v>
      </c>
      <c r="F7" s="95">
        <f t="shared" si="6"/>
        <v>46511</v>
      </c>
      <c r="G7" s="95">
        <f t="shared" si="7"/>
        <v>46542</v>
      </c>
      <c r="H7" s="95">
        <f t="shared" si="8"/>
        <v>46572</v>
      </c>
      <c r="I7" s="95">
        <f t="shared" si="9"/>
        <v>46603</v>
      </c>
      <c r="J7" s="95">
        <f t="shared" si="10"/>
        <v>46634</v>
      </c>
      <c r="K7" s="95">
        <f t="shared" si="11"/>
        <v>46664</v>
      </c>
      <c r="L7" s="95">
        <f t="shared" si="12"/>
        <v>46695</v>
      </c>
      <c r="M7" s="95">
        <f t="shared" si="13"/>
        <v>46725</v>
      </c>
      <c r="N7" s="95">
        <f t="shared" si="14"/>
        <v>46756</v>
      </c>
      <c r="O7" s="95">
        <f t="shared" si="15"/>
        <v>46787</v>
      </c>
    </row>
    <row r="8" spans="1:21" ht="15" customHeight="1">
      <c r="A8" s="95">
        <f t="shared" si="1"/>
        <v>46361</v>
      </c>
      <c r="B8" s="95">
        <f t="shared" si="2"/>
        <v>46392</v>
      </c>
      <c r="C8" s="95">
        <f t="shared" si="3"/>
        <v>46423</v>
      </c>
      <c r="D8" s="95">
        <f t="shared" si="4"/>
        <v>46451</v>
      </c>
      <c r="E8" s="95">
        <f t="shared" si="5"/>
        <v>46482</v>
      </c>
      <c r="F8" s="95">
        <f t="shared" si="6"/>
        <v>46512</v>
      </c>
      <c r="G8" s="95">
        <f t="shared" si="7"/>
        <v>46543</v>
      </c>
      <c r="H8" s="95">
        <f t="shared" si="8"/>
        <v>46573</v>
      </c>
      <c r="I8" s="95">
        <f t="shared" si="9"/>
        <v>46604</v>
      </c>
      <c r="J8" s="95">
        <f t="shared" si="10"/>
        <v>46635</v>
      </c>
      <c r="K8" s="95">
        <f t="shared" si="11"/>
        <v>46665</v>
      </c>
      <c r="L8" s="95">
        <f t="shared" si="12"/>
        <v>46696</v>
      </c>
      <c r="M8" s="95">
        <f t="shared" si="13"/>
        <v>46726</v>
      </c>
      <c r="N8" s="95">
        <f t="shared" si="14"/>
        <v>46757</v>
      </c>
      <c r="O8" s="95">
        <f t="shared" si="15"/>
        <v>46788</v>
      </c>
    </row>
    <row r="9" spans="1:21" ht="15" customHeight="1">
      <c r="A9" s="95">
        <f t="shared" si="1"/>
        <v>46362</v>
      </c>
      <c r="B9" s="95">
        <f t="shared" si="2"/>
        <v>46393</v>
      </c>
      <c r="C9" s="95">
        <f t="shared" si="3"/>
        <v>46424</v>
      </c>
      <c r="D9" s="95">
        <f t="shared" si="4"/>
        <v>46452</v>
      </c>
      <c r="E9" s="95">
        <f t="shared" si="5"/>
        <v>46483</v>
      </c>
      <c r="F9" s="95">
        <f t="shared" si="6"/>
        <v>46513</v>
      </c>
      <c r="G9" s="95">
        <f t="shared" si="7"/>
        <v>46544</v>
      </c>
      <c r="H9" s="95">
        <f t="shared" si="8"/>
        <v>46574</v>
      </c>
      <c r="I9" s="95">
        <f t="shared" si="9"/>
        <v>46605</v>
      </c>
      <c r="J9" s="95">
        <f t="shared" si="10"/>
        <v>46636</v>
      </c>
      <c r="K9" s="95">
        <f t="shared" si="11"/>
        <v>46666</v>
      </c>
      <c r="L9" s="95">
        <f t="shared" si="12"/>
        <v>46697</v>
      </c>
      <c r="M9" s="95">
        <f t="shared" si="13"/>
        <v>46727</v>
      </c>
      <c r="N9" s="95">
        <f t="shared" si="14"/>
        <v>46758</v>
      </c>
      <c r="O9" s="95">
        <f t="shared" si="15"/>
        <v>46789</v>
      </c>
    </row>
    <row r="10" spans="1:21" ht="15.6">
      <c r="A10" s="96">
        <f t="shared" si="1"/>
        <v>46363</v>
      </c>
      <c r="B10" s="96">
        <f t="shared" si="2"/>
        <v>46394</v>
      </c>
      <c r="C10" s="96">
        <f t="shared" si="3"/>
        <v>46425</v>
      </c>
      <c r="D10" s="96">
        <f t="shared" si="4"/>
        <v>46453</v>
      </c>
      <c r="E10" s="96">
        <f t="shared" si="5"/>
        <v>46484</v>
      </c>
      <c r="F10" s="96">
        <f t="shared" si="6"/>
        <v>46514</v>
      </c>
      <c r="G10" s="96">
        <f t="shared" si="7"/>
        <v>46545</v>
      </c>
      <c r="H10" s="96">
        <f t="shared" si="8"/>
        <v>46575</v>
      </c>
      <c r="I10" s="96">
        <f t="shared" si="9"/>
        <v>46606</v>
      </c>
      <c r="J10" s="96">
        <f t="shared" si="10"/>
        <v>46637</v>
      </c>
      <c r="K10" s="96">
        <f t="shared" si="11"/>
        <v>46667</v>
      </c>
      <c r="L10" s="96">
        <f t="shared" si="12"/>
        <v>46698</v>
      </c>
      <c r="M10" s="96">
        <f t="shared" si="13"/>
        <v>46728</v>
      </c>
      <c r="N10" s="96">
        <f t="shared" si="14"/>
        <v>46759</v>
      </c>
      <c r="O10" s="96">
        <f t="shared" si="15"/>
        <v>46790</v>
      </c>
      <c r="P10" s="97"/>
      <c r="Q10" s="97"/>
      <c r="R10" s="97"/>
      <c r="S10" s="97"/>
      <c r="T10" s="97"/>
      <c r="U10" s="97"/>
    </row>
    <row r="11" spans="1:21" ht="15" customHeight="1">
      <c r="A11" s="95">
        <f t="shared" si="1"/>
        <v>46364</v>
      </c>
      <c r="B11" s="95">
        <f t="shared" si="2"/>
        <v>46395</v>
      </c>
      <c r="C11" s="95">
        <f t="shared" si="3"/>
        <v>46426</v>
      </c>
      <c r="D11" s="95">
        <f t="shared" si="4"/>
        <v>46454</v>
      </c>
      <c r="E11" s="95">
        <f t="shared" si="5"/>
        <v>46485</v>
      </c>
      <c r="F11" s="95">
        <f t="shared" si="6"/>
        <v>46515</v>
      </c>
      <c r="G11" s="95">
        <f t="shared" si="7"/>
        <v>46546</v>
      </c>
      <c r="H11" s="95">
        <f t="shared" si="8"/>
        <v>46576</v>
      </c>
      <c r="I11" s="95">
        <f t="shared" si="9"/>
        <v>46607</v>
      </c>
      <c r="J11" s="95">
        <f t="shared" si="10"/>
        <v>46638</v>
      </c>
      <c r="K11" s="95">
        <f t="shared" si="11"/>
        <v>46668</v>
      </c>
      <c r="L11" s="95">
        <f t="shared" si="12"/>
        <v>46699</v>
      </c>
      <c r="M11" s="95">
        <f t="shared" si="13"/>
        <v>46729</v>
      </c>
      <c r="N11" s="95">
        <f t="shared" si="14"/>
        <v>46760</v>
      </c>
      <c r="O11" s="95">
        <f t="shared" si="15"/>
        <v>46791</v>
      </c>
      <c r="P11" s="97"/>
      <c r="Q11" s="97"/>
      <c r="R11" s="97"/>
      <c r="S11" s="97"/>
      <c r="T11" s="97"/>
      <c r="U11" s="97"/>
    </row>
    <row r="12" spans="1:21" ht="15" customHeight="1">
      <c r="A12" s="95">
        <f t="shared" si="1"/>
        <v>46365</v>
      </c>
      <c r="B12" s="95">
        <f t="shared" si="2"/>
        <v>46396</v>
      </c>
      <c r="C12" s="95">
        <f t="shared" si="3"/>
        <v>46427</v>
      </c>
      <c r="D12" s="95">
        <f t="shared" si="4"/>
        <v>46455</v>
      </c>
      <c r="E12" s="95">
        <f t="shared" si="5"/>
        <v>46486</v>
      </c>
      <c r="F12" s="95">
        <f t="shared" si="6"/>
        <v>46516</v>
      </c>
      <c r="G12" s="95">
        <f t="shared" si="7"/>
        <v>46547</v>
      </c>
      <c r="H12" s="95">
        <f t="shared" si="8"/>
        <v>46577</v>
      </c>
      <c r="I12" s="95">
        <f t="shared" si="9"/>
        <v>46608</v>
      </c>
      <c r="J12" s="95">
        <f t="shared" si="10"/>
        <v>46639</v>
      </c>
      <c r="K12" s="95">
        <f t="shared" si="11"/>
        <v>46669</v>
      </c>
      <c r="L12" s="95">
        <f t="shared" si="12"/>
        <v>46700</v>
      </c>
      <c r="M12" s="95">
        <f t="shared" si="13"/>
        <v>46730</v>
      </c>
      <c r="N12" s="95">
        <f t="shared" si="14"/>
        <v>46761</v>
      </c>
      <c r="O12" s="95">
        <f t="shared" si="15"/>
        <v>46792</v>
      </c>
      <c r="P12" s="97"/>
      <c r="Q12" s="97"/>
      <c r="R12" s="97"/>
      <c r="S12" s="97"/>
      <c r="T12" s="97"/>
      <c r="U12" s="97"/>
    </row>
    <row r="13" spans="1:21" ht="15" customHeight="1">
      <c r="A13" s="96">
        <f t="shared" si="1"/>
        <v>46366</v>
      </c>
      <c r="B13" s="96">
        <f t="shared" si="2"/>
        <v>46397</v>
      </c>
      <c r="C13" s="96">
        <f t="shared" si="3"/>
        <v>46428</v>
      </c>
      <c r="D13" s="96">
        <f t="shared" si="4"/>
        <v>46456</v>
      </c>
      <c r="E13" s="96">
        <f t="shared" si="5"/>
        <v>46487</v>
      </c>
      <c r="F13" s="96">
        <f t="shared" si="6"/>
        <v>46517</v>
      </c>
      <c r="G13" s="96">
        <f t="shared" si="7"/>
        <v>46548</v>
      </c>
      <c r="H13" s="96">
        <f t="shared" si="8"/>
        <v>46578</v>
      </c>
      <c r="I13" s="96">
        <f t="shared" si="9"/>
        <v>46609</v>
      </c>
      <c r="J13" s="96">
        <f t="shared" si="10"/>
        <v>46640</v>
      </c>
      <c r="K13" s="96">
        <f t="shared" si="11"/>
        <v>46670</v>
      </c>
      <c r="L13" s="96">
        <f t="shared" si="12"/>
        <v>46701</v>
      </c>
      <c r="M13" s="96">
        <f t="shared" si="13"/>
        <v>46731</v>
      </c>
      <c r="N13" s="96">
        <f t="shared" si="14"/>
        <v>46762</v>
      </c>
      <c r="O13" s="96">
        <f t="shared" si="15"/>
        <v>46793</v>
      </c>
      <c r="P13" s="97"/>
      <c r="Q13" s="97"/>
      <c r="R13" s="97"/>
      <c r="S13" s="97"/>
      <c r="T13" s="97"/>
      <c r="U13" s="97"/>
    </row>
    <row r="14" spans="1:21" ht="15" customHeight="1">
      <c r="A14" s="96">
        <f t="shared" si="1"/>
        <v>46367</v>
      </c>
      <c r="B14" s="96">
        <f t="shared" si="2"/>
        <v>46398</v>
      </c>
      <c r="C14" s="96">
        <f t="shared" si="3"/>
        <v>46429</v>
      </c>
      <c r="D14" s="96">
        <f t="shared" si="4"/>
        <v>46457</v>
      </c>
      <c r="E14" s="96">
        <f t="shared" si="5"/>
        <v>46488</v>
      </c>
      <c r="F14" s="96">
        <f t="shared" si="6"/>
        <v>46518</v>
      </c>
      <c r="G14" s="96">
        <f t="shared" si="7"/>
        <v>46549</v>
      </c>
      <c r="H14" s="96">
        <f t="shared" si="8"/>
        <v>46579</v>
      </c>
      <c r="I14" s="96">
        <f t="shared" si="9"/>
        <v>46610</v>
      </c>
      <c r="J14" s="96">
        <f t="shared" si="10"/>
        <v>46641</v>
      </c>
      <c r="K14" s="96">
        <f t="shared" si="11"/>
        <v>46671</v>
      </c>
      <c r="L14" s="96">
        <f t="shared" si="12"/>
        <v>46702</v>
      </c>
      <c r="M14" s="96">
        <f t="shared" si="13"/>
        <v>46732</v>
      </c>
      <c r="N14" s="96">
        <f t="shared" si="14"/>
        <v>46763</v>
      </c>
      <c r="O14" s="96">
        <f t="shared" si="15"/>
        <v>46794</v>
      </c>
      <c r="P14" s="97"/>
      <c r="Q14" s="97"/>
      <c r="R14" s="97"/>
      <c r="S14" s="97"/>
      <c r="T14" s="97"/>
      <c r="U14" s="97"/>
    </row>
    <row r="15" spans="1:21" ht="15" customHeight="1">
      <c r="A15" s="96">
        <f t="shared" si="1"/>
        <v>46368</v>
      </c>
      <c r="B15" s="96">
        <f t="shared" si="2"/>
        <v>46399</v>
      </c>
      <c r="C15" s="96">
        <f t="shared" si="3"/>
        <v>46430</v>
      </c>
      <c r="D15" s="96">
        <f t="shared" si="4"/>
        <v>46458</v>
      </c>
      <c r="E15" s="96">
        <f t="shared" si="5"/>
        <v>46489</v>
      </c>
      <c r="F15" s="96">
        <f t="shared" si="6"/>
        <v>46519</v>
      </c>
      <c r="G15" s="96">
        <f t="shared" si="7"/>
        <v>46550</v>
      </c>
      <c r="H15" s="96">
        <f t="shared" si="8"/>
        <v>46580</v>
      </c>
      <c r="I15" s="96">
        <f t="shared" si="9"/>
        <v>46611</v>
      </c>
      <c r="J15" s="96">
        <f t="shared" si="10"/>
        <v>46642</v>
      </c>
      <c r="K15" s="96">
        <f t="shared" si="11"/>
        <v>46672</v>
      </c>
      <c r="L15" s="96">
        <f t="shared" si="12"/>
        <v>46703</v>
      </c>
      <c r="M15" s="96">
        <f t="shared" si="13"/>
        <v>46733</v>
      </c>
      <c r="N15" s="96">
        <f t="shared" si="14"/>
        <v>46764</v>
      </c>
      <c r="O15" s="96">
        <f t="shared" si="15"/>
        <v>46795</v>
      </c>
      <c r="P15" s="97"/>
      <c r="Q15" s="97"/>
      <c r="R15" s="97"/>
      <c r="S15" s="97"/>
      <c r="T15" s="97"/>
      <c r="U15" s="97"/>
    </row>
    <row r="16" spans="1:21" ht="15" customHeight="1">
      <c r="A16" s="96">
        <f t="shared" si="1"/>
        <v>46369</v>
      </c>
      <c r="B16" s="96">
        <f t="shared" si="2"/>
        <v>46400</v>
      </c>
      <c r="C16" s="96">
        <f t="shared" si="3"/>
        <v>46431</v>
      </c>
      <c r="D16" s="96">
        <f t="shared" si="4"/>
        <v>46459</v>
      </c>
      <c r="E16" s="96">
        <f t="shared" si="5"/>
        <v>46490</v>
      </c>
      <c r="F16" s="96">
        <f t="shared" si="6"/>
        <v>46520</v>
      </c>
      <c r="G16" s="96">
        <f t="shared" si="7"/>
        <v>46551</v>
      </c>
      <c r="H16" s="96">
        <f t="shared" si="8"/>
        <v>46581</v>
      </c>
      <c r="I16" s="96">
        <f t="shared" si="9"/>
        <v>46612</v>
      </c>
      <c r="J16" s="96">
        <f t="shared" si="10"/>
        <v>46643</v>
      </c>
      <c r="K16" s="96">
        <f t="shared" si="11"/>
        <v>46673</v>
      </c>
      <c r="L16" s="96">
        <f t="shared" si="12"/>
        <v>46704</v>
      </c>
      <c r="M16" s="96">
        <f t="shared" si="13"/>
        <v>46734</v>
      </c>
      <c r="N16" s="96">
        <f t="shared" si="14"/>
        <v>46765</v>
      </c>
      <c r="O16" s="96">
        <f t="shared" si="15"/>
        <v>46796</v>
      </c>
      <c r="P16" s="97"/>
      <c r="Q16" s="98"/>
      <c r="R16" s="97"/>
      <c r="S16" s="97"/>
      <c r="T16" s="97"/>
      <c r="U16" s="97"/>
    </row>
    <row r="17" spans="1:21" ht="15" customHeight="1">
      <c r="A17" s="96">
        <f t="shared" si="1"/>
        <v>46370</v>
      </c>
      <c r="B17" s="96">
        <f t="shared" si="2"/>
        <v>46401</v>
      </c>
      <c r="C17" s="96">
        <f t="shared" si="3"/>
        <v>46432</v>
      </c>
      <c r="D17" s="96">
        <f t="shared" si="4"/>
        <v>46460</v>
      </c>
      <c r="E17" s="96">
        <f t="shared" si="5"/>
        <v>46491</v>
      </c>
      <c r="F17" s="96">
        <f t="shared" si="6"/>
        <v>46521</v>
      </c>
      <c r="G17" s="96">
        <f t="shared" si="7"/>
        <v>46552</v>
      </c>
      <c r="H17" s="96">
        <f t="shared" si="8"/>
        <v>46582</v>
      </c>
      <c r="I17" s="96">
        <f t="shared" si="9"/>
        <v>46613</v>
      </c>
      <c r="J17" s="96">
        <f t="shared" si="10"/>
        <v>46644</v>
      </c>
      <c r="K17" s="96">
        <f t="shared" si="11"/>
        <v>46674</v>
      </c>
      <c r="L17" s="96">
        <f t="shared" si="12"/>
        <v>46705</v>
      </c>
      <c r="M17" s="96">
        <f t="shared" si="13"/>
        <v>46735</v>
      </c>
      <c r="N17" s="96">
        <f t="shared" si="14"/>
        <v>46766</v>
      </c>
      <c r="O17" s="96">
        <f t="shared" si="15"/>
        <v>46797</v>
      </c>
      <c r="P17" s="97"/>
      <c r="Q17" s="97"/>
      <c r="R17" s="97"/>
      <c r="S17" s="97"/>
      <c r="T17" s="97"/>
      <c r="U17" s="97"/>
    </row>
    <row r="18" spans="1:21" ht="15" customHeight="1">
      <c r="A18" s="96">
        <f t="shared" si="1"/>
        <v>46371</v>
      </c>
      <c r="B18" s="96">
        <f t="shared" si="2"/>
        <v>46402</v>
      </c>
      <c r="C18" s="96">
        <f t="shared" si="3"/>
        <v>46433</v>
      </c>
      <c r="D18" s="96">
        <f t="shared" si="4"/>
        <v>46461</v>
      </c>
      <c r="E18" s="96">
        <f t="shared" si="5"/>
        <v>46492</v>
      </c>
      <c r="F18" s="96">
        <f t="shared" si="6"/>
        <v>46522</v>
      </c>
      <c r="G18" s="96">
        <f t="shared" si="7"/>
        <v>46553</v>
      </c>
      <c r="H18" s="96">
        <f t="shared" si="8"/>
        <v>46583</v>
      </c>
      <c r="I18" s="96">
        <f t="shared" si="9"/>
        <v>46614</v>
      </c>
      <c r="J18" s="96">
        <f t="shared" si="10"/>
        <v>46645</v>
      </c>
      <c r="K18" s="96">
        <f t="shared" si="11"/>
        <v>46675</v>
      </c>
      <c r="L18" s="96">
        <f t="shared" si="12"/>
        <v>46706</v>
      </c>
      <c r="M18" s="96">
        <f t="shared" si="13"/>
        <v>46736</v>
      </c>
      <c r="N18" s="96">
        <f t="shared" si="14"/>
        <v>46767</v>
      </c>
      <c r="O18" s="96">
        <f t="shared" si="15"/>
        <v>46798</v>
      </c>
      <c r="P18" s="97"/>
      <c r="Q18" s="97"/>
      <c r="R18" s="97"/>
      <c r="S18" s="97"/>
      <c r="T18" s="97"/>
      <c r="U18" s="97"/>
    </row>
    <row r="19" spans="1:21" ht="15" customHeight="1">
      <c r="A19" s="96">
        <f t="shared" si="1"/>
        <v>46372</v>
      </c>
      <c r="B19" s="96">
        <f t="shared" si="2"/>
        <v>46403</v>
      </c>
      <c r="C19" s="96">
        <f t="shared" si="3"/>
        <v>46434</v>
      </c>
      <c r="D19" s="96">
        <f t="shared" si="4"/>
        <v>46462</v>
      </c>
      <c r="E19" s="96">
        <f t="shared" si="5"/>
        <v>46493</v>
      </c>
      <c r="F19" s="96">
        <f t="shared" si="6"/>
        <v>46523</v>
      </c>
      <c r="G19" s="96">
        <f t="shared" si="7"/>
        <v>46554</v>
      </c>
      <c r="H19" s="96">
        <f t="shared" si="8"/>
        <v>46584</v>
      </c>
      <c r="I19" s="96">
        <f t="shared" si="9"/>
        <v>46615</v>
      </c>
      <c r="J19" s="96">
        <f t="shared" si="10"/>
        <v>46646</v>
      </c>
      <c r="K19" s="96">
        <f t="shared" si="11"/>
        <v>46676</v>
      </c>
      <c r="L19" s="96">
        <f t="shared" si="12"/>
        <v>46707</v>
      </c>
      <c r="M19" s="96">
        <f t="shared" si="13"/>
        <v>46737</v>
      </c>
      <c r="N19" s="96">
        <f t="shared" si="14"/>
        <v>46768</v>
      </c>
      <c r="O19" s="96">
        <f t="shared" si="15"/>
        <v>46799</v>
      </c>
      <c r="P19" s="97"/>
      <c r="Q19" s="97"/>
      <c r="R19" s="97"/>
      <c r="S19" s="97"/>
      <c r="T19" s="97"/>
      <c r="U19" s="97"/>
    </row>
    <row r="20" spans="1:21" ht="15" customHeight="1">
      <c r="A20" s="96">
        <f t="shared" si="1"/>
        <v>46373</v>
      </c>
      <c r="B20" s="96">
        <f t="shared" si="2"/>
        <v>46404</v>
      </c>
      <c r="C20" s="96">
        <f t="shared" si="3"/>
        <v>46435</v>
      </c>
      <c r="D20" s="96">
        <f t="shared" si="4"/>
        <v>46463</v>
      </c>
      <c r="E20" s="96">
        <f t="shared" si="5"/>
        <v>46494</v>
      </c>
      <c r="F20" s="96">
        <f t="shared" si="6"/>
        <v>46524</v>
      </c>
      <c r="G20" s="96">
        <f t="shared" si="7"/>
        <v>46555</v>
      </c>
      <c r="H20" s="96">
        <f t="shared" si="8"/>
        <v>46585</v>
      </c>
      <c r="I20" s="96">
        <f t="shared" si="9"/>
        <v>46616</v>
      </c>
      <c r="J20" s="96">
        <f t="shared" si="10"/>
        <v>46647</v>
      </c>
      <c r="K20" s="96">
        <f t="shared" si="11"/>
        <v>46677</v>
      </c>
      <c r="L20" s="96">
        <f t="shared" si="12"/>
        <v>46708</v>
      </c>
      <c r="M20" s="96">
        <f t="shared" si="13"/>
        <v>46738</v>
      </c>
      <c r="N20" s="96">
        <f t="shared" si="14"/>
        <v>46769</v>
      </c>
      <c r="O20" s="96">
        <f t="shared" si="15"/>
        <v>46800</v>
      </c>
      <c r="P20" s="97"/>
      <c r="Q20" s="97"/>
      <c r="R20" s="97"/>
      <c r="S20" s="97"/>
      <c r="T20" s="97"/>
      <c r="U20" s="97"/>
    </row>
    <row r="21" spans="1:21" ht="15" customHeight="1">
      <c r="A21" s="96">
        <f t="shared" si="1"/>
        <v>46374</v>
      </c>
      <c r="B21" s="96">
        <f t="shared" si="2"/>
        <v>46405</v>
      </c>
      <c r="C21" s="96">
        <f t="shared" si="3"/>
        <v>46436</v>
      </c>
      <c r="D21" s="96">
        <f t="shared" si="4"/>
        <v>46464</v>
      </c>
      <c r="E21" s="96">
        <f t="shared" si="5"/>
        <v>46495</v>
      </c>
      <c r="F21" s="96">
        <f t="shared" si="6"/>
        <v>46525</v>
      </c>
      <c r="G21" s="96">
        <f t="shared" si="7"/>
        <v>46556</v>
      </c>
      <c r="H21" s="96">
        <f t="shared" si="8"/>
        <v>46586</v>
      </c>
      <c r="I21" s="96">
        <f t="shared" si="9"/>
        <v>46617</v>
      </c>
      <c r="J21" s="96">
        <f t="shared" si="10"/>
        <v>46648</v>
      </c>
      <c r="K21" s="96">
        <f t="shared" si="11"/>
        <v>46678</v>
      </c>
      <c r="L21" s="96">
        <f t="shared" si="12"/>
        <v>46709</v>
      </c>
      <c r="M21" s="96">
        <f t="shared" si="13"/>
        <v>46739</v>
      </c>
      <c r="N21" s="96">
        <f t="shared" si="14"/>
        <v>46770</v>
      </c>
      <c r="O21" s="96">
        <f t="shared" si="15"/>
        <v>46801</v>
      </c>
      <c r="P21" s="97"/>
      <c r="Q21" s="97"/>
      <c r="R21" s="97"/>
      <c r="S21" s="97"/>
      <c r="T21" s="97"/>
      <c r="U21" s="97"/>
    </row>
    <row r="22" spans="1:21" ht="15" customHeight="1">
      <c r="A22" s="96">
        <f t="shared" si="1"/>
        <v>46375</v>
      </c>
      <c r="B22" s="96">
        <f t="shared" si="2"/>
        <v>46406</v>
      </c>
      <c r="C22" s="96">
        <f t="shared" si="3"/>
        <v>46437</v>
      </c>
      <c r="D22" s="96">
        <f t="shared" si="4"/>
        <v>46465</v>
      </c>
      <c r="E22" s="96">
        <f t="shared" si="5"/>
        <v>46496</v>
      </c>
      <c r="F22" s="96">
        <f t="shared" si="6"/>
        <v>46526</v>
      </c>
      <c r="G22" s="96">
        <f t="shared" si="7"/>
        <v>46557</v>
      </c>
      <c r="H22" s="96">
        <f t="shared" si="8"/>
        <v>46587</v>
      </c>
      <c r="I22" s="96">
        <f t="shared" si="9"/>
        <v>46618</v>
      </c>
      <c r="J22" s="96">
        <f t="shared" si="10"/>
        <v>46649</v>
      </c>
      <c r="K22" s="96">
        <f t="shared" si="11"/>
        <v>46679</v>
      </c>
      <c r="L22" s="96">
        <f t="shared" si="12"/>
        <v>46710</v>
      </c>
      <c r="M22" s="96">
        <f t="shared" si="13"/>
        <v>46740</v>
      </c>
      <c r="N22" s="96">
        <f t="shared" si="14"/>
        <v>46771</v>
      </c>
      <c r="O22" s="96">
        <f t="shared" si="15"/>
        <v>46802</v>
      </c>
      <c r="P22" s="97"/>
      <c r="Q22" s="97"/>
      <c r="R22" s="97"/>
      <c r="S22" s="97"/>
      <c r="T22" s="97"/>
      <c r="U22" s="97"/>
    </row>
    <row r="23" spans="1:21" ht="15" customHeight="1">
      <c r="A23" s="96">
        <f t="shared" si="1"/>
        <v>46376</v>
      </c>
      <c r="B23" s="96">
        <f t="shared" si="2"/>
        <v>46407</v>
      </c>
      <c r="C23" s="96">
        <f t="shared" si="3"/>
        <v>46438</v>
      </c>
      <c r="D23" s="96">
        <f t="shared" si="4"/>
        <v>46466</v>
      </c>
      <c r="E23" s="96">
        <f t="shared" si="5"/>
        <v>46497</v>
      </c>
      <c r="F23" s="96">
        <f t="shared" si="6"/>
        <v>46527</v>
      </c>
      <c r="G23" s="96">
        <f t="shared" si="7"/>
        <v>46558</v>
      </c>
      <c r="H23" s="96">
        <f t="shared" si="8"/>
        <v>46588</v>
      </c>
      <c r="I23" s="96">
        <f t="shared" si="9"/>
        <v>46619</v>
      </c>
      <c r="J23" s="96">
        <f t="shared" si="10"/>
        <v>46650</v>
      </c>
      <c r="K23" s="96">
        <f t="shared" si="11"/>
        <v>46680</v>
      </c>
      <c r="L23" s="96">
        <f t="shared" si="12"/>
        <v>46711</v>
      </c>
      <c r="M23" s="96">
        <f t="shared" si="13"/>
        <v>46741</v>
      </c>
      <c r="N23" s="96">
        <f t="shared" si="14"/>
        <v>46772</v>
      </c>
      <c r="O23" s="96">
        <f t="shared" si="15"/>
        <v>46803</v>
      </c>
      <c r="P23" s="97"/>
      <c r="Q23" s="97"/>
      <c r="R23" s="97"/>
      <c r="S23" s="97"/>
      <c r="T23" s="97"/>
      <c r="U23" s="97"/>
    </row>
    <row r="24" spans="1:21" ht="15" customHeight="1">
      <c r="A24" s="96">
        <f t="shared" si="1"/>
        <v>46377</v>
      </c>
      <c r="B24" s="96">
        <f t="shared" si="2"/>
        <v>46408</v>
      </c>
      <c r="C24" s="96">
        <f t="shared" si="3"/>
        <v>46439</v>
      </c>
      <c r="D24" s="96">
        <f t="shared" si="4"/>
        <v>46467</v>
      </c>
      <c r="E24" s="96">
        <f t="shared" si="5"/>
        <v>46498</v>
      </c>
      <c r="F24" s="96">
        <f t="shared" si="6"/>
        <v>46528</v>
      </c>
      <c r="G24" s="96">
        <f t="shared" si="7"/>
        <v>46559</v>
      </c>
      <c r="H24" s="96">
        <f t="shared" si="8"/>
        <v>46589</v>
      </c>
      <c r="I24" s="96">
        <f t="shared" si="9"/>
        <v>46620</v>
      </c>
      <c r="J24" s="96">
        <f t="shared" si="10"/>
        <v>46651</v>
      </c>
      <c r="K24" s="96">
        <f t="shared" si="11"/>
        <v>46681</v>
      </c>
      <c r="L24" s="96">
        <f t="shared" si="12"/>
        <v>46712</v>
      </c>
      <c r="M24" s="96">
        <f t="shared" si="13"/>
        <v>46742</v>
      </c>
      <c r="N24" s="96">
        <f t="shared" si="14"/>
        <v>46773</v>
      </c>
      <c r="O24" s="96">
        <f t="shared" si="15"/>
        <v>46804</v>
      </c>
      <c r="P24" s="97"/>
      <c r="Q24" s="97"/>
      <c r="R24" s="97"/>
      <c r="S24" s="97"/>
      <c r="T24" s="97"/>
      <c r="U24" s="97"/>
    </row>
    <row r="25" spans="1:21" ht="15" customHeight="1">
      <c r="A25" s="96">
        <f t="shared" si="1"/>
        <v>46378</v>
      </c>
      <c r="B25" s="96">
        <f t="shared" si="2"/>
        <v>46409</v>
      </c>
      <c r="C25" s="96">
        <f t="shared" si="3"/>
        <v>46440</v>
      </c>
      <c r="D25" s="96">
        <f t="shared" si="4"/>
        <v>46468</v>
      </c>
      <c r="E25" s="96">
        <f t="shared" si="5"/>
        <v>46499</v>
      </c>
      <c r="F25" s="96">
        <f t="shared" si="6"/>
        <v>46529</v>
      </c>
      <c r="G25" s="96">
        <f t="shared" si="7"/>
        <v>46560</v>
      </c>
      <c r="H25" s="96">
        <f t="shared" si="8"/>
        <v>46590</v>
      </c>
      <c r="I25" s="96">
        <f t="shared" si="9"/>
        <v>46621</v>
      </c>
      <c r="J25" s="96">
        <f t="shared" si="10"/>
        <v>46652</v>
      </c>
      <c r="K25" s="96">
        <f t="shared" si="11"/>
        <v>46682</v>
      </c>
      <c r="L25" s="96">
        <f t="shared" si="12"/>
        <v>46713</v>
      </c>
      <c r="M25" s="96">
        <f t="shared" si="13"/>
        <v>46743</v>
      </c>
      <c r="N25" s="96">
        <f t="shared" si="14"/>
        <v>46774</v>
      </c>
      <c r="O25" s="96">
        <f t="shared" si="15"/>
        <v>46805</v>
      </c>
      <c r="P25" s="97"/>
      <c r="Q25" s="97"/>
      <c r="R25" s="97"/>
      <c r="S25" s="97"/>
      <c r="T25" s="97"/>
      <c r="U25" s="97"/>
    </row>
    <row r="26" spans="1:21" ht="15" customHeight="1">
      <c r="A26" s="96">
        <f t="shared" si="1"/>
        <v>46379</v>
      </c>
      <c r="B26" s="96">
        <f t="shared" si="2"/>
        <v>46410</v>
      </c>
      <c r="C26" s="96">
        <f t="shared" si="3"/>
        <v>46441</v>
      </c>
      <c r="D26" s="96">
        <f t="shared" si="4"/>
        <v>46469</v>
      </c>
      <c r="E26" s="96">
        <f t="shared" si="5"/>
        <v>46500</v>
      </c>
      <c r="F26" s="96">
        <f t="shared" si="6"/>
        <v>46530</v>
      </c>
      <c r="G26" s="96">
        <f t="shared" si="7"/>
        <v>46561</v>
      </c>
      <c r="H26" s="96">
        <f t="shared" si="8"/>
        <v>46591</v>
      </c>
      <c r="I26" s="96">
        <f t="shared" si="9"/>
        <v>46622</v>
      </c>
      <c r="J26" s="96">
        <f t="shared" si="10"/>
        <v>46653</v>
      </c>
      <c r="K26" s="96">
        <f t="shared" si="11"/>
        <v>46683</v>
      </c>
      <c r="L26" s="96">
        <f t="shared" si="12"/>
        <v>46714</v>
      </c>
      <c r="M26" s="96">
        <f t="shared" si="13"/>
        <v>46744</v>
      </c>
      <c r="N26" s="96">
        <f t="shared" si="14"/>
        <v>46775</v>
      </c>
      <c r="O26" s="96">
        <f t="shared" si="15"/>
        <v>46806</v>
      </c>
      <c r="P26" s="97"/>
      <c r="Q26" s="97"/>
      <c r="R26" s="97"/>
      <c r="S26" s="97"/>
      <c r="T26" s="97"/>
      <c r="U26" s="97"/>
    </row>
    <row r="27" spans="1:21" ht="15" customHeight="1">
      <c r="A27" s="96">
        <f t="shared" si="1"/>
        <v>46380</v>
      </c>
      <c r="B27" s="96">
        <f t="shared" si="2"/>
        <v>46411</v>
      </c>
      <c r="C27" s="96">
        <f t="shared" si="3"/>
        <v>46442</v>
      </c>
      <c r="D27" s="96">
        <f t="shared" si="4"/>
        <v>46470</v>
      </c>
      <c r="E27" s="96">
        <f t="shared" si="5"/>
        <v>46501</v>
      </c>
      <c r="F27" s="96">
        <f t="shared" si="6"/>
        <v>46531</v>
      </c>
      <c r="G27" s="96">
        <f t="shared" si="7"/>
        <v>46562</v>
      </c>
      <c r="H27" s="96">
        <f t="shared" si="8"/>
        <v>46592</v>
      </c>
      <c r="I27" s="96">
        <f t="shared" si="9"/>
        <v>46623</v>
      </c>
      <c r="J27" s="96">
        <f t="shared" si="10"/>
        <v>46654</v>
      </c>
      <c r="K27" s="96">
        <f t="shared" si="11"/>
        <v>46684</v>
      </c>
      <c r="L27" s="96">
        <f t="shared" si="12"/>
        <v>46715</v>
      </c>
      <c r="M27" s="96">
        <f t="shared" si="13"/>
        <v>46745</v>
      </c>
      <c r="N27" s="96">
        <f t="shared" si="14"/>
        <v>46776</v>
      </c>
      <c r="O27" s="96">
        <f t="shared" si="15"/>
        <v>46807</v>
      </c>
      <c r="P27" s="97"/>
      <c r="Q27" s="97"/>
      <c r="R27" s="97"/>
      <c r="S27" s="97"/>
      <c r="T27" s="97"/>
      <c r="U27" s="97"/>
    </row>
    <row r="28" spans="1:21" ht="15" customHeight="1">
      <c r="A28" s="96">
        <f t="shared" si="1"/>
        <v>46381</v>
      </c>
      <c r="B28" s="96">
        <f t="shared" si="2"/>
        <v>46412</v>
      </c>
      <c r="C28" s="96">
        <f t="shared" si="3"/>
        <v>46443</v>
      </c>
      <c r="D28" s="96">
        <f t="shared" si="4"/>
        <v>46471</v>
      </c>
      <c r="E28" s="96">
        <f t="shared" si="5"/>
        <v>46502</v>
      </c>
      <c r="F28" s="96">
        <f t="shared" si="6"/>
        <v>46532</v>
      </c>
      <c r="G28" s="96">
        <f t="shared" si="7"/>
        <v>46563</v>
      </c>
      <c r="H28" s="96">
        <f t="shared" si="8"/>
        <v>46593</v>
      </c>
      <c r="I28" s="96">
        <f t="shared" si="9"/>
        <v>46624</v>
      </c>
      <c r="J28" s="96">
        <f t="shared" si="10"/>
        <v>46655</v>
      </c>
      <c r="K28" s="96">
        <f t="shared" si="11"/>
        <v>46685</v>
      </c>
      <c r="L28" s="96">
        <f t="shared" si="12"/>
        <v>46716</v>
      </c>
      <c r="M28" s="96">
        <f t="shared" si="13"/>
        <v>46746</v>
      </c>
      <c r="N28" s="96">
        <f t="shared" si="14"/>
        <v>46777</v>
      </c>
      <c r="O28" s="96">
        <f t="shared" si="15"/>
        <v>46808</v>
      </c>
      <c r="P28" s="97"/>
      <c r="Q28" s="97"/>
      <c r="R28" s="97"/>
      <c r="S28" s="97"/>
      <c r="T28" s="97"/>
      <c r="U28" s="97"/>
    </row>
    <row r="29" spans="1:21" ht="15" customHeight="1">
      <c r="A29" s="96">
        <f t="shared" si="1"/>
        <v>46382</v>
      </c>
      <c r="B29" s="96">
        <f t="shared" si="2"/>
        <v>46413</v>
      </c>
      <c r="C29" s="96">
        <f t="shared" si="3"/>
        <v>46444</v>
      </c>
      <c r="D29" s="96">
        <f t="shared" si="4"/>
        <v>46472</v>
      </c>
      <c r="E29" s="96">
        <f t="shared" si="5"/>
        <v>46503</v>
      </c>
      <c r="F29" s="96">
        <f t="shared" si="6"/>
        <v>46533</v>
      </c>
      <c r="G29" s="96">
        <f t="shared" si="7"/>
        <v>46564</v>
      </c>
      <c r="H29" s="96">
        <f t="shared" si="8"/>
        <v>46594</v>
      </c>
      <c r="I29" s="96">
        <f t="shared" si="9"/>
        <v>46625</v>
      </c>
      <c r="J29" s="96">
        <f t="shared" si="10"/>
        <v>46656</v>
      </c>
      <c r="K29" s="96">
        <f t="shared" si="11"/>
        <v>46686</v>
      </c>
      <c r="L29" s="96">
        <f t="shared" si="12"/>
        <v>46717</v>
      </c>
      <c r="M29" s="96">
        <f t="shared" si="13"/>
        <v>46747</v>
      </c>
      <c r="N29" s="96">
        <f t="shared" si="14"/>
        <v>46778</v>
      </c>
      <c r="O29" s="96">
        <f t="shared" si="15"/>
        <v>46809</v>
      </c>
      <c r="P29" s="97"/>
      <c r="Q29" s="97"/>
      <c r="R29" s="97"/>
      <c r="S29" s="97"/>
      <c r="T29" s="97"/>
      <c r="U29" s="97"/>
    </row>
    <row r="30" spans="1:21" ht="15" customHeight="1">
      <c r="A30" s="96">
        <f t="shared" si="1"/>
        <v>46383</v>
      </c>
      <c r="B30" s="96">
        <f t="shared" si="2"/>
        <v>46414</v>
      </c>
      <c r="C30" s="96">
        <f t="shared" si="3"/>
        <v>46445</v>
      </c>
      <c r="D30" s="96">
        <f t="shared" si="4"/>
        <v>46473</v>
      </c>
      <c r="E30" s="96">
        <f t="shared" si="5"/>
        <v>46504</v>
      </c>
      <c r="F30" s="96">
        <f t="shared" si="6"/>
        <v>46534</v>
      </c>
      <c r="G30" s="96">
        <f t="shared" si="7"/>
        <v>46565</v>
      </c>
      <c r="H30" s="96">
        <f t="shared" si="8"/>
        <v>46595</v>
      </c>
      <c r="I30" s="96">
        <f t="shared" si="9"/>
        <v>46626</v>
      </c>
      <c r="J30" s="96">
        <f t="shared" si="10"/>
        <v>46657</v>
      </c>
      <c r="K30" s="96">
        <f t="shared" si="11"/>
        <v>46687</v>
      </c>
      <c r="L30" s="96">
        <f t="shared" si="12"/>
        <v>46718</v>
      </c>
      <c r="M30" s="96">
        <f t="shared" si="13"/>
        <v>46748</v>
      </c>
      <c r="N30" s="96">
        <f t="shared" si="14"/>
        <v>46779</v>
      </c>
      <c r="O30" s="96">
        <f t="shared" si="15"/>
        <v>46810</v>
      </c>
      <c r="P30" s="97"/>
      <c r="Q30" s="97"/>
      <c r="R30" s="97"/>
      <c r="S30" s="97"/>
      <c r="T30" s="97"/>
      <c r="U30" s="97"/>
    </row>
    <row r="31" spans="1:21" ht="15" customHeight="1">
      <c r="A31" s="96">
        <f t="shared" si="1"/>
        <v>46384</v>
      </c>
      <c r="B31" s="96">
        <f t="shared" si="2"/>
        <v>46415</v>
      </c>
      <c r="C31" s="96">
        <f t="shared" si="3"/>
        <v>46446</v>
      </c>
      <c r="D31" s="96">
        <f t="shared" si="4"/>
        <v>46474</v>
      </c>
      <c r="E31" s="96">
        <f t="shared" si="5"/>
        <v>46505</v>
      </c>
      <c r="F31" s="96">
        <f t="shared" si="6"/>
        <v>46535</v>
      </c>
      <c r="G31" s="96">
        <f t="shared" si="7"/>
        <v>46566</v>
      </c>
      <c r="H31" s="96">
        <f t="shared" si="8"/>
        <v>46596</v>
      </c>
      <c r="I31" s="96">
        <f t="shared" si="9"/>
        <v>46627</v>
      </c>
      <c r="J31" s="96">
        <f t="shared" si="10"/>
        <v>46658</v>
      </c>
      <c r="K31" s="96">
        <f t="shared" si="11"/>
        <v>46688</v>
      </c>
      <c r="L31" s="96">
        <f t="shared" si="12"/>
        <v>46719</v>
      </c>
      <c r="M31" s="96">
        <f t="shared" si="13"/>
        <v>46749</v>
      </c>
      <c r="N31" s="96">
        <f t="shared" si="14"/>
        <v>46780</v>
      </c>
      <c r="O31" s="96">
        <f t="shared" si="15"/>
        <v>46811</v>
      </c>
      <c r="P31" s="97"/>
      <c r="Q31" s="97"/>
      <c r="R31" s="97"/>
      <c r="S31" s="97"/>
      <c r="T31" s="97"/>
      <c r="U31" s="97"/>
    </row>
    <row r="32" spans="1:21" ht="15" customHeight="1">
      <c r="A32" s="96">
        <f t="shared" si="1"/>
        <v>46385</v>
      </c>
      <c r="B32" s="96">
        <f t="shared" si="2"/>
        <v>46416</v>
      </c>
      <c r="C32" s="96" t="str">
        <f t="shared" si="3"/>
        <v/>
      </c>
      <c r="D32" s="96">
        <f t="shared" si="4"/>
        <v>46475</v>
      </c>
      <c r="E32" s="96">
        <f t="shared" si="5"/>
        <v>46506</v>
      </c>
      <c r="F32" s="96">
        <f t="shared" si="6"/>
        <v>46536</v>
      </c>
      <c r="G32" s="96">
        <f t="shared" si="7"/>
        <v>46567</v>
      </c>
      <c r="H32" s="96">
        <f t="shared" si="8"/>
        <v>46597</v>
      </c>
      <c r="I32" s="96">
        <f t="shared" si="9"/>
        <v>46628</v>
      </c>
      <c r="J32" s="96">
        <f t="shared" si="10"/>
        <v>46659</v>
      </c>
      <c r="K32" s="96">
        <f t="shared" si="11"/>
        <v>46689</v>
      </c>
      <c r="L32" s="96">
        <f t="shared" si="12"/>
        <v>46720</v>
      </c>
      <c r="M32" s="96">
        <f t="shared" si="13"/>
        <v>46750</v>
      </c>
      <c r="N32" s="96">
        <f t="shared" si="14"/>
        <v>46781</v>
      </c>
      <c r="O32" s="96">
        <f t="shared" si="15"/>
        <v>46812</v>
      </c>
      <c r="P32" s="97"/>
      <c r="Q32" s="97"/>
      <c r="R32" s="97"/>
      <c r="S32" s="97"/>
      <c r="T32" s="97"/>
      <c r="U32" s="97"/>
    </row>
    <row r="33" spans="1:21" ht="15" customHeight="1">
      <c r="A33" s="96">
        <f t="shared" si="1"/>
        <v>46386</v>
      </c>
      <c r="B33" s="96">
        <f t="shared" si="2"/>
        <v>46417</v>
      </c>
      <c r="C33" s="96" t="str">
        <f t="shared" si="3"/>
        <v/>
      </c>
      <c r="D33" s="96">
        <f t="shared" si="4"/>
        <v>46476</v>
      </c>
      <c r="E33" s="96">
        <f t="shared" si="5"/>
        <v>46507</v>
      </c>
      <c r="F33" s="96">
        <f t="shared" si="6"/>
        <v>46537</v>
      </c>
      <c r="G33" s="96">
        <f t="shared" si="7"/>
        <v>46568</v>
      </c>
      <c r="H33" s="96">
        <f t="shared" si="8"/>
        <v>46598</v>
      </c>
      <c r="I33" s="96">
        <f t="shared" si="9"/>
        <v>46629</v>
      </c>
      <c r="J33" s="96">
        <f t="shared" si="10"/>
        <v>46660</v>
      </c>
      <c r="K33" s="96">
        <f t="shared" si="11"/>
        <v>46690</v>
      </c>
      <c r="L33" s="96">
        <f t="shared" si="12"/>
        <v>46721</v>
      </c>
      <c r="M33" s="96">
        <f t="shared" si="13"/>
        <v>46751</v>
      </c>
      <c r="N33" s="96">
        <f t="shared" si="14"/>
        <v>46782</v>
      </c>
      <c r="O33" s="96" t="str">
        <f t="shared" si="15"/>
        <v/>
      </c>
      <c r="P33" s="97"/>
      <c r="Q33" s="97"/>
      <c r="R33" s="97"/>
      <c r="S33" s="97"/>
      <c r="T33" s="97"/>
      <c r="U33" s="97"/>
    </row>
    <row r="34" spans="1:21" ht="15" customHeight="1">
      <c r="A34" s="96">
        <f t="shared" ref="A34:N34" si="16">IF(A33="","",IF(MONTH(A33+1)&gt;MONTH(A33),"",A33+1))</f>
        <v>46387</v>
      </c>
      <c r="B34" s="96">
        <f t="shared" si="16"/>
        <v>46418</v>
      </c>
      <c r="C34" s="96" t="str">
        <f t="shared" si="16"/>
        <v/>
      </c>
      <c r="D34" s="96">
        <f t="shared" si="16"/>
        <v>46477</v>
      </c>
      <c r="E34" s="96" t="str">
        <f t="shared" si="16"/>
        <v/>
      </c>
      <c r="F34" s="96">
        <f t="shared" si="16"/>
        <v>46538</v>
      </c>
      <c r="G34" s="96" t="str">
        <f t="shared" si="16"/>
        <v/>
      </c>
      <c r="H34" s="96">
        <f t="shared" si="16"/>
        <v>46599</v>
      </c>
      <c r="I34" s="96">
        <f t="shared" si="16"/>
        <v>46630</v>
      </c>
      <c r="J34" s="96" t="str">
        <f t="shared" si="16"/>
        <v/>
      </c>
      <c r="K34" s="96">
        <f t="shared" si="16"/>
        <v>46691</v>
      </c>
      <c r="L34" s="96" t="str">
        <f t="shared" si="16"/>
        <v/>
      </c>
      <c r="M34" s="96">
        <f t="shared" si="16"/>
        <v>46752</v>
      </c>
      <c r="N34" s="96">
        <f t="shared" si="16"/>
        <v>46783</v>
      </c>
      <c r="O34" s="96" t="s">
        <v>109</v>
      </c>
      <c r="P34" s="97"/>
      <c r="Q34" s="97"/>
      <c r="R34" s="97"/>
      <c r="S34" s="97"/>
      <c r="T34" s="97"/>
      <c r="U34" s="97"/>
    </row>
    <row r="35" spans="1:21" ht="16.2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7"/>
      <c r="Q35" s="97"/>
      <c r="R35" s="97"/>
      <c r="S35" s="97"/>
      <c r="T35" s="97"/>
      <c r="U35" s="97"/>
    </row>
    <row r="36" spans="1:21" ht="15" customHeight="1">
      <c r="E36" s="100"/>
      <c r="F36" s="101"/>
      <c r="K36" s="102"/>
      <c r="L36" s="97"/>
      <c r="M36" s="102"/>
      <c r="N36" s="97"/>
      <c r="O36" s="97"/>
      <c r="P36" s="97"/>
      <c r="Q36" s="97"/>
      <c r="R36" s="97"/>
      <c r="S36" s="97"/>
      <c r="T36" s="97"/>
      <c r="U36" s="97"/>
    </row>
    <row r="37" spans="1:21" ht="15" customHeight="1">
      <c r="B37" s="391" t="s">
        <v>110</v>
      </c>
      <c r="C37" s="391"/>
      <c r="D37" s="103" t="s">
        <v>111</v>
      </c>
      <c r="E37" s="100"/>
      <c r="F37" s="104"/>
      <c r="G37" s="105"/>
      <c r="I37" s="71"/>
      <c r="J37" s="71"/>
      <c r="K37" s="102"/>
      <c r="L37" s="97"/>
      <c r="M37" s="102"/>
      <c r="N37" s="97"/>
      <c r="O37" s="97"/>
      <c r="P37" s="97"/>
      <c r="Q37" s="97"/>
      <c r="R37" s="97"/>
      <c r="S37" s="97"/>
      <c r="T37" s="97"/>
      <c r="U37" s="97"/>
    </row>
    <row r="38" spans="1:21" ht="15" customHeight="1">
      <c r="E38" s="106"/>
      <c r="F38" s="101"/>
      <c r="J38" s="107"/>
      <c r="K38" s="102"/>
      <c r="L38" s="97"/>
      <c r="M38" s="102"/>
      <c r="N38" s="97"/>
      <c r="O38" s="97"/>
      <c r="P38" s="97"/>
      <c r="Q38" s="97"/>
      <c r="R38" s="97"/>
      <c r="S38" s="97"/>
      <c r="T38" s="97"/>
      <c r="U38" s="97"/>
    </row>
    <row r="39" spans="1:21" ht="15" customHeight="1">
      <c r="B39" s="392" t="s">
        <v>112</v>
      </c>
      <c r="C39" s="392"/>
      <c r="D39" s="108" t="s">
        <v>113</v>
      </c>
      <c r="E39" s="100"/>
      <c r="F39" s="101"/>
      <c r="G39" s="74"/>
      <c r="H39" s="109"/>
      <c r="I39" s="74"/>
      <c r="K39" s="110"/>
      <c r="L39" s="111"/>
      <c r="M39" s="102"/>
      <c r="N39" s="102"/>
      <c r="O39" s="102"/>
      <c r="P39" s="102"/>
      <c r="Q39" s="102"/>
      <c r="R39" s="102"/>
      <c r="S39" s="102"/>
      <c r="T39" s="102"/>
      <c r="U39" s="97"/>
    </row>
    <row r="40" spans="1:21" ht="19.8">
      <c r="C40" s="71"/>
      <c r="E40" s="100"/>
      <c r="F40" s="101"/>
      <c r="G40" s="74"/>
      <c r="H40" s="112"/>
      <c r="I40" s="113"/>
      <c r="J40" s="114"/>
      <c r="K40" s="115"/>
      <c r="L40" s="111"/>
      <c r="M40" s="102"/>
      <c r="N40" s="102"/>
      <c r="O40" s="102"/>
      <c r="P40" s="102"/>
      <c r="Q40" s="102"/>
      <c r="R40" s="102"/>
      <c r="S40" s="102"/>
      <c r="T40" s="102"/>
      <c r="U40" s="97"/>
    </row>
    <row r="41" spans="1:21" ht="19.8">
      <c r="B41" s="393" t="s">
        <v>114</v>
      </c>
      <c r="C41" s="393"/>
      <c r="D41" s="116"/>
      <c r="E41" s="117"/>
      <c r="F41" s="79"/>
      <c r="G41" s="74"/>
      <c r="H41" s="118"/>
      <c r="I41" s="113"/>
      <c r="J41" s="119"/>
      <c r="K41" s="120"/>
      <c r="L41" s="109"/>
      <c r="N41" s="73"/>
      <c r="O41" s="73"/>
      <c r="P41" s="73"/>
      <c r="Q41" s="73"/>
      <c r="R41" s="73"/>
      <c r="S41" s="73"/>
      <c r="T41" s="73"/>
    </row>
    <row r="42" spans="1:21" ht="19.8">
      <c r="E42" s="117"/>
      <c r="F42" s="79"/>
      <c r="G42" s="74"/>
      <c r="H42" s="118"/>
      <c r="I42" s="113"/>
      <c r="J42" s="114"/>
      <c r="K42" s="121"/>
      <c r="L42" s="122"/>
      <c r="N42" s="73"/>
      <c r="O42" s="73"/>
      <c r="P42" s="73"/>
      <c r="Q42" s="73"/>
      <c r="R42" s="73"/>
      <c r="S42" s="73"/>
      <c r="T42" s="73"/>
    </row>
    <row r="43" spans="1:21" ht="19.8">
      <c r="C43" s="79"/>
      <c r="D43" s="117"/>
      <c r="E43" s="117"/>
      <c r="F43" s="79"/>
      <c r="G43" s="74"/>
      <c r="H43" s="118"/>
      <c r="I43" s="113"/>
      <c r="J43" s="114"/>
      <c r="K43" s="74"/>
      <c r="L43" s="74"/>
      <c r="N43" s="73"/>
      <c r="O43" s="73"/>
      <c r="P43" s="73"/>
      <c r="Q43" s="73"/>
      <c r="R43" s="73"/>
      <c r="S43" s="73"/>
      <c r="T43" s="73"/>
    </row>
    <row r="44" spans="1:21" ht="19.8">
      <c r="C44" s="79"/>
      <c r="D44" s="117"/>
      <c r="E44" s="123"/>
      <c r="F44" s="123"/>
      <c r="G44" s="74"/>
      <c r="H44" s="118"/>
      <c r="I44" s="113"/>
      <c r="J44" s="114"/>
      <c r="K44" s="124"/>
      <c r="L44" s="109"/>
      <c r="N44" s="73"/>
      <c r="O44" s="73"/>
      <c r="P44" s="73"/>
      <c r="Q44" s="73"/>
      <c r="R44" s="73"/>
      <c r="S44" s="73"/>
      <c r="T44" s="73"/>
    </row>
    <row r="45" spans="1:21" ht="19.8">
      <c r="C45" s="79"/>
      <c r="D45" s="125"/>
      <c r="E45" s="123"/>
      <c r="F45" s="79"/>
      <c r="G45" s="126"/>
      <c r="H45" s="118"/>
      <c r="I45" s="113"/>
      <c r="J45" s="114"/>
      <c r="K45" s="74"/>
      <c r="L45" s="74"/>
      <c r="N45" s="73"/>
      <c r="O45" s="73"/>
      <c r="P45" s="73"/>
      <c r="Q45" s="73"/>
      <c r="R45" s="73"/>
      <c r="S45" s="73"/>
      <c r="T45" s="73"/>
    </row>
    <row r="46" spans="1:21" ht="19.8">
      <c r="C46" s="79"/>
      <c r="D46" s="6"/>
      <c r="E46" s="123"/>
      <c r="F46" s="79"/>
      <c r="G46" s="127"/>
      <c r="H46" s="118"/>
      <c r="I46" s="113"/>
      <c r="J46" s="119"/>
      <c r="K46" s="74"/>
      <c r="L46" s="74"/>
      <c r="N46" s="73"/>
      <c r="O46" s="73"/>
      <c r="P46" s="73"/>
      <c r="Q46" s="73"/>
      <c r="R46" s="73"/>
      <c r="S46" s="73"/>
      <c r="T46" s="73"/>
    </row>
    <row r="47" spans="1:21" ht="19.8">
      <c r="C47" s="79"/>
      <c r="D47" s="117"/>
      <c r="E47" s="123"/>
      <c r="F47" s="128"/>
      <c r="G47" s="129"/>
      <c r="H47" s="118"/>
      <c r="I47" s="113"/>
      <c r="J47" s="114"/>
      <c r="K47" s="74"/>
      <c r="L47" s="74"/>
      <c r="N47" s="73"/>
      <c r="O47" s="73"/>
      <c r="P47" s="73"/>
      <c r="Q47" s="73"/>
      <c r="R47" s="73"/>
      <c r="S47" s="73"/>
      <c r="T47" s="73"/>
    </row>
    <row r="48" spans="1:21" ht="19.8">
      <c r="C48" s="79"/>
      <c r="D48" s="117"/>
      <c r="E48" s="117"/>
      <c r="F48" s="79"/>
      <c r="G48" s="74"/>
      <c r="H48" s="118"/>
      <c r="I48" s="113"/>
      <c r="J48" s="119"/>
      <c r="K48" s="74"/>
      <c r="L48" s="74"/>
      <c r="N48" s="73"/>
      <c r="O48" s="73"/>
      <c r="P48" s="73"/>
      <c r="Q48" s="73"/>
      <c r="R48" s="73"/>
      <c r="S48" s="73"/>
      <c r="T48" s="73"/>
    </row>
    <row r="49" spans="3:20" ht="19.8">
      <c r="C49" s="79"/>
      <c r="D49" s="130"/>
      <c r="E49" s="117"/>
      <c r="F49" s="79"/>
      <c r="G49" s="74"/>
      <c r="H49" s="118"/>
      <c r="I49" s="113"/>
      <c r="J49" s="119"/>
      <c r="K49" s="74"/>
      <c r="L49" s="74"/>
      <c r="M49" s="131"/>
      <c r="N49" s="131"/>
      <c r="O49" s="131"/>
      <c r="P49" s="131"/>
      <c r="Q49" s="73"/>
      <c r="R49" s="73"/>
      <c r="S49" s="73"/>
      <c r="T49" s="73"/>
    </row>
    <row r="50" spans="3:20" ht="19.8">
      <c r="C50" s="79"/>
      <c r="D50" s="117"/>
      <c r="E50" s="117"/>
      <c r="F50" s="79"/>
      <c r="G50" s="74"/>
      <c r="H50" s="118"/>
      <c r="I50" s="113"/>
      <c r="J50" s="132"/>
      <c r="K50" s="74"/>
      <c r="L50" s="74"/>
      <c r="M50" s="131"/>
      <c r="N50" s="131"/>
      <c r="O50" s="131"/>
      <c r="P50" s="131"/>
      <c r="Q50" s="73"/>
      <c r="R50" s="73"/>
      <c r="S50" s="73"/>
      <c r="T50" s="73"/>
    </row>
    <row r="51" spans="3:20" ht="19.8">
      <c r="C51" s="79"/>
      <c r="D51" s="117"/>
      <c r="E51" s="117"/>
      <c r="F51" s="79"/>
      <c r="G51" s="74"/>
      <c r="H51" s="118"/>
      <c r="I51" s="113"/>
      <c r="J51" s="119"/>
      <c r="K51" s="74"/>
      <c r="L51" s="74"/>
      <c r="M51" s="131"/>
      <c r="N51" s="131"/>
      <c r="O51" s="131"/>
      <c r="P51" s="131"/>
      <c r="Q51" s="73"/>
      <c r="R51" s="73"/>
      <c r="S51" s="73"/>
      <c r="T51" s="73"/>
    </row>
    <row r="52" spans="3:20">
      <c r="C52" s="79"/>
      <c r="D52" s="117"/>
      <c r="E52" s="117"/>
      <c r="F52" s="79"/>
      <c r="G52" s="131"/>
      <c r="H52" s="117"/>
      <c r="I52" s="74"/>
      <c r="K52" s="74"/>
      <c r="L52" s="117"/>
      <c r="M52" s="131"/>
      <c r="N52" s="131"/>
      <c r="O52" s="131"/>
      <c r="P52" s="131"/>
      <c r="Q52" s="73"/>
      <c r="R52" s="73"/>
      <c r="S52" s="73"/>
      <c r="T52" s="73"/>
    </row>
    <row r="53" spans="3:20">
      <c r="F53" s="79"/>
      <c r="G53" s="131"/>
      <c r="H53" s="117"/>
      <c r="I53" s="131"/>
      <c r="K53" s="131"/>
      <c r="L53" s="117"/>
      <c r="M53" s="131"/>
      <c r="N53" s="117"/>
      <c r="O53" s="117"/>
      <c r="P53" s="117"/>
    </row>
    <row r="54" spans="3:20">
      <c r="F54" s="79"/>
      <c r="G54" s="131"/>
      <c r="H54" s="117"/>
      <c r="I54" s="131"/>
      <c r="K54" s="131"/>
      <c r="L54" s="117"/>
      <c r="M54" s="131"/>
      <c r="N54" s="117"/>
      <c r="O54" s="117"/>
      <c r="P54" s="117"/>
    </row>
    <row r="55" spans="3:20">
      <c r="F55" s="79"/>
      <c r="G55" s="131"/>
      <c r="H55" s="117"/>
      <c r="I55" s="131"/>
      <c r="K55" s="131"/>
      <c r="L55" s="117"/>
      <c r="M55" s="131"/>
      <c r="N55" s="117"/>
      <c r="O55" s="117"/>
      <c r="P55" s="117"/>
    </row>
    <row r="56" spans="3:20">
      <c r="F56" s="79"/>
      <c r="G56" s="131"/>
      <c r="H56" s="117"/>
      <c r="I56" s="131"/>
      <c r="K56" s="131"/>
      <c r="L56" s="117"/>
      <c r="M56" s="131"/>
      <c r="N56" s="117"/>
      <c r="O56" s="117"/>
      <c r="P56" s="117"/>
    </row>
    <row r="57" spans="3:20">
      <c r="F57" s="79"/>
      <c r="G57" s="131"/>
      <c r="H57" s="117"/>
      <c r="I57" s="131"/>
      <c r="K57" s="131"/>
      <c r="L57" s="117"/>
      <c r="M57" s="131"/>
      <c r="N57" s="117"/>
      <c r="O57" s="117"/>
      <c r="P57" s="117"/>
    </row>
  </sheetData>
  <mergeCells count="5">
    <mergeCell ref="B37:C37"/>
    <mergeCell ref="B39:C39"/>
    <mergeCell ref="B41:C41"/>
    <mergeCell ref="A1:A2"/>
    <mergeCell ref="B1:M2"/>
  </mergeCells>
  <conditionalFormatting sqref="A4:A35">
    <cfRule type="expression" priority="108" stopIfTrue="1">
      <formula>$A4=""</formula>
    </cfRule>
    <cfRule type="expression" dxfId="437" priority="109">
      <formula>SUM((Debut_Congés&lt;=$A4)*($A4&lt;=FIN_Congés))=1</formula>
    </cfRule>
    <cfRule type="expression" dxfId="436" priority="110" stopIfTrue="1">
      <formula>COUNTIF(JOURS_FERIE,$A4)=1</formula>
    </cfRule>
    <cfRule type="expression" dxfId="435" priority="111">
      <formula>SUM((D.MALADIE&lt;=$A4)*($A4&lt;=F.MALADIE))=1</formula>
    </cfRule>
    <cfRule type="expression" dxfId="434" priority="112">
      <formula>WEEKDAY($A4)=7</formula>
    </cfRule>
    <cfRule type="expression" dxfId="433" priority="113" stopIfTrue="1">
      <formula>WEEKDAY($A4)=1</formula>
    </cfRule>
  </conditionalFormatting>
  <conditionalFormatting sqref="B4:B35">
    <cfRule type="expression" priority="102" stopIfTrue="1">
      <formula>$B4=""</formula>
    </cfRule>
    <cfRule type="expression" dxfId="432" priority="103">
      <formula>SUM((Debut_Congés&lt;=$B4)*($B4&lt;=FIN_Congés))=1</formula>
    </cfRule>
    <cfRule type="expression" dxfId="431" priority="104" stopIfTrue="1">
      <formula>COUNTIF(JOURS_FERIE,$B4)=1</formula>
    </cfRule>
    <cfRule type="expression" dxfId="430" priority="105">
      <formula>SUM((D.MALADIE&lt;=$B4)*($B4&lt;=F.MALADIE))=1</formula>
    </cfRule>
    <cfRule type="expression" dxfId="429" priority="106" stopIfTrue="1">
      <formula>WEEKDAY($B4)=7</formula>
    </cfRule>
    <cfRule type="expression" dxfId="428" priority="107" stopIfTrue="1">
      <formula>WEEKDAY($B4)=1</formula>
    </cfRule>
  </conditionalFormatting>
  <conditionalFormatting sqref="B4:O35">
    <cfRule type="expression" dxfId="427" priority="96" stopIfTrue="1">
      <formula>B4=TODAY()</formula>
    </cfRule>
  </conditionalFormatting>
  <conditionalFormatting sqref="C4:C35">
    <cfRule type="expression" priority="72" stopIfTrue="1">
      <formula>$C4=""</formula>
    </cfRule>
    <cfRule type="expression" dxfId="426" priority="97">
      <formula>SUM((Debut_Congés&lt;=$C4)*($C4&lt;=FIN_Congés))=1</formula>
    </cfRule>
    <cfRule type="expression" dxfId="425" priority="98" stopIfTrue="1">
      <formula>COUNTIF(JOURS_FERIE,$C4)=1</formula>
    </cfRule>
    <cfRule type="expression" dxfId="424" priority="99" stopIfTrue="1">
      <formula>SUM((D.MALADIE&lt;=$C4)*($C4&lt;=F.MALADIE))=1</formula>
    </cfRule>
    <cfRule type="expression" dxfId="423" priority="100" stopIfTrue="1">
      <formula>WEEKDAY($C4)=7</formula>
    </cfRule>
    <cfRule type="expression" dxfId="422" priority="101" stopIfTrue="1">
      <formula>WEEKDAY($C4)=1</formula>
    </cfRule>
  </conditionalFormatting>
  <conditionalFormatting sqref="D4:D34">
    <cfRule type="expression" dxfId="421" priority="90">
      <formula>SUM((Debut_Congés&lt;=$D4)*($D4&lt;=FIN_Congés))=1</formula>
    </cfRule>
    <cfRule type="expression" dxfId="420" priority="91" stopIfTrue="1">
      <formula>COUNTIF(JOURS_FERIE,$D4)=1</formula>
    </cfRule>
  </conditionalFormatting>
  <conditionalFormatting sqref="D4:D35">
    <cfRule type="expression" priority="92" stopIfTrue="1">
      <formula>$D4=""</formula>
    </cfRule>
    <cfRule type="expression" dxfId="419" priority="93">
      <formula>SUM((D.MALADIE&lt;=$D4)*($D4&lt;=F.MALADIE))=1</formula>
    </cfRule>
    <cfRule type="expression" dxfId="418" priority="94" stopIfTrue="1">
      <formula>WEEKDAY($D4)=7</formula>
    </cfRule>
    <cfRule type="expression" dxfId="417" priority="95" stopIfTrue="1">
      <formula>WEEKDAY($D4)=1</formula>
    </cfRule>
  </conditionalFormatting>
  <conditionalFormatting sqref="E4:E34">
    <cfRule type="expression" dxfId="416" priority="84" stopIfTrue="1">
      <formula>SUM((Debut_Congés&lt;=$E4)*($E4&lt;=FIN_Congés))=1</formula>
    </cfRule>
  </conditionalFormatting>
  <conditionalFormatting sqref="E4:E35">
    <cfRule type="expression" dxfId="415" priority="85" stopIfTrue="1">
      <formula>WEEKDAY($E4)=1</formula>
    </cfRule>
    <cfRule type="expression" dxfId="414" priority="86" stopIfTrue="1">
      <formula>COUNTIF(JOURS_FERIE,$E4)=1</formula>
    </cfRule>
    <cfRule type="expression" priority="87" stopIfTrue="1">
      <formula>$E4=""</formula>
    </cfRule>
    <cfRule type="expression" dxfId="413" priority="88">
      <formula>SUM((D.MALADIE&lt;=$E4)*($E4&lt;=F.MALADIE))=1</formula>
    </cfRule>
    <cfRule type="expression" dxfId="412" priority="89" stopIfTrue="1">
      <formula>WEEKDAY($E4)=7</formula>
    </cfRule>
  </conditionalFormatting>
  <conditionalFormatting sqref="F4:F35">
    <cfRule type="expression" priority="66" stopIfTrue="1">
      <formula>$F4=""</formula>
    </cfRule>
    <cfRule type="expression" dxfId="411" priority="73" stopIfTrue="1">
      <formula>SUM((Debut_Congés&lt;=$F4)*($F4&lt;=FIN_Congés))=1</formula>
    </cfRule>
    <cfRule type="expression" dxfId="410" priority="74" stopIfTrue="1">
      <formula>WEEKDAY($F4)=1</formula>
    </cfRule>
    <cfRule type="expression" dxfId="409" priority="75" stopIfTrue="1">
      <formula>COUNTIF(JOURS_FERIE,$F4)=1</formula>
    </cfRule>
    <cfRule type="expression" dxfId="408" priority="76">
      <formula>SUM((D.MALADIE&lt;=$F4)*($F4&lt;=F.MALADIE))=1</formula>
    </cfRule>
    <cfRule type="expression" dxfId="407" priority="83" stopIfTrue="1">
      <formula>WEEKDAY($F4)=7</formula>
    </cfRule>
  </conditionalFormatting>
  <conditionalFormatting sqref="G4:G34">
    <cfRule type="expression" dxfId="406" priority="67" stopIfTrue="1">
      <formula>SUM((Debut_Congés&lt;=$G4)*($G4&lt;=FIN_Congés))=1</formula>
    </cfRule>
  </conditionalFormatting>
  <conditionalFormatting sqref="G4:G35">
    <cfRule type="expression" priority="61" stopIfTrue="1">
      <formula>$G4=""</formula>
    </cfRule>
    <cfRule type="expression" dxfId="405" priority="68" stopIfTrue="1">
      <formula>COUNTIF(JOURS_FERIE,$G4)=1</formula>
    </cfRule>
    <cfRule type="expression" dxfId="404" priority="69">
      <formula>SUM((D.MALADIE&lt;=$G4)*($G4&lt;=F.MALADIE))=1</formula>
    </cfRule>
    <cfRule type="expression" dxfId="403" priority="70" stopIfTrue="1">
      <formula>WEEKDAY($G4)=7</formula>
    </cfRule>
    <cfRule type="expression" dxfId="402" priority="71" stopIfTrue="1">
      <formula>WEEKDAY($G4)=1</formula>
    </cfRule>
  </conditionalFormatting>
  <conditionalFormatting sqref="H4:H34">
    <cfRule type="expression" dxfId="401" priority="62" stopIfTrue="1">
      <formula>SUM((Debut_Congés&lt;=$H4)*($H4&lt;=FIN_Congés))=1</formula>
    </cfRule>
  </conditionalFormatting>
  <conditionalFormatting sqref="H4:H35">
    <cfRule type="expression" dxfId="400" priority="0" stopIfTrue="1">
      <formula>WEEKDAY($H4)=1</formula>
    </cfRule>
    <cfRule type="expression" dxfId="399" priority="60" stopIfTrue="1">
      <formula>WEEKDAY($H4)=7</formula>
    </cfRule>
    <cfRule type="expression" dxfId="398" priority="63" stopIfTrue="1">
      <formula>COUNTIF(JOURS_FERIE,$H4)=1</formula>
    </cfRule>
    <cfRule type="expression" priority="64" stopIfTrue="1">
      <formula>$H4=""</formula>
    </cfRule>
    <cfRule type="expression" dxfId="397" priority="65">
      <formula>SUM((D.MALADIE&lt;=$H4)*($H4&lt;=F.MALADIE))=1</formula>
    </cfRule>
  </conditionalFormatting>
  <conditionalFormatting sqref="I4:I34">
    <cfRule type="expression" dxfId="396" priority="57" stopIfTrue="1">
      <formula>SUM((Debut_Congés&lt;=$I4)*($I4&lt;=FIN_Congés))=1</formula>
    </cfRule>
  </conditionalFormatting>
  <conditionalFormatting sqref="I4:I35">
    <cfRule type="expression" priority="54" stopIfTrue="1">
      <formula>$I4=""</formula>
    </cfRule>
    <cfRule type="expression" dxfId="395" priority="55" stopIfTrue="1">
      <formula>WEEKDAY($I4)=1</formula>
    </cfRule>
    <cfRule type="expression" dxfId="394" priority="56" stopIfTrue="1">
      <formula>WEEKDAY($I4)=7</formula>
    </cfRule>
    <cfRule type="expression" dxfId="393" priority="58" stopIfTrue="1">
      <formula>COUNTIF(JOURS_FERIE,$I4)=1</formula>
    </cfRule>
    <cfRule type="expression" dxfId="392" priority="59">
      <formula>SUM((D.MALADIE&lt;=$I4)*($I4&lt;=F.MALADIE))=1</formula>
    </cfRule>
  </conditionalFormatting>
  <conditionalFormatting sqref="J4:J34">
    <cfRule type="expression" dxfId="391" priority="51" stopIfTrue="1">
      <formula>SUM((Debut_Congés&lt;=$J4)*($J4&lt;=FIN_Congés))=1</formula>
    </cfRule>
  </conditionalFormatting>
  <conditionalFormatting sqref="J4:J35">
    <cfRule type="expression" priority="48" stopIfTrue="1">
      <formula>$J4=""</formula>
    </cfRule>
    <cfRule type="expression" dxfId="390" priority="49" stopIfTrue="1">
      <formula>WEEKDAY($J4)=7</formula>
    </cfRule>
    <cfRule type="expression" dxfId="389" priority="50" stopIfTrue="1">
      <formula>WEEKDAY($J4)=1</formula>
    </cfRule>
    <cfRule type="expression" dxfId="388" priority="52" stopIfTrue="1">
      <formula>COUNTIF(JOURS_FERIE,$J4)=1</formula>
    </cfRule>
    <cfRule type="expression" dxfId="387" priority="53">
      <formula>SUM((D.MALADIE&lt;=$J4)*($J4&lt;=F.MALADIE))=1</formula>
    </cfRule>
  </conditionalFormatting>
  <conditionalFormatting sqref="K4:K34">
    <cfRule type="expression" dxfId="386" priority="42">
      <formula>SUM((Debut_Congés&lt;=$K4)*($K4&lt;=FIN_Congés))=1</formula>
    </cfRule>
  </conditionalFormatting>
  <conditionalFormatting sqref="K4:K35">
    <cfRule type="expression" dxfId="385" priority="43" stopIfTrue="1">
      <formula>COUNTIF(JOURS_FERIE,$K4)=1</formula>
    </cfRule>
    <cfRule type="expression" priority="44" stopIfTrue="1">
      <formula>$K4=""</formula>
    </cfRule>
    <cfRule type="expression" dxfId="384" priority="45">
      <formula>SUM((D.MALADIE&lt;=$K4)*($K4&lt;=F.MALADIE))=1</formula>
    </cfRule>
    <cfRule type="expression" dxfId="383" priority="46" stopIfTrue="1">
      <formula>WEEKDAY($K4)=7</formula>
    </cfRule>
    <cfRule type="expression" dxfId="382" priority="47" stopIfTrue="1">
      <formula>WEEKDAY($K4)=1</formula>
    </cfRule>
  </conditionalFormatting>
  <conditionalFormatting sqref="L4:L34">
    <cfRule type="expression" dxfId="381" priority="37">
      <formula>SUM((Debut_Congés&lt;=$L4)*($L4&lt;=FIN_Congés))=1</formula>
    </cfRule>
  </conditionalFormatting>
  <conditionalFormatting sqref="L4:L35">
    <cfRule type="expression" priority="36" stopIfTrue="1">
      <formula>$L4=""</formula>
    </cfRule>
    <cfRule type="expression" dxfId="380" priority="38" stopIfTrue="1">
      <formula>COUNTIF(JOURS_FERIE,$L4)=1</formula>
    </cfRule>
    <cfRule type="expression" dxfId="379" priority="39" stopIfTrue="1">
      <formula>SUM((D.MALADIE&lt;=$L4)*($L4&lt;=F.MALADIE))=1</formula>
    </cfRule>
    <cfRule type="expression" dxfId="378" priority="40" stopIfTrue="1">
      <formula>WEEKDAY($L4)=7</formula>
    </cfRule>
    <cfRule type="expression" dxfId="377" priority="41" stopIfTrue="1">
      <formula>WEEKDAY($L4)=1</formula>
    </cfRule>
  </conditionalFormatting>
  <conditionalFormatting sqref="M4:M34">
    <cfRule type="expression" dxfId="376" priority="30" stopIfTrue="1">
      <formula>SUM((Debut_Congés&lt;=$M4)*($M4&lt;=FIN_Congés))=1</formula>
    </cfRule>
  </conditionalFormatting>
  <conditionalFormatting sqref="M4:M35">
    <cfRule type="expression" dxfId="375" priority="31" stopIfTrue="1">
      <formula>COUNTIF(JOURS_FERIE,$M4)=1</formula>
    </cfRule>
    <cfRule type="expression" priority="32" stopIfTrue="1">
      <formula>$M4=""</formula>
    </cfRule>
    <cfRule type="expression" dxfId="374" priority="33" stopIfTrue="1">
      <formula>SUM((D.MALADIE&lt;=$M4)*($M4&lt;=F.MALADIE))=1</formula>
    </cfRule>
    <cfRule type="expression" dxfId="373" priority="34" stopIfTrue="1">
      <formula>WEEKDAY($M4)=7</formula>
    </cfRule>
    <cfRule type="expression" dxfId="372" priority="35" stopIfTrue="1">
      <formula>WEEKDAY($M4)=1</formula>
    </cfRule>
  </conditionalFormatting>
  <printOptions horizontalCentered="1" verticalCentered="1"/>
  <pageMargins left="0.19687500000000002" right="0.19687500000000002" top="0.19687500000000002" bottom="0.19687500000000002" header="0.19687500000000002" footer="0.19687500000000002"/>
  <pageSetup paperSize="9" fitToWidth="2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0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12</v>
      </c>
      <c r="S2" s="53">
        <f>INDEX(Données!K7:K18,MATCH($R$2,Données!$L$7:$L$18,0))</f>
        <v>1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46388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46388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>
        <f ca="1">IF($E10="","",IF(OR((VLOOKUP((TEXT($D10,"jjj")),Données!$A$8:$E$14,5)="v"),AND(G11="",E10&lt;&gt;"",OR(E10="T",E10="CJ",E10="F",E10="M"))),SUMIFS($L$10:$L$40,$P$10:$P$40,$P10),""))</f>
        <v>0</v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46389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46389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46390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7">IF(D12="","",IF(E12=W,"",IF(TEXT(D12,"[$-40C]jjj")="ven.",7,8)))</f>
        <v/>
      </c>
      <c r="G12" s="140">
        <f>HLOOKUP($R$2,'CALENDRIER PERPETUEL'!$B$3:$M$34,ROW('CALENDRIER PERPETUEL'!C4),FALSE)</f>
        <v>46390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46391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46391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46392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46392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46393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46393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46394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46394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46395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7</v>
      </c>
      <c r="G17" s="140">
        <f>HLOOKUP($R$2,'CALENDRIER PERPETUEL'!$B$3:$M$34,ROW('CALENDRIER PERPETUEL'!C9),FALSE)</f>
        <v>46395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>
        <f ca="1">IF($E17="","",IF(OR((VLOOKUP((TEXT($D17,"jjj")),Données!$A$8:$E$14,5)="v"),AND(G18="",E17&lt;&gt;"",OR(E17="T",E17="CJ",E17="F",E17="M"))),SUMIFS($L$10:$L$40,$P$10:$P$40,$P17),""))</f>
        <v>0</v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46396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7"/>
        <v/>
      </c>
      <c r="G18" s="140">
        <f>HLOOKUP($R$2,'CALENDRIER PERPETUEL'!$B$3:$M$34,ROW('CALENDRIER PERPETUEL'!C10),FALSE)</f>
        <v>46396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46397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7"/>
        <v/>
      </c>
      <c r="G19" s="140">
        <f>HLOOKUP($R$2,'CALENDRIER PERPETUEL'!$B$3:$M$34,ROW('CALENDRIER PERPETUEL'!C11),FALSE)</f>
        <v>46397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46398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46398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46399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46399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46400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46400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46401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46401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46402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7</v>
      </c>
      <c r="G24" s="140">
        <f>HLOOKUP($R$2,'CALENDRIER PERPETUEL'!$B$3:$M$34,ROW('CALENDRIER PERPETUEL'!C16),FALSE)</f>
        <v>46402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>
        <f ca="1">IF($E24="","",IF(OR((VLOOKUP((TEXT($D24,"jjj")),Données!$A$8:$E$14,5)="v"),AND(G25="",E24&lt;&gt;"",OR(E24="T",E24="CJ",E24="F",E24="M"))),SUMIFS($L$10:$L$40,$P$10:$P$40,$P24),""))</f>
        <v>0</v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46403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7"/>
        <v/>
      </c>
      <c r="G25" s="140">
        <f>HLOOKUP($R$2,'CALENDRIER PERPETUEL'!$B$3:$M$34,ROW('CALENDRIER PERPETUEL'!C17),FALSE)</f>
        <v>46403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46404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7"/>
        <v/>
      </c>
      <c r="G26" s="140">
        <f>HLOOKUP($R$2,'CALENDRIER PERPETUEL'!$B$3:$M$34,ROW('CALENDRIER PERPETUEL'!C18),FALSE)</f>
        <v>46404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46405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46405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46406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46406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46407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46407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46408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46408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46409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7</v>
      </c>
      <c r="G31" s="140">
        <f>HLOOKUP($R$2,'CALENDRIER PERPETUEL'!$B$3:$M$34,ROW('CALENDRIER PERPETUEL'!C23),FALSE)</f>
        <v>46409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>
        <f ca="1">IF($E31="","",IF(OR((VLOOKUP((TEXT($D31,"jjj")),Données!$A$8:$E$14,5)="v"),AND(G32="",E31&lt;&gt;"",OR(E31="T",E31="CJ",E31="F",E31="M"))),SUMIFS($L$10:$L$40,$P$10:$P$40,$P31),""))</f>
        <v>0</v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46410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7"/>
        <v/>
      </c>
      <c r="G32" s="140">
        <f>HLOOKUP($R$2,'CALENDRIER PERPETUEL'!$B$3:$M$34,ROW('CALENDRIER PERPETUEL'!C24),FALSE)</f>
        <v>46410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46411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7"/>
        <v/>
      </c>
      <c r="G33" s="140">
        <f>HLOOKUP($R$2,'CALENDRIER PERPETUEL'!$B$3:$M$34,ROW('CALENDRIER PERPETUEL'!C25),FALSE)</f>
        <v>46411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46412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46412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46413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46413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46414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46414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46415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46415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46416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7</v>
      </c>
      <c r="G38" s="140">
        <f>HLOOKUP($R$2,'CALENDRIER PERPETUEL'!$B$3:$M$34,ROW('CALENDRIER PERPETUEL'!C30),FALSE)</f>
        <v>46416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>
        <f ca="1">IF($E38="","",IF(OR((VLOOKUP((TEXT($D38,"jjj")),Données!$A$8:$E$14,5)="v"),AND(G39="",E38&lt;&gt;"",OR(E38="T",E38="CJ",E38="F",E38="M"))),SUMIFS($L$10:$L$40,$P$10:$P$40,$P38),""))</f>
        <v>0</v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46417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7"/>
        <v/>
      </c>
      <c r="G39" s="140">
        <f>HLOOKUP($R$2,'CALENDRIER PERPETUEL'!$B$3:$M$34,ROW('CALENDRIER PERPETUEL'!C31),FALSE)</f>
        <v>46417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46418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7"/>
        <v/>
      </c>
      <c r="G40" s="140">
        <f>HLOOKUP($R$2,'CALENDRIER PERPETUEL'!$B$3:$M$34,ROW('CALENDRIER PERPETUEL'!C32),FALSE)</f>
        <v>46418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20</v>
      </c>
      <c r="J45" s="298"/>
      <c r="K45" s="298"/>
      <c r="L45" s="299"/>
      <c r="M45" s="52">
        <f>SUM(F10:F40)</f>
        <v>164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156 /  164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168.25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str">
        <f>IF(OR($E10="w",$E10="f",$E10=""),"",$L10-Données!$M$9)</f>
        <v/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371" priority="29">
      <formula>IF(INDEX(planning_decoupe_abattage2,MATCH($G10,planning_decoupe_abattage2,1))=$G10,"vrai")</formula>
    </cfRule>
    <cfRule type="expression" dxfId="370" priority="30">
      <formula>$E10="REPOS"</formula>
    </cfRule>
    <cfRule type="expression" dxfId="369" priority="31">
      <formula>$E10="M"</formula>
    </cfRule>
    <cfRule type="expression" dxfId="368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367" priority="28" stopIfTrue="1">
      <formula>$L10&gt;="10:00"*1</formula>
    </cfRule>
  </conditionalFormatting>
  <conditionalFormatting sqref="N10:N40">
    <cfRule type="expression" dxfId="366" priority="26" stopIfTrue="1">
      <formula>$N10&lt;&gt;""</formula>
    </cfRule>
  </conditionalFormatting>
  <conditionalFormatting sqref="L10:L41">
    <cfRule type="expression" dxfId="365" priority="23" stopIfTrue="1">
      <formula>$E10="REPOS"</formula>
    </cfRule>
    <cfRule type="expression" dxfId="364" priority="24" stopIfTrue="1">
      <formula>$E10="M"</formula>
    </cfRule>
    <cfRule type="expression" dxfId="363" priority="25" stopIfTrue="1">
      <formula>$E10="CJ"</formula>
    </cfRule>
  </conditionalFormatting>
  <conditionalFormatting sqref="L10:O40">
    <cfRule type="expression" dxfId="362" priority="20">
      <formula>$E10="REPOS"</formula>
    </cfRule>
    <cfRule type="expression" dxfId="361" priority="21">
      <formula>$E10="M"</formula>
    </cfRule>
    <cfRule type="expression" dxfId="360" priority="22" stopIfTrue="1">
      <formula>$E10="CJ"</formula>
    </cfRule>
  </conditionalFormatting>
  <conditionalFormatting sqref="L10:O40">
    <cfRule type="expression" dxfId="359" priority="19">
      <formula>IF(INDEX(planning_decoupe_abattage2,MATCH($G10,planning_decoupe_abattage2,1))=$G10,"vrai")</formula>
    </cfRule>
  </conditionalFormatting>
  <conditionalFormatting sqref="N10:N40">
    <cfRule type="expression" dxfId="358" priority="18">
      <formula>$N10&lt;&gt;""</formula>
    </cfRule>
  </conditionalFormatting>
  <conditionalFormatting sqref="L10:L40">
    <cfRule type="expression" dxfId="357" priority="12" stopIfTrue="1">
      <formula>IF(INDEX(planning_decoupe_abattage2,MATCH($G10,planning_decoupe_abattage2,1))=$G10,"vrai")</formula>
    </cfRule>
    <cfRule type="expression" dxfId="356" priority="13" stopIfTrue="1">
      <formula>$E10="REPOS"</formula>
    </cfRule>
    <cfRule type="expression" dxfId="355" priority="14" stopIfTrue="1">
      <formula>$E10="w"</formula>
    </cfRule>
    <cfRule type="expression" dxfId="354" priority="15" stopIfTrue="1">
      <formula>$E10="F"</formula>
    </cfRule>
    <cfRule type="expression" dxfId="353" priority="16" stopIfTrue="1">
      <formula>$G10=TODAY()</formula>
    </cfRule>
    <cfRule type="expression" dxfId="352" priority="17" stopIfTrue="1">
      <formula>$E10="CJ"</formula>
    </cfRule>
  </conditionalFormatting>
  <conditionalFormatting sqref="D10:AB41">
    <cfRule type="expression" dxfId="351" priority="6">
      <formula>$E10="M"</formula>
    </cfRule>
    <cfRule type="expression" dxfId="350" priority="7">
      <formula>IF(INDEX(planning_decoupe_abattage2,MATCH($G10,planning_decoupe_abattage2,1))=$G10,"vrai")</formula>
    </cfRule>
    <cfRule type="expression" dxfId="349" priority="8" stopIfTrue="1">
      <formula>$G10=TODAY()</formula>
    </cfRule>
    <cfRule type="expression" dxfId="348" priority="9" stopIfTrue="1">
      <formula>$E10="w"</formula>
    </cfRule>
    <cfRule type="expression" dxfId="347" priority="10">
      <formula>IF(INDEX(planning_decoupe_abattage2,MATCH($G10,planning_decoupe_abattage2,1))=$G10,"vrai")</formula>
    </cfRule>
    <cfRule type="expression" dxfId="346" priority="11" stopIfTrue="1">
      <formula>$E10="F"</formula>
    </cfRule>
  </conditionalFormatting>
  <conditionalFormatting sqref="K10:K41">
    <cfRule type="expression" dxfId="345" priority="5" stopIfTrue="1">
      <formula>$E10="F"</formula>
    </cfRule>
  </conditionalFormatting>
  <conditionalFormatting sqref="D10:L41">
    <cfRule type="expression" dxfId="344" priority="1">
      <formula>$E10="REPOS"</formula>
    </cfRule>
    <cfRule type="expression" dxfId="343" priority="2" stopIfTrue="1">
      <formula>$E10="CJ"</formula>
    </cfRule>
    <cfRule type="expression" dxfId="342" priority="3" stopIfTrue="1">
      <formula>$E10="w"</formula>
    </cfRule>
    <cfRule type="expression" dxfId="341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1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17</v>
      </c>
      <c r="S2" s="53">
        <f>INDEX(Données!K7:K18,MATCH($R$2,Données!$L$7:$L$18,0))</f>
        <v>2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46419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46419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46420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46420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46421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46421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46422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46422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 t="str">
        <f ca="1">IFERROR(SMALL($N$10:$N$40,ROW(N14)-ROW($N$10)+1)*24,"")</f>
        <v/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46423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7</v>
      </c>
      <c r="G14" s="140">
        <f>HLOOKUP($R$2,'CALENDRIER PERPETUEL'!$B$3:$M$34,ROW('CALENDRIER PERPETUEL'!C6),FALSE)</f>
        <v>46423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 ca="1"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46424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46424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46425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46425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46426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46426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46427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46427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46428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46428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46429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46429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46430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7</v>
      </c>
      <c r="G21" s="140">
        <f>HLOOKUP($R$2,'CALENDRIER PERPETUEL'!$B$3:$M$34,ROW('CALENDRIER PERPETUEL'!C13),FALSE)</f>
        <v>46430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 ca="1">IF($E21="","",IF(OR((VLOOKUP((TEXT($D21,"jjj")),Données!$A$8:$E$14,5)="v"),AND(G22="",E21&lt;&gt;"",OR(E21="T",E21="CJ",E21="F",E21="M"))),SUMIFS($L$10:$L$40,$P$10:$P$40,$P21),""))</f>
        <v>0</v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46431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46431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46432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46432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46433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46433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46434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46434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46435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46435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46436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46436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46437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7</v>
      </c>
      <c r="G28" s="140">
        <f>HLOOKUP($R$2,'CALENDRIER PERPETUEL'!$B$3:$M$34,ROW('CALENDRIER PERPETUEL'!C20),FALSE)</f>
        <v>46437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 ca="1">IF($E28="","",IF(OR((VLOOKUP((TEXT($D28,"jjj")),Données!$A$8:$E$14,5)="v"),AND(G29="",E28&lt;&gt;"",OR(E28="T",E28="CJ",E28="F",E28="M"))),SUMIFS($L$10:$L$40,$P$10:$P$40,$P28),""))</f>
        <v>0</v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46438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46438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46439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46439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46440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46440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46441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46441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46442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46442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46443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46443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46444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7</v>
      </c>
      <c r="G35" s="140">
        <f>HLOOKUP($R$2,'CALENDRIER PERPETUEL'!$B$3:$M$34,ROW('CALENDRIER PERPETUEL'!C27),FALSE)</f>
        <v>46444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 ca="1">IF($E35="","",IF(OR((VLOOKUP((TEXT($D35,"jjj")),Données!$A$8:$E$14,5)="v"),AND(G36="",E35&lt;&gt;"",OR(E35="T",E35="CJ",E35="F",E35="M"))),SUMIFS($L$10:$L$40,$P$10:$P$40,$P35),""))</f>
        <v>0</v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46445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46445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46446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46446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 t="str">
        <f>HLOOKUP($R$2,'CALENDRIER PERPETUEL'!$B$3:$M$34,ROW('CALENDRIER PERPETUEL'!C30),FALSE)</f>
        <v/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/>
      </c>
      <c r="F38" s="156" t="str">
        <f t="shared" si="7"/>
        <v/>
      </c>
      <c r="G38" s="140" t="str">
        <f>HLOOKUP($R$2,'CALENDRIER PERPETUEL'!$B$3:$M$34,ROW('CALENDRIER PERPETUEL'!C30),FALSE)</f>
        <v/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 t="str">
        <f>HLOOKUP($R$2,'CALENDRIER PERPETUEL'!$B$3:$M$34,ROW('CALENDRIER PERPETUEL'!C31),FALSE)</f>
        <v/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/>
      </c>
      <c r="F39" s="156" t="str">
        <f t="shared" si="7"/>
        <v/>
      </c>
      <c r="G39" s="140" t="str">
        <f>HLOOKUP($R$2,'CALENDRIER PERPETUEL'!$B$3:$M$34,ROW('CALENDRIER PERPETUEL'!C31),FALSE)</f>
        <v/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7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20</v>
      </c>
      <c r="J45" s="298"/>
      <c r="K45" s="298"/>
      <c r="L45" s="299"/>
      <c r="M45" s="52">
        <f>SUM(F10:F40)</f>
        <v>156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156 /  156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160.5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340" priority="29">
      <formula>IF(INDEX(planning_decoupe_abattage2,MATCH($G10,planning_decoupe_abattage2,1))=$G10,"vrai")</formula>
    </cfRule>
    <cfRule type="expression" dxfId="339" priority="30">
      <formula>$E10="REPOS"</formula>
    </cfRule>
    <cfRule type="expression" dxfId="338" priority="31">
      <formula>$E10="M"</formula>
    </cfRule>
    <cfRule type="expression" dxfId="337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336" priority="28" stopIfTrue="1">
      <formula>$L10&gt;="10:00"*1</formula>
    </cfRule>
  </conditionalFormatting>
  <conditionalFormatting sqref="N10:N40">
    <cfRule type="expression" dxfId="335" priority="26" stopIfTrue="1">
      <formula>$N10&lt;&gt;""</formula>
    </cfRule>
  </conditionalFormatting>
  <conditionalFormatting sqref="L10:L41">
    <cfRule type="expression" dxfId="334" priority="23" stopIfTrue="1">
      <formula>$E10="REPOS"</formula>
    </cfRule>
    <cfRule type="expression" dxfId="333" priority="24" stopIfTrue="1">
      <formula>$E10="M"</formula>
    </cfRule>
    <cfRule type="expression" dxfId="332" priority="25" stopIfTrue="1">
      <formula>$E10="CJ"</formula>
    </cfRule>
  </conditionalFormatting>
  <conditionalFormatting sqref="L10:O40">
    <cfRule type="expression" dxfId="331" priority="20">
      <formula>$E10="REPOS"</formula>
    </cfRule>
    <cfRule type="expression" dxfId="330" priority="21">
      <formula>$E10="M"</formula>
    </cfRule>
    <cfRule type="expression" dxfId="329" priority="22" stopIfTrue="1">
      <formula>$E10="CJ"</formula>
    </cfRule>
  </conditionalFormatting>
  <conditionalFormatting sqref="L10:O40">
    <cfRule type="expression" dxfId="328" priority="19">
      <formula>IF(INDEX(planning_decoupe_abattage2,MATCH($G10,planning_decoupe_abattage2,1))=$G10,"vrai")</formula>
    </cfRule>
  </conditionalFormatting>
  <conditionalFormatting sqref="N10:N40">
    <cfRule type="expression" dxfId="327" priority="18">
      <formula>$N10&lt;&gt;""</formula>
    </cfRule>
  </conditionalFormatting>
  <conditionalFormatting sqref="L10:L40">
    <cfRule type="expression" dxfId="326" priority="12" stopIfTrue="1">
      <formula>IF(INDEX(planning_decoupe_abattage2,MATCH($G10,planning_decoupe_abattage2,1))=$G10,"vrai")</formula>
    </cfRule>
    <cfRule type="expression" dxfId="325" priority="13" stopIfTrue="1">
      <formula>$E10="REPOS"</formula>
    </cfRule>
    <cfRule type="expression" dxfId="324" priority="14" stopIfTrue="1">
      <formula>$E10="w"</formula>
    </cfRule>
    <cfRule type="expression" dxfId="323" priority="15" stopIfTrue="1">
      <formula>$E10="F"</formula>
    </cfRule>
    <cfRule type="expression" dxfId="322" priority="16" stopIfTrue="1">
      <formula>$G10=TODAY()</formula>
    </cfRule>
    <cfRule type="expression" dxfId="321" priority="17" stopIfTrue="1">
      <formula>$E10="CJ"</formula>
    </cfRule>
  </conditionalFormatting>
  <conditionalFormatting sqref="D10:AB41">
    <cfRule type="expression" dxfId="320" priority="6">
      <formula>$E10="M"</formula>
    </cfRule>
    <cfRule type="expression" dxfId="319" priority="7">
      <formula>IF(INDEX(planning_decoupe_abattage2,MATCH($G10,planning_decoupe_abattage2,1))=$G10,"vrai")</formula>
    </cfRule>
    <cfRule type="expression" dxfId="318" priority="8" stopIfTrue="1">
      <formula>$G10=TODAY()</formula>
    </cfRule>
    <cfRule type="expression" dxfId="317" priority="9" stopIfTrue="1">
      <formula>$E10="w"</formula>
    </cfRule>
    <cfRule type="expression" dxfId="316" priority="10">
      <formula>IF(INDEX(planning_decoupe_abattage2,MATCH($G10,planning_decoupe_abattage2,1))=$G10,"vrai")</formula>
    </cfRule>
    <cfRule type="expression" dxfId="315" priority="11" stopIfTrue="1">
      <formula>$E10="F"</formula>
    </cfRule>
  </conditionalFormatting>
  <conditionalFormatting sqref="K10:K41">
    <cfRule type="expression" dxfId="314" priority="5" stopIfTrue="1">
      <formula>$E10="F"</formula>
    </cfRule>
  </conditionalFormatting>
  <conditionalFormatting sqref="D10:L41">
    <cfRule type="expression" dxfId="313" priority="1">
      <formula>$E10="REPOS"</formula>
    </cfRule>
    <cfRule type="expression" dxfId="312" priority="2" stopIfTrue="1">
      <formula>$E10="CJ"</formula>
    </cfRule>
    <cfRule type="expression" dxfId="311" priority="3" stopIfTrue="1">
      <formula>$E10="w"</formula>
    </cfRule>
    <cfRule type="expression" dxfId="310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2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23</v>
      </c>
      <c r="S2" s="53">
        <f>INDEX(Données!K7:K18,MATCH($R$2,Données!$L$7:$L$18,0))</f>
        <v>3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46447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46447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46448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46448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46449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46449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46450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46450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46451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7</v>
      </c>
      <c r="G14" s="140">
        <f>HLOOKUP($R$2,'CALENDRIER PERPETUEL'!$B$3:$M$34,ROW('CALENDRIER PERPETUEL'!C6),FALSE)</f>
        <v>46451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 ca="1"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46452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46452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46453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46453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46454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46454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46455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46455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46456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46456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46457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46457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46458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7</v>
      </c>
      <c r="G21" s="140">
        <f>HLOOKUP($R$2,'CALENDRIER PERPETUEL'!$B$3:$M$34,ROW('CALENDRIER PERPETUEL'!C13),FALSE)</f>
        <v>46458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 ca="1">IF($E21="","",IF(OR((VLOOKUP((TEXT($D21,"jjj")),Données!$A$8:$E$14,5)="v"),AND(G22="",E21&lt;&gt;"",OR(E21="T",E21="CJ",E21="F",E21="M"))),SUMIFS($L$10:$L$40,$P$10:$P$40,$P21),""))</f>
        <v>0</v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46459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46459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46460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46460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46461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46461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46462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46462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46463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46463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46464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46464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46465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7</v>
      </c>
      <c r="G28" s="140">
        <f>HLOOKUP($R$2,'CALENDRIER PERPETUEL'!$B$3:$M$34,ROW('CALENDRIER PERPETUEL'!C20),FALSE)</f>
        <v>46465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 ca="1">IF($E28="","",IF(OR((VLOOKUP((TEXT($D28,"jjj")),Données!$A$8:$E$14,5)="v"),AND(G29="",E28&lt;&gt;"",OR(E28="T",E28="CJ",E28="F",E28="M"))),SUMIFS($L$10:$L$40,$P$10:$P$40,$P28),""))</f>
        <v>0</v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46466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46466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46467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46467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46468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46468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46469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46469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46470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46470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46471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46471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46472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7</v>
      </c>
      <c r="G35" s="140">
        <f>HLOOKUP($R$2,'CALENDRIER PERPETUEL'!$B$3:$M$34,ROW('CALENDRIER PERPETUEL'!C27),FALSE)</f>
        <v>46472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 ca="1">IF($E35="","",IF(OR((VLOOKUP((TEXT($D35,"jjj")),Données!$A$8:$E$14,5)="v"),AND(G36="",E35&lt;&gt;"",OR(E35="T",E35="CJ",E35="F",E35="M"))),SUMIFS($L$10:$L$40,$P$10:$P$40,$P35),""))</f>
        <v>0</v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46473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46473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46474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46474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46475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F</v>
      </c>
      <c r="F38" s="156">
        <f t="shared" si="7"/>
        <v>8</v>
      </c>
      <c r="G38" s="140">
        <f>HLOOKUP($R$2,'CALENDRIER PERPETUEL'!$B$3:$M$34,ROW('CALENDRIER PERPETUEL'!C30),FALSE)</f>
        <v>46475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46476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46476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46477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46477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 ca="1"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200.25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309" priority="29">
      <formula>IF(INDEX(planning_decoupe_abattage2,MATCH($G10,planning_decoupe_abattage2,1))=$G10,"vrai")</formula>
    </cfRule>
    <cfRule type="expression" dxfId="308" priority="30">
      <formula>$E10="REPOS"</formula>
    </cfRule>
    <cfRule type="expression" dxfId="307" priority="31">
      <formula>$E10="M"</formula>
    </cfRule>
    <cfRule type="expression" dxfId="306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305" priority="28" stopIfTrue="1">
      <formula>$L10&gt;="10:00"*1</formula>
    </cfRule>
  </conditionalFormatting>
  <conditionalFormatting sqref="N10:N40">
    <cfRule type="expression" dxfId="304" priority="26" stopIfTrue="1">
      <formula>$N10&lt;&gt;""</formula>
    </cfRule>
  </conditionalFormatting>
  <conditionalFormatting sqref="L10:L41">
    <cfRule type="expression" dxfId="303" priority="23" stopIfTrue="1">
      <formula>$E10="REPOS"</formula>
    </cfRule>
    <cfRule type="expression" dxfId="302" priority="24" stopIfTrue="1">
      <formula>$E10="M"</formula>
    </cfRule>
    <cfRule type="expression" dxfId="301" priority="25" stopIfTrue="1">
      <formula>$E10="CJ"</formula>
    </cfRule>
  </conditionalFormatting>
  <conditionalFormatting sqref="L10:O40">
    <cfRule type="expression" dxfId="300" priority="20">
      <formula>$E10="REPOS"</formula>
    </cfRule>
    <cfRule type="expression" dxfId="299" priority="21">
      <formula>$E10="M"</formula>
    </cfRule>
    <cfRule type="expression" dxfId="298" priority="22" stopIfTrue="1">
      <formula>$E10="CJ"</formula>
    </cfRule>
  </conditionalFormatting>
  <conditionalFormatting sqref="L10:O40">
    <cfRule type="expression" dxfId="297" priority="19">
      <formula>IF(INDEX(planning_decoupe_abattage2,MATCH($G10,planning_decoupe_abattage2,1))=$G10,"vrai")</formula>
    </cfRule>
  </conditionalFormatting>
  <conditionalFormatting sqref="N10:N40">
    <cfRule type="expression" dxfId="296" priority="18">
      <formula>$N10&lt;&gt;""</formula>
    </cfRule>
  </conditionalFormatting>
  <conditionalFormatting sqref="L10:L40">
    <cfRule type="expression" dxfId="295" priority="12" stopIfTrue="1">
      <formula>IF(INDEX(planning_decoupe_abattage2,MATCH($G10,planning_decoupe_abattage2,1))=$G10,"vrai")</formula>
    </cfRule>
    <cfRule type="expression" dxfId="294" priority="13" stopIfTrue="1">
      <formula>$E10="REPOS"</formula>
    </cfRule>
    <cfRule type="expression" dxfId="293" priority="14" stopIfTrue="1">
      <formula>$E10="w"</formula>
    </cfRule>
    <cfRule type="expression" dxfId="292" priority="15" stopIfTrue="1">
      <formula>$E10="F"</formula>
    </cfRule>
    <cfRule type="expression" dxfId="291" priority="16" stopIfTrue="1">
      <formula>$G10=TODAY()</formula>
    </cfRule>
    <cfRule type="expression" dxfId="290" priority="17" stopIfTrue="1">
      <formula>$E10="CJ"</formula>
    </cfRule>
  </conditionalFormatting>
  <conditionalFormatting sqref="D10:AB41">
    <cfRule type="expression" dxfId="289" priority="6">
      <formula>$E10="M"</formula>
    </cfRule>
    <cfRule type="expression" dxfId="288" priority="7">
      <formula>IF(INDEX(planning_decoupe_abattage2,MATCH($G10,planning_decoupe_abattage2,1))=$G10,"vrai")</formula>
    </cfRule>
    <cfRule type="expression" dxfId="287" priority="8" stopIfTrue="1">
      <formula>$G10=TODAY()</formula>
    </cfRule>
    <cfRule type="expression" dxfId="286" priority="9" stopIfTrue="1">
      <formula>$E10="w"</formula>
    </cfRule>
    <cfRule type="expression" dxfId="285" priority="10">
      <formula>IF(INDEX(planning_decoupe_abattage2,MATCH($G10,planning_decoupe_abattage2,1))=$G10,"vrai")</formula>
    </cfRule>
    <cfRule type="expression" dxfId="284" priority="11" stopIfTrue="1">
      <formula>$E10="F"</formula>
    </cfRule>
  </conditionalFormatting>
  <conditionalFormatting sqref="K10:K41">
    <cfRule type="expression" dxfId="283" priority="5" stopIfTrue="1">
      <formula>$E10="F"</formula>
    </cfRule>
  </conditionalFormatting>
  <conditionalFormatting sqref="D10:L41">
    <cfRule type="expression" dxfId="282" priority="1">
      <formula>$E10="REPOS"</formula>
    </cfRule>
    <cfRule type="expression" dxfId="281" priority="2" stopIfTrue="1">
      <formula>$E10="CJ"</formula>
    </cfRule>
    <cfRule type="expression" dxfId="280" priority="3" stopIfTrue="1">
      <formula>$E10="w"</formula>
    </cfRule>
    <cfRule type="expression" dxfId="279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3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102</v>
      </c>
      <c r="S2" s="53">
        <f>INDEX(Données!K7:K18,MATCH($R$2,Données!$L$7:$L$18,0))</f>
        <v>4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46478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7</v>
      </c>
      <c r="G10" s="140">
        <f>HLOOKUP($R$2,'CALENDRIER PERPETUEL'!$B$3:$M$34,ROW('CALENDRIER PERPETUEL'!C2),FALSE)</f>
        <v>46478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46479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7</v>
      </c>
      <c r="G11" s="140">
        <f>HLOOKUP($R$2,'CALENDRIER PERPETUEL'!$B$3:$M$34,ROW('CALENDRIER PERPETUEL'!C3),FALSE)</f>
        <v>46479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>
        <f ca="1">IF($E11="","",IF(OR((VLOOKUP((TEXT($D11,"jjj")),Données!$A$8:$E$14,5)="v"),AND(G12="",E11&lt;&gt;"",OR(E11="T",E11="CJ",E11="F",E11="M"))),SUMIFS($L$10:$L$40,$P$10:$P$40,$P11),""))</f>
        <v>0</v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46480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7">IF(D12="","",IF(E12=W,"",IF(TEXT(D12,"[$-40C]jjj")="ven.",7,8)))</f>
        <v/>
      </c>
      <c r="G12" s="140">
        <f>HLOOKUP($R$2,'CALENDRIER PERPETUEL'!$B$3:$M$34,ROW('CALENDRIER PERPETUEL'!C4),FALSE)</f>
        <v>46480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46481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7"/>
        <v/>
      </c>
      <c r="G13" s="140">
        <f>HLOOKUP($R$2,'CALENDRIER PERPETUEL'!$B$3:$M$34,ROW('CALENDRIER PERPETUEL'!C5),FALSE)</f>
        <v>46481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46482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46482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46483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46483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46484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46484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46485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46485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46486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7</v>
      </c>
      <c r="G18" s="140">
        <f>HLOOKUP($R$2,'CALENDRIER PERPETUEL'!$B$3:$M$34,ROW('CALENDRIER PERPETUEL'!C10),FALSE)</f>
        <v>46486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>
        <f ca="1">IF($E18="","",IF(OR((VLOOKUP((TEXT($D18,"jjj")),Données!$A$8:$E$14,5)="v"),AND(G19="",E18&lt;&gt;"",OR(E18="T",E18="CJ",E18="F",E18="M"))),SUMIFS($L$10:$L$40,$P$10:$P$40,$P18),""))</f>
        <v>0</v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46487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7"/>
        <v/>
      </c>
      <c r="G19" s="140">
        <f>HLOOKUP($R$2,'CALENDRIER PERPETUEL'!$B$3:$M$34,ROW('CALENDRIER PERPETUEL'!C11),FALSE)</f>
        <v>46487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46488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7"/>
        <v/>
      </c>
      <c r="G20" s="140">
        <f>HLOOKUP($R$2,'CALENDRIER PERPETUEL'!$B$3:$M$34,ROW('CALENDRIER PERPETUEL'!C12),FALSE)</f>
        <v>46488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46489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46489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46490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46490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46491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46491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46492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46492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46493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7</v>
      </c>
      <c r="G25" s="140">
        <f>HLOOKUP($R$2,'CALENDRIER PERPETUEL'!$B$3:$M$34,ROW('CALENDRIER PERPETUEL'!C17),FALSE)</f>
        <v>46493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>
        <f ca="1">IF($E25="","",IF(OR((VLOOKUP((TEXT($D25,"jjj")),Données!$A$8:$E$14,5)="v"),AND(G26="",E25&lt;&gt;"",OR(E25="T",E25="CJ",E25="F",E25="M"))),SUMIFS($L$10:$L$40,$P$10:$P$40,$P25),""))</f>
        <v>0</v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46494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7"/>
        <v/>
      </c>
      <c r="G26" s="140">
        <f>HLOOKUP($R$2,'CALENDRIER PERPETUEL'!$B$3:$M$34,ROW('CALENDRIER PERPETUEL'!C18),FALSE)</f>
        <v>46494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46495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7"/>
        <v/>
      </c>
      <c r="G27" s="140">
        <f>HLOOKUP($R$2,'CALENDRIER PERPETUEL'!$B$3:$M$34,ROW('CALENDRIER PERPETUEL'!C19),FALSE)</f>
        <v>46495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46496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46496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46497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46497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46498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46498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46499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46499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46500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7</v>
      </c>
      <c r="G32" s="140">
        <f>HLOOKUP($R$2,'CALENDRIER PERPETUEL'!$B$3:$M$34,ROW('CALENDRIER PERPETUEL'!C24),FALSE)</f>
        <v>46500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>
        <f ca="1">IF($E32="","",IF(OR((VLOOKUP((TEXT($D32,"jjj")),Données!$A$8:$E$14,5)="v"),AND(G33="",E32&lt;&gt;"",OR(E32="T",E32="CJ",E32="F",E32="M"))),SUMIFS($L$10:$L$40,$P$10:$P$40,$P32),""))</f>
        <v>0</v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46501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7"/>
        <v/>
      </c>
      <c r="G33" s="140">
        <f>HLOOKUP($R$2,'CALENDRIER PERPETUEL'!$B$3:$M$34,ROW('CALENDRIER PERPETUEL'!C25),FALSE)</f>
        <v>46501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46502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7"/>
        <v/>
      </c>
      <c r="G34" s="140">
        <f>HLOOKUP($R$2,'CALENDRIER PERPETUEL'!$B$3:$M$34,ROW('CALENDRIER PERPETUEL'!C26),FALSE)</f>
        <v>46502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46503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46503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46504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46504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46505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46505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46506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46506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46507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7</v>
      </c>
      <c r="G39" s="140">
        <f>HLOOKUP($R$2,'CALENDRIER PERPETUEL'!$B$3:$M$34,ROW('CALENDRIER PERPETUEL'!C31),FALSE)</f>
        <v>46507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 ca="1">IF($E39="","",IF(OR((VLOOKUP((TEXT($D39,"jjj")),Données!$A$8:$E$14,5)="v"),AND(G40="",E39&lt;&gt;"",OR(E39="T",E39="CJ",E39="F",E39="M"))),SUMIFS($L$10:$L$40,$P$10:$P$40,$P39),""))</f>
        <v>0</v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7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170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170 /  170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188.5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278" priority="29">
      <formula>IF(INDEX(planning_decoupe_abattage2,MATCH($G10,planning_decoupe_abattage2,1))=$G10,"vrai")</formula>
    </cfRule>
    <cfRule type="expression" dxfId="277" priority="30">
      <formula>$E10="REPOS"</formula>
    </cfRule>
    <cfRule type="expression" dxfId="276" priority="31">
      <formula>$E10="M"</formula>
    </cfRule>
    <cfRule type="expression" dxfId="275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274" priority="28" stopIfTrue="1">
      <formula>$L10&gt;="10:00"*1</formula>
    </cfRule>
  </conditionalFormatting>
  <conditionalFormatting sqref="N10:N40">
    <cfRule type="expression" dxfId="273" priority="26" stopIfTrue="1">
      <formula>$N10&lt;&gt;""</formula>
    </cfRule>
  </conditionalFormatting>
  <conditionalFormatting sqref="L10:L41">
    <cfRule type="expression" dxfId="272" priority="23" stopIfTrue="1">
      <formula>$E10="REPOS"</formula>
    </cfRule>
    <cfRule type="expression" dxfId="271" priority="24" stopIfTrue="1">
      <formula>$E10="M"</formula>
    </cfRule>
    <cfRule type="expression" dxfId="270" priority="25" stopIfTrue="1">
      <formula>$E10="CJ"</formula>
    </cfRule>
  </conditionalFormatting>
  <conditionalFormatting sqref="L10:O40">
    <cfRule type="expression" dxfId="269" priority="20">
      <formula>$E10="REPOS"</formula>
    </cfRule>
    <cfRule type="expression" dxfId="268" priority="21">
      <formula>$E10="M"</formula>
    </cfRule>
    <cfRule type="expression" dxfId="267" priority="22" stopIfTrue="1">
      <formula>$E10="CJ"</formula>
    </cfRule>
  </conditionalFormatting>
  <conditionalFormatting sqref="L10:O40">
    <cfRule type="expression" dxfId="266" priority="19">
      <formula>IF(INDEX(planning_decoupe_abattage2,MATCH($G10,planning_decoupe_abattage2,1))=$G10,"vrai")</formula>
    </cfRule>
  </conditionalFormatting>
  <conditionalFormatting sqref="N10:N40">
    <cfRule type="expression" dxfId="265" priority="18">
      <formula>$N10&lt;&gt;""</formula>
    </cfRule>
  </conditionalFormatting>
  <conditionalFormatting sqref="L10:L40">
    <cfRule type="expression" dxfId="264" priority="12" stopIfTrue="1">
      <formula>IF(INDEX(planning_decoupe_abattage2,MATCH($G10,planning_decoupe_abattage2,1))=$G10,"vrai")</formula>
    </cfRule>
    <cfRule type="expression" dxfId="263" priority="13" stopIfTrue="1">
      <formula>$E10="REPOS"</formula>
    </cfRule>
    <cfRule type="expression" dxfId="262" priority="14" stopIfTrue="1">
      <formula>$E10="w"</formula>
    </cfRule>
    <cfRule type="expression" dxfId="261" priority="15" stopIfTrue="1">
      <formula>$E10="F"</formula>
    </cfRule>
    <cfRule type="expression" dxfId="260" priority="16" stopIfTrue="1">
      <formula>$G10=TODAY()</formula>
    </cfRule>
    <cfRule type="expression" dxfId="259" priority="17" stopIfTrue="1">
      <formula>$E10="CJ"</formula>
    </cfRule>
  </conditionalFormatting>
  <conditionalFormatting sqref="D10:AB41">
    <cfRule type="expression" dxfId="258" priority="6">
      <formula>$E10="M"</formula>
    </cfRule>
    <cfRule type="expression" dxfId="257" priority="7">
      <formula>IF(INDEX(planning_decoupe_abattage2,MATCH($G10,planning_decoupe_abattage2,1))=$G10,"vrai")</formula>
    </cfRule>
    <cfRule type="expression" dxfId="256" priority="8" stopIfTrue="1">
      <formula>$G10=TODAY()</formula>
    </cfRule>
    <cfRule type="expression" dxfId="255" priority="9" stopIfTrue="1">
      <formula>$E10="w"</formula>
    </cfRule>
    <cfRule type="expression" dxfId="254" priority="10">
      <formula>IF(INDEX(planning_decoupe_abattage2,MATCH($G10,planning_decoupe_abattage2,1))=$G10,"vrai")</formula>
    </cfRule>
    <cfRule type="expression" dxfId="253" priority="11" stopIfTrue="1">
      <formula>$E10="F"</formula>
    </cfRule>
  </conditionalFormatting>
  <conditionalFormatting sqref="K10:K41">
    <cfRule type="expression" dxfId="252" priority="5" stopIfTrue="1">
      <formula>$E10="F"</formula>
    </cfRule>
  </conditionalFormatting>
  <conditionalFormatting sqref="D10:L41">
    <cfRule type="expression" dxfId="251" priority="1">
      <formula>$E10="REPOS"</formula>
    </cfRule>
    <cfRule type="expression" dxfId="250" priority="2" stopIfTrue="1">
      <formula>$E10="CJ"</formula>
    </cfRule>
    <cfRule type="expression" dxfId="249" priority="3" stopIfTrue="1">
      <formula>$E10="w"</formula>
    </cfRule>
    <cfRule type="expression" dxfId="248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4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32</v>
      </c>
      <c r="S2" s="53">
        <f>INDEX(Données!K7:K18,MATCH($R$2,Données!$L$7:$L$18,0))</f>
        <v>5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46508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46508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46509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46509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46510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46510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46511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46511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46512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46512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46513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46513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46514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7</v>
      </c>
      <c r="G16" s="140">
        <f>HLOOKUP($R$2,'CALENDRIER PERPETUEL'!$B$3:$M$34,ROW('CALENDRIER PERPETUEL'!C8),FALSE)</f>
        <v>46514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>
        <f ca="1">IF($E16="","",IF(OR((VLOOKUP((TEXT($D16,"jjj")),Données!$A$8:$E$14,5)="v"),AND(G17="",E16&lt;&gt;"",OR(E16="T",E16="CJ",E16="F",E16="M"))),SUMIFS($L$10:$L$40,$P$10:$P$40,$P16),""))</f>
        <v>0</v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46515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F</v>
      </c>
      <c r="F17" s="156">
        <f t="shared" si="7"/>
        <v>8</v>
      </c>
      <c r="G17" s="140">
        <f>HLOOKUP($R$2,'CALENDRIER PERPETUEL'!$B$3:$M$34,ROW('CALENDRIER PERPETUEL'!C9),FALSE)</f>
        <v>46515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46516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7"/>
        <v/>
      </c>
      <c r="G18" s="140">
        <f>HLOOKUP($R$2,'CALENDRIER PERPETUEL'!$B$3:$M$34,ROW('CALENDRIER PERPETUEL'!C10),FALSE)</f>
        <v>46516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46517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46517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46518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46518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46519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46519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46520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46520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46521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7</v>
      </c>
      <c r="G23" s="140">
        <f>HLOOKUP($R$2,'CALENDRIER PERPETUEL'!$B$3:$M$34,ROW('CALENDRIER PERPETUEL'!C15),FALSE)</f>
        <v>46521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>
        <f ca="1">IF($E23="","",IF(OR((VLOOKUP((TEXT($D23,"jjj")),Données!$A$8:$E$14,5)="v"),AND(G24="",E23&lt;&gt;"",OR(E23="T",E23="CJ",E23="F",E23="M"))),SUMIFS($L$10:$L$40,$P$10:$P$40,$P23),""))</f>
        <v>0</v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46522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W</v>
      </c>
      <c r="F24" s="156" t="str">
        <f t="shared" si="7"/>
        <v/>
      </c>
      <c r="G24" s="140">
        <f>HLOOKUP($R$2,'CALENDRIER PERPETUEL'!$B$3:$M$34,ROW('CALENDRIER PERPETUEL'!C16),FALSE)</f>
        <v>46522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46523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7"/>
        <v/>
      </c>
      <c r="G25" s="140">
        <f>HLOOKUP($R$2,'CALENDRIER PERPETUEL'!$B$3:$M$34,ROW('CALENDRIER PERPETUEL'!C17),FALSE)</f>
        <v>46523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46524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F</v>
      </c>
      <c r="F26" s="156">
        <f t="shared" si="7"/>
        <v>8</v>
      </c>
      <c r="G26" s="140">
        <f>HLOOKUP($R$2,'CALENDRIER PERPETUEL'!$B$3:$M$34,ROW('CALENDRIER PERPETUEL'!C18),FALSE)</f>
        <v>46524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46525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46525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46526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46526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46527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46527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46528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7</v>
      </c>
      <c r="G30" s="140">
        <f>HLOOKUP($R$2,'CALENDRIER PERPETUEL'!$B$3:$M$34,ROW('CALENDRIER PERPETUEL'!C22),FALSE)</f>
        <v>46528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>
        <f ca="1">IF($E30="","",IF(OR((VLOOKUP((TEXT($D30,"jjj")),Données!$A$8:$E$14,5)="v"),AND(G31="",E30&lt;&gt;"",OR(E30="T",E30="CJ",E30="F",E30="M"))),SUMIFS($L$10:$L$40,$P$10:$P$40,$P30),""))</f>
        <v>0</v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46529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46529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46530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7"/>
        <v/>
      </c>
      <c r="G32" s="140">
        <f>HLOOKUP($R$2,'CALENDRIER PERPETUEL'!$B$3:$M$34,ROW('CALENDRIER PERPETUEL'!C24),FALSE)</f>
        <v>46530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46531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46531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46532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46532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46533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46533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46534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46534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46535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7</v>
      </c>
      <c r="G37" s="140">
        <f>HLOOKUP($R$2,'CALENDRIER PERPETUEL'!$B$3:$M$34,ROW('CALENDRIER PERPETUEL'!C29),FALSE)</f>
        <v>46535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>
        <f ca="1">IF($E37="","",IF(OR((VLOOKUP((TEXT($D37,"jjj")),Données!$A$8:$E$14,5)="v"),AND(G38="",E37&lt;&gt;"",OR(E37="T",E37="CJ",E37="F",E37="M"))),SUMIFS($L$10:$L$40,$P$10:$P$40,$P37),""))</f>
        <v>0</v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46536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46536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46537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7"/>
        <v/>
      </c>
      <c r="G39" s="140">
        <f>HLOOKUP($R$2,'CALENDRIER PERPETUEL'!$B$3:$M$34,ROW('CALENDRIER PERPETUEL'!C31),FALSE)</f>
        <v>46537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46538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46538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 ca="1"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20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156 /  180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183.5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str">
        <f>IF(OR($E10="w",$E10="f",$E10=""),"",$L10-Données!$M$9)</f>
        <v/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247" priority="29">
      <formula>IF(INDEX(planning_decoupe_abattage2,MATCH($G10,planning_decoupe_abattage2,1))=$G10,"vrai")</formula>
    </cfRule>
    <cfRule type="expression" dxfId="246" priority="30">
      <formula>$E10="REPOS"</formula>
    </cfRule>
    <cfRule type="expression" dxfId="245" priority="31">
      <formula>$E10="M"</formula>
    </cfRule>
    <cfRule type="expression" dxfId="244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243" priority="28" stopIfTrue="1">
      <formula>$L10&gt;="10:00"*1</formula>
    </cfRule>
  </conditionalFormatting>
  <conditionalFormatting sqref="N10:N40">
    <cfRule type="expression" dxfId="242" priority="26" stopIfTrue="1">
      <formula>$N10&lt;&gt;""</formula>
    </cfRule>
  </conditionalFormatting>
  <conditionalFormatting sqref="L10:L41">
    <cfRule type="expression" dxfId="241" priority="23" stopIfTrue="1">
      <formula>$E10="REPOS"</formula>
    </cfRule>
    <cfRule type="expression" dxfId="240" priority="24" stopIfTrue="1">
      <formula>$E10="M"</formula>
    </cfRule>
    <cfRule type="expression" dxfId="239" priority="25" stopIfTrue="1">
      <formula>$E10="CJ"</formula>
    </cfRule>
  </conditionalFormatting>
  <conditionalFormatting sqref="L10:O40">
    <cfRule type="expression" dxfId="238" priority="20">
      <formula>$E10="REPOS"</formula>
    </cfRule>
    <cfRule type="expression" dxfId="237" priority="21">
      <formula>$E10="M"</formula>
    </cfRule>
    <cfRule type="expression" dxfId="236" priority="22" stopIfTrue="1">
      <formula>$E10="CJ"</formula>
    </cfRule>
  </conditionalFormatting>
  <conditionalFormatting sqref="L10:O40">
    <cfRule type="expression" dxfId="235" priority="19">
      <formula>IF(INDEX(planning_decoupe_abattage2,MATCH($G10,planning_decoupe_abattage2,1))=$G10,"vrai")</formula>
    </cfRule>
  </conditionalFormatting>
  <conditionalFormatting sqref="N10:N40">
    <cfRule type="expression" dxfId="234" priority="18">
      <formula>$N10&lt;&gt;""</formula>
    </cfRule>
  </conditionalFormatting>
  <conditionalFormatting sqref="L10:L40">
    <cfRule type="expression" dxfId="233" priority="12" stopIfTrue="1">
      <formula>IF(INDEX(planning_decoupe_abattage2,MATCH($G10,planning_decoupe_abattage2,1))=$G10,"vrai")</formula>
    </cfRule>
    <cfRule type="expression" dxfId="232" priority="13" stopIfTrue="1">
      <formula>$E10="REPOS"</formula>
    </cfRule>
    <cfRule type="expression" dxfId="231" priority="14" stopIfTrue="1">
      <formula>$E10="w"</formula>
    </cfRule>
    <cfRule type="expression" dxfId="230" priority="15" stopIfTrue="1">
      <formula>$E10="F"</formula>
    </cfRule>
    <cfRule type="expression" dxfId="229" priority="16" stopIfTrue="1">
      <formula>$G10=TODAY()</formula>
    </cfRule>
    <cfRule type="expression" dxfId="228" priority="17" stopIfTrue="1">
      <formula>$E10="CJ"</formula>
    </cfRule>
  </conditionalFormatting>
  <conditionalFormatting sqref="D10:AB41">
    <cfRule type="expression" dxfId="227" priority="6">
      <formula>$E10="M"</formula>
    </cfRule>
    <cfRule type="expression" dxfId="226" priority="7">
      <formula>IF(INDEX(planning_decoupe_abattage2,MATCH($G10,planning_decoupe_abattage2,1))=$G10,"vrai")</formula>
    </cfRule>
    <cfRule type="expression" dxfId="225" priority="8" stopIfTrue="1">
      <formula>$G10=TODAY()</formula>
    </cfRule>
    <cfRule type="expression" dxfId="224" priority="9" stopIfTrue="1">
      <formula>$E10="w"</formula>
    </cfRule>
    <cfRule type="expression" dxfId="223" priority="10">
      <formula>IF(INDEX(planning_decoupe_abattage2,MATCH($G10,planning_decoupe_abattage2,1))=$G10,"vrai")</formula>
    </cfRule>
    <cfRule type="expression" dxfId="222" priority="11" stopIfTrue="1">
      <formula>$E10="F"</formula>
    </cfRule>
  </conditionalFormatting>
  <conditionalFormatting sqref="K10:K41">
    <cfRule type="expression" dxfId="221" priority="5" stopIfTrue="1">
      <formula>$E10="F"</formula>
    </cfRule>
  </conditionalFormatting>
  <conditionalFormatting sqref="D10:L41">
    <cfRule type="expression" dxfId="220" priority="1">
      <formula>$E10="REPOS"</formula>
    </cfRule>
    <cfRule type="expression" dxfId="219" priority="2" stopIfTrue="1">
      <formula>$E10="CJ"</formula>
    </cfRule>
    <cfRule type="expression" dxfId="218" priority="3" stopIfTrue="1">
      <formula>$E10="w"</formula>
    </cfRule>
    <cfRule type="expression" dxfId="217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5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103</v>
      </c>
      <c r="S2" s="53">
        <f>INDEX(Données!K7:K18,MATCH($R$2,Données!$L$7:$L$18,0))</f>
        <v>6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46539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46539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46540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46540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46541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46541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46542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46542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 ca="1"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46543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46543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46544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46544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46545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46545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46546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46546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46547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46547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46548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46548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46549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46549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 ca="1"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46550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46550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46551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46551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46552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46552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46553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46553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46554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46554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46555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46555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46556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46556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 ca="1"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46557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46557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46558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46558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46559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46559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46560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46560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46561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46561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46562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46562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46563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46563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 ca="1"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46564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46564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46565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46565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46566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46566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46567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46567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46568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46568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 ca="1">IF($E39="","",IF(OR((VLOOKUP((TEXT($D39,"jjj")),Données!$A$8:$E$14,5)="v"),AND(G40="",E39&lt;&gt;"",OR(E39="T",E39="CJ",E39="F",E39="M"))),SUMIFS($L$10:$L$40,$P$10:$P$40,$P39),""))</f>
        <v>0</v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7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172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172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192.5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216" priority="29">
      <formula>IF(INDEX(planning_decoupe_abattage2,MATCH($G10,planning_decoupe_abattage2,1))=$G10,"vrai")</formula>
    </cfRule>
    <cfRule type="expression" dxfId="215" priority="30">
      <formula>$E10="REPOS"</formula>
    </cfRule>
    <cfRule type="expression" dxfId="214" priority="31">
      <formula>$E10="M"</formula>
    </cfRule>
    <cfRule type="expression" dxfId="213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212" priority="28" stopIfTrue="1">
      <formula>$L10&gt;="10:00"*1</formula>
    </cfRule>
  </conditionalFormatting>
  <conditionalFormatting sqref="N10:N40">
    <cfRule type="expression" dxfId="211" priority="26" stopIfTrue="1">
      <formula>$N10&lt;&gt;""</formula>
    </cfRule>
  </conditionalFormatting>
  <conditionalFormatting sqref="L10:L41">
    <cfRule type="expression" dxfId="210" priority="23" stopIfTrue="1">
      <formula>$E10="REPOS"</formula>
    </cfRule>
    <cfRule type="expression" dxfId="209" priority="24" stopIfTrue="1">
      <formula>$E10="M"</formula>
    </cfRule>
    <cfRule type="expression" dxfId="208" priority="25" stopIfTrue="1">
      <formula>$E10="CJ"</formula>
    </cfRule>
  </conditionalFormatting>
  <conditionalFormatting sqref="L10:O40">
    <cfRule type="expression" dxfId="207" priority="20">
      <formula>$E10="REPOS"</formula>
    </cfRule>
    <cfRule type="expression" dxfId="206" priority="21">
      <formula>$E10="M"</formula>
    </cfRule>
    <cfRule type="expression" dxfId="205" priority="22" stopIfTrue="1">
      <formula>$E10="CJ"</formula>
    </cfRule>
  </conditionalFormatting>
  <conditionalFormatting sqref="L10:O40">
    <cfRule type="expression" dxfId="204" priority="19">
      <formula>IF(INDEX(planning_decoupe_abattage2,MATCH($G10,planning_decoupe_abattage2,1))=$G10,"vrai")</formula>
    </cfRule>
  </conditionalFormatting>
  <conditionalFormatting sqref="N10:N40">
    <cfRule type="expression" dxfId="203" priority="18">
      <formula>$N10&lt;&gt;""</formula>
    </cfRule>
  </conditionalFormatting>
  <conditionalFormatting sqref="L10:L40">
    <cfRule type="expression" dxfId="202" priority="12" stopIfTrue="1">
      <formula>IF(INDEX(planning_decoupe_abattage2,MATCH($G10,planning_decoupe_abattage2,1))=$G10,"vrai")</formula>
    </cfRule>
    <cfRule type="expression" dxfId="201" priority="13" stopIfTrue="1">
      <formula>$E10="REPOS"</formula>
    </cfRule>
    <cfRule type="expression" dxfId="200" priority="14" stopIfTrue="1">
      <formula>$E10="w"</formula>
    </cfRule>
    <cfRule type="expression" dxfId="199" priority="15" stopIfTrue="1">
      <formula>$E10="F"</formula>
    </cfRule>
    <cfRule type="expression" dxfId="198" priority="16" stopIfTrue="1">
      <formula>$G10=TODAY()</formula>
    </cfRule>
    <cfRule type="expression" dxfId="197" priority="17" stopIfTrue="1">
      <formula>$E10="CJ"</formula>
    </cfRule>
  </conditionalFormatting>
  <conditionalFormatting sqref="D10:AB41">
    <cfRule type="expression" dxfId="196" priority="6">
      <formula>$E10="M"</formula>
    </cfRule>
    <cfRule type="expression" dxfId="195" priority="7">
      <formula>IF(INDEX(planning_decoupe_abattage2,MATCH($G10,planning_decoupe_abattage2,1))=$G10,"vrai")</formula>
    </cfRule>
    <cfRule type="expression" dxfId="194" priority="8" stopIfTrue="1">
      <formula>$G10=TODAY()</formula>
    </cfRule>
    <cfRule type="expression" dxfId="193" priority="9" stopIfTrue="1">
      <formula>$E10="w"</formula>
    </cfRule>
    <cfRule type="expression" dxfId="192" priority="10">
      <formula>IF(INDEX(planning_decoupe_abattage2,MATCH($G10,planning_decoupe_abattage2,1))=$G10,"vrai")</formula>
    </cfRule>
    <cfRule type="expression" dxfId="191" priority="11" stopIfTrue="1">
      <formula>$E10="F"</formula>
    </cfRule>
  </conditionalFormatting>
  <conditionalFormatting sqref="K10:K41">
    <cfRule type="expression" dxfId="190" priority="5" stopIfTrue="1">
      <formula>$E10="F"</formula>
    </cfRule>
  </conditionalFormatting>
  <conditionalFormatting sqref="D10:L41">
    <cfRule type="expression" dxfId="189" priority="1">
      <formula>$E10="REPOS"</formula>
    </cfRule>
    <cfRule type="expression" dxfId="188" priority="2" stopIfTrue="1">
      <formula>$E10="CJ"</formula>
    </cfRule>
    <cfRule type="expression" dxfId="187" priority="3" stopIfTrue="1">
      <formula>$E10="w"</formula>
    </cfRule>
    <cfRule type="expression" dxfId="186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6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104</v>
      </c>
      <c r="S2" s="53">
        <f>INDEX(Données!K7:K18,MATCH($R$2,Données!$L$7:$L$18,0))</f>
        <v>7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46569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7</v>
      </c>
      <c r="G10" s="140">
        <f>HLOOKUP($R$2,'CALENDRIER PERPETUEL'!$B$3:$M$34,ROW('CALENDRIER PERPETUEL'!C2),FALSE)</f>
        <v>46569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46570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7</v>
      </c>
      <c r="G11" s="140">
        <f>HLOOKUP($R$2,'CALENDRIER PERPETUEL'!$B$3:$M$34,ROW('CALENDRIER PERPETUEL'!C3),FALSE)</f>
        <v>46570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>
        <f ca="1">IF($E11="","",IF(OR((VLOOKUP((TEXT($D11,"jjj")),Données!$A$8:$E$14,5)="v"),AND(G12="",E11&lt;&gt;"",OR(E11="T",E11="CJ",E11="F",E11="M"))),SUMIFS($L$10:$L$40,$P$10:$P$40,$P11),""))</f>
        <v>0</v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46571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7">IF(D12="","",IF(E12=W,"",IF(TEXT(D12,"[$-40C]jjj")="ven.",7,8)))</f>
        <v/>
      </c>
      <c r="G12" s="140">
        <f>HLOOKUP($R$2,'CALENDRIER PERPETUEL'!$B$3:$M$34,ROW('CALENDRIER PERPETUEL'!C4),FALSE)</f>
        <v>46571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46572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7"/>
        <v/>
      </c>
      <c r="G13" s="140">
        <f>HLOOKUP($R$2,'CALENDRIER PERPETUEL'!$B$3:$M$34,ROW('CALENDRIER PERPETUEL'!C5),FALSE)</f>
        <v>46572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46573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46573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46574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46574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46575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46575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46576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46576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46577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7</v>
      </c>
      <c r="G18" s="140">
        <f>HLOOKUP($R$2,'CALENDRIER PERPETUEL'!$B$3:$M$34,ROW('CALENDRIER PERPETUEL'!C10),FALSE)</f>
        <v>46577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>
        <f ca="1">IF($E18="","",IF(OR((VLOOKUP((TEXT($D18,"jjj")),Données!$A$8:$E$14,5)="v"),AND(G19="",E18&lt;&gt;"",OR(E18="T",E18="CJ",E18="F",E18="M"))),SUMIFS($L$10:$L$40,$P$10:$P$40,$P18),""))</f>
        <v>0</v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46578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7"/>
        <v/>
      </c>
      <c r="G19" s="140">
        <f>HLOOKUP($R$2,'CALENDRIER PERPETUEL'!$B$3:$M$34,ROW('CALENDRIER PERPETUEL'!C11),FALSE)</f>
        <v>46578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46579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7"/>
        <v/>
      </c>
      <c r="G20" s="140">
        <f>HLOOKUP($R$2,'CALENDRIER PERPETUEL'!$B$3:$M$34,ROW('CALENDRIER PERPETUEL'!C12),FALSE)</f>
        <v>46579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46580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46580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46581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46581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46582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F</v>
      </c>
      <c r="F23" s="156">
        <f t="shared" si="7"/>
        <v>8</v>
      </c>
      <c r="G23" s="140">
        <f>HLOOKUP($R$2,'CALENDRIER PERPETUEL'!$B$3:$M$34,ROW('CALENDRIER PERPETUEL'!C15),FALSE)</f>
        <v>46582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46583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46583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46584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7</v>
      </c>
      <c r="G25" s="140">
        <f>HLOOKUP($R$2,'CALENDRIER PERPETUEL'!$B$3:$M$34,ROW('CALENDRIER PERPETUEL'!C17),FALSE)</f>
        <v>46584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>
        <f ca="1">IF($E25="","",IF(OR((VLOOKUP((TEXT($D25,"jjj")),Données!$A$8:$E$14,5)="v"),AND(G26="",E25&lt;&gt;"",OR(E25="T",E25="CJ",E25="F",E25="M"))),SUMIFS($L$10:$L$40,$P$10:$P$40,$P25),""))</f>
        <v>0</v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46585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7"/>
        <v/>
      </c>
      <c r="G26" s="140">
        <f>HLOOKUP($R$2,'CALENDRIER PERPETUEL'!$B$3:$M$34,ROW('CALENDRIER PERPETUEL'!C18),FALSE)</f>
        <v>46585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46586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7"/>
        <v/>
      </c>
      <c r="G27" s="140">
        <f>HLOOKUP($R$2,'CALENDRIER PERPETUEL'!$B$3:$M$34,ROW('CALENDRIER PERPETUEL'!C19),FALSE)</f>
        <v>46586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46587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46587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46588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46588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46589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46589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46590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46590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46591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7</v>
      </c>
      <c r="G32" s="140">
        <f>HLOOKUP($R$2,'CALENDRIER PERPETUEL'!$B$3:$M$34,ROW('CALENDRIER PERPETUEL'!C24),FALSE)</f>
        <v>46591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>
        <f ca="1">IF($E32="","",IF(OR((VLOOKUP((TEXT($D32,"jjj")),Données!$A$8:$E$14,5)="v"),AND(G33="",E32&lt;&gt;"",OR(E32="T",E32="CJ",E32="F",E32="M"))),SUMIFS($L$10:$L$40,$P$10:$P$40,$P32),""))</f>
        <v>0</v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46592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7"/>
        <v/>
      </c>
      <c r="G33" s="140">
        <f>HLOOKUP($R$2,'CALENDRIER PERPETUEL'!$B$3:$M$34,ROW('CALENDRIER PERPETUEL'!C25),FALSE)</f>
        <v>46592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46593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7"/>
        <v/>
      </c>
      <c r="G34" s="140">
        <f>HLOOKUP($R$2,'CALENDRIER PERPETUEL'!$B$3:$M$34,ROW('CALENDRIER PERPETUEL'!C26),FALSE)</f>
        <v>46593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46594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46594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46595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46595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46596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46596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46597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46597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46598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7</v>
      </c>
      <c r="G39" s="140">
        <f>HLOOKUP($R$2,'CALENDRIER PERPETUEL'!$B$3:$M$34,ROW('CALENDRIER PERPETUEL'!C31),FALSE)</f>
        <v>46598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 ca="1">IF($E39="","",IF(OR((VLOOKUP((TEXT($D39,"jjj")),Données!$A$8:$E$14,5)="v"),AND(G40="",E39&lt;&gt;"",OR(E39="T",E39="CJ",E39="F",E39="M"))),SUMIFS($L$10:$L$40,$P$10:$P$40,$P39),""))</f>
        <v>0</v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46599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7"/>
        <v/>
      </c>
      <c r="G40" s="140">
        <f>HLOOKUP($R$2,'CALENDRIER PERPETUEL'!$B$3:$M$34,ROW('CALENDRIER PERPETUEL'!C32),FALSE)</f>
        <v>46599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21</v>
      </c>
      <c r="J45" s="298"/>
      <c r="K45" s="298"/>
      <c r="L45" s="299"/>
      <c r="M45" s="52">
        <f>SUM(F10:F40)</f>
        <v>170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162 /  170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180.25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185" priority="29">
      <formula>IF(INDEX(planning_decoupe_abattage2,MATCH($G10,planning_decoupe_abattage2,1))=$G10,"vrai")</formula>
    </cfRule>
    <cfRule type="expression" dxfId="184" priority="30">
      <formula>$E10="REPOS"</formula>
    </cfRule>
    <cfRule type="expression" dxfId="183" priority="31">
      <formula>$E10="M"</formula>
    </cfRule>
    <cfRule type="expression" dxfId="182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181" priority="28" stopIfTrue="1">
      <formula>$L10&gt;="10:00"*1</formula>
    </cfRule>
  </conditionalFormatting>
  <conditionalFormatting sqref="N10:N40">
    <cfRule type="expression" dxfId="180" priority="26" stopIfTrue="1">
      <formula>$N10&lt;&gt;""</formula>
    </cfRule>
  </conditionalFormatting>
  <conditionalFormatting sqref="L10:L41">
    <cfRule type="expression" dxfId="179" priority="23" stopIfTrue="1">
      <formula>$E10="REPOS"</formula>
    </cfRule>
    <cfRule type="expression" dxfId="178" priority="24" stopIfTrue="1">
      <formula>$E10="M"</formula>
    </cfRule>
    <cfRule type="expression" dxfId="177" priority="25" stopIfTrue="1">
      <formula>$E10="CJ"</formula>
    </cfRule>
  </conditionalFormatting>
  <conditionalFormatting sqref="L10:O40">
    <cfRule type="expression" dxfId="176" priority="20">
      <formula>$E10="REPOS"</formula>
    </cfRule>
    <cfRule type="expression" dxfId="175" priority="21">
      <formula>$E10="M"</formula>
    </cfRule>
    <cfRule type="expression" dxfId="174" priority="22" stopIfTrue="1">
      <formula>$E10="CJ"</formula>
    </cfRule>
  </conditionalFormatting>
  <conditionalFormatting sqref="L10:O40">
    <cfRule type="expression" dxfId="173" priority="19">
      <formula>IF(INDEX(planning_decoupe_abattage2,MATCH($G10,planning_decoupe_abattage2,1))=$G10,"vrai")</formula>
    </cfRule>
  </conditionalFormatting>
  <conditionalFormatting sqref="N10:N40">
    <cfRule type="expression" dxfId="172" priority="18">
      <formula>$N10&lt;&gt;""</formula>
    </cfRule>
  </conditionalFormatting>
  <conditionalFormatting sqref="L10:L40">
    <cfRule type="expression" dxfId="171" priority="12" stopIfTrue="1">
      <formula>IF(INDEX(planning_decoupe_abattage2,MATCH($G10,planning_decoupe_abattage2,1))=$G10,"vrai")</formula>
    </cfRule>
    <cfRule type="expression" dxfId="170" priority="13" stopIfTrue="1">
      <formula>$E10="REPOS"</formula>
    </cfRule>
    <cfRule type="expression" dxfId="169" priority="14" stopIfTrue="1">
      <formula>$E10="w"</formula>
    </cfRule>
    <cfRule type="expression" dxfId="168" priority="15" stopIfTrue="1">
      <formula>$E10="F"</formula>
    </cfRule>
    <cfRule type="expression" dxfId="167" priority="16" stopIfTrue="1">
      <formula>$G10=TODAY()</formula>
    </cfRule>
    <cfRule type="expression" dxfId="166" priority="17" stopIfTrue="1">
      <formula>$E10="CJ"</formula>
    </cfRule>
  </conditionalFormatting>
  <conditionalFormatting sqref="D10:AB41">
    <cfRule type="expression" dxfId="165" priority="6">
      <formula>$E10="M"</formula>
    </cfRule>
    <cfRule type="expression" dxfId="164" priority="7">
      <formula>IF(INDEX(planning_decoupe_abattage2,MATCH($G10,planning_decoupe_abattage2,1))=$G10,"vrai")</formula>
    </cfRule>
    <cfRule type="expression" dxfId="163" priority="8" stopIfTrue="1">
      <formula>$G10=TODAY()</formula>
    </cfRule>
    <cfRule type="expression" dxfId="162" priority="9" stopIfTrue="1">
      <formula>$E10="w"</formula>
    </cfRule>
    <cfRule type="expression" dxfId="161" priority="10">
      <formula>IF(INDEX(planning_decoupe_abattage2,MATCH($G10,planning_decoupe_abattage2,1))=$G10,"vrai")</formula>
    </cfRule>
    <cfRule type="expression" dxfId="160" priority="11" stopIfTrue="1">
      <formula>$E10="F"</formula>
    </cfRule>
  </conditionalFormatting>
  <conditionalFormatting sqref="K10:K41">
    <cfRule type="expression" dxfId="159" priority="5" stopIfTrue="1">
      <formula>$E10="F"</formula>
    </cfRule>
  </conditionalFormatting>
  <conditionalFormatting sqref="D10:L41">
    <cfRule type="expression" dxfId="158" priority="1">
      <formula>$E10="REPOS"</formula>
    </cfRule>
    <cfRule type="expression" dxfId="157" priority="2" stopIfTrue="1">
      <formula>$E10="CJ"</formula>
    </cfRule>
    <cfRule type="expression" dxfId="156" priority="3" stopIfTrue="1">
      <formula>$E10="w"</formula>
    </cfRule>
    <cfRule type="expression" dxfId="155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7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105</v>
      </c>
      <c r="S2" s="53">
        <f>INDEX(Données!K7:K18,MATCH($R$2,Données!$L$7:$L$18,0))</f>
        <v>8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 ca="1"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 ca="1"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 ca="1"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 ca="1"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 ca="1"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200.25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str">
        <f>IF(OR($E10="w",$E10="f",$E10=""),"",$L10-Données!$M$9)</f>
        <v/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154" priority="29">
      <formula>IF(INDEX(planning_decoupe_abattage2,MATCH($G10,planning_decoupe_abattage2,1))=$G10,"vrai")</formula>
    </cfRule>
    <cfRule type="expression" dxfId="153" priority="30">
      <formula>$E10="REPOS"</formula>
    </cfRule>
    <cfRule type="expression" dxfId="152" priority="31">
      <formula>$E10="M"</formula>
    </cfRule>
    <cfRule type="expression" dxfId="151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150" priority="28" stopIfTrue="1">
      <formula>$L10&gt;="10:00"*1</formula>
    </cfRule>
  </conditionalFormatting>
  <conditionalFormatting sqref="N10:N40">
    <cfRule type="expression" dxfId="149" priority="26" stopIfTrue="1">
      <formula>$N10&lt;&gt;""</formula>
    </cfRule>
  </conditionalFormatting>
  <conditionalFormatting sqref="L10:L41">
    <cfRule type="expression" dxfId="148" priority="23" stopIfTrue="1">
      <formula>$E10="REPOS"</formula>
    </cfRule>
    <cfRule type="expression" dxfId="147" priority="24" stopIfTrue="1">
      <formula>$E10="M"</formula>
    </cfRule>
    <cfRule type="expression" dxfId="146" priority="25" stopIfTrue="1">
      <formula>$E10="CJ"</formula>
    </cfRule>
  </conditionalFormatting>
  <conditionalFormatting sqref="L10:O40">
    <cfRule type="expression" dxfId="145" priority="20">
      <formula>$E10="REPOS"</formula>
    </cfRule>
    <cfRule type="expression" dxfId="144" priority="21">
      <formula>$E10="M"</formula>
    </cfRule>
    <cfRule type="expression" dxfId="143" priority="22" stopIfTrue="1">
      <formula>$E10="CJ"</formula>
    </cfRule>
  </conditionalFormatting>
  <conditionalFormatting sqref="L10:O40">
    <cfRule type="expression" dxfId="142" priority="19">
      <formula>IF(INDEX(planning_decoupe_abattage2,MATCH($G10,planning_decoupe_abattage2,1))=$G10,"vrai")</formula>
    </cfRule>
  </conditionalFormatting>
  <conditionalFormatting sqref="N10:N40">
    <cfRule type="expression" dxfId="141" priority="18">
      <formula>$N10&lt;&gt;""</formula>
    </cfRule>
  </conditionalFormatting>
  <conditionalFormatting sqref="L10:L40">
    <cfRule type="expression" dxfId="140" priority="12" stopIfTrue="1">
      <formula>IF(INDEX(planning_decoupe_abattage2,MATCH($G10,planning_decoupe_abattage2,1))=$G10,"vrai")</formula>
    </cfRule>
    <cfRule type="expression" dxfId="139" priority="13" stopIfTrue="1">
      <formula>$E10="REPOS"</formula>
    </cfRule>
    <cfRule type="expression" dxfId="138" priority="14" stopIfTrue="1">
      <formula>$E10="w"</formula>
    </cfRule>
    <cfRule type="expression" dxfId="137" priority="15" stopIfTrue="1">
      <formula>$E10="F"</formula>
    </cfRule>
    <cfRule type="expression" dxfId="136" priority="16" stopIfTrue="1">
      <formula>$G10=TODAY()</formula>
    </cfRule>
    <cfRule type="expression" dxfId="135" priority="17" stopIfTrue="1">
      <formula>$E10="CJ"</formula>
    </cfRule>
  </conditionalFormatting>
  <conditionalFormatting sqref="D10:AB41">
    <cfRule type="expression" dxfId="134" priority="6">
      <formula>$E10="M"</formula>
    </cfRule>
    <cfRule type="expression" dxfId="133" priority="7">
      <formula>IF(INDEX(planning_decoupe_abattage2,MATCH($G10,planning_decoupe_abattage2,1))=$G10,"vrai")</formula>
    </cfRule>
    <cfRule type="expression" dxfId="132" priority="8" stopIfTrue="1">
      <formula>$G10=TODAY()</formula>
    </cfRule>
    <cfRule type="expression" dxfId="131" priority="9" stopIfTrue="1">
      <formula>$E10="w"</formula>
    </cfRule>
    <cfRule type="expression" dxfId="130" priority="10">
      <formula>IF(INDEX(planning_decoupe_abattage2,MATCH($G10,planning_decoupe_abattage2,1))=$G10,"vrai")</formula>
    </cfRule>
    <cfRule type="expression" dxfId="129" priority="11" stopIfTrue="1">
      <formula>$E10="F"</formula>
    </cfRule>
  </conditionalFormatting>
  <conditionalFormatting sqref="K10:K41">
    <cfRule type="expression" dxfId="128" priority="5" stopIfTrue="1">
      <formula>$E10="F"</formula>
    </cfRule>
  </conditionalFormatting>
  <conditionalFormatting sqref="D10:L41">
    <cfRule type="expression" dxfId="127" priority="1">
      <formula>$E10="REPOS"</formula>
    </cfRule>
    <cfRule type="expression" dxfId="126" priority="2" stopIfTrue="1">
      <formula>$E10="CJ"</formula>
    </cfRule>
    <cfRule type="expression" dxfId="125" priority="3" stopIfTrue="1">
      <formula>$E10="w"</formula>
    </cfRule>
    <cfRule type="expression" dxfId="124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8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106</v>
      </c>
      <c r="S2" s="53">
        <f>INDEX(Données!K7:K18,MATCH($R$2,Données!$L$7:$L$18,0))</f>
        <v>9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46631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46631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46632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46632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46633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7</v>
      </c>
      <c r="G12" s="140">
        <f>HLOOKUP($R$2,'CALENDRIER PERPETUEL'!$B$3:$M$34,ROW('CALENDRIER PERPETUEL'!C4),FALSE)</f>
        <v>46633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>
        <f ca="1">IF($E12="","",IF(OR((VLOOKUP((TEXT($D12,"jjj")),Données!$A$8:$E$14,5)="v"),AND(G13="",E12&lt;&gt;"",OR(E12="T",E12="CJ",E12="F",E12="M"))),SUMIFS($L$10:$L$40,$P$10:$P$40,$P12),""))</f>
        <v>0</v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46634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7"/>
        <v/>
      </c>
      <c r="G13" s="140">
        <f>HLOOKUP($R$2,'CALENDRIER PERPETUEL'!$B$3:$M$34,ROW('CALENDRIER PERPETUEL'!C5),FALSE)</f>
        <v>46634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46635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46635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46636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46636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46637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46637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46638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46638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46639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46639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46640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7</v>
      </c>
      <c r="G19" s="140">
        <f>HLOOKUP($R$2,'CALENDRIER PERPETUEL'!$B$3:$M$34,ROW('CALENDRIER PERPETUEL'!C11),FALSE)</f>
        <v>46640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>
        <f ca="1">IF($E19="","",IF(OR((VLOOKUP((TEXT($D19,"jjj")),Données!$A$8:$E$14,5)="v"),AND(G20="",E19&lt;&gt;"",OR(E19="T",E19="CJ",E19="F",E19="M"))),SUMIFS($L$10:$L$40,$P$10:$P$40,$P19),""))</f>
        <v>0</v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46641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7"/>
        <v/>
      </c>
      <c r="G20" s="140">
        <f>HLOOKUP($R$2,'CALENDRIER PERPETUEL'!$B$3:$M$34,ROW('CALENDRIER PERPETUEL'!C12),FALSE)</f>
        <v>46641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46642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46642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46643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46643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46644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46644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46645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46645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46646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46646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46647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7</v>
      </c>
      <c r="G26" s="140">
        <f>HLOOKUP($R$2,'CALENDRIER PERPETUEL'!$B$3:$M$34,ROW('CALENDRIER PERPETUEL'!C18),FALSE)</f>
        <v>46647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>
        <f ca="1">IF($E26="","",IF(OR((VLOOKUP((TEXT($D26,"jjj")),Données!$A$8:$E$14,5)="v"),AND(G27="",E26&lt;&gt;"",OR(E26="T",E26="CJ",E26="F",E26="M"))),SUMIFS($L$10:$L$40,$P$10:$P$40,$P26),""))</f>
        <v>0</v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46648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7"/>
        <v/>
      </c>
      <c r="G27" s="140">
        <f>HLOOKUP($R$2,'CALENDRIER PERPETUEL'!$B$3:$M$34,ROW('CALENDRIER PERPETUEL'!C19),FALSE)</f>
        <v>46648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46649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46649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46650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46650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46651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46651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46652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46652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46653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46653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46654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7</v>
      </c>
      <c r="G33" s="140">
        <f>HLOOKUP($R$2,'CALENDRIER PERPETUEL'!$B$3:$M$34,ROW('CALENDRIER PERPETUEL'!C25),FALSE)</f>
        <v>46654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>
        <f ca="1">IF($E33="","",IF(OR((VLOOKUP((TEXT($D33,"jjj")),Données!$A$8:$E$14,5)="v"),AND(G34="",E33&lt;&gt;"",OR(E33="T",E33="CJ",E33="F",E33="M"))),SUMIFS($L$10:$L$40,$P$10:$P$40,$P33),""))</f>
        <v>0</v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46655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W</v>
      </c>
      <c r="F34" s="156" t="str">
        <f t="shared" si="7"/>
        <v/>
      </c>
      <c r="G34" s="140">
        <f>HLOOKUP($R$2,'CALENDRIER PERPETUEL'!$B$3:$M$34,ROW('CALENDRIER PERPETUEL'!C26),FALSE)</f>
        <v>46655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46656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46656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46657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46657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46658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46658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46659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46659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46660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46660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 ca="1">IF($E39="","",IF(OR((VLOOKUP((TEXT($D39,"jjj")),Données!$A$8:$E$14,5)="v"),AND(G40="",E39&lt;&gt;"",OR(E39="T",E39="CJ",E39="F",E39="M"))),SUMIFS($L$10:$L$40,$P$10:$P$40,$P39),""))</f>
        <v>0</v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7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172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172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192.5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123" priority="29">
      <formula>IF(INDEX(planning_decoupe_abattage2,MATCH($G10,planning_decoupe_abattage2,1))=$G10,"vrai")</formula>
    </cfRule>
    <cfRule type="expression" dxfId="122" priority="30">
      <formula>$E10="REPOS"</formula>
    </cfRule>
    <cfRule type="expression" dxfId="121" priority="31">
      <formula>$E10="M"</formula>
    </cfRule>
    <cfRule type="expression" dxfId="120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119" priority="28" stopIfTrue="1">
      <formula>$L10&gt;="10:00"*1</formula>
    </cfRule>
  </conditionalFormatting>
  <conditionalFormatting sqref="N10:N40">
    <cfRule type="expression" dxfId="118" priority="26" stopIfTrue="1">
      <formula>$N10&lt;&gt;""</formula>
    </cfRule>
  </conditionalFormatting>
  <conditionalFormatting sqref="L10:L41">
    <cfRule type="expression" dxfId="117" priority="23" stopIfTrue="1">
      <formula>$E10="REPOS"</formula>
    </cfRule>
    <cfRule type="expression" dxfId="116" priority="24" stopIfTrue="1">
      <formula>$E10="M"</formula>
    </cfRule>
    <cfRule type="expression" dxfId="115" priority="25" stopIfTrue="1">
      <formula>$E10="CJ"</formula>
    </cfRule>
  </conditionalFormatting>
  <conditionalFormatting sqref="L10:O40">
    <cfRule type="expression" dxfId="114" priority="20">
      <formula>$E10="REPOS"</formula>
    </cfRule>
    <cfRule type="expression" dxfId="113" priority="21">
      <formula>$E10="M"</formula>
    </cfRule>
    <cfRule type="expression" dxfId="112" priority="22" stopIfTrue="1">
      <formula>$E10="CJ"</formula>
    </cfRule>
  </conditionalFormatting>
  <conditionalFormatting sqref="L10:O40">
    <cfRule type="expression" dxfId="111" priority="19">
      <formula>IF(INDEX(planning_decoupe_abattage2,MATCH($G10,planning_decoupe_abattage2,1))=$G10,"vrai")</formula>
    </cfRule>
  </conditionalFormatting>
  <conditionalFormatting sqref="N10:N40">
    <cfRule type="expression" dxfId="110" priority="18">
      <formula>$N10&lt;&gt;""</formula>
    </cfRule>
  </conditionalFormatting>
  <conditionalFormatting sqref="L10:L40">
    <cfRule type="expression" dxfId="109" priority="12" stopIfTrue="1">
      <formula>IF(INDEX(planning_decoupe_abattage2,MATCH($G10,planning_decoupe_abattage2,1))=$G10,"vrai")</formula>
    </cfRule>
    <cfRule type="expression" dxfId="108" priority="13" stopIfTrue="1">
      <formula>$E10="REPOS"</formula>
    </cfRule>
    <cfRule type="expression" dxfId="107" priority="14" stopIfTrue="1">
      <formula>$E10="w"</formula>
    </cfRule>
    <cfRule type="expression" dxfId="106" priority="15" stopIfTrue="1">
      <formula>$E10="F"</formula>
    </cfRule>
    <cfRule type="expression" dxfId="105" priority="16" stopIfTrue="1">
      <formula>$G10=TODAY()</formula>
    </cfRule>
    <cfRule type="expression" dxfId="104" priority="17" stopIfTrue="1">
      <formula>$E10="CJ"</formula>
    </cfRule>
  </conditionalFormatting>
  <conditionalFormatting sqref="D10:AB41">
    <cfRule type="expression" dxfId="103" priority="6">
      <formula>$E10="M"</formula>
    </cfRule>
    <cfRule type="expression" dxfId="102" priority="7">
      <formula>IF(INDEX(planning_decoupe_abattage2,MATCH($G10,planning_decoupe_abattage2,1))=$G10,"vrai")</formula>
    </cfRule>
    <cfRule type="expression" dxfId="101" priority="8" stopIfTrue="1">
      <formula>$G10=TODAY()</formula>
    </cfRule>
    <cfRule type="expression" dxfId="100" priority="9" stopIfTrue="1">
      <formula>$E10="w"</formula>
    </cfRule>
    <cfRule type="expression" dxfId="99" priority="10">
      <formula>IF(INDEX(planning_decoupe_abattage2,MATCH($G10,planning_decoupe_abattage2,1))=$G10,"vrai")</formula>
    </cfRule>
    <cfRule type="expression" dxfId="98" priority="11" stopIfTrue="1">
      <formula>$E10="F"</formula>
    </cfRule>
  </conditionalFormatting>
  <conditionalFormatting sqref="K10:K41">
    <cfRule type="expression" dxfId="97" priority="5" stopIfTrue="1">
      <formula>$E10="F"</formula>
    </cfRule>
  </conditionalFormatting>
  <conditionalFormatting sqref="D10:L41">
    <cfRule type="expression" dxfId="96" priority="1">
      <formula>$E10="REPOS"</formula>
    </cfRule>
    <cfRule type="expression" dxfId="95" priority="2" stopIfTrue="1">
      <formula>$E10="CJ"</formula>
    </cfRule>
    <cfRule type="expression" dxfId="94" priority="3" stopIfTrue="1">
      <formula>$E10="w"</formula>
    </cfRule>
    <cfRule type="expression" dxfId="93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9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107</v>
      </c>
      <c r="S2" s="53">
        <f>INDEX(Données!K7:K18,MATCH($R$2,Données!$L$7:$L$18,0))</f>
        <v>10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46661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46661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>
        <f ca="1">IF($E10="","",IF(OR((VLOOKUP((TEXT($D10,"jjj")),Données!$A$8:$E$14,5)="v"),AND(G11="",E10&lt;&gt;"",OR(E10="T",E10="CJ",E10="F",E10="M"))),SUMIFS($L$10:$L$40,$P$10:$P$40,$P10),""))</f>
        <v>0</v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46662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W</v>
      </c>
      <c r="F11" s="156" t="str">
        <f>IF(D11="","",IF(E11=W,"",IF(WEEKDAY(D11,2)=5,7,8)))</f>
        <v/>
      </c>
      <c r="G11" s="140">
        <f>HLOOKUP($R$2,'CALENDRIER PERPETUEL'!$B$3:$M$34,ROW('CALENDRIER PERPETUEL'!C3),FALSE)</f>
        <v>46662</v>
      </c>
      <c r="H11" s="54"/>
      <c r="I11" s="54" t="str">
        <f t="shared" si="0"/>
        <v/>
      </c>
      <c r="J11" s="147" t="str">
        <f t="shared" si="1"/>
        <v/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46663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W</v>
      </c>
      <c r="F12" s="156" t="str">
        <f t="shared" ref="F12:F40" si="7">IF(D12="","",IF(E12=W,"",IF(TEXT(D12,"[$-40C]jjj")="ven.",7,8)))</f>
        <v/>
      </c>
      <c r="G12" s="140">
        <f>HLOOKUP($R$2,'CALENDRIER PERPETUEL'!$B$3:$M$34,ROW('CALENDRIER PERPETUEL'!C4),FALSE)</f>
        <v>46663</v>
      </c>
      <c r="H12" s="54"/>
      <c r="I12" s="54" t="str">
        <f t="shared" si="0"/>
        <v/>
      </c>
      <c r="J12" s="147" t="str">
        <f t="shared" si="1"/>
        <v/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46664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46664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46665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46665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46666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46666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46667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46667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46668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7</v>
      </c>
      <c r="G17" s="140">
        <f>HLOOKUP($R$2,'CALENDRIER PERPETUEL'!$B$3:$M$34,ROW('CALENDRIER PERPETUEL'!C9),FALSE)</f>
        <v>46668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>
        <f ca="1">IF($E17="","",IF(OR((VLOOKUP((TEXT($D17,"jjj")),Données!$A$8:$E$14,5)="v"),AND(G18="",E17&lt;&gt;"",OR(E17="T",E17="CJ",E17="F",E17="M"))),SUMIFS($L$10:$L$40,$P$10:$P$40,$P17),""))</f>
        <v>0</v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46669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W</v>
      </c>
      <c r="F18" s="156" t="str">
        <f t="shared" si="7"/>
        <v/>
      </c>
      <c r="G18" s="140">
        <f>HLOOKUP($R$2,'CALENDRIER PERPETUEL'!$B$3:$M$34,ROW('CALENDRIER PERPETUEL'!C10),FALSE)</f>
        <v>46669</v>
      </c>
      <c r="H18" s="54"/>
      <c r="I18" s="54" t="str">
        <f t="shared" si="0"/>
        <v/>
      </c>
      <c r="J18" s="147" t="str">
        <f t="shared" si="1"/>
        <v/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46670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W</v>
      </c>
      <c r="F19" s="156" t="str">
        <f t="shared" si="7"/>
        <v/>
      </c>
      <c r="G19" s="140">
        <f>HLOOKUP($R$2,'CALENDRIER PERPETUEL'!$B$3:$M$34,ROW('CALENDRIER PERPETUEL'!C11),FALSE)</f>
        <v>46670</v>
      </c>
      <c r="H19" s="54"/>
      <c r="I19" s="54" t="str">
        <f t="shared" si="0"/>
        <v/>
      </c>
      <c r="J19" s="147" t="str">
        <f t="shared" si="1"/>
        <v/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46671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46671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46672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46672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46673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46673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46674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46674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46675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7</v>
      </c>
      <c r="G24" s="140">
        <f>HLOOKUP($R$2,'CALENDRIER PERPETUEL'!$B$3:$M$34,ROW('CALENDRIER PERPETUEL'!C16),FALSE)</f>
        <v>46675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>
        <f ca="1">IF($E24="","",IF(OR((VLOOKUP((TEXT($D24,"jjj")),Données!$A$8:$E$14,5)="v"),AND(G25="",E24&lt;&gt;"",OR(E24="T",E24="CJ",E24="F",E24="M"))),SUMIFS($L$10:$L$40,$P$10:$P$40,$P24),""))</f>
        <v>0</v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46676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W</v>
      </c>
      <c r="F25" s="156" t="str">
        <f t="shared" si="7"/>
        <v/>
      </c>
      <c r="G25" s="140">
        <f>HLOOKUP($R$2,'CALENDRIER PERPETUEL'!$B$3:$M$34,ROW('CALENDRIER PERPETUEL'!C17),FALSE)</f>
        <v>46676</v>
      </c>
      <c r="H25" s="54"/>
      <c r="I25" s="54" t="str">
        <f t="shared" si="0"/>
        <v/>
      </c>
      <c r="J25" s="147" t="str">
        <f t="shared" si="1"/>
        <v/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46677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W</v>
      </c>
      <c r="F26" s="156" t="str">
        <f t="shared" si="7"/>
        <v/>
      </c>
      <c r="G26" s="140">
        <f>HLOOKUP($R$2,'CALENDRIER PERPETUEL'!$B$3:$M$34,ROW('CALENDRIER PERPETUEL'!C18),FALSE)</f>
        <v>46677</v>
      </c>
      <c r="H26" s="54"/>
      <c r="I26" s="54" t="str">
        <f t="shared" si="0"/>
        <v/>
      </c>
      <c r="J26" s="147" t="str">
        <f t="shared" si="1"/>
        <v/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46678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46678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46679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46679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46680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46680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46681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46681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46682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7</v>
      </c>
      <c r="G31" s="140">
        <f>HLOOKUP($R$2,'CALENDRIER PERPETUEL'!$B$3:$M$34,ROW('CALENDRIER PERPETUEL'!C23),FALSE)</f>
        <v>46682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>
        <f ca="1">IF($E31="","",IF(OR((VLOOKUP((TEXT($D31,"jjj")),Données!$A$8:$E$14,5)="v"),AND(G32="",E31&lt;&gt;"",OR(E31="T",E31="CJ",E31="F",E31="M"))),SUMIFS($L$10:$L$40,$P$10:$P$40,$P31),""))</f>
        <v>0</v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46683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W</v>
      </c>
      <c r="F32" s="156" t="str">
        <f t="shared" si="7"/>
        <v/>
      </c>
      <c r="G32" s="140">
        <f>HLOOKUP($R$2,'CALENDRIER PERPETUEL'!$B$3:$M$34,ROW('CALENDRIER PERPETUEL'!C24),FALSE)</f>
        <v>46683</v>
      </c>
      <c r="H32" s="54"/>
      <c r="I32" s="54" t="str">
        <f t="shared" si="0"/>
        <v/>
      </c>
      <c r="J32" s="147" t="str">
        <f t="shared" si="1"/>
        <v/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46684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W</v>
      </c>
      <c r="F33" s="156" t="str">
        <f t="shared" si="7"/>
        <v/>
      </c>
      <c r="G33" s="140">
        <f>HLOOKUP($R$2,'CALENDRIER PERPETUEL'!$B$3:$M$34,ROW('CALENDRIER PERPETUEL'!C25),FALSE)</f>
        <v>46684</v>
      </c>
      <c r="H33" s="54"/>
      <c r="I33" s="54" t="str">
        <f t="shared" si="0"/>
        <v/>
      </c>
      <c r="J33" s="147" t="str">
        <f t="shared" si="1"/>
        <v/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46685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46685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46686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46686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46687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46687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46688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46688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46689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7</v>
      </c>
      <c r="G38" s="140">
        <f>HLOOKUP($R$2,'CALENDRIER PERPETUEL'!$B$3:$M$34,ROW('CALENDRIER PERPETUEL'!C30),FALSE)</f>
        <v>46689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>
        <f ca="1">IF($E38="","",IF(OR((VLOOKUP((TEXT($D38,"jjj")),Données!$A$8:$E$14,5)="v"),AND(G39="",E38&lt;&gt;"",OR(E38="T",E38="CJ",E38="F",E38="M"))),SUMIFS($L$10:$L$40,$P$10:$P$40,$P38),""))</f>
        <v>0</v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46690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W</v>
      </c>
      <c r="F39" s="156" t="str">
        <f t="shared" si="7"/>
        <v/>
      </c>
      <c r="G39" s="140">
        <f>HLOOKUP($R$2,'CALENDRIER PERPETUEL'!$B$3:$M$34,ROW('CALENDRIER PERPETUEL'!C31),FALSE)</f>
        <v>46690</v>
      </c>
      <c r="H39" s="54"/>
      <c r="I39" s="54" t="str">
        <f t="shared" si="0"/>
        <v/>
      </c>
      <c r="J39" s="147" t="str">
        <f t="shared" si="1"/>
        <v/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46691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W</v>
      </c>
      <c r="F40" s="156" t="str">
        <f t="shared" si="7"/>
        <v/>
      </c>
      <c r="G40" s="140">
        <f>HLOOKUP($R$2,'CALENDRIER PERPETUEL'!$B$3:$M$34,ROW('CALENDRIER PERPETUEL'!C32),FALSE)</f>
        <v>46691</v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21</v>
      </c>
      <c r="J45" s="298"/>
      <c r="K45" s="298"/>
      <c r="L45" s="299"/>
      <c r="M45" s="52">
        <f>SUM(F10:F40)</f>
        <v>164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164 /  164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176.5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92" priority="29">
      <formula>IF(INDEX(planning_decoupe_abattage2,MATCH($G10,planning_decoupe_abattage2,1))=$G10,"vrai")</formula>
    </cfRule>
    <cfRule type="expression" dxfId="91" priority="30">
      <formula>$E10="REPOS"</formula>
    </cfRule>
    <cfRule type="expression" dxfId="90" priority="31">
      <formula>$E10="M"</formula>
    </cfRule>
    <cfRule type="expression" dxfId="89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88" priority="28" stopIfTrue="1">
      <formula>$L10&gt;="10:00"*1</formula>
    </cfRule>
  </conditionalFormatting>
  <conditionalFormatting sqref="N10:N40">
    <cfRule type="expression" dxfId="87" priority="26" stopIfTrue="1">
      <formula>$N10&lt;&gt;""</formula>
    </cfRule>
  </conditionalFormatting>
  <conditionalFormatting sqref="L10:L41">
    <cfRule type="expression" dxfId="86" priority="23" stopIfTrue="1">
      <formula>$E10="REPOS"</formula>
    </cfRule>
    <cfRule type="expression" dxfId="85" priority="24" stopIfTrue="1">
      <formula>$E10="M"</formula>
    </cfRule>
    <cfRule type="expression" dxfId="84" priority="25" stopIfTrue="1">
      <formula>$E10="CJ"</formula>
    </cfRule>
  </conditionalFormatting>
  <conditionalFormatting sqref="L10:O40">
    <cfRule type="expression" dxfId="83" priority="20">
      <formula>$E10="REPOS"</formula>
    </cfRule>
    <cfRule type="expression" dxfId="82" priority="21">
      <formula>$E10="M"</formula>
    </cfRule>
    <cfRule type="expression" dxfId="81" priority="22" stopIfTrue="1">
      <formula>$E10="CJ"</formula>
    </cfRule>
  </conditionalFormatting>
  <conditionalFormatting sqref="L10:O40">
    <cfRule type="expression" dxfId="80" priority="19">
      <formula>IF(INDEX(planning_decoupe_abattage2,MATCH($G10,planning_decoupe_abattage2,1))=$G10,"vrai")</formula>
    </cfRule>
  </conditionalFormatting>
  <conditionalFormatting sqref="N10:N40">
    <cfRule type="expression" dxfId="79" priority="18">
      <formula>$N10&lt;&gt;""</formula>
    </cfRule>
  </conditionalFormatting>
  <conditionalFormatting sqref="L10:L40">
    <cfRule type="expression" dxfId="78" priority="12" stopIfTrue="1">
      <formula>IF(INDEX(planning_decoupe_abattage2,MATCH($G10,planning_decoupe_abattage2,1))=$G10,"vrai")</formula>
    </cfRule>
    <cfRule type="expression" dxfId="77" priority="13" stopIfTrue="1">
      <formula>$E10="REPOS"</formula>
    </cfRule>
    <cfRule type="expression" dxfId="76" priority="14" stopIfTrue="1">
      <formula>$E10="w"</formula>
    </cfRule>
    <cfRule type="expression" dxfId="75" priority="15" stopIfTrue="1">
      <formula>$E10="F"</formula>
    </cfRule>
    <cfRule type="expression" dxfId="74" priority="16" stopIfTrue="1">
      <formula>$G10=TODAY()</formula>
    </cfRule>
    <cfRule type="expression" dxfId="73" priority="17" stopIfTrue="1">
      <formula>$E10="CJ"</formula>
    </cfRule>
  </conditionalFormatting>
  <conditionalFormatting sqref="D10:AB41">
    <cfRule type="expression" dxfId="72" priority="6">
      <formula>$E10="M"</formula>
    </cfRule>
    <cfRule type="expression" dxfId="71" priority="7">
      <formula>IF(INDEX(planning_decoupe_abattage2,MATCH($G10,planning_decoupe_abattage2,1))=$G10,"vrai")</formula>
    </cfRule>
    <cfRule type="expression" dxfId="70" priority="8" stopIfTrue="1">
      <formula>$G10=TODAY()</formula>
    </cfRule>
    <cfRule type="expression" dxfId="69" priority="9" stopIfTrue="1">
      <formula>$E10="w"</formula>
    </cfRule>
    <cfRule type="expression" dxfId="68" priority="10">
      <formula>IF(INDEX(planning_decoupe_abattage2,MATCH($G10,planning_decoupe_abattage2,1))=$G10,"vrai")</formula>
    </cfRule>
    <cfRule type="expression" dxfId="67" priority="11" stopIfTrue="1">
      <formula>$E10="F"</formula>
    </cfRule>
  </conditionalFormatting>
  <conditionalFormatting sqref="K10:K41">
    <cfRule type="expression" dxfId="66" priority="5" stopIfTrue="1">
      <formula>$E10="F"</formula>
    </cfRule>
  </conditionalFormatting>
  <conditionalFormatting sqref="D10:L41">
    <cfRule type="expression" dxfId="65" priority="1">
      <formula>$E10="REPOS"</formula>
    </cfRule>
    <cfRule type="expression" dxfId="64" priority="2" stopIfTrue="1">
      <formula>$E10="CJ"</formula>
    </cfRule>
    <cfRule type="expression" dxfId="63" priority="3" stopIfTrue="1">
      <formula>$E10="w"</formula>
    </cfRule>
    <cfRule type="expression" dxfId="62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30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108</v>
      </c>
      <c r="S2" s="53">
        <f>INDEX(Données!K7:K18,MATCH($R$2,Données!$L$7:$L$18,0))</f>
        <v>11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46692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F</v>
      </c>
      <c r="F10" s="139">
        <f>IF(OR(D10="",E10=W),"",IF(WEEKDAY(D11,2)=5,7,8))</f>
        <v>8</v>
      </c>
      <c r="G10" s="140">
        <f>HLOOKUP($R$2,'CALENDRIER PERPETUEL'!$B$3:$M$34,ROW('CALENDRIER PERPETUEL'!C2),FALSE)</f>
        <v>46692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46693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46693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46694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46694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46695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46695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46696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7</v>
      </c>
      <c r="G14" s="140">
        <f>HLOOKUP($R$2,'CALENDRIER PERPETUEL'!$B$3:$M$34,ROW('CALENDRIER PERPETUEL'!C6),FALSE)</f>
        <v>46696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>
        <f ca="1">IF($E14="","",IF(OR((VLOOKUP((TEXT($D14,"jjj")),Données!$A$8:$E$14,5)="v"),AND(G15="",E14&lt;&gt;"",OR(E14="T",E14="CJ",E14="F",E14="M"))),SUMIFS($L$10:$L$40,$P$10:$P$40,$P14),""))</f>
        <v>0</v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46697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46697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46698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46698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46699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46699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46700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46700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46701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46701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46702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F</v>
      </c>
      <c r="F20" s="156">
        <f t="shared" si="7"/>
        <v>8</v>
      </c>
      <c r="G20" s="140">
        <f>HLOOKUP($R$2,'CALENDRIER PERPETUEL'!$B$3:$M$34,ROW('CALENDRIER PERPETUEL'!C12),FALSE)</f>
        <v>46702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46703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7</v>
      </c>
      <c r="G21" s="140">
        <f>HLOOKUP($R$2,'CALENDRIER PERPETUEL'!$B$3:$M$34,ROW('CALENDRIER PERPETUEL'!C13),FALSE)</f>
        <v>46703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>
        <f ca="1">IF($E21="","",IF(OR((VLOOKUP((TEXT($D21,"jjj")),Données!$A$8:$E$14,5)="v"),AND(G22="",E21&lt;&gt;"",OR(E21="T",E21="CJ",E21="F",E21="M"))),SUMIFS($L$10:$L$40,$P$10:$P$40,$P21),""))</f>
        <v>0</v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46704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46704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46705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46705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46706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46706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46707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46707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46708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46708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46709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46709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46710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7</v>
      </c>
      <c r="G28" s="140">
        <f>HLOOKUP($R$2,'CALENDRIER PERPETUEL'!$B$3:$M$34,ROW('CALENDRIER PERPETUEL'!C20),FALSE)</f>
        <v>46710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>
        <f ca="1">IF($E28="","",IF(OR((VLOOKUP((TEXT($D28,"jjj")),Données!$A$8:$E$14,5)="v"),AND(G29="",E28&lt;&gt;"",OR(E28="T",E28="CJ",E28="F",E28="M"))),SUMIFS($L$10:$L$40,$P$10:$P$40,$P28),""))</f>
        <v>0</v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46711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46711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46712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46712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46713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46713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46714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46714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46715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46715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46716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46716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46717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7</v>
      </c>
      <c r="G35" s="140">
        <f>HLOOKUP($R$2,'CALENDRIER PERPETUEL'!$B$3:$M$34,ROW('CALENDRIER PERPETUEL'!C27),FALSE)</f>
        <v>46717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>
        <f ca="1">IF($E35="","",IF(OR((VLOOKUP((TEXT($D35,"jjj")),Données!$A$8:$E$14,5)="v"),AND(G36="",E35&lt;&gt;"",OR(E35="T",E35="CJ",E35="F",E35="M"))),SUMIFS($L$10:$L$40,$P$10:$P$40,$P35),""))</f>
        <v>0</v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46718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46718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46719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46719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46720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46720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46721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46721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>
        <f ca="1">IF($E39="","",IF(OR((VLOOKUP((TEXT($D39,"jjj")),Données!$A$8:$E$14,5)="v"),AND(G40="",E39&lt;&gt;"",OR(E39="T",E39="CJ",E39="F",E39="M"))),SUMIFS($L$10:$L$40,$P$10:$P$40,$P39),""))</f>
        <v>0</v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 t="str">
        <f>HLOOKUP($R$2,'CALENDRIER PERPETUEL'!$B$3:$M$34,ROW('CALENDRIER PERPETUEL'!C32),FALSE)</f>
        <v/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/>
      </c>
      <c r="F40" s="156" t="str">
        <f t="shared" si="7"/>
        <v/>
      </c>
      <c r="G40" s="140" t="str">
        <f>HLOOKUP($R$2,'CALENDRIER PERPETUEL'!$B$3:$M$34,ROW('CALENDRIER PERPETUEL'!C32),FALSE)</f>
        <v/>
      </c>
      <c r="H40" s="54"/>
      <c r="I40" s="54" t="str">
        <f t="shared" si="0"/>
        <v/>
      </c>
      <c r="J40" s="147" t="str">
        <f t="shared" si="1"/>
        <v/>
      </c>
      <c r="K40" s="54"/>
      <c r="L40" s="47" t="str">
        <f t="shared" si="2"/>
        <v/>
      </c>
      <c r="M40" s="143" t="str">
        <f t="shared" ca="1" si="3"/>
        <v/>
      </c>
      <c r="N40" s="162" t="str">
        <f>IF($E40="","",IF(OR((VLOOKUP((TEXT($D40,"jjj")),Données!$A$8:$E$14,5)="v"),AND(G41="",E40&lt;&gt;"",OR(E40="T",E40="CJ",E40="F",E40="M"))),SUMIFS($L$10:$L$40,$P$10:$P$40,$P40),""))</f>
        <v/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20</v>
      </c>
      <c r="J45" s="298"/>
      <c r="K45" s="298"/>
      <c r="L45" s="299"/>
      <c r="M45" s="52">
        <f>SUM(F10:F40)</f>
        <v>172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156 /  172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176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str">
        <f>IF(OR($E10="w",$E10="f",$E10=""),"",$L10-Données!$M$9)</f>
        <v/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61" priority="29">
      <formula>IF(INDEX(planning_decoupe_abattage2,MATCH($G10,planning_decoupe_abattage2,1))=$G10,"vrai")</formula>
    </cfRule>
    <cfRule type="expression" dxfId="60" priority="30">
      <formula>$E10="REPOS"</formula>
    </cfRule>
    <cfRule type="expression" dxfId="59" priority="31">
      <formula>$E10="M"</formula>
    </cfRule>
    <cfRule type="expression" dxfId="58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57" priority="28" stopIfTrue="1">
      <formula>$L10&gt;="10:00"*1</formula>
    </cfRule>
  </conditionalFormatting>
  <conditionalFormatting sqref="N10:N40">
    <cfRule type="expression" dxfId="56" priority="26" stopIfTrue="1">
      <formula>$N10&lt;&gt;""</formula>
    </cfRule>
  </conditionalFormatting>
  <conditionalFormatting sqref="L10:L41">
    <cfRule type="expression" dxfId="55" priority="23" stopIfTrue="1">
      <formula>$E10="REPOS"</formula>
    </cfRule>
    <cfRule type="expression" dxfId="54" priority="24" stopIfTrue="1">
      <formula>$E10="M"</formula>
    </cfRule>
    <cfRule type="expression" dxfId="53" priority="25" stopIfTrue="1">
      <formula>$E10="CJ"</formula>
    </cfRule>
  </conditionalFormatting>
  <conditionalFormatting sqref="L10:O40">
    <cfRule type="expression" dxfId="52" priority="20">
      <formula>$E10="REPOS"</formula>
    </cfRule>
    <cfRule type="expression" dxfId="51" priority="21">
      <formula>$E10="M"</formula>
    </cfRule>
    <cfRule type="expression" dxfId="50" priority="22" stopIfTrue="1">
      <formula>$E10="CJ"</formula>
    </cfRule>
  </conditionalFormatting>
  <conditionalFormatting sqref="L10:O40">
    <cfRule type="expression" dxfId="49" priority="19">
      <formula>IF(INDEX(planning_decoupe_abattage2,MATCH($G10,planning_decoupe_abattage2,1))=$G10,"vrai")</formula>
    </cfRule>
  </conditionalFormatting>
  <conditionalFormatting sqref="N10:N40">
    <cfRule type="expression" dxfId="48" priority="18">
      <formula>$N10&lt;&gt;""</formula>
    </cfRule>
  </conditionalFormatting>
  <conditionalFormatting sqref="L10:L40">
    <cfRule type="expression" dxfId="47" priority="12" stopIfTrue="1">
      <formula>IF(INDEX(planning_decoupe_abattage2,MATCH($G10,planning_decoupe_abattage2,1))=$G10,"vrai")</formula>
    </cfRule>
    <cfRule type="expression" dxfId="46" priority="13" stopIfTrue="1">
      <formula>$E10="REPOS"</formula>
    </cfRule>
    <cfRule type="expression" dxfId="45" priority="14" stopIfTrue="1">
      <formula>$E10="w"</formula>
    </cfRule>
    <cfRule type="expression" dxfId="44" priority="15" stopIfTrue="1">
      <formula>$E10="F"</formula>
    </cfRule>
    <cfRule type="expression" dxfId="43" priority="16" stopIfTrue="1">
      <formula>$G10=TODAY()</formula>
    </cfRule>
    <cfRule type="expression" dxfId="42" priority="17" stopIfTrue="1">
      <formula>$E10="CJ"</formula>
    </cfRule>
  </conditionalFormatting>
  <conditionalFormatting sqref="D10:AB41">
    <cfRule type="expression" dxfId="41" priority="6">
      <formula>$E10="M"</formula>
    </cfRule>
    <cfRule type="expression" dxfId="40" priority="7">
      <formula>IF(INDEX(planning_decoupe_abattage2,MATCH($G10,planning_decoupe_abattage2,1))=$G10,"vrai")</formula>
    </cfRule>
    <cfRule type="expression" dxfId="39" priority="8" stopIfTrue="1">
      <formula>$G10=TODAY()</formula>
    </cfRule>
    <cfRule type="expression" dxfId="38" priority="9" stopIfTrue="1">
      <formula>$E10="w"</formula>
    </cfRule>
    <cfRule type="expression" dxfId="37" priority="10">
      <formula>IF(INDEX(planning_decoupe_abattage2,MATCH($G10,planning_decoupe_abattage2,1))=$G10,"vrai")</formula>
    </cfRule>
    <cfRule type="expression" dxfId="36" priority="11" stopIfTrue="1">
      <formula>$E10="F"</formula>
    </cfRule>
  </conditionalFormatting>
  <conditionalFormatting sqref="K10:K41">
    <cfRule type="expression" dxfId="35" priority="5" stopIfTrue="1">
      <formula>$E10="F"</formula>
    </cfRule>
  </conditionalFormatting>
  <conditionalFormatting sqref="D10:L41">
    <cfRule type="expression" dxfId="34" priority="1">
      <formula>$E10="REPOS"</formula>
    </cfRule>
    <cfRule type="expression" dxfId="33" priority="2" stopIfTrue="1">
      <formula>$E10="CJ"</formula>
    </cfRule>
    <cfRule type="expression" dxfId="32" priority="3" stopIfTrue="1">
      <formula>$E10="w"</formula>
    </cfRule>
    <cfRule type="expression" dxfId="31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1"/>
  <dimension ref="A1:IY89"/>
  <sheetViews>
    <sheetView zoomScale="90" zoomScaleNormal="90" workbookViewId="0">
      <selection activeCell="D10" sqref="D10"/>
    </sheetView>
  </sheetViews>
  <sheetFormatPr baseColWidth="10" defaultColWidth="8.88671875" defaultRowHeight="0" customHeight="1" zeroHeight="1"/>
  <cols>
    <col min="1" max="3" width="11.5546875" style="70" customWidth="1"/>
    <col min="4" max="4" width="10.6640625" style="70" customWidth="1"/>
    <col min="5" max="5" width="8.88671875" style="70" customWidth="1"/>
    <col min="6" max="6" width="5.5546875" style="70" customWidth="1"/>
    <col min="7" max="7" width="12.88671875" style="70" customWidth="1"/>
    <col min="8" max="8" width="14.88671875" style="70" customWidth="1"/>
    <col min="9" max="9" width="11.5546875" style="70" customWidth="1"/>
    <col min="10" max="11" width="13.44140625" style="70" customWidth="1"/>
    <col min="12" max="12" width="11.5546875" style="70" customWidth="1"/>
    <col min="13" max="13" width="17.44140625" style="70" customWidth="1"/>
    <col min="14" max="14" width="19.5546875" style="70" customWidth="1"/>
    <col min="15" max="15" width="11.5546875" style="70" customWidth="1"/>
    <col min="16" max="16" width="10" style="70" customWidth="1"/>
    <col min="17" max="17" width="34" style="70" customWidth="1"/>
    <col min="18" max="18" width="28.5546875" style="70" customWidth="1"/>
    <col min="19" max="19" width="28.109375" style="70" customWidth="1"/>
    <col min="20" max="20" width="26.109375" style="70" customWidth="1"/>
    <col min="21" max="21" width="41.44140625" style="70" customWidth="1"/>
    <col min="22" max="26" width="11.5546875" style="70" customWidth="1"/>
    <col min="27" max="27" width="31.5546875" style="70" customWidth="1"/>
    <col min="28" max="28" width="23.109375" style="70" customWidth="1"/>
    <col min="29" max="29" width="24" style="70" customWidth="1"/>
    <col min="30" max="32" width="11.5546875" style="70" customWidth="1"/>
    <col min="33" max="33" width="8.88671875" style="70" customWidth="1"/>
    <col min="34" max="259" width="8.88671875" style="70"/>
    <col min="260" max="16384" width="8.88671875" style="146"/>
  </cols>
  <sheetData>
    <row r="1" spans="1:33" ht="15" thickBot="1">
      <c r="B1" s="151"/>
      <c r="C1" s="151"/>
      <c r="D1" s="62"/>
    </row>
    <row r="2" spans="1:33" ht="15" thickBot="1">
      <c r="D2" s="62"/>
      <c r="R2" s="38" t="s">
        <v>101</v>
      </c>
      <c r="S2" s="53">
        <f>INDEX(Données!K7:K18,MATCH($R$2,Données!$L$7:$L$18,0))</f>
        <v>12</v>
      </c>
    </row>
    <row r="3" spans="1:33" ht="14.4">
      <c r="D3" s="62"/>
    </row>
    <row r="4" spans="1:33" ht="14.4">
      <c r="D4" s="62"/>
      <c r="H4" s="61"/>
      <c r="I4" s="61"/>
      <c r="J4" s="63"/>
      <c r="L4" s="141"/>
      <c r="M4" s="141"/>
      <c r="R4" s="2"/>
      <c r="S4" s="122"/>
    </row>
    <row r="5" spans="1:33" ht="14.4">
      <c r="D5" s="62"/>
      <c r="L5" s="141"/>
    </row>
    <row r="6" spans="1:33" ht="15" thickBot="1">
      <c r="D6" s="62"/>
      <c r="G6" s="288"/>
      <c r="AG6" s="1"/>
    </row>
    <row r="7" spans="1:33" ht="1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2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6.8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 t="e">
        <f ca="1">_xlfn.ISOWEEKNUM(D11)</f>
        <v>#NAME?</v>
      </c>
      <c r="B10" s="155">
        <f ca="1">IFERROR(SMALL($N$10:$N$40,ROW(N10)-ROW($N$10)+1)*24,"")</f>
        <v>0</v>
      </c>
      <c r="C10" s="155" t="e">
        <f ca="1">IF(A10="","",SUMIFS($F$10:$F$40,$P$10:$P$40,IF($E$10&lt;&gt;"W",WEEKNUM($D$10,1),WEEKNUM($D$10,2))-(1-$A10),D$10:D$40,"&lt;&gt;"&amp;TRAVAILPRLESRETRAITEE))</f>
        <v>#NAME?</v>
      </c>
      <c r="D10" s="258">
        <f>DATEVALUE("01 " &amp;R2 &amp; " " &amp;Var_an)</f>
        <v>46722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46722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 t="e">
        <f ca="1">_xlfn.ISOWEEKNUM(D10)</f>
        <v>#NAME?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 t="e">
        <f ca="1">A10+1</f>
        <v>#NAME?</v>
      </c>
      <c r="B11" s="155">
        <f ca="1">IFERROR(SMALL($N$10:$N$40,ROW(N11)-ROW($N$10)+1)*24,"")</f>
        <v>0</v>
      </c>
      <c r="C11" s="155" t="e">
        <f ca="1">IF(A11="","",SUMIFS($F$10:$F$40,$P$10:$P$40,IF($E$10&lt;&gt;"W",WEEKNUM($D$10,1),WEEKNUM($D$10,2))-(1-$A11),D$10:D$40,"&lt;&gt;"&amp;TRAVAILPRLESRETRAITEE))</f>
        <v>#NAME?</v>
      </c>
      <c r="D11" s="258">
        <f>HLOOKUP($R$2,'CALENDRIER PERPETUEL'!$B$3:$M$34,ROW('CALENDRIER PERPETUEL'!C3),FALSE)</f>
        <v>46723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46723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 t="e">
        <f t="shared" ref="P11:P40" ca="1" si="6">_xlfn.ISOWEEKNUM(D11)</f>
        <v>#NAME?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5.6" thickTop="1" thickBot="1">
      <c r="A12" s="155" t="e">
        <f ca="1">A11+1</f>
        <v>#NAME?</v>
      </c>
      <c r="B12" s="155">
        <f ca="1">IFERROR(SMALL($N$10:$N$40,ROW(N12)-ROW($N$10)+1)*24,"")</f>
        <v>0</v>
      </c>
      <c r="C12" s="155" t="e">
        <f ca="1">IF(A12="","",SUMIFS($F$10:$F$40,$P$10:$P$40,IF($E$10&lt;&gt;"W",WEEKNUM($D$10,1),WEEKNUM($D$10,2))-(1-$A12),D$10:D$40,"&lt;&gt;"&amp;TRAVAILPRLESRETRAITEE))</f>
        <v>#NAME?</v>
      </c>
      <c r="D12" s="258">
        <f>HLOOKUP($R$2,'CALENDRIER PERPETUEL'!$B$3:$M$34,ROW('CALENDRIER PERPETUEL'!C4),FALSE)</f>
        <v>46724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7</v>
      </c>
      <c r="G12" s="140">
        <f>HLOOKUP($R$2,'CALENDRIER PERPETUEL'!$B$3:$M$34,ROW('CALENDRIER PERPETUEL'!C4),FALSE)</f>
        <v>46724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>
        <f ca="1">IF($E12="","",IF(OR((VLOOKUP((TEXT($D12,"jjj")),Données!$A$8:$E$14,5)="v"),AND(G13="",E12&lt;&gt;"",OR(E12="T",E12="CJ",E12="F",E12="M"))),SUMIFS($L$10:$L$40,$P$10:$P$40,$P12),""))</f>
        <v>0</v>
      </c>
      <c r="O12" s="55" t="str">
        <f t="shared" si="4"/>
        <v/>
      </c>
      <c r="P12" s="56" t="e">
        <f t="shared" ca="1" si="6"/>
        <v>#NAME?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5.6" thickTop="1" thickBot="1">
      <c r="A13" s="155" t="e">
        <f ca="1">A12+1</f>
        <v>#NAME?</v>
      </c>
      <c r="B13" s="155">
        <f ca="1">IFERROR(SMALL($N$10:$N$40,ROW(N13)-ROW($N$10)+1)*24,"")</f>
        <v>0</v>
      </c>
      <c r="C13" s="155" t="e">
        <f ca="1">IF(A13="","",SUMIFS($F$10:$F$40,$P$10:$P$40,IF($E$10&lt;&gt;"W",WEEKNUM($D$10,1),WEEKNUM($D$10,2))-(1-$A13),D$10:D$40,"&lt;&gt;"&amp;TRAVAILPRLESRETRAITEE))</f>
        <v>#NAME?</v>
      </c>
      <c r="D13" s="258">
        <f>HLOOKUP($R$2,'CALENDRIER PERPETUEL'!$B$3:$M$34,ROW('CALENDRIER PERPETUEL'!C5),FALSE)</f>
        <v>46725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W</v>
      </c>
      <c r="F13" s="156" t="str">
        <f t="shared" si="7"/>
        <v/>
      </c>
      <c r="G13" s="140">
        <f>HLOOKUP($R$2,'CALENDRIER PERPETUEL'!$B$3:$M$34,ROW('CALENDRIER PERPETUEL'!C5),FALSE)</f>
        <v>46725</v>
      </c>
      <c r="H13" s="54"/>
      <c r="I13" s="54" t="str">
        <f t="shared" si="0"/>
        <v/>
      </c>
      <c r="J13" s="147" t="str">
        <f t="shared" si="1"/>
        <v/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 t="e">
        <f t="shared" ca="1" si="6"/>
        <v>#NAME?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5.6" thickTop="1" thickBot="1">
      <c r="A14" s="275" t="e">
        <f ca="1">IF(A13+1&gt;_xlfn.ISOWEEKNUM(EOMONTH(D10,0)),"",A13+1)</f>
        <v>#NAME?</v>
      </c>
      <c r="B14" s="155">
        <f ca="1">IFERROR(SMALL($N$10:$N$40,ROW(N14)-ROW($N$10)+1)*24,"")</f>
        <v>0</v>
      </c>
      <c r="C14" s="155" t="e">
        <f ca="1">IF(A14="","",SUMIFS($F$10:$F$40,$P$10:$P$40,IF($E$10&lt;&gt;"W",WEEKNUM($D$10,1),WEEKNUM($D$10,2))-(1-$A14),D$10:D$40,"&lt;&gt;"&amp;TRAVAILPRLESRETRAITEE))</f>
        <v>#NAME?</v>
      </c>
      <c r="D14" s="258">
        <f>HLOOKUP($R$2,'CALENDRIER PERPETUEL'!$B$3:$M$34,ROW('CALENDRIER PERPETUEL'!C6),FALSE)</f>
        <v>46726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46726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 t="e">
        <f t="shared" ca="1" si="6"/>
        <v>#NAME?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" thickTop="1">
      <c r="D15" s="46">
        <f>HLOOKUP($R$2,'CALENDRIER PERPETUEL'!$B$3:$M$34,ROW('CALENDRIER PERPETUEL'!C7),FALSE)</f>
        <v>46727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8</v>
      </c>
      <c r="G15" s="140">
        <f>HLOOKUP($R$2,'CALENDRIER PERPETUEL'!$B$3:$M$34,ROW('CALENDRIER PERPETUEL'!C7),FALSE)</f>
        <v>46727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 t="e">
        <f t="shared" ca="1" si="6"/>
        <v>#NAME?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4.4">
      <c r="D16" s="46">
        <f>HLOOKUP($R$2,'CALENDRIER PERPETUEL'!$B$3:$M$34,ROW('CALENDRIER PERPETUEL'!C8),FALSE)</f>
        <v>46728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46728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 t="e">
        <f t="shared" ca="1" si="6"/>
        <v>#NAME?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4.4">
      <c r="D17" s="46">
        <f>HLOOKUP($R$2,'CALENDRIER PERPETUEL'!$B$3:$M$34,ROW('CALENDRIER PERPETUEL'!C9),FALSE)</f>
        <v>46729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46729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 t="e">
        <f t="shared" ca="1" si="6"/>
        <v>#NAME?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4.4">
      <c r="D18" s="46">
        <f>HLOOKUP($R$2,'CALENDRIER PERPETUEL'!$B$3:$M$34,ROW('CALENDRIER PERPETUEL'!C10),FALSE)</f>
        <v>46730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46730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 t="e">
        <f t="shared" ca="1" si="6"/>
        <v>#NAME?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4.4">
      <c r="D19" s="46">
        <f>HLOOKUP($R$2,'CALENDRIER PERPETUEL'!$B$3:$M$34,ROW('CALENDRIER PERPETUEL'!C11),FALSE)</f>
        <v>46731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7</v>
      </c>
      <c r="G19" s="140">
        <f>HLOOKUP($R$2,'CALENDRIER PERPETUEL'!$B$3:$M$34,ROW('CALENDRIER PERPETUEL'!C11),FALSE)</f>
        <v>46731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>
        <f ca="1">IF($E19="","",IF(OR((VLOOKUP((TEXT($D19,"jjj")),Données!$A$8:$E$14,5)="v"),AND(G20="",E19&lt;&gt;"",OR(E19="T",E19="CJ",E19="F",E19="M"))),SUMIFS($L$10:$L$40,$P$10:$P$40,$P19),""))</f>
        <v>0</v>
      </c>
      <c r="O19" s="55" t="str">
        <f t="shared" ref="O19:O40" si="8">IF(OR($E19&lt;&gt;"T",$L19="",$L19&gt;F19),"",IF(ROUND(M19,3)-F19=0,"",L19-TIME(F19,,)))</f>
        <v/>
      </c>
      <c r="P19" s="56" t="e">
        <f t="shared" ca="1" si="6"/>
        <v>#NAME?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4.4">
      <c r="D20" s="46">
        <f>HLOOKUP($R$2,'CALENDRIER PERPETUEL'!$B$3:$M$34,ROW('CALENDRIER PERPETUEL'!C12),FALSE)</f>
        <v>46732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W</v>
      </c>
      <c r="F20" s="156" t="str">
        <f t="shared" si="7"/>
        <v/>
      </c>
      <c r="G20" s="140">
        <f>HLOOKUP($R$2,'CALENDRIER PERPETUEL'!$B$3:$M$34,ROW('CALENDRIER PERPETUEL'!C12),FALSE)</f>
        <v>46732</v>
      </c>
      <c r="H20" s="54"/>
      <c r="I20" s="54" t="str">
        <f t="shared" si="0"/>
        <v/>
      </c>
      <c r="J20" s="147" t="str">
        <f t="shared" si="1"/>
        <v/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 t="e">
        <f t="shared" ca="1" si="6"/>
        <v>#NAME?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4.4">
      <c r="D21" s="46">
        <f>HLOOKUP($R$2,'CALENDRIER PERPETUEL'!$B$3:$M$34,ROW('CALENDRIER PERPETUEL'!C13),FALSE)</f>
        <v>46733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46733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 t="e">
        <f t="shared" ca="1" si="6"/>
        <v>#NAME?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4.4">
      <c r="D22" s="46">
        <f>HLOOKUP($R$2,'CALENDRIER PERPETUEL'!$B$3:$M$34,ROW('CALENDRIER PERPETUEL'!C14),FALSE)</f>
        <v>46734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8</v>
      </c>
      <c r="G22" s="140">
        <f>HLOOKUP($R$2,'CALENDRIER PERPETUEL'!$B$3:$M$34,ROW('CALENDRIER PERPETUEL'!C14),FALSE)</f>
        <v>46734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 t="e">
        <f t="shared" ca="1" si="6"/>
        <v>#NAME?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4.4">
      <c r="D23" s="46">
        <f>HLOOKUP($R$2,'CALENDRIER PERPETUEL'!$B$3:$M$34,ROW('CALENDRIER PERPETUEL'!C15),FALSE)</f>
        <v>46735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46735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 t="e">
        <f t="shared" ca="1" si="6"/>
        <v>#NAME?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4.4">
      <c r="D24" s="46">
        <f>HLOOKUP($R$2,'CALENDRIER PERPETUEL'!$B$3:$M$34,ROW('CALENDRIER PERPETUEL'!C16),FALSE)</f>
        <v>46736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T</v>
      </c>
      <c r="F24" s="156">
        <f t="shared" si="7"/>
        <v>8</v>
      </c>
      <c r="G24" s="140">
        <f>HLOOKUP($R$2,'CALENDRIER PERPETUEL'!$B$3:$M$34,ROW('CALENDRIER PERPETUEL'!C16),FALSE)</f>
        <v>46736</v>
      </c>
      <c r="H24" s="54"/>
      <c r="I24" s="54" t="str">
        <f t="shared" si="0"/>
        <v>12:00</v>
      </c>
      <c r="J24" s="147" t="str">
        <f t="shared" si="1"/>
        <v>14:00</v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 t="e">
        <f t="shared" ca="1" si="6"/>
        <v>#NAME?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4.4">
      <c r="D25" s="46">
        <f>HLOOKUP($R$2,'CALENDRIER PERPETUEL'!$B$3:$M$34,ROW('CALENDRIER PERPETUEL'!C17),FALSE)</f>
        <v>46737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46737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 t="e">
        <f t="shared" ca="1" si="6"/>
        <v>#NAME?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4.4">
      <c r="D26" s="46">
        <f>HLOOKUP($R$2,'CALENDRIER PERPETUEL'!$B$3:$M$34,ROW('CALENDRIER PERPETUEL'!C18),FALSE)</f>
        <v>46738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7</v>
      </c>
      <c r="G26" s="140">
        <f>HLOOKUP($R$2,'CALENDRIER PERPETUEL'!$B$3:$M$34,ROW('CALENDRIER PERPETUEL'!C18),FALSE)</f>
        <v>46738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>
        <f ca="1">IF($E26="","",IF(OR((VLOOKUP((TEXT($D26,"jjj")),Données!$A$8:$E$14,5)="v"),AND(G27="",E26&lt;&gt;"",OR(E26="T",E26="CJ",E26="F",E26="M"))),SUMIFS($L$10:$L$40,$P$10:$P$40,$P26),""))</f>
        <v>0</v>
      </c>
      <c r="O26" s="55" t="str">
        <f t="shared" si="8"/>
        <v/>
      </c>
      <c r="P26" s="56" t="e">
        <f t="shared" ca="1" si="6"/>
        <v>#NAME?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4.4">
      <c r="D27" s="46">
        <f>HLOOKUP($R$2,'CALENDRIER PERPETUEL'!$B$3:$M$34,ROW('CALENDRIER PERPETUEL'!C19),FALSE)</f>
        <v>46739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W</v>
      </c>
      <c r="F27" s="156" t="str">
        <f t="shared" si="7"/>
        <v/>
      </c>
      <c r="G27" s="140">
        <f>HLOOKUP($R$2,'CALENDRIER PERPETUEL'!$B$3:$M$34,ROW('CALENDRIER PERPETUEL'!C19),FALSE)</f>
        <v>46739</v>
      </c>
      <c r="H27" s="54"/>
      <c r="I27" s="54" t="str">
        <f t="shared" si="0"/>
        <v/>
      </c>
      <c r="J27" s="147" t="str">
        <f t="shared" si="1"/>
        <v/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 t="e">
        <f t="shared" ca="1" si="6"/>
        <v>#NAME?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4.4">
      <c r="D28" s="46">
        <f>HLOOKUP($R$2,'CALENDRIER PERPETUEL'!$B$3:$M$34,ROW('CALENDRIER PERPETUEL'!C20),FALSE)</f>
        <v>46740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46740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 t="e">
        <f t="shared" ca="1" si="6"/>
        <v>#NAME?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4.4">
      <c r="D29" s="46">
        <f>HLOOKUP($R$2,'CALENDRIER PERPETUEL'!$B$3:$M$34,ROW('CALENDRIER PERPETUEL'!C21),FALSE)</f>
        <v>46741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8</v>
      </c>
      <c r="G29" s="140">
        <f>HLOOKUP($R$2,'CALENDRIER PERPETUEL'!$B$3:$M$34,ROW('CALENDRIER PERPETUEL'!C21),FALSE)</f>
        <v>46741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 t="e">
        <f t="shared" ca="1" si="6"/>
        <v>#NAME?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4.4">
      <c r="D30" s="46">
        <f>HLOOKUP($R$2,'CALENDRIER PERPETUEL'!$B$3:$M$34,ROW('CALENDRIER PERPETUEL'!C22),FALSE)</f>
        <v>46742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46742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 t="e">
        <f t="shared" ca="1" si="6"/>
        <v>#NAME?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4.4">
      <c r="D31" s="46">
        <f>HLOOKUP($R$2,'CALENDRIER PERPETUEL'!$B$3:$M$34,ROW('CALENDRIER PERPETUEL'!C23),FALSE)</f>
        <v>46743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46743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 t="e">
        <f t="shared" ca="1" si="6"/>
        <v>#NAME?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4.4">
      <c r="D32" s="46">
        <f>HLOOKUP($R$2,'CALENDRIER PERPETUEL'!$B$3:$M$34,ROW('CALENDRIER PERPETUEL'!C24),FALSE)</f>
        <v>46744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46744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 t="e">
        <f t="shared" ca="1" si="6"/>
        <v>#NAME?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4.4">
      <c r="D33" s="46">
        <f>HLOOKUP($R$2,'CALENDRIER PERPETUEL'!$B$3:$M$34,ROW('CALENDRIER PERPETUEL'!C25),FALSE)</f>
        <v>46745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7</v>
      </c>
      <c r="G33" s="140">
        <f>HLOOKUP($R$2,'CALENDRIER PERPETUEL'!$B$3:$M$34,ROW('CALENDRIER PERPETUEL'!C25),FALSE)</f>
        <v>46745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>
        <f ca="1">IF($E33="","",IF(OR((VLOOKUP((TEXT($D33,"jjj")),Données!$A$8:$E$14,5)="v"),AND(G34="",E33&lt;&gt;"",OR(E33="T",E33="CJ",E33="F",E33="M"))),SUMIFS($L$10:$L$40,$P$10:$P$40,$P33),""))</f>
        <v>0</v>
      </c>
      <c r="O33" s="55" t="str">
        <f t="shared" si="8"/>
        <v/>
      </c>
      <c r="P33" s="56" t="e">
        <f t="shared" ca="1" si="6"/>
        <v>#NAME?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4.4">
      <c r="D34" s="46">
        <f>HLOOKUP($R$2,'CALENDRIER PERPETUEL'!$B$3:$M$34,ROW('CALENDRIER PERPETUEL'!C26),FALSE)</f>
        <v>46746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F</v>
      </c>
      <c r="F34" s="156">
        <f t="shared" si="7"/>
        <v>8</v>
      </c>
      <c r="G34" s="140">
        <f>HLOOKUP($R$2,'CALENDRIER PERPETUEL'!$B$3:$M$34,ROW('CALENDRIER PERPETUEL'!C26),FALSE)</f>
        <v>46746</v>
      </c>
      <c r="H34" s="54"/>
      <c r="I34" s="54" t="str">
        <f t="shared" si="0"/>
        <v/>
      </c>
      <c r="J34" s="147" t="str">
        <f t="shared" si="1"/>
        <v/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 t="e">
        <f t="shared" ca="1" si="6"/>
        <v>#NAME?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4.4">
      <c r="D35" s="46">
        <f>HLOOKUP($R$2,'CALENDRIER PERPETUEL'!$B$3:$M$34,ROW('CALENDRIER PERPETUEL'!C27),FALSE)</f>
        <v>46747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46747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 t="e">
        <f t="shared" ca="1" si="6"/>
        <v>#NAME?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4.4">
      <c r="D36" s="46">
        <f>HLOOKUP($R$2,'CALENDRIER PERPETUEL'!$B$3:$M$34,ROW('CALENDRIER PERPETUEL'!C28),FALSE)</f>
        <v>46748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8</v>
      </c>
      <c r="G36" s="140">
        <f>HLOOKUP($R$2,'CALENDRIER PERPETUEL'!$B$3:$M$34,ROW('CALENDRIER PERPETUEL'!C28),FALSE)</f>
        <v>46748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 t="e">
        <f t="shared" ca="1" si="6"/>
        <v>#NAME?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4.4">
      <c r="D37" s="46">
        <f>HLOOKUP($R$2,'CALENDRIER PERPETUEL'!$B$3:$M$34,ROW('CALENDRIER PERPETUEL'!C29),FALSE)</f>
        <v>46749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46749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 t="e">
        <f t="shared" ca="1" si="6"/>
        <v>#NAME?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4.4">
      <c r="D38" s="46">
        <f>HLOOKUP($R$2,'CALENDRIER PERPETUEL'!$B$3:$M$34,ROW('CALENDRIER PERPETUEL'!C30),FALSE)</f>
        <v>46750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46750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 t="e">
        <f t="shared" ca="1" si="6"/>
        <v>#NAME?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4.4">
      <c r="D39" s="46">
        <f>HLOOKUP($R$2,'CALENDRIER PERPETUEL'!$B$3:$M$34,ROW('CALENDRIER PERPETUEL'!C31),FALSE)</f>
        <v>46751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46751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 t="e">
        <f t="shared" ca="1" si="6"/>
        <v>#NAME?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" thickBot="1">
      <c r="D40" s="46">
        <f>HLOOKUP($R$2,'CALENDRIER PERPETUEL'!$B$3:$M$34,ROW('CALENDRIER PERPETUEL'!C32),FALSE)</f>
        <v>46752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7</v>
      </c>
      <c r="G40" s="140">
        <f>HLOOKUP($R$2,'CALENDRIER PERPETUEL'!$B$3:$M$34,ROW('CALENDRIER PERPETUEL'!C32),FALSE)</f>
        <v>46752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 ca="1"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 t="e">
        <f t="shared" ca="1" si="6"/>
        <v>#NAME?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5.6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 ca="1"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5.6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" thickTop="1">
      <c r="E43" s="282"/>
      <c r="F43" s="282"/>
      <c r="G43" s="282"/>
      <c r="AG43" s="50"/>
    </row>
    <row r="44" spans="4:33" ht="15" thickBot="1">
      <c r="AG44" s="50"/>
    </row>
    <row r="45" spans="4:33" ht="15.6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23</v>
      </c>
      <c r="J45" s="298"/>
      <c r="K45" s="298"/>
      <c r="L45" s="299"/>
      <c r="M45" s="52">
        <f>SUM(F10:F40)</f>
        <v>187</v>
      </c>
      <c r="N45" s="159" t="s">
        <v>125</v>
      </c>
      <c r="O45" s="160"/>
      <c r="P45" s="161"/>
      <c r="AG45" s="50"/>
    </row>
    <row r="46" spans="4:33" ht="14.4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179 /  187</v>
      </c>
      <c r="N46" s="154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214.25</v>
      </c>
      <c r="O46" s="51"/>
      <c r="P46" s="51"/>
      <c r="AG46" s="50"/>
    </row>
    <row r="47" spans="4:33" ht="14.4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4.4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5.6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4.4" hidden="1">
      <c r="AG57" s="50"/>
    </row>
    <row r="58" spans="1:259" ht="14.4" hidden="1">
      <c r="AG58" s="50"/>
    </row>
    <row r="59" spans="1:259" ht="14.4" hidden="1">
      <c r="AG59" s="50"/>
    </row>
    <row r="60" spans="1:259" ht="14.4" hidden="1">
      <c r="AG60" s="50"/>
    </row>
    <row r="61" spans="1:259" ht="14.4" hidden="1">
      <c r="AG61" s="50"/>
    </row>
    <row r="62" spans="1:259" ht="14.4" hidden="1">
      <c r="AG62" s="50" t="e">
        <f>IF(OR($E10="w",$E10="f",$E10=""),"",$L10-Données!$M$9)</f>
        <v>#VALUE!</v>
      </c>
    </row>
    <row r="63" spans="1:259" ht="14.4" hidden="1">
      <c r="AG63" s="50"/>
    </row>
    <row r="64" spans="1:259" ht="14.4" hidden="1">
      <c r="AG64" s="50"/>
    </row>
    <row r="65" spans="33:33" ht="14.4" hidden="1">
      <c r="AG65" s="50"/>
    </row>
    <row r="66" spans="33:33" ht="14.4" hidden="1">
      <c r="AG66" s="50"/>
    </row>
    <row r="67" spans="33:33" ht="14.4" hidden="1">
      <c r="AG67" s="50"/>
    </row>
    <row r="68" spans="33:33" ht="14.4" hidden="1">
      <c r="AG68" s="50"/>
    </row>
    <row r="69" spans="33:33" ht="14.4" hidden="1">
      <c r="AG69" s="50"/>
    </row>
    <row r="70" spans="33:33" ht="14.4" hidden="1">
      <c r="AG70" s="50"/>
    </row>
    <row r="71" spans="33:33" ht="14.4" hidden="1">
      <c r="AG71" s="50"/>
    </row>
    <row r="72" spans="33:33" ht="14.4" hidden="1">
      <c r="AG72" s="50"/>
    </row>
    <row r="73" spans="33:33" ht="14.4" hidden="1">
      <c r="AG73" s="50"/>
    </row>
    <row r="74" spans="33:33" ht="14.4" hidden="1">
      <c r="AG74" s="50"/>
    </row>
    <row r="75" spans="33:33" ht="14.4" hidden="1">
      <c r="AG75" s="50"/>
    </row>
    <row r="76" spans="33:33" ht="14.4" hidden="1">
      <c r="AG76" s="50"/>
    </row>
    <row r="77" spans="33:33" ht="14.4" hidden="1">
      <c r="AG77" s="50"/>
    </row>
    <row r="78" spans="33:33" ht="14.4" hidden="1">
      <c r="AG78" s="50"/>
    </row>
    <row r="79" spans="33:33" ht="14.4" hidden="1">
      <c r="AG79" s="50"/>
    </row>
    <row r="80" spans="33:33" ht="14.4" hidden="1">
      <c r="AG80" s="50"/>
    </row>
    <row r="81" spans="33:33" ht="14.4" hidden="1">
      <c r="AG81" s="50"/>
    </row>
    <row r="82" spans="33:33" ht="14.4" hidden="1">
      <c r="AG82" s="50"/>
    </row>
    <row r="83" spans="33:33" ht="14.4" hidden="1">
      <c r="AG83" s="50"/>
    </row>
    <row r="84" spans="33:33" ht="14.4" hidden="1">
      <c r="AG84" s="50"/>
    </row>
    <row r="85" spans="33:33" ht="14.4" hidden="1">
      <c r="AG85" s="50"/>
    </row>
    <row r="86" spans="33:33" ht="14.4" hidden="1">
      <c r="AG86" s="50"/>
    </row>
    <row r="87" spans="33:33" ht="14.4" hidden="1">
      <c r="AG87" s="50"/>
    </row>
    <row r="88" spans="33:33" ht="14.4" hidden="1">
      <c r="AG88" s="50"/>
    </row>
    <row r="89" spans="33:33" ht="14.4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11:AA11"/>
    <mergeCell ref="H7:P7"/>
    <mergeCell ref="H8:I8"/>
    <mergeCell ref="J8:K8"/>
    <mergeCell ref="Q9:AA9"/>
    <mergeCell ref="Q10:AA10"/>
  </mergeCells>
  <conditionalFormatting sqref="D10:G40 H10:L41 M10:AA40">
    <cfRule type="expression" dxfId="30" priority="29">
      <formula>IF(INDEX(planning_decoupe_abattage2,MATCH($G10,planning_decoupe_abattage2,1))=$G10,"vrai")</formula>
    </cfRule>
    <cfRule type="expression" dxfId="29" priority="30">
      <formula>$E10="REPOS"</formula>
    </cfRule>
    <cfRule type="expression" dxfId="28" priority="31">
      <formula>$E10="M"</formula>
    </cfRule>
    <cfRule type="expression" dxfId="27" priority="32" stopIfTrue="1">
      <formula>$G10=TODAY()</formula>
    </cfRule>
  </conditionalFormatting>
  <conditionalFormatting sqref="L10:L41">
    <cfRule type="expression" priority="27" stopIfTrue="1">
      <formula>$L10=""</formula>
    </cfRule>
    <cfRule type="expression" dxfId="26" priority="28" stopIfTrue="1">
      <formula>$L10&gt;="10:00"*1</formula>
    </cfRule>
  </conditionalFormatting>
  <conditionalFormatting sqref="N10:N40">
    <cfRule type="expression" dxfId="25" priority="26" stopIfTrue="1">
      <formula>$N10&lt;&gt;""</formula>
    </cfRule>
  </conditionalFormatting>
  <conditionalFormatting sqref="L10:L41">
    <cfRule type="expression" dxfId="24" priority="23" stopIfTrue="1">
      <formula>$E10="REPOS"</formula>
    </cfRule>
    <cfRule type="expression" dxfId="23" priority="24" stopIfTrue="1">
      <formula>$E10="M"</formula>
    </cfRule>
    <cfRule type="expression" dxfId="22" priority="25" stopIfTrue="1">
      <formula>$E10="CJ"</formula>
    </cfRule>
  </conditionalFormatting>
  <conditionalFormatting sqref="L10:O40">
    <cfRule type="expression" dxfId="21" priority="20">
      <formula>$E10="REPOS"</formula>
    </cfRule>
    <cfRule type="expression" dxfId="20" priority="21">
      <formula>$E10="M"</formula>
    </cfRule>
    <cfRule type="expression" dxfId="19" priority="22" stopIfTrue="1">
      <formula>$E10="CJ"</formula>
    </cfRule>
  </conditionalFormatting>
  <conditionalFormatting sqref="L10:O40">
    <cfRule type="expression" dxfId="18" priority="19">
      <formula>IF(INDEX(planning_decoupe_abattage2,MATCH($G10,planning_decoupe_abattage2,1))=$G10,"vrai")</formula>
    </cfRule>
  </conditionalFormatting>
  <conditionalFormatting sqref="N10:N40">
    <cfRule type="expression" dxfId="17" priority="18">
      <formula>$N10&lt;&gt;""</formula>
    </cfRule>
  </conditionalFormatting>
  <conditionalFormatting sqref="L10:L40">
    <cfRule type="expression" dxfId="16" priority="12" stopIfTrue="1">
      <formula>IF(INDEX(planning_decoupe_abattage2,MATCH($G10,planning_decoupe_abattage2,1))=$G10,"vrai")</formula>
    </cfRule>
    <cfRule type="expression" dxfId="15" priority="13" stopIfTrue="1">
      <formula>$E10="REPOS"</formula>
    </cfRule>
    <cfRule type="expression" dxfId="14" priority="14" stopIfTrue="1">
      <formula>$E10="w"</formula>
    </cfRule>
    <cfRule type="expression" dxfId="13" priority="15" stopIfTrue="1">
      <formula>$E10="F"</formula>
    </cfRule>
    <cfRule type="expression" dxfId="12" priority="16" stopIfTrue="1">
      <formula>$G10=TODAY()</formula>
    </cfRule>
    <cfRule type="expression" dxfId="11" priority="17" stopIfTrue="1">
      <formula>$E10="CJ"</formula>
    </cfRule>
  </conditionalFormatting>
  <conditionalFormatting sqref="D10:AB41">
    <cfRule type="expression" dxfId="10" priority="6">
      <formula>$E10="M"</formula>
    </cfRule>
    <cfRule type="expression" dxfId="9" priority="7">
      <formula>IF(INDEX(planning_decoupe_abattage2,MATCH($G10,planning_decoupe_abattage2,1))=$G10,"vrai")</formula>
    </cfRule>
    <cfRule type="expression" dxfId="8" priority="8" stopIfTrue="1">
      <formula>$G10=TODAY()</formula>
    </cfRule>
    <cfRule type="expression" dxfId="7" priority="9" stopIfTrue="1">
      <formula>$E10="w"</formula>
    </cfRule>
    <cfRule type="expression" dxfId="6" priority="10">
      <formula>IF(INDEX(planning_decoupe_abattage2,MATCH($G10,planning_decoupe_abattage2,1))=$G10,"vrai")</formula>
    </cfRule>
    <cfRule type="expression" dxfId="5" priority="11" stopIfTrue="1">
      <formula>$E10="F"</formula>
    </cfRule>
  </conditionalFormatting>
  <conditionalFormatting sqref="K10:K41">
    <cfRule type="expression" dxfId="4" priority="5" stopIfTrue="1">
      <formula>$E10="F"</formula>
    </cfRule>
  </conditionalFormatting>
  <conditionalFormatting sqref="D10:L41">
    <cfRule type="expression" dxfId="3" priority="1">
      <formula>$E10="REPOS"</formula>
    </cfRule>
    <cfRule type="expression" dxfId="2" priority="2" stopIfTrue="1">
      <formula>$E10="CJ"</formula>
    </cfRule>
    <cfRule type="expression" dxfId="1" priority="3" stopIfTrue="1">
      <formula>$E10="w"</formula>
    </cfRule>
    <cfRule type="expression" dxfId="0" priority="4" stopIfTrue="1">
      <formula>$E10="CJ"</formula>
    </cfRule>
  </conditionalFormatting>
  <dataValidations count="1">
    <dataValidation type="list" allowBlank="1" showInputMessage="1" showErrorMessage="1" sqref="H10:K41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VIERGE</vt:lpstr>
      <vt:lpstr>Données</vt:lpstr>
      <vt:lpstr>CALENDRIER PERPETUEL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CJ</vt:lpstr>
      <vt:lpstr>D.MALADIE</vt:lpstr>
      <vt:lpstr>Debut_Congés</vt:lpstr>
      <vt:lpstr>DVac</vt:lpstr>
      <vt:lpstr>F</vt:lpstr>
      <vt:lpstr>F.MALADIE</vt:lpstr>
      <vt:lpstr>FIN_Congés</vt:lpstr>
      <vt:lpstr>HEURE_valeur</vt:lpstr>
      <vt:lpstr>heurejournéedetravail</vt:lpstr>
      <vt:lpstr>HEURES</vt:lpstr>
      <vt:lpstr>Jour_QUESTION</vt:lpstr>
      <vt:lpstr>JOURS_FERIE</vt:lpstr>
      <vt:lpstr>l_Année</vt:lpstr>
      <vt:lpstr>M</vt:lpstr>
      <vt:lpstr>MOIS</vt:lpstr>
      <vt:lpstr>pause_choix</vt:lpstr>
      <vt:lpstr>PAUSE_HEURE</vt:lpstr>
      <vt:lpstr>PAUSE_ONET</vt:lpstr>
      <vt:lpstr>PAUSE_ONET2</vt:lpstr>
      <vt:lpstr>pause_vide</vt:lpstr>
      <vt:lpstr>REPOS</vt:lpstr>
      <vt:lpstr>REPOS_jour</vt:lpstr>
      <vt:lpstr>TRAVAILPRLESRETRAITEE</vt:lpstr>
      <vt:lpstr>Var_an</vt:lpstr>
      <vt:lpstr>W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fg</cp:lastModifiedBy>
  <cp:revision>1</cp:revision>
  <dcterms:created xsi:type="dcterms:W3CDTF">2017-06-13T08:47:00Z</dcterms:created>
  <dcterms:modified xsi:type="dcterms:W3CDTF">2026-02-01T08:56:26Z</dcterms:modified>
</cp:coreProperties>
</file>