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abio_dovzc4l\Desktop\"/>
    </mc:Choice>
  </mc:AlternateContent>
  <xr:revisionPtr revIDLastSave="0" documentId="8_{75EEB923-24C9-403D-89C2-E3D621B1D02C}" xr6:coauthVersionLast="47" xr6:coauthVersionMax="47" xr10:uidLastSave="{00000000-0000-0000-0000-000000000000}"/>
  <bookViews>
    <workbookView xWindow="-105" yWindow="0" windowWidth="19410" windowHeight="20985" xr2:uid="{00000000-000D-0000-FFFF-FFFF00000000}"/>
  </bookViews>
  <sheets>
    <sheet name="Feuil1 (2)" sheetId="17" r:id="rId1"/>
  </sheets>
  <functionGroups builtInGroupCount="19"/>
  <externalReferences>
    <externalReference r:id="rId2"/>
  </externalReferences>
  <definedNames>
    <definedName name="_1">#REF!</definedName>
    <definedName name="_source">#REF!</definedName>
    <definedName name="_xleta.CELL" hidden="1" xlm="1">#NAME?</definedName>
    <definedName name="_xleta.COUNTIF" hidden="1" xlm="1">#NAME?</definedName>
    <definedName name="_xleta.IF" hidden="1" xlm="1">#NAME?</definedName>
    <definedName name="_xleta.ISNUMBER" hidden="1" xlm="1">#NAME?</definedName>
    <definedName name="_xleta.NOT" hidden="1" xlm="1">#NAME?</definedName>
    <definedName name="_xleta.OR" hidden="1" xlm="1">#NAME?</definedName>
    <definedName name="_xleta.ROUND" hidden="1" xlm="1">#NAME?</definedName>
    <definedName name="_xleta.SUM" hidden="1" xlm="1">#NAME?</definedName>
    <definedName name="_xleta.SUMIF" hidden="1" xlm="1">#NAME?</definedName>
    <definedName name="_xlpm._idST" hidden="1" xlm="1">#NAME?</definedName>
    <definedName name="_xlpm.a" hidden="1" xlm="1">#NAME?</definedName>
    <definedName name="_xlpm.v" hidden="1" xlm="1">#NAME?</definedName>
    <definedName name="Adresse">'Feuil1 (2)'!$B$6</definedName>
    <definedName name="Adresse0">'Feuil1 (2)'!$BE$5</definedName>
    <definedName name="avoir">#REF!</definedName>
    <definedName name="avoir2">#REF!</definedName>
    <definedName name="avoir3">#REF!</definedName>
    <definedName name="avoir5">#REF!</definedName>
    <definedName name="bas">#REF!</definedName>
    <definedName name="Com">#REF!</definedName>
    <definedName name="comple1">#REF!</definedName>
    <definedName name="Concerne">#REF!</definedName>
    <definedName name="Concerne1">#REF!</definedName>
    <definedName name="Concerne2">#REF!</definedName>
    <definedName name="Concerne3">#REF!</definedName>
    <definedName name="Concerne4">#REF!</definedName>
    <definedName name="Concerne5">#REF!</definedName>
    <definedName name="Condition">'Feuil1 (2)'!$B$21</definedName>
    <definedName name="ConditionF">'Feuil1 (2)'!$BK$4</definedName>
    <definedName name="CP">'Feuil1 (2)'!$B$7</definedName>
    <definedName name="CP0">'Feuil1 (2)'!$BE$6</definedName>
    <definedName name="Date">#REF!</definedName>
    <definedName name="Destinataire">#REF!</definedName>
    <definedName name="f_id">OFFSET(p_id,0,0,COUNTA(l_id),1)</definedName>
    <definedName name="Fourniture20">#REF!</definedName>
    <definedName name="Fourniture25">#REF!</definedName>
    <definedName name="Heure">'Feuil1 (2)'!$E$6</definedName>
    <definedName name="iciQRCode">#REF!</definedName>
    <definedName name="IDAdresse">#REF!</definedName>
    <definedName name="IDFacture">#REF!</definedName>
    <definedName name="IDFactureEmail">#REF!</definedName>
    <definedName name="IDRégie">#REF!</definedName>
    <definedName name="IDRégieMail">#REF!</definedName>
    <definedName name="_xlnm.Print_Titles" localSheetId="0">'Feuil1 (2)'!$47:$48</definedName>
    <definedName name="l_id">#REF!</definedName>
    <definedName name="Lieu">#REF!</definedName>
    <definedName name="Lieu2">#REF!</definedName>
    <definedName name="Lieu3">'Feuil1 (2)'!$B$11</definedName>
    <definedName name="Mail">#REF!</definedName>
    <definedName name="NoBon">#REF!</definedName>
    <definedName name="noBonFacture">#REF!</definedName>
    <definedName name="noBonFactureEmail">#REF!</definedName>
    <definedName name="noFacture">#REF!</definedName>
    <definedName name="noFactureEmail">#REF!</definedName>
    <definedName name="Nom">'Feuil1 (2)'!$B$4</definedName>
    <definedName name="Nom0">'Feuil1 (2)'!$BE$4</definedName>
    <definedName name="NomAdresse">#REF!</definedName>
    <definedName name="nouvelle">#REF!</definedName>
    <definedName name="NPA">#REF!</definedName>
    <definedName name="Numero">#REF!</definedName>
    <definedName name="p_id">#REF!</definedName>
    <definedName name="Prix">#REF!</definedName>
    <definedName name="QRValeur">#REF!</definedName>
    <definedName name="RechercheID">#REF!</definedName>
    <definedName name="Remise5">#REF!</definedName>
    <definedName name="Select">'Feuil1 (2)'!$BD$3</definedName>
    <definedName name="Sujet">'Feuil1 (2)'!$B$15</definedName>
    <definedName name="test">#REF!</definedName>
    <definedName name="TextePourQRCode">[1]donnees!$C$38</definedName>
    <definedName name="Variante">'Feuil1 (2)'!$B$14</definedName>
    <definedName name="Version">#REF!</definedName>
    <definedName name="Ville">'Feuil1 (2)'!$B$8</definedName>
    <definedName name="Ville0">'Feuil1 (2)'!$BE$7</definedName>
    <definedName name="_xlnm.Print_Area" localSheetId="0">'Feuil1 (2)'!$B$1:$F$169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D13" i="17" l="1"/>
  <c r="F64" i="17" a="1"/>
  <c r="F64" i="17" s="1"/>
  <c r="F51" i="17" a="1"/>
  <c r="F51" i="17" s="1"/>
  <c r="H49" i="17" a="1"/>
  <c r="H49" i="17" s="1"/>
  <c r="E27" i="17" s="1"/>
  <c r="H50" i="17" a="1"/>
  <c r="H50" i="17" s="1"/>
  <c r="H51" i="17" a="1"/>
  <c r="H51" i="17" s="1"/>
  <c r="H52" i="17" a="1"/>
  <c r="H52" i="17" s="1"/>
  <c r="H53" i="17" a="1"/>
  <c r="H53" i="17" s="1"/>
  <c r="H54" i="17" a="1"/>
  <c r="H54" i="17" s="1"/>
  <c r="H55" i="17" a="1"/>
  <c r="H55" i="17" s="1"/>
  <c r="H56" i="17" a="1"/>
  <c r="H56" i="17" s="1"/>
  <c r="H57" i="17" a="1"/>
  <c r="H57" i="17" s="1"/>
  <c r="H58" i="17" a="1"/>
  <c r="H58" i="17" s="1"/>
  <c r="H60" i="17" a="1"/>
  <c r="H60" i="17" s="1"/>
  <c r="H61" i="17" a="1"/>
  <c r="H61" i="17" s="1"/>
  <c r="H62" i="17" a="1"/>
  <c r="H62" i="17" s="1"/>
  <c r="H63" i="17" a="1"/>
  <c r="H63" i="17" s="1"/>
  <c r="H64" i="17" a="1"/>
  <c r="H64" i="17" s="1"/>
  <c r="H65" i="17" a="1"/>
  <c r="H65" i="17" s="1"/>
  <c r="H66" i="17" a="1"/>
  <c r="H66" i="17" s="1"/>
  <c r="H67" i="17" a="1"/>
  <c r="H67" i="17" s="1"/>
  <c r="H68" i="17" a="1"/>
  <c r="H68" i="17" s="1"/>
  <c r="H69" i="17" a="1"/>
  <c r="H69" i="17" s="1"/>
  <c r="H70" i="17" a="1"/>
  <c r="H70" i="17" s="1"/>
  <c r="H71" i="17" a="1"/>
  <c r="H71" i="17" s="1"/>
  <c r="H72" i="17" a="1"/>
  <c r="H72" i="17" s="1"/>
  <c r="H73" i="17" a="1"/>
  <c r="H73" i="17" s="1"/>
  <c r="H74" i="17" a="1"/>
  <c r="H74" i="17" s="1"/>
  <c r="H75" i="17" a="1"/>
  <c r="H75" i="17" s="1"/>
  <c r="H76" i="17" a="1"/>
  <c r="H76" i="17" s="1"/>
  <c r="H77" i="17" a="1"/>
  <c r="H77" i="17" s="1"/>
  <c r="H59" i="17" a="1"/>
  <c r="H59" i="17" s="1"/>
  <c r="F53" i="17" a="1"/>
  <c r="F53" i="17" s="1"/>
  <c r="F57" i="17" a="1"/>
  <c r="F57" i="17" s="1"/>
  <c r="F58" i="17" a="1"/>
  <c r="F58" i="17" s="1"/>
  <c r="F59" i="17" a="1"/>
  <c r="F59" i="17" s="1"/>
  <c r="F69" i="17" a="1"/>
  <c r="F69" i="17" s="1"/>
  <c r="F49" i="17" a="1"/>
  <c r="F49" i="17" s="1"/>
  <c r="F50" i="17" a="1"/>
  <c r="F50" i="17" s="1"/>
  <c r="F52" i="17" a="1"/>
  <c r="F52" i="17" s="1"/>
  <c r="F54" i="17" a="1"/>
  <c r="F54" i="17" s="1"/>
  <c r="F55" i="17" a="1"/>
  <c r="F55" i="17" s="1"/>
  <c r="F56" i="17" a="1"/>
  <c r="F56" i="17" s="1"/>
  <c r="F60" i="17" a="1"/>
  <c r="F60" i="17" s="1"/>
  <c r="F61" i="17" a="1"/>
  <c r="F61" i="17" s="1"/>
  <c r="F62" i="17" a="1"/>
  <c r="F62" i="17" s="1"/>
  <c r="F63" i="17" a="1"/>
  <c r="F63" i="17" s="1"/>
  <c r="F65" i="17" a="1"/>
  <c r="F65" i="17" s="1"/>
  <c r="F66" i="17" a="1"/>
  <c r="F66" i="17" s="1"/>
  <c r="F67" i="17" a="1"/>
  <c r="F67" i="17" s="1"/>
  <c r="F68" i="17" a="1"/>
  <c r="F68" i="17" s="1"/>
  <c r="F70" i="17" a="1"/>
  <c r="F70" i="17" s="1"/>
  <c r="F71" i="17" a="1"/>
  <c r="F71" i="17" s="1"/>
  <c r="F72" i="17" a="1"/>
  <c r="F72" i="17" s="1"/>
  <c r="F73" i="17" a="1"/>
  <c r="F73" i="17" s="1"/>
  <c r="F74" i="17" a="1"/>
  <c r="F74" i="17" s="1"/>
  <c r="F75" i="17" a="1"/>
  <c r="F75" i="17" s="1"/>
  <c r="F76" i="17" a="1"/>
  <c r="F76" i="17" s="1"/>
  <c r="F77" i="17" a="1"/>
  <c r="F77" i="17" s="1"/>
  <c r="BN6" i="17"/>
  <c r="BN4" i="17"/>
  <c r="G48" i="17" l="1"/>
  <c r="F37" i="17"/>
  <c r="F27" i="17"/>
  <c r="BD14" i="17"/>
  <c r="C26" i="17" l="1"/>
  <c r="C22" i="17"/>
  <c r="C24" i="17"/>
  <c r="C36" i="17"/>
  <c r="F35" i="17"/>
  <c r="E35" i="17"/>
  <c r="F36" i="17" l="1"/>
  <c r="BD11" i="17"/>
  <c r="F24" i="17"/>
  <c r="F25" i="17"/>
  <c r="F23" i="17"/>
  <c r="F22" i="17"/>
  <c r="F21" i="17"/>
  <c r="E20" i="17" l="1"/>
  <c r="BE7" i="17"/>
  <c r="BE6" i="17"/>
  <c r="BE4" i="17"/>
  <c r="BE5" i="17"/>
  <c r="B1" i="17"/>
  <c r="T7" i="17"/>
  <c r="S7" i="17"/>
  <c r="T6" i="17"/>
  <c r="S6" i="17"/>
  <c r="E21" i="17" l="1"/>
  <c r="E22" i="17" s="1"/>
  <c r="U7" i="17"/>
  <c r="U6" i="17"/>
  <c r="E23" i="17" l="1"/>
  <c r="E24" i="17" s="1"/>
  <c r="E26" i="17" l="1" a="1"/>
  <c r="E26" i="17" s="1"/>
  <c r="E28" i="17" l="1"/>
  <c r="BD12" i="17" s="1"/>
  <c r="E36" i="17" l="1"/>
  <c r="E37" i="17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<sst xmlns="http://schemas.openxmlformats.org/spreadsheetml/2006/main" count="61" uniqueCount="52">
  <si>
    <t>CHF</t>
  </si>
  <si>
    <t>Ville</t>
  </si>
  <si>
    <t>NPA</t>
  </si>
  <si>
    <t>Adresse</t>
  </si>
  <si>
    <t>Nom</t>
  </si>
  <si>
    <t>Régie</t>
  </si>
  <si>
    <t xml:space="preserve">Date  </t>
  </si>
  <si>
    <t xml:space="preserve">Version  </t>
  </si>
  <si>
    <t>Verbale</t>
  </si>
  <si>
    <t>0</t>
  </si>
  <si>
    <t>2642-001</t>
  </si>
  <si>
    <t xml:space="preserve">Bon N° </t>
  </si>
  <si>
    <t>CP</t>
  </si>
  <si>
    <t>Colonne1</t>
  </si>
  <si>
    <t>Colonne2</t>
  </si>
  <si>
    <t>Colonne3</t>
  </si>
  <si>
    <t>Régie2</t>
  </si>
  <si>
    <t>colonne</t>
  </si>
  <si>
    <t>Colonne4</t>
  </si>
  <si>
    <t>Arrêté HT</t>
  </si>
  <si>
    <t>Remise</t>
  </si>
  <si>
    <t>Prorata</t>
  </si>
  <si>
    <t>TVA</t>
  </si>
  <si>
    <t>Arrêté TTC</t>
  </si>
  <si>
    <t>Style</t>
  </si>
  <si>
    <t>Privé</t>
  </si>
  <si>
    <t>Calcul liste Nom</t>
  </si>
  <si>
    <t>Calcul liste Conditions</t>
  </si>
  <si>
    <t>Vàlidité du devis :
3 mois après la date d'émission.
Paiements :
Échéance 30 jours après la date de la facture, net.</t>
  </si>
  <si>
    <t xml:space="preserve">Liste Conditions </t>
  </si>
  <si>
    <t>-------</t>
  </si>
  <si>
    <t>Acompte / Situation 30 Jours</t>
  </si>
  <si>
    <t>Acompte / Situation 0 Jours</t>
  </si>
  <si>
    <t>Acompte Reçu</t>
  </si>
  <si>
    <t>Date</t>
  </si>
  <si>
    <t>Prix HT</t>
  </si>
  <si>
    <t>Prix TTC</t>
  </si>
  <si>
    <t>Plus-Value HT</t>
  </si>
  <si>
    <t>T.V.A.</t>
  </si>
  <si>
    <t>Régie (Facture Finale) 30 Jours</t>
  </si>
  <si>
    <t>Privé (Facture Finale) 14 Jours</t>
  </si>
  <si>
    <t>EG (Facture Finale) 30 Jours</t>
  </si>
  <si>
    <t>Maitre Ouvrage</t>
  </si>
  <si>
    <t>Paiements :
À la réception de ce document.
Merci pour votre confiance.</t>
  </si>
  <si>
    <t>Paiements :
Échéance 30 jours après la date de ce document, net.
Merci pour votre confiance.</t>
  </si>
  <si>
    <t>Paiements de la facture finale :
Échéance 30 jours après la date de ce document, net.
Merci pour votre confiance.</t>
  </si>
  <si>
    <t>Paiements de la facture finale :
Échéance 14 jours après la date de ce document, net.
Merci pour votre confiance.</t>
  </si>
  <si>
    <t>Calcul Arrêté HT</t>
  </si>
  <si>
    <t>Total Acompte</t>
  </si>
  <si>
    <t>Sous-Total</t>
  </si>
  <si>
    <t>Acompte</t>
  </si>
  <si>
    <t xml:space="preserve">Devis N°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</si>
</sst>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_ * #,##0.00_ ;_ * \-#,##0.00_ ;_ * &quot;-&quot;??_ ;_ @_ "/>
    <numFmt numFmtId="169" formatCode="0.0%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color theme="1"/>
      <name val="Arial"/>
      <family val="2"/>
    </font>
    <font>
      <sz val="13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sz val="13"/>
      <name val="Arial"/>
      <family val="2"/>
    </font>
    <font>
      <sz val="11"/>
      <color theme="1"/>
      <name val="Times New Roman"/>
      <family val="1"/>
    </font>
    <font>
      <b/>
      <sz val="16"/>
      <name val="Times New Roman"/>
      <family val="1"/>
    </font>
    <font>
      <sz val="16"/>
      <color theme="1"/>
      <name val="Times New Roman"/>
      <family val="1"/>
    </font>
    <font>
      <b/>
      <sz val="16"/>
      <color theme="1"/>
      <name val="Times New Roman"/>
      <family val="1"/>
    </font>
    <font>
      <sz val="16"/>
      <name val="Times New Roman"/>
      <family val="1"/>
    </font>
    <font>
      <sz val="16"/>
      <color rgb="FF001D2A"/>
      <name val="Times New Roman"/>
      <family val="1"/>
    </font>
    <font>
      <i/>
      <sz val="16"/>
      <name val="Times New Roman"/>
      <family val="1"/>
    </font>
    <font>
      <sz val="26"/>
      <color rgb="FFA0A0A0"/>
      <name val="Times New Roman"/>
      <family val="1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6"/>
      <color rgb="FFB79B67"/>
      <name val="Times New Roman"/>
      <family val="1"/>
    </font>
    <font>
      <sz val="14"/>
      <color theme="1"/>
      <name val="Times New Roman"/>
      <family val="1"/>
    </font>
    <font>
      <sz val="12"/>
      <name val="Times New Roman"/>
      <family val="1"/>
    </font>
    <font>
      <sz val="11"/>
      <color rgb="FF000000"/>
      <name val="Calibri"/>
      <family val="2"/>
    </font>
    <font>
      <sz val="18"/>
      <color theme="1"/>
      <name val="Times New Roman"/>
      <family val="1"/>
    </font>
    <font>
      <sz val="18"/>
      <color rgb="FFB79B67"/>
      <name val="Times New Roman"/>
      <family val="1"/>
    </font>
    <font>
      <sz val="18"/>
      <name val="Times New Roman"/>
      <family val="1"/>
    </font>
    <font>
      <sz val="18"/>
      <color rgb="FF001E2C"/>
      <name val="Times New Roman"/>
      <family val="1"/>
    </font>
    <font>
      <b/>
      <sz val="18"/>
      <color rgb="FF001E2C"/>
      <name val="Times New Roman"/>
      <family val="1"/>
    </font>
    <font>
      <sz val="18"/>
      <color rgb="FF1B2D41"/>
      <name val="Times New Roman"/>
      <family val="1"/>
    </font>
    <font>
      <b/>
      <sz val="14"/>
      <color theme="1"/>
      <name val="Times New Roman"/>
      <family val="1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ashDotDot">
        <color indexed="64"/>
      </right>
      <top/>
      <bottom/>
      <diagonal/>
    </border>
    <border>
      <left/>
      <right/>
      <top/>
      <bottom style="medium">
        <color rgb="FFC00000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0" fontId="2" fillId="0" borderId="0"/>
    <xf numFmtId="164" fontId="2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</cellStyleXfs>
  <cellXfs count="152">
    <xf numFmtId="0" fontId="0" fillId="0" borderId="0" xfId="0"/>
    <xf numFmtId="0" fontId="0" fillId="2" borderId="0" xfId="0" applyFill="1"/>
    <xf numFmtId="0" fontId="5" fillId="0" borderId="0" xfId="0" applyFont="1"/>
    <xf numFmtId="0" fontId="4" fillId="0" borderId="0" xfId="0" applyFont="1"/>
    <xf numFmtId="4" fontId="5" fillId="0" borderId="0" xfId="0" applyNumberFormat="1" applyFont="1" applyAlignment="1">
      <alignment horizontal="left"/>
    </xf>
    <xf numFmtId="0" fontId="6" fillId="0" borderId="0" xfId="0" applyFont="1"/>
    <xf numFmtId="0" fontId="7" fillId="0" borderId="0" xfId="0" applyFont="1"/>
    <xf numFmtId="0" fontId="8" fillId="0" borderId="0" xfId="0" applyFont="1" applyAlignment="1">
      <alignment horizontal="left"/>
    </xf>
    <xf numFmtId="0" fontId="5" fillId="0" borderId="13" xfId="0" applyFont="1" applyBorder="1"/>
    <xf numFmtId="0" fontId="9" fillId="0" borderId="0" xfId="0" applyFont="1"/>
    <xf numFmtId="0" fontId="11" fillId="0" borderId="0" xfId="0" applyFont="1"/>
    <xf numFmtId="0" fontId="12" fillId="0" borderId="0" xfId="0" applyFont="1" applyAlignment="1">
      <alignment horizontal="right"/>
    </xf>
    <xf numFmtId="0" fontId="10" fillId="0" borderId="0" xfId="0" applyFont="1" applyAlignment="1">
      <alignment horizontal="right" vertical="center"/>
    </xf>
    <xf numFmtId="0" fontId="12" fillId="0" borderId="0" xfId="0" applyFont="1"/>
    <xf numFmtId="14" fontId="11" fillId="0" borderId="0" xfId="0" applyNumberFormat="1" applyFont="1" applyAlignment="1">
      <alignment horizontal="left" vertical="center"/>
    </xf>
    <xf numFmtId="0" fontId="11" fillId="0" borderId="0" xfId="0" applyFont="1" applyAlignment="1">
      <alignment vertical="center"/>
    </xf>
    <xf numFmtId="4" fontId="13" fillId="0" borderId="0" xfId="0" applyNumberFormat="1" applyFont="1" applyAlignment="1">
      <alignment horizontal="right" readingOrder="1"/>
    </xf>
    <xf numFmtId="0" fontId="13" fillId="0" borderId="0" xfId="0" applyFont="1" applyAlignment="1">
      <alignment horizontal="right"/>
    </xf>
    <xf numFmtId="2" fontId="13" fillId="0" borderId="0" xfId="0" applyNumberFormat="1" applyFont="1" applyAlignment="1">
      <alignment horizontal="right"/>
    </xf>
    <xf numFmtId="0" fontId="13" fillId="0" borderId="0" xfId="0" applyFont="1" applyAlignment="1">
      <alignment horizontal="center" vertical="center"/>
    </xf>
    <xf numFmtId="0" fontId="13" fillId="0" borderId="14" xfId="0" applyFont="1" applyBorder="1" applyAlignment="1">
      <alignment horizontal="right"/>
    </xf>
    <xf numFmtId="2" fontId="13" fillId="0" borderId="14" xfId="0" applyNumberFormat="1" applyFont="1" applyBorder="1" applyAlignment="1">
      <alignment horizontal="right"/>
    </xf>
    <xf numFmtId="4" fontId="13" fillId="0" borderId="14" xfId="0" applyNumberFormat="1" applyFont="1" applyBorder="1" applyAlignment="1">
      <alignment horizontal="right" readingOrder="1"/>
    </xf>
    <xf numFmtId="14" fontId="5" fillId="0" borderId="0" xfId="0" applyNumberFormat="1" applyFont="1" applyAlignment="1">
      <alignment horizontal="left"/>
    </xf>
    <xf numFmtId="0" fontId="5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10" fillId="0" borderId="0" xfId="0" applyFont="1"/>
    <xf numFmtId="0" fontId="15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wrapText="1"/>
    </xf>
    <xf numFmtId="0" fontId="14" fillId="0" borderId="0" xfId="0" applyFont="1" applyAlignment="1">
      <alignment vertical="center" wrapText="1"/>
    </xf>
    <xf numFmtId="0" fontId="16" fillId="0" borderId="0" xfId="0" applyFont="1"/>
    <xf numFmtId="0" fontId="17" fillId="0" borderId="0" xfId="0" applyFont="1"/>
    <xf numFmtId="0" fontId="18" fillId="0" borderId="0" xfId="0" applyFont="1"/>
    <xf numFmtId="0" fontId="19" fillId="0" borderId="0" xfId="0" applyFont="1"/>
    <xf numFmtId="0" fontId="19" fillId="0" borderId="0" xfId="0" applyFont="1" applyAlignment="1">
      <alignment horizontal="left"/>
    </xf>
    <xf numFmtId="49" fontId="19" fillId="0" borderId="0" xfId="0" applyNumberFormat="1" applyFont="1" applyAlignment="1">
      <alignment horizontal="left"/>
    </xf>
    <xf numFmtId="0" fontId="18" fillId="0" borderId="0" xfId="0" applyFont="1" applyAlignment="1">
      <alignment horizontal="left"/>
    </xf>
    <xf numFmtId="49" fontId="18" fillId="0" borderId="0" xfId="0" applyNumberFormat="1" applyFont="1" applyAlignment="1">
      <alignment horizontal="left"/>
    </xf>
    <xf numFmtId="0" fontId="18" fillId="0" borderId="4" xfId="0" applyFont="1" applyBorder="1"/>
    <xf numFmtId="0" fontId="19" fillId="0" borderId="3" xfId="0" applyFont="1" applyBorder="1"/>
    <xf numFmtId="0" fontId="19" fillId="0" borderId="5" xfId="0" applyFont="1" applyBorder="1"/>
    <xf numFmtId="0" fontId="18" fillId="0" borderId="1" xfId="0" applyFont="1" applyBorder="1" applyAlignment="1">
      <alignment horizontal="right"/>
    </xf>
    <xf numFmtId="0" fontId="19" fillId="0" borderId="2" xfId="0" applyFont="1" applyBorder="1"/>
    <xf numFmtId="0" fontId="18" fillId="0" borderId="10" xfId="0" applyFont="1" applyBorder="1"/>
    <xf numFmtId="0" fontId="19" fillId="0" borderId="7" xfId="0" applyFont="1" applyBorder="1"/>
    <xf numFmtId="0" fontId="19" fillId="0" borderId="6" xfId="0" applyFont="1" applyBorder="1"/>
    <xf numFmtId="0" fontId="11" fillId="0" borderId="0" xfId="0" applyFont="1" applyAlignment="1">
      <alignment horizontal="right" wrapText="1"/>
    </xf>
    <xf numFmtId="4" fontId="11" fillId="0" borderId="0" xfId="0" applyNumberFormat="1" applyFont="1"/>
    <xf numFmtId="4" fontId="9" fillId="0" borderId="0" xfId="0" applyNumberFormat="1" applyFont="1"/>
    <xf numFmtId="0" fontId="11" fillId="0" borderId="0" xfId="0" applyFont="1" applyAlignment="1">
      <alignment horizontal="right" vertical="center"/>
    </xf>
    <xf numFmtId="4" fontId="11" fillId="0" borderId="0" xfId="0" applyNumberFormat="1" applyFont="1" applyAlignment="1">
      <alignment vertical="center"/>
    </xf>
    <xf numFmtId="4" fontId="11" fillId="0" borderId="0" xfId="0" applyNumberFormat="1" applyFont="1" applyAlignment="1">
      <alignment wrapText="1"/>
    </xf>
    <xf numFmtId="4" fontId="14" fillId="0" borderId="0" xfId="0" applyNumberFormat="1" applyFont="1" applyAlignment="1">
      <alignment vertical="center" wrapText="1"/>
    </xf>
    <xf numFmtId="4" fontId="15" fillId="0" borderId="0" xfId="0" applyNumberFormat="1" applyFont="1" applyAlignment="1">
      <alignment horizontal="center" vertical="center"/>
    </xf>
    <xf numFmtId="4" fontId="11" fillId="0" borderId="0" xfId="0" applyNumberFormat="1" applyFont="1" applyAlignment="1">
      <alignment horizontal="left" vertical="center"/>
    </xf>
    <xf numFmtId="4" fontId="10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right" vertical="center" wrapText="1"/>
    </xf>
    <xf numFmtId="0" fontId="20" fillId="0" borderId="0" xfId="0" applyFont="1" applyAlignment="1">
      <alignment horizontal="right" vertical="center"/>
    </xf>
    <xf numFmtId="4" fontId="20" fillId="0" borderId="0" xfId="0" applyNumberFormat="1" applyFont="1" applyAlignment="1">
      <alignment horizontal="right" vertical="center"/>
    </xf>
    <xf numFmtId="0" fontId="20" fillId="0" borderId="0" xfId="0" applyFont="1" applyAlignment="1">
      <alignment horizontal="left" wrapText="1" indent="3"/>
    </xf>
    <xf numFmtId="4" fontId="20" fillId="0" borderId="0" xfId="0" applyNumberFormat="1" applyFont="1" applyAlignment="1">
      <alignment horizontal="left" vertical="center"/>
    </xf>
    <xf numFmtId="0" fontId="20" fillId="0" borderId="0" xfId="0" applyFont="1" applyAlignment="1">
      <alignment vertical="center" wrapText="1"/>
    </xf>
    <xf numFmtId="0" fontId="9" fillId="0" borderId="0" xfId="0" applyFont="1" applyAlignment="1">
      <alignment wrapText="1"/>
    </xf>
    <xf numFmtId="0" fontId="11" fillId="0" borderId="0" xfId="0" applyFont="1" applyAlignment="1">
      <alignment horizontal="left" vertical="center" wrapText="1"/>
    </xf>
    <xf numFmtId="0" fontId="9" fillId="0" borderId="0" xfId="0" quotePrefix="1" applyFont="1"/>
    <xf numFmtId="0" fontId="9" fillId="0" borderId="1" xfId="0" applyFont="1" applyBorder="1"/>
    <xf numFmtId="0" fontId="9" fillId="0" borderId="4" xfId="0" applyFont="1" applyBorder="1" applyAlignment="1">
      <alignment horizontal="right" vertical="center"/>
    </xf>
    <xf numFmtId="0" fontId="9" fillId="0" borderId="1" xfId="0" applyFont="1" applyBorder="1" applyAlignment="1">
      <alignment horizontal="right" vertical="center"/>
    </xf>
    <xf numFmtId="0" fontId="9" fillId="0" borderId="10" xfId="0" applyFont="1" applyBorder="1"/>
    <xf numFmtId="0" fontId="21" fillId="0" borderId="0" xfId="0" applyFont="1" applyAlignment="1">
      <alignment wrapText="1"/>
    </xf>
    <xf numFmtId="0" fontId="11" fillId="0" borderId="0" xfId="0" applyFont="1" applyAlignment="1">
      <alignment vertical="center" wrapText="1"/>
    </xf>
    <xf numFmtId="4" fontId="19" fillId="0" borderId="0" xfId="0" applyNumberFormat="1" applyFont="1"/>
    <xf numFmtId="4" fontId="22" fillId="0" borderId="0" xfId="0" applyNumberFormat="1" applyFont="1" applyAlignment="1">
      <alignment horizontal="right"/>
    </xf>
    <xf numFmtId="0" fontId="9" fillId="0" borderId="0" xfId="0" applyFont="1" applyAlignment="1">
      <alignment horizontal="left" vertical="center"/>
    </xf>
    <xf numFmtId="0" fontId="21" fillId="0" borderId="0" xfId="0" applyFont="1" applyAlignment="1">
      <alignment horizontal="right" vertical="center"/>
    </xf>
    <xf numFmtId="0" fontId="21" fillId="0" borderId="0" xfId="0" applyFont="1" applyAlignment="1">
      <alignment horizontal="center" vertical="center"/>
    </xf>
    <xf numFmtId="4" fontId="11" fillId="0" borderId="16" xfId="0" applyNumberFormat="1" applyFont="1" applyBorder="1" applyAlignment="1">
      <alignment vertical="center"/>
    </xf>
    <xf numFmtId="0" fontId="24" fillId="0" borderId="0" xfId="0" applyFont="1" applyAlignment="1">
      <alignment wrapText="1"/>
    </xf>
    <xf numFmtId="4" fontId="24" fillId="0" borderId="0" xfId="0" applyNumberFormat="1" applyFont="1" applyAlignment="1">
      <alignment wrapText="1"/>
    </xf>
    <xf numFmtId="0" fontId="24" fillId="0" borderId="0" xfId="0" applyFont="1" applyAlignment="1">
      <alignment horizontal="right" vertical="center"/>
    </xf>
    <xf numFmtId="9" fontId="24" fillId="0" borderId="0" xfId="0" applyNumberFormat="1" applyFont="1" applyAlignment="1">
      <alignment horizontal="right" vertical="center"/>
    </xf>
    <xf numFmtId="4" fontId="24" fillId="0" borderId="0" xfId="0" applyNumberFormat="1" applyFont="1" applyAlignment="1">
      <alignment horizontal="right" vertical="center"/>
    </xf>
    <xf numFmtId="4" fontId="24" fillId="0" borderId="0" xfId="0" applyNumberFormat="1" applyFont="1" applyAlignment="1">
      <alignment horizontal="left" vertical="center"/>
    </xf>
    <xf numFmtId="10" fontId="24" fillId="0" borderId="0" xfId="0" applyNumberFormat="1" applyFont="1" applyAlignment="1">
      <alignment horizontal="right" vertical="center"/>
    </xf>
    <xf numFmtId="4" fontId="24" fillId="0" borderId="0" xfId="0" applyNumberFormat="1" applyFont="1" applyAlignment="1">
      <alignment vertical="center" wrapText="1"/>
    </xf>
    <xf numFmtId="0" fontId="25" fillId="0" borderId="0" xfId="0" applyFont="1" applyAlignment="1">
      <alignment horizontal="right" vertical="center"/>
    </xf>
    <xf numFmtId="4" fontId="26" fillId="0" borderId="0" xfId="0" applyNumberFormat="1" applyFont="1" applyAlignment="1">
      <alignment horizontal="right" vertical="center"/>
    </xf>
    <xf numFmtId="0" fontId="26" fillId="0" borderId="0" xfId="0" applyFont="1" applyAlignment="1">
      <alignment horizontal="right" vertical="center"/>
    </xf>
    <xf numFmtId="4" fontId="26" fillId="0" borderId="0" xfId="0" applyNumberFormat="1" applyFont="1" applyAlignment="1">
      <alignment horizontal="left" vertical="center"/>
    </xf>
    <xf numFmtId="169" fontId="24" fillId="0" borderId="0" xfId="0" applyNumberFormat="1" applyFont="1" applyAlignment="1">
      <alignment horizontal="right" vertical="center"/>
    </xf>
    <xf numFmtId="4" fontId="24" fillId="0" borderId="0" xfId="0" applyNumberFormat="1" applyFont="1" applyAlignment="1">
      <alignment horizontal="right" vertical="center" wrapText="1"/>
    </xf>
    <xf numFmtId="14" fontId="24" fillId="0" borderId="0" xfId="0" applyNumberFormat="1" applyFont="1" applyAlignment="1">
      <alignment vertical="center"/>
    </xf>
    <xf numFmtId="4" fontId="24" fillId="0" borderId="0" xfId="0" applyNumberFormat="1" applyFont="1" applyAlignment="1">
      <alignment vertical="center"/>
    </xf>
    <xf numFmtId="49" fontId="27" fillId="0" borderId="0" xfId="0" applyNumberFormat="1" applyFont="1" applyAlignment="1">
      <alignment horizontal="left" vertical="center"/>
    </xf>
    <xf numFmtId="4" fontId="27" fillId="0" borderId="0" xfId="0" applyNumberFormat="1" applyFont="1" applyAlignment="1">
      <alignment horizontal="left" vertical="center"/>
    </xf>
    <xf numFmtId="0" fontId="27" fillId="0" borderId="0" xfId="0" applyFont="1" applyAlignment="1">
      <alignment horizontal="left" vertical="center"/>
    </xf>
    <xf numFmtId="4" fontId="29" fillId="0" borderId="0" xfId="0" applyNumberFormat="1" applyFont="1" applyAlignment="1">
      <alignment vertical="center"/>
    </xf>
    <xf numFmtId="4" fontId="27" fillId="0" borderId="0" xfId="0" applyNumberFormat="1" applyFont="1" applyAlignment="1">
      <alignment vertical="center"/>
    </xf>
    <xf numFmtId="4" fontId="26" fillId="0" borderId="0" xfId="0" applyNumberFormat="1" applyFont="1" applyAlignment="1">
      <alignment vertical="center"/>
    </xf>
    <xf numFmtId="14" fontId="29" fillId="0" borderId="0" xfId="0" applyNumberFormat="1" applyFont="1" applyAlignment="1">
      <alignment horizontal="left" vertical="center"/>
    </xf>
    <xf numFmtId="4" fontId="29" fillId="0" borderId="0" xfId="0" applyNumberFormat="1" applyFont="1" applyAlignment="1">
      <alignment horizontal="left" vertical="center"/>
    </xf>
    <xf numFmtId="4" fontId="11" fillId="0" borderId="0" xfId="0" applyNumberFormat="1" applyFont="1" applyAlignment="1">
      <alignment vertical="top" wrapText="1"/>
    </xf>
    <xf numFmtId="0" fontId="27" fillId="0" borderId="0" xfId="0" applyFont="1" applyAlignment="1">
      <alignment horizontal="left" vertical="center" indent="8"/>
    </xf>
    <xf numFmtId="4" fontId="11" fillId="0" borderId="17" xfId="0" applyNumberFormat="1" applyFont="1" applyBorder="1" applyAlignment="1">
      <alignment vertical="center"/>
    </xf>
    <xf numFmtId="0" fontId="30" fillId="0" borderId="11" xfId="0" applyFont="1" applyBorder="1" applyAlignment="1">
      <alignment horizontal="center" vertical="center"/>
    </xf>
    <xf numFmtId="0" fontId="30" fillId="0" borderId="11" xfId="0" applyFont="1" applyBorder="1" applyAlignment="1">
      <alignment horizontal="center"/>
    </xf>
    <xf numFmtId="169" fontId="11" fillId="0" borderId="12" xfId="0" applyNumberFormat="1" applyFont="1" applyBorder="1" applyAlignment="1">
      <alignment horizontal="center" vertical="center"/>
    </xf>
    <xf numFmtId="4" fontId="11" fillId="0" borderId="0" xfId="0" applyNumberFormat="1" applyFont="1" applyAlignment="1">
      <alignment horizontal="right" vertical="center"/>
    </xf>
    <xf numFmtId="0" fontId="11" fillId="0" borderId="0" xfId="0" applyFont="1" applyAlignment="1">
      <alignment horizontal="center"/>
    </xf>
    <xf numFmtId="14" fontId="11" fillId="0" borderId="0" xfId="0" applyNumberFormat="1" applyFont="1" applyAlignment="1">
      <alignment horizontal="right" vertical="center"/>
    </xf>
    <xf numFmtId="0" fontId="21" fillId="0" borderId="16" xfId="0" applyFont="1" applyBorder="1" applyAlignment="1">
      <alignment vertical="center"/>
    </xf>
    <xf numFmtId="4" fontId="11" fillId="0" borderId="9" xfId="0" applyNumberFormat="1" applyFont="1" applyBorder="1" applyAlignment="1">
      <alignment vertical="center"/>
    </xf>
    <xf numFmtId="4" fontId="11" fillId="0" borderId="9" xfId="0" applyNumberFormat="1" applyFont="1" applyBorder="1" applyAlignment="1">
      <alignment horizontal="right" vertical="center"/>
    </xf>
    <xf numFmtId="0" fontId="9" fillId="0" borderId="2" xfId="0" applyFont="1" applyBorder="1"/>
    <xf numFmtId="0" fontId="9" fillId="0" borderId="15" xfId="0" applyFont="1" applyBorder="1"/>
    <xf numFmtId="4" fontId="11" fillId="0" borderId="11" xfId="0" applyNumberFormat="1" applyFont="1" applyBorder="1" applyAlignment="1">
      <alignment horizontal="center" vertical="center"/>
    </xf>
    <xf numFmtId="14" fontId="11" fillId="0" borderId="9" xfId="0" applyNumberFormat="1" applyFont="1" applyBorder="1" applyAlignment="1">
      <alignment horizontal="right" vertical="center"/>
    </xf>
    <xf numFmtId="0" fontId="9" fillId="0" borderId="9" xfId="0" applyFont="1" applyBorder="1"/>
    <xf numFmtId="0" fontId="9" fillId="0" borderId="8" xfId="0" applyFont="1" applyBorder="1"/>
    <xf numFmtId="14" fontId="11" fillId="0" borderId="16" xfId="0" applyNumberFormat="1" applyFont="1" applyBorder="1" applyAlignment="1">
      <alignment horizontal="center" vertical="center"/>
    </xf>
    <xf numFmtId="0" fontId="24" fillId="0" borderId="0" xfId="0" applyFont="1" applyAlignment="1">
      <alignment horizontal="left"/>
    </xf>
    <xf numFmtId="4" fontId="26" fillId="0" borderId="0" xfId="0" applyNumberFormat="1" applyFont="1"/>
    <xf numFmtId="0" fontId="24" fillId="0" borderId="0" xfId="0" applyFont="1" applyAlignment="1">
      <alignment wrapText="1"/>
      <extLst>
        <ext xmlns:xfpb="http://schemas.microsoft.com/office/spreadsheetml/2022/featurepropertybag" uri="{C7286773-470A-42A8-94C5-96B5CB345126}">
          <xfpb:xfComplement i="0"/>
        </ext>
      </extLst>
    </xf>
    <xf numFmtId="0" fontId="13" fillId="0" borderId="0" xfId="0" applyFont="1" applyAlignment="1">
      <alignment horizontal="left"/>
    </xf>
    <xf numFmtId="0" fontId="12" fillId="0" borderId="0" xfId="0" applyFont="1" applyAlignment="1">
      <alignment horizontal="right"/>
    </xf>
    <xf numFmtId="0" fontId="10" fillId="0" borderId="0" xfId="0" applyFont="1" applyAlignment="1">
      <alignment horizontal="right"/>
    </xf>
    <xf numFmtId="49" fontId="11" fillId="0" borderId="0" xfId="0" applyNumberFormat="1" applyFont="1" applyAlignment="1">
      <alignment horizontal="left"/>
    </xf>
    <xf numFmtId="49" fontId="13" fillId="0" borderId="0" xfId="0" applyNumberFormat="1" applyFont="1" applyAlignment="1">
      <alignment horizontal="left"/>
    </xf>
    <xf numFmtId="0" fontId="11" fillId="0" borderId="0" xfId="0" applyFont="1" applyAlignment="1">
      <alignment horizontal="left"/>
    </xf>
    <xf numFmtId="0" fontId="11" fillId="0" borderId="0" xfId="0" applyFont="1"/>
    <xf numFmtId="49" fontId="13" fillId="0" borderId="0" xfId="0" applyNumberFormat="1" applyFont="1" applyAlignment="1">
      <alignment horizontal="left" vertical="center"/>
    </xf>
    <xf numFmtId="0" fontId="13" fillId="0" borderId="14" xfId="0" applyFont="1" applyBorder="1" applyAlignment="1">
      <alignment horizontal="left"/>
    </xf>
    <xf numFmtId="0" fontId="11" fillId="0" borderId="0" xfId="0" applyFont="1" applyAlignment="1">
      <alignment horizontal="left" vertical="center"/>
    </xf>
    <xf numFmtId="0" fontId="11" fillId="0" borderId="0" xfId="0" applyFont="1" applyAlignment="1">
      <alignment horizontal="center"/>
    </xf>
    <xf numFmtId="0" fontId="13" fillId="0" borderId="0" xfId="0" applyFont="1" applyAlignment="1">
      <alignment horizontal="left" vertical="center"/>
    </xf>
    <xf numFmtId="0" fontId="13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28" fillId="0" borderId="0" xfId="0" applyFont="1" applyAlignment="1">
      <alignment horizontal="right" vertical="center"/>
    </xf>
    <xf numFmtId="0" fontId="15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11" fillId="3" borderId="3" xfId="0" applyFont="1" applyFill="1" applyBorder="1" applyAlignment="1">
      <alignment horizontal="left" wrapText="1"/>
    </xf>
    <xf numFmtId="0" fontId="11" fillId="3" borderId="5" xfId="0" applyFont="1" applyFill="1" applyBorder="1" applyAlignment="1">
      <alignment horizontal="left" wrapText="1"/>
    </xf>
    <xf numFmtId="0" fontId="13" fillId="3" borderId="0" xfId="0" applyFont="1" applyFill="1" applyAlignment="1">
      <alignment horizontal="left" wrapText="1"/>
    </xf>
    <xf numFmtId="0" fontId="13" fillId="3" borderId="2" xfId="0" applyFont="1" applyFill="1" applyBorder="1" applyAlignment="1">
      <alignment horizontal="left" wrapText="1"/>
    </xf>
    <xf numFmtId="0" fontId="11" fillId="0" borderId="0" xfId="0" applyFont="1" applyAlignment="1">
      <alignment horizontal="left" wrapText="1"/>
    </xf>
    <xf numFmtId="0" fontId="11" fillId="0" borderId="2" xfId="0" applyFont="1" applyBorder="1" applyAlignment="1">
      <alignment horizontal="left" wrapText="1"/>
    </xf>
    <xf numFmtId="0" fontId="11" fillId="0" borderId="2" xfId="0" applyFont="1" applyBorder="1" applyAlignment="1">
      <alignment horizontal="left"/>
    </xf>
    <xf numFmtId="0" fontId="11" fillId="0" borderId="0" xfId="0" applyFont="1" applyAlignment="1">
      <alignment wrapText="1"/>
    </xf>
    <xf numFmtId="0" fontId="11" fillId="0" borderId="2" xfId="0" applyFont="1" applyBorder="1"/>
    <xf numFmtId="0" fontId="11" fillId="0" borderId="7" xfId="0" applyFont="1" applyBorder="1" applyAlignment="1">
      <alignment horizontal="left" wrapText="1"/>
    </xf>
    <xf numFmtId="0" fontId="11" fillId="0" borderId="6" xfId="0" applyFont="1" applyBorder="1" applyAlignment="1">
      <alignment horizontal="left" wrapText="1"/>
    </xf>
  </cellXfs>
  <cellStyles count="6">
    <cellStyle name="Lien hypertexte 2" xfId="4" xr:uid="{00000000-0005-0000-0000-000000000000}"/>
    <cellStyle name="Milliers 2" xfId="3" xr:uid="{00000000-0005-0000-0000-000001000000}"/>
    <cellStyle name="Milliers 3" xfId="5" xr:uid="{00000000-0005-0000-0000-000002000000}"/>
    <cellStyle name="Normal" xfId="0" builtinId="0"/>
    <cellStyle name="Normal 2" xfId="2" xr:uid="{00000000-0005-0000-0000-000004000000}"/>
    <cellStyle name="Normal 3" xfId="1" xr:uid="{00000000-0005-0000-0000-000005000000}"/>
  </cellStyles>
  <dxfs count="5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Times New Roman"/>
        <family val="1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Times New Roman"/>
        <family val="1"/>
        <scheme val="none"/>
      </font>
      <numFmt numFmtId="4" formatCode="#,##0.00"/>
      <alignment horizontal="righ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Times New Roman"/>
        <family val="1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Times New Roman"/>
        <family val="1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Times New Roman"/>
        <family val="1"/>
        <scheme val="none"/>
      </font>
      <alignment horizontal="general" vertical="bottom" textRotation="0" wrapText="1" indent="0" justifyLastLine="0" shrinkToFit="0" readingOrder="0"/>
      <extLst>
        <ext xmlns:xfpb="http://schemas.microsoft.com/office/spreadsheetml/2022/featurepropertybag" uri="{0417FA29-78FA-4A13-93AC-8FF0FAFDF519}">
          <xfpb:DXFComplement i="0"/>
        </ext>
      </extLs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Times New Roman"/>
        <family val="1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imes New Roman"/>
        <family val="1"/>
        <scheme val="none"/>
      </font>
      <numFmt numFmtId="4" formatCode="#,##0.00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Times New Roman"/>
        <family val="1"/>
        <scheme val="none"/>
      </font>
      <numFmt numFmtId="4" formatCode="#,##0.00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Times New Roman"/>
        <family val="1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Times New Roman"/>
        <family val="1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Times New Roman"/>
        <family val="1"/>
        <scheme val="none"/>
      </font>
      <numFmt numFmtId="4" formatCode="#,##0.00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Times New Roman"/>
        <family val="1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Times New Roman"/>
        <family val="1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Times New Roman"/>
        <family val="1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Times New Roman"/>
        <family val="1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Times New Roman"/>
        <family val="1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Times New Roman"/>
        <family val="1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Times New Roman"/>
        <family val="1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Times New Roman"/>
        <family val="1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Times New Roman"/>
        <family val="1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Times New Roman"/>
        <family val="1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Times New Roman"/>
        <family val="1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</dxf>
    <dxf>
      <font>
        <b/>
        <i val="0"/>
      </font>
      <border>
        <bottom style="thin">
          <color auto="1"/>
        </bottom>
        <vertical/>
        <horizontal/>
      </border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  <u/>
      </font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colors>
    <mruColors>
      <color rgb="FFCCB894"/>
      <color rgb="FFB79B67"/>
      <color rgb="FFC1A97D"/>
      <color rgb="FF001E2C"/>
      <color rgb="FFA0A0A0"/>
      <color rgb="FF1B2D41"/>
      <color rgb="FF001D2A"/>
      <color rgb="FFA39F9F"/>
      <color rgb="FFADA9A9"/>
      <color rgb="FF908C8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22/11/relationships/FeaturePropertyBag" Target="featurePropertyBag/featurePropertyBag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22" fmlaLink="$BD$3" fmlaRange="$AT$4:$AT$24" noThreeD="1" sel="21" val="13"/>
</file>

<file path=xl/ctrlProps/ctrlProp2.xml><?xml version="1.0" encoding="utf-8"?>
<formControlPr xmlns="http://schemas.microsoft.com/office/spreadsheetml/2009/9/main" objectType="Drop" dropLines="10" dropStyle="combo" dx="22" fmlaLink="$BD$10" fmlaRange="$BJ$4:$BJ$13" noThreeD="1" sel="1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4.emf"/><Relationship Id="rId7" Type="http://schemas.openxmlformats.org/officeDocument/2006/relationships/image" Target="../media/image7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6.emf"/><Relationship Id="rId5" Type="http://schemas.openxmlformats.org/officeDocument/2006/relationships/image" Target="../media/image1.emf"/><Relationship Id="rId4" Type="http://schemas.openxmlformats.org/officeDocument/2006/relationships/image" Target="../media/image5.emf"/><Relationship Id="rId9" Type="http://schemas.openxmlformats.org/officeDocument/2006/relationships/image" Target="../media/image9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10886</xdr:colOff>
      <xdr:row>2</xdr:row>
      <xdr:rowOff>133349</xdr:rowOff>
    </xdr:from>
    <xdr:to>
      <xdr:col>1</xdr:col>
      <xdr:colOff>5953125</xdr:colOff>
      <xdr:row>8</xdr:row>
      <xdr:rowOff>142875</xdr:rowOff>
    </xdr:to>
    <xdr:sp macro="" textlink="">
      <xdr:nvSpPr>
        <xdr:cNvPr id="2" name="Rectangle à coins arrondis 2">
          <a:extLst>
            <a:ext uri="{FF2B5EF4-FFF2-40B4-BE49-F238E27FC236}">
              <a16:creationId xmlns:a16="http://schemas.microsoft.com/office/drawing/2014/main" id="{CA79651F-A782-4229-8FEF-9583D260D5A6}"/>
            </a:ext>
          </a:extLst>
        </xdr:cNvPr>
        <xdr:cNvSpPr/>
      </xdr:nvSpPr>
      <xdr:spPr>
        <a:xfrm>
          <a:off x="268061" y="2486024"/>
          <a:ext cx="5942239" cy="1609726"/>
        </a:xfrm>
        <a:prstGeom prst="roundRect">
          <a:avLst/>
        </a:prstGeom>
        <a:noFill/>
        <a:ln w="19050">
          <a:solidFill>
            <a:srgbClr val="B79B67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</xdr:col>
      <xdr:colOff>459827</xdr:colOff>
      <xdr:row>1</xdr:row>
      <xdr:rowOff>610914</xdr:rowOff>
    </xdr:from>
    <xdr:to>
      <xdr:col>1</xdr:col>
      <xdr:colOff>1361378</xdr:colOff>
      <xdr:row>2</xdr:row>
      <xdr:rowOff>244036</xdr:rowOff>
    </xdr:to>
    <xdr:sp macro="" textlink="">
      <xdr:nvSpPr>
        <xdr:cNvPr id="5" name="Rectangle à coins arrondis 3">
          <a:extLst>
            <a:ext uri="{FF2B5EF4-FFF2-40B4-BE49-F238E27FC236}">
              <a16:creationId xmlns:a16="http://schemas.microsoft.com/office/drawing/2014/main" id="{E5A644DF-66C3-4329-95E2-0E5B162A8DEF}"/>
            </a:ext>
          </a:extLst>
        </xdr:cNvPr>
        <xdr:cNvSpPr/>
      </xdr:nvSpPr>
      <xdr:spPr>
        <a:xfrm>
          <a:off x="716017" y="2345121"/>
          <a:ext cx="901551" cy="250605"/>
        </a:xfrm>
        <a:prstGeom prst="roundRect">
          <a:avLst/>
        </a:prstGeom>
        <a:solidFill>
          <a:schemeClr val="bg1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600" b="1" i="0">
              <a:solidFill>
                <a:srgbClr val="B79B67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Adressé </a:t>
          </a:r>
        </a:p>
      </xdr:txBody>
    </xdr:sp>
    <xdr:clientData/>
  </xdr:twoCellAnchor>
  <xdr:twoCellAnchor>
    <xdr:from>
      <xdr:col>2</xdr:col>
      <xdr:colOff>200026</xdr:colOff>
      <xdr:row>2</xdr:row>
      <xdr:rowOff>123824</xdr:rowOff>
    </xdr:from>
    <xdr:to>
      <xdr:col>5</xdr:col>
      <xdr:colOff>1210236</xdr:colOff>
      <xdr:row>8</xdr:row>
      <xdr:rowOff>152399</xdr:rowOff>
    </xdr:to>
    <xdr:sp macro="" textlink="">
      <xdr:nvSpPr>
        <xdr:cNvPr id="6" name="Rectangle à coins arrondis 4">
          <a:extLst>
            <a:ext uri="{FF2B5EF4-FFF2-40B4-BE49-F238E27FC236}">
              <a16:creationId xmlns:a16="http://schemas.microsoft.com/office/drawing/2014/main" id="{C7729841-A250-455C-B91D-6839B3A4542E}"/>
            </a:ext>
          </a:extLst>
        </xdr:cNvPr>
        <xdr:cNvSpPr/>
      </xdr:nvSpPr>
      <xdr:spPr>
        <a:xfrm>
          <a:off x="6632202" y="2477059"/>
          <a:ext cx="3867710" cy="1642222"/>
        </a:xfrm>
        <a:prstGeom prst="roundRect">
          <a:avLst/>
        </a:prstGeom>
        <a:noFill/>
        <a:ln w="19050">
          <a:solidFill>
            <a:srgbClr val="B79B67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</xdr:col>
      <xdr:colOff>17807</xdr:colOff>
      <xdr:row>9</xdr:row>
      <xdr:rowOff>142874</xdr:rowOff>
    </xdr:from>
    <xdr:to>
      <xdr:col>5</xdr:col>
      <xdr:colOff>1210236</xdr:colOff>
      <xdr:row>15</xdr:row>
      <xdr:rowOff>114300</xdr:rowOff>
    </xdr:to>
    <xdr:sp macro="" textlink="">
      <xdr:nvSpPr>
        <xdr:cNvPr id="7" name="Rectangle à coins arrondis 2">
          <a:extLst>
            <a:ext uri="{FF2B5EF4-FFF2-40B4-BE49-F238E27FC236}">
              <a16:creationId xmlns:a16="http://schemas.microsoft.com/office/drawing/2014/main" id="{85087200-34BD-4011-9B3C-DE0EAF24CE8F}"/>
            </a:ext>
          </a:extLst>
        </xdr:cNvPr>
        <xdr:cNvSpPr/>
      </xdr:nvSpPr>
      <xdr:spPr>
        <a:xfrm>
          <a:off x="275542" y="4501962"/>
          <a:ext cx="10224370" cy="1585073"/>
        </a:xfrm>
        <a:prstGeom prst="roundRect">
          <a:avLst/>
        </a:prstGeom>
        <a:noFill/>
        <a:ln w="19050">
          <a:solidFill>
            <a:srgbClr val="B79B67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2</xdr:col>
      <xdr:colOff>624053</xdr:colOff>
      <xdr:row>1</xdr:row>
      <xdr:rowOff>593506</xdr:rowOff>
    </xdr:from>
    <xdr:to>
      <xdr:col>4</xdr:col>
      <xdr:colOff>22049</xdr:colOff>
      <xdr:row>2</xdr:row>
      <xdr:rowOff>245219</xdr:rowOff>
    </xdr:to>
    <xdr:sp macro="" textlink="">
      <xdr:nvSpPr>
        <xdr:cNvPr id="16" name="Rectangle à coins arrondis 3">
          <a:extLst>
            <a:ext uri="{FF2B5EF4-FFF2-40B4-BE49-F238E27FC236}">
              <a16:creationId xmlns:a16="http://schemas.microsoft.com/office/drawing/2014/main" id="{E0E46572-C241-4543-93BD-1ADC7DDDEEDE}"/>
            </a:ext>
          </a:extLst>
        </xdr:cNvPr>
        <xdr:cNvSpPr/>
      </xdr:nvSpPr>
      <xdr:spPr>
        <a:xfrm>
          <a:off x="7055070" y="2327713"/>
          <a:ext cx="1013962" cy="269196"/>
        </a:xfrm>
        <a:prstGeom prst="roundRect">
          <a:avLst/>
        </a:prstGeom>
        <a:solidFill>
          <a:schemeClr val="bg1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600" b="1" i="0">
              <a:solidFill>
                <a:srgbClr val="B79B67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Émission</a:t>
          </a:r>
        </a:p>
      </xdr:txBody>
    </xdr:sp>
    <xdr:clientData/>
  </xdr:twoCellAnchor>
  <xdr:twoCellAnchor>
    <xdr:from>
      <xdr:col>1</xdr:col>
      <xdr:colOff>275238</xdr:colOff>
      <xdr:row>9</xdr:row>
      <xdr:rowOff>24962</xdr:rowOff>
    </xdr:from>
    <xdr:to>
      <xdr:col>1</xdr:col>
      <xdr:colOff>1340067</xdr:colOff>
      <xdr:row>9</xdr:row>
      <xdr:rowOff>226030</xdr:rowOff>
    </xdr:to>
    <xdr:sp macro="" textlink="">
      <xdr:nvSpPr>
        <xdr:cNvPr id="17" name="Rectangle à coins arrondis 3">
          <a:extLst>
            <a:ext uri="{FF2B5EF4-FFF2-40B4-BE49-F238E27FC236}">
              <a16:creationId xmlns:a16="http://schemas.microsoft.com/office/drawing/2014/main" id="{EA87954A-B7A7-4EEC-92D1-609511E0F6F4}"/>
            </a:ext>
          </a:extLst>
        </xdr:cNvPr>
        <xdr:cNvSpPr/>
      </xdr:nvSpPr>
      <xdr:spPr>
        <a:xfrm>
          <a:off x="531428" y="4380186"/>
          <a:ext cx="1064829" cy="201068"/>
        </a:xfrm>
        <a:prstGeom prst="roundRect">
          <a:avLst>
            <a:gd name="adj" fmla="val 0"/>
          </a:avLst>
        </a:prstGeom>
        <a:solidFill>
          <a:schemeClr val="bg1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600" b="1" i="0">
              <a:solidFill>
                <a:srgbClr val="B79B67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Concerne</a:t>
          </a:r>
        </a:p>
      </xdr:txBody>
    </xdr:sp>
    <xdr:clientData/>
  </xdr:twoCellAnchor>
  <xdr:twoCellAnchor>
    <xdr:from>
      <xdr:col>1</xdr:col>
      <xdr:colOff>527538</xdr:colOff>
      <xdr:row>41</xdr:row>
      <xdr:rowOff>104951</xdr:rowOff>
    </xdr:from>
    <xdr:to>
      <xdr:col>1</xdr:col>
      <xdr:colOff>1324733</xdr:colOff>
      <xdr:row>45</xdr:row>
      <xdr:rowOff>160459</xdr:rowOff>
    </xdr:to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0C25143E-B1DE-4B6B-B27B-86ABF4B4809D}"/>
            </a:ext>
          </a:extLst>
        </xdr:cNvPr>
        <xdr:cNvSpPr txBox="1"/>
      </xdr:nvSpPr>
      <xdr:spPr>
        <a:xfrm>
          <a:off x="784713" y="15621176"/>
          <a:ext cx="797195" cy="108420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>
            <a:spcAft>
              <a:spcPts val="300"/>
            </a:spcAft>
          </a:pPr>
          <a:r>
            <a:rPr lang="fr-CH" sz="1400" b="1">
              <a:solidFill>
                <a:srgbClr val="001E2C"/>
              </a:solidFill>
              <a:effectLst/>
              <a:latin typeface="Times New Roman" panose="02020603050405020304" pitchFamily="18" charset="0"/>
              <a:cs typeface="Times New Roman" panose="02020603050405020304" pitchFamily="18" charset="0"/>
            </a:rPr>
            <a:t>Adresse</a:t>
          </a:r>
        </a:p>
        <a:p>
          <a:pPr algn="r">
            <a:spcAft>
              <a:spcPts val="300"/>
            </a:spcAft>
          </a:pPr>
          <a:r>
            <a:rPr lang="fr-CH" sz="1400" b="1">
              <a:solidFill>
                <a:srgbClr val="001E2C"/>
              </a:solidFill>
              <a:effectLst/>
              <a:latin typeface="Times New Roman" panose="02020603050405020304" pitchFamily="18" charset="0"/>
              <a:cs typeface="Times New Roman" panose="02020603050405020304" pitchFamily="18" charset="0"/>
            </a:rPr>
            <a:t>Tél</a:t>
          </a:r>
        </a:p>
        <a:p>
          <a:pPr algn="r">
            <a:spcAft>
              <a:spcPts val="300"/>
            </a:spcAft>
          </a:pPr>
          <a:r>
            <a:rPr lang="fr-CH" sz="1400" b="1">
              <a:solidFill>
                <a:srgbClr val="001E2C"/>
              </a:solidFill>
              <a:effectLst/>
              <a:latin typeface="Times New Roman" panose="02020603050405020304" pitchFamily="18" charset="0"/>
              <a:cs typeface="Times New Roman" panose="02020603050405020304" pitchFamily="18" charset="0"/>
            </a:rPr>
            <a:t>Mail</a:t>
          </a:r>
        </a:p>
        <a:p>
          <a:pPr algn="r">
            <a:spcAft>
              <a:spcPts val="300"/>
            </a:spcAft>
          </a:pPr>
          <a:r>
            <a:rPr lang="fr-CH" sz="1400" b="1">
              <a:solidFill>
                <a:srgbClr val="001E2C"/>
              </a:solidFill>
              <a:effectLst/>
              <a:latin typeface="Times New Roman" panose="02020603050405020304" pitchFamily="18" charset="0"/>
              <a:cs typeface="Times New Roman" panose="02020603050405020304" pitchFamily="18" charset="0"/>
            </a:rPr>
            <a:t>Site</a:t>
          </a:r>
        </a:p>
      </xdr:txBody>
    </xdr:sp>
    <xdr:clientData/>
  </xdr:twoCellAnchor>
  <xdr:twoCellAnchor>
    <xdr:from>
      <xdr:col>1</xdr:col>
      <xdr:colOff>17805</xdr:colOff>
      <xdr:row>41</xdr:row>
      <xdr:rowOff>0</xdr:rowOff>
    </xdr:from>
    <xdr:to>
      <xdr:col>6</xdr:col>
      <xdr:colOff>-1</xdr:colOff>
      <xdr:row>45</xdr:row>
      <xdr:rowOff>219074</xdr:rowOff>
    </xdr:to>
    <xdr:sp macro="" textlink="">
      <xdr:nvSpPr>
        <xdr:cNvPr id="43" name="Rectangle à coins arrondis 2">
          <a:extLst>
            <a:ext uri="{FF2B5EF4-FFF2-40B4-BE49-F238E27FC236}">
              <a16:creationId xmlns:a16="http://schemas.microsoft.com/office/drawing/2014/main" id="{39777D44-E715-4AAA-9D6B-B1B8B409912D}"/>
            </a:ext>
          </a:extLst>
        </xdr:cNvPr>
        <xdr:cNvSpPr/>
      </xdr:nvSpPr>
      <xdr:spPr>
        <a:xfrm>
          <a:off x="275540" y="15486529"/>
          <a:ext cx="10246783" cy="1261221"/>
        </a:xfrm>
        <a:prstGeom prst="roundRect">
          <a:avLst/>
        </a:prstGeom>
        <a:noFill/>
        <a:ln w="19050">
          <a:solidFill>
            <a:srgbClr val="B79B67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</xdr:col>
      <xdr:colOff>535170</xdr:colOff>
      <xdr:row>40</xdr:row>
      <xdr:rowOff>123825</xdr:rowOff>
    </xdr:from>
    <xdr:to>
      <xdr:col>1</xdr:col>
      <xdr:colOff>1342793</xdr:colOff>
      <xdr:row>41</xdr:row>
      <xdr:rowOff>97047</xdr:rowOff>
    </xdr:to>
    <xdr:sp macro="" textlink="">
      <xdr:nvSpPr>
        <xdr:cNvPr id="44" name="Rectangle à coins arrondis 3">
          <a:extLst>
            <a:ext uri="{FF2B5EF4-FFF2-40B4-BE49-F238E27FC236}">
              <a16:creationId xmlns:a16="http://schemas.microsoft.com/office/drawing/2014/main" id="{45073614-9D0D-4B9A-B91C-27BEC677F75F}"/>
            </a:ext>
          </a:extLst>
        </xdr:cNvPr>
        <xdr:cNvSpPr/>
      </xdr:nvSpPr>
      <xdr:spPr>
        <a:xfrm>
          <a:off x="792345" y="15382875"/>
          <a:ext cx="807623" cy="230397"/>
        </a:xfrm>
        <a:prstGeom prst="roundRect">
          <a:avLst>
            <a:gd name="adj" fmla="val 0"/>
          </a:avLst>
        </a:prstGeom>
        <a:solidFill>
          <a:schemeClr val="bg1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400" b="1" i="0">
              <a:solidFill>
                <a:srgbClr val="B79B67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Contact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1352550</xdr:colOff>
          <xdr:row>1</xdr:row>
          <xdr:rowOff>438150</xdr:rowOff>
        </xdr:from>
        <xdr:to>
          <xdr:col>1</xdr:col>
          <xdr:colOff>2476500</xdr:colOff>
          <xdr:row>2</xdr:row>
          <xdr:rowOff>85725</xdr:rowOff>
        </xdr:to>
        <xdr:sp macro="" textlink="">
          <xdr:nvSpPr>
            <xdr:cNvPr id="7169" name="Toggle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1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xdr:twoCellAnchor>
    <xdr:from>
      <xdr:col>0</xdr:col>
      <xdr:colOff>0</xdr:colOff>
      <xdr:row>9</xdr:row>
      <xdr:rowOff>240419</xdr:rowOff>
    </xdr:from>
    <xdr:to>
      <xdr:col>1</xdr:col>
      <xdr:colOff>1297781</xdr:colOff>
      <xdr:row>13</xdr:row>
      <xdr:rowOff>95250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D938A16-3C0F-87B0-48AF-A3A19A41D71B}"/>
            </a:ext>
          </a:extLst>
        </xdr:cNvPr>
        <xdr:cNvSpPr txBox="1"/>
      </xdr:nvSpPr>
      <xdr:spPr>
        <a:xfrm>
          <a:off x="0" y="4583819"/>
          <a:ext cx="1554956" cy="92163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algn="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ct val="0"/>
            </a:spcAft>
            <a:buClrTx/>
            <a:buSzTx/>
            <a:buFontTx/>
            <a:buNone/>
            <a:tabLst/>
            <a:defRPr/>
          </a:pPr>
          <a:r>
            <a:rPr kumimoji="0" lang="fr-CH" sz="1800" b="1" i="0" u="none" strike="noStrike" kern="0" cap="none" spc="0" normalizeH="0" baseline="0" noProof="0">
              <a:ln>
                <a:noFill/>
              </a:ln>
              <a:solidFill>
                <a:schemeClr val="tx1">
                  <a:lumMod val="100000"/>
                </a:schemeClr>
              </a:solidFill>
              <a:effectLst/>
              <a:uLnTx/>
              <a:uFillTx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Immeuble</a:t>
          </a:r>
        </a:p>
        <a:p>
          <a:pPr marL="0" marR="0" lvl="0" indent="0" algn="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ct val="0"/>
            </a:spcAft>
            <a:buClrTx/>
            <a:buSzTx/>
            <a:buFontTx/>
            <a:buNone/>
            <a:tabLst/>
            <a:defRPr/>
          </a:pPr>
          <a:r>
            <a:rPr kumimoji="0" lang="fr-CH" sz="1800" b="1" i="0" u="none" strike="noStrike" kern="0" cap="none" spc="0" normalizeH="0" baseline="0" noProof="0">
              <a:ln>
                <a:noFill/>
              </a:ln>
              <a:solidFill>
                <a:schemeClr val="tx1">
                  <a:lumMod val="100000"/>
                </a:schemeClr>
              </a:solidFill>
              <a:effectLst/>
              <a:uLnTx/>
              <a:uFillTx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Propriétaire</a:t>
          </a:r>
        </a:p>
        <a:p>
          <a:pPr marL="0" marR="0" lvl="0" indent="0" algn="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ct val="0"/>
            </a:spcAft>
            <a:buClrTx/>
            <a:buSzTx/>
            <a:buFontTx/>
            <a:buNone/>
            <a:tabLst/>
            <a:defRPr/>
          </a:pPr>
          <a:r>
            <a:rPr kumimoji="0" lang="fr-CH" sz="1800" b="1" i="0" u="none" strike="noStrike" kern="0" cap="none" spc="0" normalizeH="0" baseline="0" noProof="0">
              <a:ln>
                <a:noFill/>
              </a:ln>
              <a:solidFill>
                <a:schemeClr val="tx1">
                  <a:lumMod val="100000"/>
                </a:schemeClr>
              </a:solidFill>
              <a:effectLst/>
              <a:uLnTx/>
              <a:uFillTx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Locataire</a:t>
          </a:r>
        </a:p>
      </xdr:txBody>
    </xdr:sp>
    <xdr:clientData/>
  </xdr:twoCellAnchor>
  <xdr:twoCellAnchor>
    <xdr:from>
      <xdr:col>0</xdr:col>
      <xdr:colOff>1</xdr:colOff>
      <xdr:row>12</xdr:row>
      <xdr:rowOff>239825</xdr:rowOff>
    </xdr:from>
    <xdr:to>
      <xdr:col>1</xdr:col>
      <xdr:colOff>1297782</xdr:colOff>
      <xdr:row>13</xdr:row>
      <xdr:rowOff>242764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950CEAC5-EF01-F1CD-EBD8-2930E11C5963}"/>
            </a:ext>
          </a:extLst>
        </xdr:cNvPr>
        <xdr:cNvSpPr txBox="1"/>
      </xdr:nvSpPr>
      <xdr:spPr>
        <a:xfrm>
          <a:off x="1" y="5383325"/>
          <a:ext cx="1554956" cy="26963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lvl="0" indent="0" algn="r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</a:pPr>
          <a:r>
            <a:rPr lang="fr-CH" sz="1800" b="1" i="0" u="none" strike="noStrike" kern="0" cap="none" spc="0" normalizeH="0" baseline="0">
              <a:solidFill>
                <a:schemeClr val="tx1">
                  <a:lumMod val="100000"/>
                </a:schemeClr>
              </a:solidFill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Variante</a:t>
          </a:r>
        </a:p>
      </xdr:txBody>
    </xdr:sp>
    <xdr:clientData/>
  </xdr:twoCellAnchor>
  <xdr:twoCellAnchor>
    <xdr:from>
      <xdr:col>0</xdr:col>
      <xdr:colOff>3</xdr:colOff>
      <xdr:row>13</xdr:row>
      <xdr:rowOff>247244</xdr:rowOff>
    </xdr:from>
    <xdr:to>
      <xdr:col>1</xdr:col>
      <xdr:colOff>1285871</xdr:colOff>
      <xdr:row>15</xdr:row>
      <xdr:rowOff>12161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76821F95-5841-7E1E-BD8F-53EB88936CC9}"/>
            </a:ext>
          </a:extLst>
        </xdr:cNvPr>
        <xdr:cNvSpPr txBox="1"/>
      </xdr:nvSpPr>
      <xdr:spPr>
        <a:xfrm>
          <a:off x="3" y="5657444"/>
          <a:ext cx="1543043" cy="29831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CH" sz="1800" b="1">
              <a:solidFill>
                <a:schemeClr val="tx1">
                  <a:lumMod val="100000"/>
                </a:schemeClr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Sujet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1333500</xdr:colOff>
          <xdr:row>8</xdr:row>
          <xdr:rowOff>219075</xdr:rowOff>
        </xdr:from>
        <xdr:to>
          <xdr:col>1</xdr:col>
          <xdr:colOff>2486025</xdr:colOff>
          <xdr:row>9</xdr:row>
          <xdr:rowOff>95250</xdr:rowOff>
        </xdr:to>
        <xdr:sp macro="" textlink="">
          <xdr:nvSpPr>
            <xdr:cNvPr id="7170" name="ToggleButton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1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2543175</xdr:colOff>
          <xdr:row>8</xdr:row>
          <xdr:rowOff>219075</xdr:rowOff>
        </xdr:from>
        <xdr:to>
          <xdr:col>1</xdr:col>
          <xdr:colOff>3705225</xdr:colOff>
          <xdr:row>9</xdr:row>
          <xdr:rowOff>95250</xdr:rowOff>
        </xdr:to>
        <xdr:sp macro="" textlink="">
          <xdr:nvSpPr>
            <xdr:cNvPr id="7171" name="ToggleButton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1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3762375</xdr:colOff>
          <xdr:row>8</xdr:row>
          <xdr:rowOff>209550</xdr:rowOff>
        </xdr:from>
        <xdr:to>
          <xdr:col>1</xdr:col>
          <xdr:colOff>4943475</xdr:colOff>
          <xdr:row>9</xdr:row>
          <xdr:rowOff>85725</xdr:rowOff>
        </xdr:to>
        <xdr:sp macro="" textlink="">
          <xdr:nvSpPr>
            <xdr:cNvPr id="7172" name="ToggleButton4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1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xdr:twoCellAnchor>
    <xdr:from>
      <xdr:col>0</xdr:col>
      <xdr:colOff>2</xdr:colOff>
      <xdr:row>2</xdr:row>
      <xdr:rowOff>234043</xdr:rowOff>
    </xdr:from>
    <xdr:to>
      <xdr:col>1</xdr:col>
      <xdr:colOff>1323973</xdr:colOff>
      <xdr:row>8</xdr:row>
      <xdr:rowOff>91168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36C0F7AC-8F99-A57A-C932-4C25278A7324}"/>
            </a:ext>
          </a:extLst>
        </xdr:cNvPr>
        <xdr:cNvSpPr txBox="1"/>
      </xdr:nvSpPr>
      <xdr:spPr>
        <a:xfrm flipH="1">
          <a:off x="2" y="2586718"/>
          <a:ext cx="1581146" cy="1457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algn="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1800" b="1" i="0" u="none" strike="noStrike" kern="0" cap="none" spc="0" normalizeH="0" baseline="0" noProof="0">
              <a:ln>
                <a:noFill/>
              </a:ln>
              <a:solidFill>
                <a:schemeClr val="tx1">
                  <a:lumMod val="100000"/>
                </a:schemeClr>
              </a:solidFill>
              <a:effectLst/>
              <a:uLnTx/>
              <a:uFillTx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Nom</a:t>
          </a:r>
        </a:p>
        <a:p>
          <a:pPr marL="0" marR="0" lvl="0" indent="0" algn="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CH" sz="1800" b="1" i="0" u="none" strike="noStrike" kern="0" cap="none" spc="0" normalizeH="0" baseline="0" noProof="0">
            <a:ln>
              <a:noFill/>
            </a:ln>
            <a:solidFill>
              <a:schemeClr val="tx1">
                <a:lumMod val="100000"/>
              </a:schemeClr>
            </a:solidFill>
            <a:effectLst/>
            <a:uLnTx/>
            <a:uFillTx/>
            <a:latin typeface="Times New Roman" panose="02020603050405020304" pitchFamily="18" charset="0"/>
            <a:ea typeface="+mn-ea"/>
            <a:cs typeface="Times New Roman" panose="02020603050405020304" pitchFamily="18" charset="0"/>
          </a:endParaRPr>
        </a:p>
        <a:p>
          <a:pPr marL="0" marR="0" lvl="0" indent="0" algn="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200"/>
            </a:spcAft>
            <a:buClrTx/>
            <a:buSzTx/>
            <a:buFontTx/>
            <a:buNone/>
            <a:tabLst/>
            <a:defRPr/>
          </a:pPr>
          <a:r>
            <a:rPr kumimoji="0" lang="fr-CH" sz="1800" b="1" i="0" u="none" strike="noStrike" kern="0" cap="none" spc="0" normalizeH="0" baseline="0" noProof="0">
              <a:ln>
                <a:noFill/>
              </a:ln>
              <a:solidFill>
                <a:schemeClr val="tx1">
                  <a:lumMod val="100000"/>
                </a:schemeClr>
              </a:solidFill>
              <a:effectLst/>
              <a:uLnTx/>
              <a:uFillTx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Adresse</a:t>
          </a:r>
        </a:p>
        <a:p>
          <a:pPr marL="0" marR="0" lvl="0" indent="0" algn="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1800" b="1" i="0" u="none" strike="noStrike" kern="0" cap="none" spc="0" normalizeH="0" baseline="0" noProof="0">
              <a:ln>
                <a:noFill/>
              </a:ln>
              <a:solidFill>
                <a:schemeClr val="tx1">
                  <a:lumMod val="100000"/>
                </a:schemeClr>
              </a:solidFill>
              <a:effectLst/>
              <a:uLnTx/>
              <a:uFillTx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Code Postal</a:t>
          </a:r>
        </a:p>
        <a:p>
          <a:pPr marL="0" marR="0" lvl="0" indent="0" algn="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600"/>
            </a:spcAft>
            <a:buClrTx/>
            <a:buSzTx/>
            <a:buFontTx/>
            <a:buNone/>
            <a:tabLst/>
            <a:defRPr/>
          </a:pPr>
          <a:r>
            <a:rPr kumimoji="0" lang="fr-CH" sz="1800" b="1" i="0" u="none" strike="noStrike" kern="0" cap="none" spc="0" normalizeH="0" baseline="0" noProof="0">
              <a:ln>
                <a:noFill/>
              </a:ln>
              <a:solidFill>
                <a:schemeClr val="tx1">
                  <a:lumMod val="100000"/>
                </a:schemeClr>
              </a:solidFill>
              <a:effectLst/>
              <a:uLnTx/>
              <a:uFillTx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Ville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5010150</xdr:colOff>
          <xdr:row>8</xdr:row>
          <xdr:rowOff>209550</xdr:rowOff>
        </xdr:from>
        <xdr:to>
          <xdr:col>2</xdr:col>
          <xdr:colOff>0</xdr:colOff>
          <xdr:row>9</xdr:row>
          <xdr:rowOff>85725</xdr:rowOff>
        </xdr:to>
        <xdr:sp macro="" textlink="">
          <xdr:nvSpPr>
            <xdr:cNvPr id="7173" name="ToggleButton5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1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2543175</xdr:colOff>
          <xdr:row>1</xdr:row>
          <xdr:rowOff>447675</xdr:rowOff>
        </xdr:from>
        <xdr:to>
          <xdr:col>1</xdr:col>
          <xdr:colOff>4953000</xdr:colOff>
          <xdr:row>2</xdr:row>
          <xdr:rowOff>76200</xdr:rowOff>
        </xdr:to>
        <xdr:sp macro="" textlink="">
          <xdr:nvSpPr>
            <xdr:cNvPr id="7174" name="Drop Down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1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5029200</xdr:colOff>
          <xdr:row>1</xdr:row>
          <xdr:rowOff>438150</xdr:rowOff>
        </xdr:from>
        <xdr:to>
          <xdr:col>2</xdr:col>
          <xdr:colOff>0</xdr:colOff>
          <xdr:row>2</xdr:row>
          <xdr:rowOff>95250</xdr:rowOff>
        </xdr:to>
        <xdr:sp macro="" textlink="">
          <xdr:nvSpPr>
            <xdr:cNvPr id="7176" name="ToggleButton6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1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180975</xdr:colOff>
          <xdr:row>5</xdr:row>
          <xdr:rowOff>9525</xdr:rowOff>
        </xdr:from>
        <xdr:to>
          <xdr:col>5</xdr:col>
          <xdr:colOff>876300</xdr:colOff>
          <xdr:row>6</xdr:row>
          <xdr:rowOff>9525</xdr:rowOff>
        </xdr:to>
        <xdr:sp macro="" textlink="">
          <xdr:nvSpPr>
            <xdr:cNvPr id="7177" name="ToggleButton7" hidden="1">
              <a:extLst>
                <a:ext uri="{63B3BB69-23CF-44E3-9099-C40C66FF867C}">
                  <a14:compatExt spid="_x0000_s7177"/>
                </a:ext>
                <a:ext uri="{FF2B5EF4-FFF2-40B4-BE49-F238E27FC236}">
                  <a16:creationId xmlns:a16="http://schemas.microsoft.com/office/drawing/2014/main" id="{00000000-0008-0000-0100-00000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1</xdr:row>
          <xdr:rowOff>409575</xdr:rowOff>
        </xdr:from>
        <xdr:to>
          <xdr:col>4</xdr:col>
          <xdr:colOff>876300</xdr:colOff>
          <xdr:row>2</xdr:row>
          <xdr:rowOff>66675</xdr:rowOff>
        </xdr:to>
        <xdr:sp macro="" textlink="">
          <xdr:nvSpPr>
            <xdr:cNvPr id="7178" name="ToggleButton8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0000000-0008-0000-0100-00000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1</xdr:row>
          <xdr:rowOff>409575</xdr:rowOff>
        </xdr:from>
        <xdr:to>
          <xdr:col>5</xdr:col>
          <xdr:colOff>895350</xdr:colOff>
          <xdr:row>2</xdr:row>
          <xdr:rowOff>57150</xdr:rowOff>
        </xdr:to>
        <xdr:sp macro="" textlink="">
          <xdr:nvSpPr>
            <xdr:cNvPr id="7179" name="ToggleButton9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id="{00000000-0008-0000-0100-00000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2238375</xdr:colOff>
          <xdr:row>20</xdr:row>
          <xdr:rowOff>114300</xdr:rowOff>
        </xdr:from>
        <xdr:to>
          <xdr:col>1</xdr:col>
          <xdr:colOff>4267200</xdr:colOff>
          <xdr:row>20</xdr:row>
          <xdr:rowOff>371475</xdr:rowOff>
        </xdr:to>
        <xdr:sp macro="" textlink="">
          <xdr:nvSpPr>
            <xdr:cNvPr id="7181" name="Drop Down 13" hidden="1">
              <a:extLst>
                <a:ext uri="{63B3BB69-23CF-44E3-9099-C40C66FF867C}">
                  <a14:compatExt spid="_x0000_s7181"/>
                </a:ext>
                <a:ext uri="{FF2B5EF4-FFF2-40B4-BE49-F238E27FC236}">
                  <a16:creationId xmlns:a16="http://schemas.microsoft.com/office/drawing/2014/main" id="{00000000-0008-0000-0100-00000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1</xdr:col>
      <xdr:colOff>19050</xdr:colOff>
      <xdr:row>21</xdr:row>
      <xdr:rowOff>16146</xdr:rowOff>
    </xdr:from>
    <xdr:to>
      <xdr:col>1</xdr:col>
      <xdr:colOff>5895975</xdr:colOff>
      <xdr:row>29</xdr:row>
      <xdr:rowOff>130446</xdr:rowOff>
    </xdr:to>
    <xdr:sp macro="" textlink="BD11">
      <xdr:nvSpPr>
        <xdr:cNvPr id="9" name="ZoneTexte 8">
          <a:extLst>
            <a:ext uri="{FF2B5EF4-FFF2-40B4-BE49-F238E27FC236}">
              <a16:creationId xmlns:a16="http://schemas.microsoft.com/office/drawing/2014/main" id="{9CFAD4F4-1378-0098-C023-E4ADB7DD5C71}"/>
            </a:ext>
          </a:extLst>
        </xdr:cNvPr>
        <xdr:cNvSpPr txBox="1"/>
      </xdr:nvSpPr>
      <xdr:spPr>
        <a:xfrm>
          <a:off x="275811" y="7296559"/>
          <a:ext cx="5876925" cy="355986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7CD8107F-6488-44BE-ABAF-10CDC2FCFB93}" type="TxLink">
            <a:rPr lang="en-US" sz="1400" b="0" i="0" u="none" strike="noStrike">
              <a:solidFill>
                <a:srgbClr val="000000"/>
              </a:solidFill>
              <a:latin typeface="Times New Roman"/>
              <a:cs typeface="Times New Roman"/>
            </a:rPr>
            <a:pPr/>
            <a:t>Validité du devis :
3 mois après la date d'émission.
Paiements :
40% à la commande
50% à l'achèvement de 80% des travaux
10% à la réception des travaux selon normes SIA art. 158 al. 2
Échéance 14 jours après la date de la facture, net.
Pour acceptation, merci d'envoyer un mail avec la mention :
J'accepte votre devis numéro 2642-001
Ou nous retourner ce devis daté et signé.
Date :                                                        Signature :</a:t>
          </a:fld>
          <a:endParaRPr lang="fr-CH" sz="1400"/>
        </a:p>
      </xdr:txBody>
    </xdr:sp>
    <xdr:clientData/>
  </xdr:twoCellAnchor>
  <xdr:twoCellAnchor>
    <xdr:from>
      <xdr:col>1</xdr:col>
      <xdr:colOff>7844</xdr:colOff>
      <xdr:row>20</xdr:row>
      <xdr:rowOff>98051</xdr:rowOff>
    </xdr:from>
    <xdr:to>
      <xdr:col>1</xdr:col>
      <xdr:colOff>3208244</xdr:colOff>
      <xdr:row>21</xdr:row>
      <xdr:rowOff>31376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501B0D38-7E60-E4CD-4DD1-46DE564047EF}"/>
            </a:ext>
          </a:extLst>
        </xdr:cNvPr>
        <xdr:cNvSpPr txBox="1"/>
      </xdr:nvSpPr>
      <xdr:spPr>
        <a:xfrm>
          <a:off x="265579" y="7168963"/>
          <a:ext cx="3200400" cy="35914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400" b="1">
              <a:solidFill>
                <a:srgbClr val="B79B67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Termes &amp; Conditions :</a:t>
          </a:r>
        </a:p>
      </xdr:txBody>
    </xdr:sp>
    <xdr:clientData/>
  </xdr:twoCellAnchor>
  <xdr:twoCellAnchor>
    <xdr:from>
      <xdr:col>1</xdr:col>
      <xdr:colOff>5580530</xdr:colOff>
      <xdr:row>28</xdr:row>
      <xdr:rowOff>199593</xdr:rowOff>
    </xdr:from>
    <xdr:to>
      <xdr:col>5</xdr:col>
      <xdr:colOff>693083</xdr:colOff>
      <xdr:row>29</xdr:row>
      <xdr:rowOff>209118</xdr:rowOff>
    </xdr:to>
    <xdr:sp macro="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95410BC0-41EE-5F75-18EB-F61C19EB0179}"/>
            </a:ext>
          </a:extLst>
        </xdr:cNvPr>
        <xdr:cNvSpPr/>
      </xdr:nvSpPr>
      <xdr:spPr>
        <a:xfrm>
          <a:off x="5838265" y="10677093"/>
          <a:ext cx="4144494" cy="435349"/>
        </a:xfrm>
        <a:prstGeom prst="roundRect">
          <a:avLst>
            <a:gd name="adj" fmla="val 38768"/>
          </a:avLst>
        </a:prstGeom>
        <a:solidFill>
          <a:srgbClr val="CCB894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CH" sz="1200" b="1" i="0">
            <a:solidFill>
              <a:srgbClr val="C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1</xdr:col>
      <xdr:colOff>5848351</xdr:colOff>
      <xdr:row>28</xdr:row>
      <xdr:rowOff>251826</xdr:rowOff>
    </xdr:from>
    <xdr:to>
      <xdr:col>3</xdr:col>
      <xdr:colOff>123825</xdr:colOff>
      <xdr:row>29</xdr:row>
      <xdr:rowOff>131841</xdr:rowOff>
    </xdr:to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F975B56A-2B78-3AF1-8386-1257E6749D41}"/>
            </a:ext>
          </a:extLst>
        </xdr:cNvPr>
        <xdr:cNvSpPr txBox="1"/>
      </xdr:nvSpPr>
      <xdr:spPr>
        <a:xfrm>
          <a:off x="6106086" y="10729326"/>
          <a:ext cx="1301563" cy="30583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8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Total TTC</a:t>
          </a:r>
        </a:p>
      </xdr:txBody>
    </xdr:sp>
    <xdr:clientData/>
  </xdr:twoCellAnchor>
  <xdr:twoCellAnchor>
    <xdr:from>
      <xdr:col>4</xdr:col>
      <xdr:colOff>1113084</xdr:colOff>
      <xdr:row>28</xdr:row>
      <xdr:rowOff>256543</xdr:rowOff>
    </xdr:from>
    <xdr:to>
      <xdr:col>5</xdr:col>
      <xdr:colOff>611600</xdr:colOff>
      <xdr:row>29</xdr:row>
      <xdr:rowOff>136558</xdr:rowOff>
    </xdr:to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34ED8037-9E19-4008-B376-040086003CC2}"/>
            </a:ext>
          </a:extLst>
        </xdr:cNvPr>
        <xdr:cNvSpPr txBox="1"/>
      </xdr:nvSpPr>
      <xdr:spPr>
        <a:xfrm>
          <a:off x="9170113" y="10734043"/>
          <a:ext cx="731163" cy="30583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8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CHF</a:t>
          </a:r>
        </a:p>
      </xdr:txBody>
    </xdr:sp>
    <xdr:clientData/>
  </xdr:twoCellAnchor>
  <xdr:twoCellAnchor>
    <xdr:from>
      <xdr:col>3</xdr:col>
      <xdr:colOff>28615</xdr:colOff>
      <xdr:row>28</xdr:row>
      <xdr:rowOff>246894</xdr:rowOff>
    </xdr:from>
    <xdr:to>
      <xdr:col>4</xdr:col>
      <xdr:colOff>1226423</xdr:colOff>
      <xdr:row>29</xdr:row>
      <xdr:rowOff>158564</xdr:rowOff>
    </xdr:to>
    <xdr:sp macro="" textlink="$BD$12">
      <xdr:nvSpPr>
        <xdr:cNvPr id="30" name="ZoneTexte 29">
          <a:extLst>
            <a:ext uri="{FF2B5EF4-FFF2-40B4-BE49-F238E27FC236}">
              <a16:creationId xmlns:a16="http://schemas.microsoft.com/office/drawing/2014/main" id="{D88F5F17-D6C6-4D6D-E27F-2831E6794F18}"/>
            </a:ext>
          </a:extLst>
        </xdr:cNvPr>
        <xdr:cNvSpPr txBox="1"/>
      </xdr:nvSpPr>
      <xdr:spPr>
        <a:xfrm>
          <a:off x="7312439" y="10724394"/>
          <a:ext cx="1971013" cy="33749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fld id="{287B9ECE-AC06-4558-A742-88AB2D95724C}" type="TxLink">
            <a:rPr lang="en-US" sz="1800" b="1" i="0" u="none" strike="noStrike">
              <a:solidFill>
                <a:schemeClr val="bg1"/>
              </a:solidFill>
              <a:latin typeface="Times New Roman"/>
              <a:cs typeface="Times New Roman"/>
            </a:rPr>
            <a:pPr algn="r"/>
            <a:t>13'327.90</a:t>
          </a:fld>
          <a:endParaRPr lang="en-US" sz="28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5595939</xdr:colOff>
      <xdr:row>37</xdr:row>
      <xdr:rowOff>208121</xdr:rowOff>
    </xdr:from>
    <xdr:to>
      <xdr:col>5</xdr:col>
      <xdr:colOff>717178</xdr:colOff>
      <xdr:row>38</xdr:row>
      <xdr:rowOff>231241</xdr:rowOff>
    </xdr:to>
    <xdr:sp macro="" textlink="">
      <xdr:nvSpPr>
        <xdr:cNvPr id="34" name="Rectangle : coins arrondis 33">
          <a:extLst>
            <a:ext uri="{FF2B5EF4-FFF2-40B4-BE49-F238E27FC236}">
              <a16:creationId xmlns:a16="http://schemas.microsoft.com/office/drawing/2014/main" id="{47E36EA1-CC2A-6601-4E51-0C748B820093}"/>
            </a:ext>
          </a:extLst>
        </xdr:cNvPr>
        <xdr:cNvSpPr/>
      </xdr:nvSpPr>
      <xdr:spPr>
        <a:xfrm>
          <a:off x="5853674" y="14338739"/>
          <a:ext cx="4153180" cy="448943"/>
        </a:xfrm>
        <a:prstGeom prst="roundRect">
          <a:avLst>
            <a:gd name="adj" fmla="val 35847"/>
          </a:avLst>
        </a:prstGeom>
        <a:solidFill>
          <a:srgbClr val="CCB894"/>
        </a:solidFill>
        <a:ln w="12700" cap="flat" cmpd="sng" algn="ctr">
          <a:solidFill>
            <a:srgbClr val="CCB894"/>
          </a:solidFill>
          <a:prstDash val="solid"/>
          <a:miter lim="800000"/>
        </a:ln>
        <a:effectLst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CH" sz="1200" b="1" i="0">
            <a:solidFill>
              <a:srgbClr val="C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1</xdr:col>
      <xdr:colOff>5327842</xdr:colOff>
      <xdr:row>37</xdr:row>
      <xdr:rowOff>255631</xdr:rowOff>
    </xdr:from>
    <xdr:to>
      <xdr:col>5</xdr:col>
      <xdr:colOff>723017</xdr:colOff>
      <xdr:row>38</xdr:row>
      <xdr:rowOff>157515</xdr:rowOff>
    </xdr:to>
    <xdr:grpSp>
      <xdr:nvGrpSpPr>
        <xdr:cNvPr id="61" name="Groupe 60">
          <a:extLst>
            <a:ext uri="{FF2B5EF4-FFF2-40B4-BE49-F238E27FC236}">
              <a16:creationId xmlns:a16="http://schemas.microsoft.com/office/drawing/2014/main" id="{EBDF6C0D-28F2-30A3-5EED-48FAE7176394}"/>
            </a:ext>
          </a:extLst>
        </xdr:cNvPr>
        <xdr:cNvGrpSpPr/>
      </xdr:nvGrpSpPr>
      <xdr:grpSpPr>
        <a:xfrm>
          <a:off x="5585017" y="14581231"/>
          <a:ext cx="4415350" cy="330509"/>
          <a:chOff x="5642428" y="14403830"/>
          <a:chExt cx="4186403" cy="330509"/>
        </a:xfrm>
      </xdr:grpSpPr>
      <xdr:sp macro="" textlink="$C$37">
        <xdr:nvSpPr>
          <xdr:cNvPr id="35" name="ZoneTexte 34">
            <a:extLst>
              <a:ext uri="{FF2B5EF4-FFF2-40B4-BE49-F238E27FC236}">
                <a16:creationId xmlns:a16="http://schemas.microsoft.com/office/drawing/2014/main" id="{6657C702-0C38-D00C-D8D0-E5E757E73A3A}"/>
              </a:ext>
            </a:extLst>
          </xdr:cNvPr>
          <xdr:cNvSpPr txBox="1"/>
        </xdr:nvSpPr>
        <xdr:spPr>
          <a:xfrm>
            <a:off x="5642428" y="14403830"/>
            <a:ext cx="1813971" cy="29873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r"/>
            <a:fld id="{AF0E5589-C4F3-4F15-B97B-20A0D40137B4}" type="TxLink">
              <a:rPr lang="en-US" sz="1800" b="1" i="0" u="none" strike="noStrike">
                <a:solidFill>
                  <a:schemeClr val="bg1">
                    <a:lumMod val="100000"/>
                  </a:schemeClr>
                </a:solidFill>
                <a:latin typeface="Times New Roman"/>
                <a:cs typeface="Times New Roman"/>
              </a:rPr>
              <a:pPr algn="r"/>
              <a:t>Acompte</a:t>
            </a:fld>
            <a:endParaRPr lang="fr-CH" sz="2000" b="1">
              <a:solidFill>
                <a:schemeClr val="bg1">
                  <a:lumMod val="100000"/>
                </a:schemeClr>
              </a:solidFill>
              <a:latin typeface="Times New Roman" panose="02020603050405020304" pitchFamily="18" charset="0"/>
              <a:cs typeface="Times New Roman" panose="02020603050405020304" pitchFamily="18" charset="0"/>
            </a:endParaRPr>
          </a:p>
        </xdr:txBody>
      </xdr:sp>
      <xdr:sp macro="" textlink="">
        <xdr:nvSpPr>
          <xdr:cNvPr id="37" name="ZoneTexte 36">
            <a:extLst>
              <a:ext uri="{FF2B5EF4-FFF2-40B4-BE49-F238E27FC236}">
                <a16:creationId xmlns:a16="http://schemas.microsoft.com/office/drawing/2014/main" id="{04C9ABBF-5F43-7C50-A23E-4A06BC9FA2EC}"/>
              </a:ext>
            </a:extLst>
          </xdr:cNvPr>
          <xdr:cNvSpPr txBox="1"/>
        </xdr:nvSpPr>
        <xdr:spPr>
          <a:xfrm>
            <a:off x="9099349" y="14412854"/>
            <a:ext cx="729482" cy="29873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CH" sz="1800" b="1">
                <a:solidFill>
                  <a:schemeClr val="bg1">
                    <a:lumMod val="100000"/>
                  </a:schemeClr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CHF</a:t>
            </a:r>
          </a:p>
        </xdr:txBody>
      </xdr:sp>
      <xdr:sp macro="" textlink="$E$37">
        <xdr:nvSpPr>
          <xdr:cNvPr id="46" name="ZoneTexte 45">
            <a:extLst>
              <a:ext uri="{FF2B5EF4-FFF2-40B4-BE49-F238E27FC236}">
                <a16:creationId xmlns:a16="http://schemas.microsoft.com/office/drawing/2014/main" id="{1A30E733-8B93-6B56-80A0-CE20E34A09EA}"/>
              </a:ext>
            </a:extLst>
          </xdr:cNvPr>
          <xdr:cNvSpPr txBox="1"/>
        </xdr:nvSpPr>
        <xdr:spPr>
          <a:xfrm>
            <a:off x="7252654" y="14412581"/>
            <a:ext cx="1970033" cy="32175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r"/>
            <a:fld id="{F0CA8724-F4F4-4C66-B849-7FAB21DE01CE}" type="TxLink">
              <a:rPr lang="en-US" sz="1800" b="1" i="0" u="none" strike="noStrike">
                <a:solidFill>
                  <a:schemeClr val="bg1">
                    <a:lumMod val="100000"/>
                  </a:schemeClr>
                </a:solidFill>
                <a:latin typeface="Times New Roman"/>
                <a:cs typeface="Times New Roman"/>
              </a:rPr>
              <a:pPr algn="r"/>
              <a:t>0.00</a:t>
            </a:fld>
            <a:endParaRPr lang="en-US" sz="2000" b="1" i="0" u="none" strike="noStrike">
              <a:solidFill>
                <a:schemeClr val="bg1">
                  <a:lumMod val="100000"/>
                </a:schemeClr>
              </a:solidFill>
              <a:latin typeface="Times New Roman"/>
              <a:cs typeface="Times New Roman"/>
            </a:endParaRPr>
          </a:p>
        </xdr:txBody>
      </xdr:sp>
    </xdr:grpSp>
    <xdr:clientData/>
  </xdr:twoCellAnchor>
  <xdr:twoCellAnchor editAs="absolute">
    <xdr:from>
      <xdr:col>1</xdr:col>
      <xdr:colOff>13280</xdr:colOff>
      <xdr:row>19</xdr:row>
      <xdr:rowOff>3389</xdr:rowOff>
    </xdr:from>
    <xdr:to>
      <xdr:col>5</xdr:col>
      <xdr:colOff>752474</xdr:colOff>
      <xdr:row>19</xdr:row>
      <xdr:rowOff>428113</xdr:rowOff>
    </xdr:to>
    <xdr:sp macro="" textlink="">
      <xdr:nvSpPr>
        <xdr:cNvPr id="12" name="Rectangle à coins arrondis 2">
          <a:extLst>
            <a:ext uri="{FF2B5EF4-FFF2-40B4-BE49-F238E27FC236}">
              <a16:creationId xmlns:a16="http://schemas.microsoft.com/office/drawing/2014/main" id="{843A9280-6509-441C-A65C-984B8F667F41}"/>
            </a:ext>
          </a:extLst>
        </xdr:cNvPr>
        <xdr:cNvSpPr/>
      </xdr:nvSpPr>
      <xdr:spPr>
        <a:xfrm>
          <a:off x="270455" y="6442289"/>
          <a:ext cx="9683169" cy="427525"/>
        </a:xfrm>
        <a:prstGeom prst="roundRect">
          <a:avLst>
            <a:gd name="adj" fmla="val 40861"/>
          </a:avLst>
        </a:prstGeom>
        <a:solidFill>
          <a:srgbClr val="CCB894"/>
        </a:solidFill>
        <a:ln w="19050"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</xdr:col>
      <xdr:colOff>15606</xdr:colOff>
      <xdr:row>19</xdr:row>
      <xdr:rowOff>42708</xdr:rowOff>
    </xdr:from>
    <xdr:to>
      <xdr:col>1</xdr:col>
      <xdr:colOff>2819399</xdr:colOff>
      <xdr:row>19</xdr:row>
      <xdr:rowOff>393584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ED69CA1-AC25-9588-440A-2D06CA01C90F}"/>
            </a:ext>
          </a:extLst>
        </xdr:cNvPr>
        <xdr:cNvSpPr txBox="1"/>
      </xdr:nvSpPr>
      <xdr:spPr>
        <a:xfrm>
          <a:off x="272781" y="6481608"/>
          <a:ext cx="2803793" cy="35087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8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Ensemble des Prestations</a:t>
          </a:r>
        </a:p>
      </xdr:txBody>
    </xdr:sp>
    <xdr:clientData/>
  </xdr:twoCellAnchor>
  <xdr:twoCellAnchor>
    <xdr:from>
      <xdr:col>2</xdr:col>
      <xdr:colOff>23317</xdr:colOff>
      <xdr:row>19</xdr:row>
      <xdr:rowOff>43861</xdr:rowOff>
    </xdr:from>
    <xdr:to>
      <xdr:col>3</xdr:col>
      <xdr:colOff>174470</xdr:colOff>
      <xdr:row>19</xdr:row>
      <xdr:rowOff>394737</xdr:rowOff>
    </xdr:to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DA7CD710-5CC5-4B44-B258-11C7E4139BAA}"/>
            </a:ext>
          </a:extLst>
        </xdr:cNvPr>
        <xdr:cNvSpPr txBox="1"/>
      </xdr:nvSpPr>
      <xdr:spPr>
        <a:xfrm>
          <a:off x="6455493" y="6509655"/>
          <a:ext cx="1002801" cy="35087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8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Somme</a:t>
          </a:r>
        </a:p>
      </xdr:txBody>
    </xdr:sp>
    <xdr:clientData/>
  </xdr:twoCellAnchor>
  <xdr:twoCellAnchor>
    <xdr:from>
      <xdr:col>4</xdr:col>
      <xdr:colOff>1170290</xdr:colOff>
      <xdr:row>19</xdr:row>
      <xdr:rowOff>46428</xdr:rowOff>
    </xdr:from>
    <xdr:to>
      <xdr:col>5</xdr:col>
      <xdr:colOff>723489</xdr:colOff>
      <xdr:row>19</xdr:row>
      <xdr:rowOff>388883</xdr:rowOff>
    </xdr:to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3B0B132E-E456-456A-9883-D43641020FBD}"/>
            </a:ext>
          </a:extLst>
        </xdr:cNvPr>
        <xdr:cNvSpPr txBox="1"/>
      </xdr:nvSpPr>
      <xdr:spPr>
        <a:xfrm>
          <a:off x="9212703" y="6465450"/>
          <a:ext cx="779025" cy="34245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8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CHF</a:t>
          </a:r>
        </a:p>
      </xdr:txBody>
    </xdr:sp>
    <xdr:clientData/>
  </xdr:twoCellAnchor>
  <xdr:twoCellAnchor>
    <xdr:from>
      <xdr:col>3</xdr:col>
      <xdr:colOff>173511</xdr:colOff>
      <xdr:row>19</xdr:row>
      <xdr:rowOff>46621</xdr:rowOff>
    </xdr:from>
    <xdr:to>
      <xdr:col>5</xdr:col>
      <xdr:colOff>74577</xdr:colOff>
      <xdr:row>19</xdr:row>
      <xdr:rowOff>388882</xdr:rowOff>
    </xdr:to>
    <xdr:sp macro="" textlink="$BD$13">
      <xdr:nvSpPr>
        <xdr:cNvPr id="48" name="ZoneTexte 47">
          <a:extLst>
            <a:ext uri="{FF2B5EF4-FFF2-40B4-BE49-F238E27FC236}">
              <a16:creationId xmlns:a16="http://schemas.microsoft.com/office/drawing/2014/main" id="{0A858553-77AF-8828-F9ED-031E043DD915}"/>
            </a:ext>
          </a:extLst>
        </xdr:cNvPr>
        <xdr:cNvSpPr txBox="1"/>
      </xdr:nvSpPr>
      <xdr:spPr>
        <a:xfrm>
          <a:off x="7450611" y="6485521"/>
          <a:ext cx="1825116" cy="34226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fld id="{7A023DD0-BD94-420F-BDC1-3F89F640614B}" type="TxLink">
            <a:rPr lang="en-US" sz="1800" b="1" i="0" u="none" strike="noStrike">
              <a:solidFill>
                <a:schemeClr val="bg1"/>
              </a:solidFill>
              <a:latin typeface="Times New Roman"/>
              <a:cs typeface="Times New Roman"/>
            </a:rPr>
            <a:pPr algn="r"/>
            <a:t>13'495.00</a:t>
          </a:fld>
          <a:endParaRPr lang="fr-CH" sz="1800" b="1">
            <a:solidFill>
              <a:schemeClr val="bg1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31</xdr:row>
          <xdr:rowOff>95250</xdr:rowOff>
        </xdr:from>
        <xdr:to>
          <xdr:col>6</xdr:col>
          <xdr:colOff>1076325</xdr:colOff>
          <xdr:row>32</xdr:row>
          <xdr:rowOff>76200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  <a:ext uri="{FF2B5EF4-FFF2-40B4-BE49-F238E27FC236}">
                  <a16:creationId xmlns:a16="http://schemas.microsoft.com/office/drawing/2014/main" id="{00000000-0008-0000-0100-00001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Ajouter 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Arrêté HT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5584833</xdr:colOff>
      <xdr:row>32</xdr:row>
      <xdr:rowOff>169763</xdr:rowOff>
    </xdr:from>
    <xdr:to>
      <xdr:col>5</xdr:col>
      <xdr:colOff>691528</xdr:colOff>
      <xdr:row>33</xdr:row>
      <xdr:rowOff>255488</xdr:rowOff>
    </xdr:to>
    <xdr:grpSp>
      <xdr:nvGrpSpPr>
        <xdr:cNvPr id="55" name="Groupe 54">
          <a:extLst>
            <a:ext uri="{FF2B5EF4-FFF2-40B4-BE49-F238E27FC236}">
              <a16:creationId xmlns:a16="http://schemas.microsoft.com/office/drawing/2014/main" id="{CF6CA873-444D-E22E-DD8A-510F85FF57CD}"/>
            </a:ext>
          </a:extLst>
        </xdr:cNvPr>
        <xdr:cNvGrpSpPr/>
      </xdr:nvGrpSpPr>
      <xdr:grpSpPr>
        <a:xfrm>
          <a:off x="5842008" y="12352238"/>
          <a:ext cx="4126870" cy="514350"/>
          <a:chOff x="5841594" y="12353480"/>
          <a:chExt cx="4118173" cy="516421"/>
        </a:xfrm>
      </xdr:grpSpPr>
      <xdr:sp macro="" textlink="">
        <xdr:nvSpPr>
          <xdr:cNvPr id="54" name="Rectangle : coins arrondis 53">
            <a:extLst>
              <a:ext uri="{FF2B5EF4-FFF2-40B4-BE49-F238E27FC236}">
                <a16:creationId xmlns:a16="http://schemas.microsoft.com/office/drawing/2014/main" id="{3324672B-0B18-EC6E-D7C7-19D122E52734}"/>
              </a:ext>
            </a:extLst>
          </xdr:cNvPr>
          <xdr:cNvSpPr/>
        </xdr:nvSpPr>
        <xdr:spPr>
          <a:xfrm>
            <a:off x="5841594" y="12386015"/>
            <a:ext cx="4118173" cy="453564"/>
          </a:xfrm>
          <a:prstGeom prst="roundRect">
            <a:avLst>
              <a:gd name="adj" fmla="val 35847"/>
            </a:avLst>
          </a:prstGeom>
          <a:noFill/>
          <a:ln w="19050" cap="flat" cmpd="sng" algn="ctr">
            <a:solidFill>
              <a:srgbClr val="B79B67"/>
            </a:solidFill>
            <a:prstDash val="solid"/>
            <a:miter lim="800000"/>
          </a:ln>
          <a:effectLst/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endParaRPr lang="fr-CH" sz="1200" b="1" i="0">
              <a:solidFill>
                <a:srgbClr val="C00000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sp macro="" textlink="">
        <xdr:nvSpPr>
          <xdr:cNvPr id="58" name="ZoneTexte 57">
            <a:extLst>
              <a:ext uri="{FF2B5EF4-FFF2-40B4-BE49-F238E27FC236}">
                <a16:creationId xmlns:a16="http://schemas.microsoft.com/office/drawing/2014/main" id="{FF027C34-15CE-0B8C-AF4E-D7F62A242372}"/>
              </a:ext>
            </a:extLst>
          </xdr:cNvPr>
          <xdr:cNvSpPr txBox="1"/>
        </xdr:nvSpPr>
        <xdr:spPr>
          <a:xfrm>
            <a:off x="6046526" y="12353480"/>
            <a:ext cx="3737584" cy="516421"/>
          </a:xfrm>
          <a:prstGeom prst="rect">
            <a:avLst/>
          </a:prstGeom>
          <a:noFill/>
          <a:ln w="9525" cmpd="sng">
            <a:noFill/>
          </a:ln>
          <a:effectLst/>
          <a:extLst>
            <a:ext uri="{91240B29-F687-4F45-9708-019B960494DF}">
              <a14:hiddenLine xmlns:a14="http://schemas.microsoft.com/office/drawing/2010/main" w="9525" cmpd="sng">
                <a:solidFill>
                  <a:prstClr val="black"/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CH" sz="1800" b="1">
                <a:solidFill>
                  <a:srgbClr val="B79B67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Relevé</a:t>
            </a:r>
          </a:p>
        </xdr:txBody>
      </xdr:sp>
    </xdr:grpSp>
    <xdr:clientData/>
  </xdr:twoCellAnchor>
  <xdr:twoCellAnchor>
    <xdr:from>
      <xdr:col>1</xdr:col>
      <xdr:colOff>5255202</xdr:colOff>
      <xdr:row>41</xdr:row>
      <xdr:rowOff>117760</xdr:rowOff>
    </xdr:from>
    <xdr:to>
      <xdr:col>2</xdr:col>
      <xdr:colOff>544041</xdr:colOff>
      <xdr:row>45</xdr:row>
      <xdr:rowOff>173268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E430B87B-1E2B-476B-A629-F8F84FA22566}"/>
            </a:ext>
          </a:extLst>
        </xdr:cNvPr>
        <xdr:cNvSpPr txBox="1"/>
      </xdr:nvSpPr>
      <xdr:spPr>
        <a:xfrm>
          <a:off x="5512377" y="15805435"/>
          <a:ext cx="1461039" cy="109373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>
            <a:spcAft>
              <a:spcPts val="300"/>
            </a:spcAft>
          </a:pPr>
          <a:r>
            <a:rPr lang="fr-CH" sz="1400" b="1">
              <a:solidFill>
                <a:srgbClr val="001E2C"/>
              </a:solidFill>
              <a:effectLst/>
              <a:latin typeface="Times New Roman" panose="02020603050405020304" pitchFamily="18" charset="0"/>
              <a:cs typeface="Times New Roman" panose="02020603050405020304" pitchFamily="18" charset="0"/>
            </a:rPr>
            <a:t>N°TVA</a:t>
          </a:r>
          <a:r>
            <a:rPr lang="fr-CH" sz="1400" b="1" baseline="0">
              <a:solidFill>
                <a:srgbClr val="001E2C"/>
              </a:solidFill>
              <a:effectLst/>
              <a:latin typeface="Times New Roman" panose="02020603050405020304" pitchFamily="18" charset="0"/>
              <a:cs typeface="Times New Roman" panose="02020603050405020304" pitchFamily="18" charset="0"/>
            </a:rPr>
            <a:t> / IDE</a:t>
          </a:r>
          <a:endParaRPr lang="fr-CH" sz="1400" b="1">
            <a:solidFill>
              <a:srgbClr val="001E2C"/>
            </a:solidFill>
            <a:effectLst/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pPr algn="r">
            <a:spcAft>
              <a:spcPts val="300"/>
            </a:spcAft>
          </a:pPr>
          <a:r>
            <a:rPr lang="fr-CH" sz="1400" b="1">
              <a:solidFill>
                <a:srgbClr val="001E2C"/>
              </a:solidFill>
              <a:effectLst/>
              <a:latin typeface="Times New Roman" panose="02020603050405020304" pitchFamily="18" charset="0"/>
              <a:cs typeface="Times New Roman" panose="02020603050405020304" pitchFamily="18" charset="0"/>
            </a:rPr>
            <a:t>Assureur RC</a:t>
          </a:r>
        </a:p>
        <a:p>
          <a:pPr algn="r">
            <a:spcAft>
              <a:spcPts val="300"/>
            </a:spcAft>
          </a:pPr>
          <a:r>
            <a:rPr lang="fr-CH" sz="1400" b="1">
              <a:solidFill>
                <a:srgbClr val="001E2C"/>
              </a:solidFill>
              <a:effectLst/>
              <a:latin typeface="Times New Roman" panose="02020603050405020304" pitchFamily="18" charset="0"/>
              <a:cs typeface="Times New Roman" panose="02020603050405020304" pitchFamily="18" charset="0"/>
            </a:rPr>
            <a:t>N° de Police</a:t>
          </a:r>
        </a:p>
        <a:p>
          <a:pPr algn="r">
            <a:spcAft>
              <a:spcPts val="300"/>
            </a:spcAft>
          </a:pPr>
          <a:r>
            <a:rPr lang="fr-CH" sz="1400" b="1">
              <a:solidFill>
                <a:srgbClr val="001E2C"/>
              </a:solidFill>
              <a:effectLst/>
              <a:latin typeface="Times New Roman" panose="02020603050405020304" pitchFamily="18" charset="0"/>
              <a:cs typeface="Times New Roman" panose="02020603050405020304" pitchFamily="18" charset="0"/>
            </a:rPr>
            <a:t>Montant assuré</a:t>
          </a:r>
        </a:p>
      </xdr:txBody>
    </xdr:sp>
    <xdr:clientData/>
  </xdr:twoCellAnchor>
  <xdr:twoCellAnchor>
    <xdr:from>
      <xdr:col>1</xdr:col>
      <xdr:colOff>5705474</xdr:colOff>
      <xdr:row>40</xdr:row>
      <xdr:rowOff>123168</xdr:rowOff>
    </xdr:from>
    <xdr:to>
      <xdr:col>2</xdr:col>
      <xdr:colOff>551793</xdr:colOff>
      <xdr:row>41</xdr:row>
      <xdr:rowOff>96390</xdr:rowOff>
    </xdr:to>
    <xdr:sp macro="" textlink="">
      <xdr:nvSpPr>
        <xdr:cNvPr id="15" name="Rectangle à coins arrondis 3">
          <a:extLst>
            <a:ext uri="{FF2B5EF4-FFF2-40B4-BE49-F238E27FC236}">
              <a16:creationId xmlns:a16="http://schemas.microsoft.com/office/drawing/2014/main" id="{8971F04E-FBD7-4C0F-968C-2CB49E42807B}"/>
            </a:ext>
          </a:extLst>
        </xdr:cNvPr>
        <xdr:cNvSpPr/>
      </xdr:nvSpPr>
      <xdr:spPr>
        <a:xfrm>
          <a:off x="5962649" y="15553668"/>
          <a:ext cx="1018519" cy="230397"/>
        </a:xfrm>
        <a:prstGeom prst="roundRect">
          <a:avLst>
            <a:gd name="adj" fmla="val 0"/>
          </a:avLst>
        </a:prstGeom>
        <a:solidFill>
          <a:schemeClr val="bg1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400" b="1" i="0">
              <a:solidFill>
                <a:srgbClr val="B79B67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Assurance</a:t>
          </a:r>
        </a:p>
      </xdr:txBody>
    </xdr:sp>
    <xdr:clientData/>
  </xdr:twoCellAnchor>
  <xdr:twoCellAnchor>
    <xdr:from>
      <xdr:col>0</xdr:col>
      <xdr:colOff>215346</xdr:colOff>
      <xdr:row>46</xdr:row>
      <xdr:rowOff>115956</xdr:rowOff>
    </xdr:from>
    <xdr:to>
      <xdr:col>6</xdr:col>
      <xdr:colOff>255117</xdr:colOff>
      <xdr:row>47</xdr:row>
      <xdr:rowOff>240191</xdr:rowOff>
    </xdr:to>
    <xdr:grpSp>
      <xdr:nvGrpSpPr>
        <xdr:cNvPr id="49" name="Groupe 48">
          <a:extLst>
            <a:ext uri="{FF2B5EF4-FFF2-40B4-BE49-F238E27FC236}">
              <a16:creationId xmlns:a16="http://schemas.microsoft.com/office/drawing/2014/main" id="{77FF4228-2B0E-5DBD-E7DA-0475FA3A3DEB}"/>
            </a:ext>
          </a:extLst>
        </xdr:cNvPr>
        <xdr:cNvGrpSpPr/>
      </xdr:nvGrpSpPr>
      <xdr:grpSpPr>
        <a:xfrm>
          <a:off x="215346" y="17089506"/>
          <a:ext cx="10545846" cy="390935"/>
          <a:chOff x="215346" y="17517717"/>
          <a:chExt cx="10533836" cy="298174"/>
        </a:xfrm>
      </xdr:grpSpPr>
      <xdr:sp macro="" textlink="">
        <xdr:nvSpPr>
          <xdr:cNvPr id="20" name="Rectangle : coins arrondis 19">
            <a:extLst>
              <a:ext uri="{FF2B5EF4-FFF2-40B4-BE49-F238E27FC236}">
                <a16:creationId xmlns:a16="http://schemas.microsoft.com/office/drawing/2014/main" id="{7FD28A3D-D6B0-0E19-DE0B-FA426DC2FD5C}"/>
              </a:ext>
            </a:extLst>
          </xdr:cNvPr>
          <xdr:cNvSpPr/>
        </xdr:nvSpPr>
        <xdr:spPr>
          <a:xfrm>
            <a:off x="275810" y="17517717"/>
            <a:ext cx="10211628" cy="298174"/>
          </a:xfrm>
          <a:prstGeom prst="roundRect">
            <a:avLst>
              <a:gd name="adj" fmla="val 33988"/>
            </a:avLst>
          </a:prstGeom>
          <a:solidFill>
            <a:srgbClr val="CCB894"/>
          </a:solidFill>
          <a:ln>
            <a:noFill/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endParaRPr lang="fr-CH" sz="1200" b="1" i="0">
              <a:solidFill>
                <a:srgbClr val="C00000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sp macro="" textlink="">
        <xdr:nvSpPr>
          <xdr:cNvPr id="38" name="Rectangle à coins arrondis 3">
            <a:extLst>
              <a:ext uri="{FF2B5EF4-FFF2-40B4-BE49-F238E27FC236}">
                <a16:creationId xmlns:a16="http://schemas.microsoft.com/office/drawing/2014/main" id="{11F9F95F-889D-4FEF-857F-58A344CD7119}"/>
              </a:ext>
            </a:extLst>
          </xdr:cNvPr>
          <xdr:cNvSpPr/>
        </xdr:nvSpPr>
        <xdr:spPr>
          <a:xfrm>
            <a:off x="215346" y="17554628"/>
            <a:ext cx="1242387" cy="225375"/>
          </a:xfrm>
          <a:prstGeom prst="roundRect">
            <a:avLst>
              <a:gd name="adj" fmla="val 0"/>
            </a:avLst>
          </a:prstGeom>
          <a:noFill/>
          <a:ln>
            <a:noFill/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CH" sz="1800" b="1" i="0">
                <a:solidFill>
                  <a:schemeClr val="bg1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Prestation</a:t>
            </a:r>
          </a:p>
        </xdr:txBody>
      </xdr:sp>
      <xdr:sp macro="" textlink="">
        <xdr:nvSpPr>
          <xdr:cNvPr id="21" name="Rectangle à coins arrondis 3">
            <a:extLst>
              <a:ext uri="{FF2B5EF4-FFF2-40B4-BE49-F238E27FC236}">
                <a16:creationId xmlns:a16="http://schemas.microsoft.com/office/drawing/2014/main" id="{C98CFCDD-7D93-4E4F-98E2-AFC7E2E21F4C}"/>
              </a:ext>
            </a:extLst>
          </xdr:cNvPr>
          <xdr:cNvSpPr/>
        </xdr:nvSpPr>
        <xdr:spPr>
          <a:xfrm>
            <a:off x="6067269" y="17545103"/>
            <a:ext cx="1505976" cy="225375"/>
          </a:xfrm>
          <a:prstGeom prst="roundRect">
            <a:avLst>
              <a:gd name="adj" fmla="val 0"/>
            </a:avLst>
          </a:prstGeom>
          <a:noFill/>
          <a:ln>
            <a:noFill/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CH" sz="1800" b="1" i="0">
                <a:solidFill>
                  <a:schemeClr val="bg1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Quantité</a:t>
            </a:r>
          </a:p>
        </xdr:txBody>
      </xdr:sp>
      <xdr:sp macro="" textlink="">
        <xdr:nvSpPr>
          <xdr:cNvPr id="32" name="Rectangle à coins arrondis 3">
            <a:extLst>
              <a:ext uri="{FF2B5EF4-FFF2-40B4-BE49-F238E27FC236}">
                <a16:creationId xmlns:a16="http://schemas.microsoft.com/office/drawing/2014/main" id="{94A8DEB8-7517-4E24-9219-4F2B32558A62}"/>
              </a:ext>
            </a:extLst>
          </xdr:cNvPr>
          <xdr:cNvSpPr/>
        </xdr:nvSpPr>
        <xdr:spPr>
          <a:xfrm>
            <a:off x="7763560" y="17549661"/>
            <a:ext cx="1678610" cy="225375"/>
          </a:xfrm>
          <a:prstGeom prst="roundRect">
            <a:avLst>
              <a:gd name="adj" fmla="val 0"/>
            </a:avLst>
          </a:prstGeom>
          <a:noFill/>
          <a:ln>
            <a:noFill/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CH" sz="1800" b="1" i="0">
                <a:solidFill>
                  <a:schemeClr val="bg1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Prix Unitaire</a:t>
            </a:r>
          </a:p>
        </xdr:txBody>
      </xdr:sp>
      <xdr:sp macro="" textlink="">
        <xdr:nvSpPr>
          <xdr:cNvPr id="45" name="Rectangle à coins arrondis 3">
            <a:extLst>
              <a:ext uri="{FF2B5EF4-FFF2-40B4-BE49-F238E27FC236}">
                <a16:creationId xmlns:a16="http://schemas.microsoft.com/office/drawing/2014/main" id="{7F72C86C-4A08-4EB0-A430-AF068B859879}"/>
              </a:ext>
            </a:extLst>
          </xdr:cNvPr>
          <xdr:cNvSpPr/>
        </xdr:nvSpPr>
        <xdr:spPr>
          <a:xfrm>
            <a:off x="9497947" y="17544690"/>
            <a:ext cx="1251235" cy="225375"/>
          </a:xfrm>
          <a:prstGeom prst="roundRect">
            <a:avLst>
              <a:gd name="adj" fmla="val 0"/>
            </a:avLst>
          </a:prstGeom>
          <a:noFill/>
          <a:ln>
            <a:noFill/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CH" sz="1800" b="1" i="0">
                <a:solidFill>
                  <a:schemeClr val="bg1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Total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32</xdr:row>
          <xdr:rowOff>323850</xdr:rowOff>
        </xdr:from>
        <xdr:to>
          <xdr:col>6</xdr:col>
          <xdr:colOff>1076325</xdr:colOff>
          <xdr:row>33</xdr:row>
          <xdr:rowOff>266700</xdr:rowOff>
        </xdr:to>
        <xdr:sp macro="" textlink="">
          <xdr:nvSpPr>
            <xdr:cNvPr id="7191" name="Button 23" hidden="1">
              <a:extLst>
                <a:ext uri="{63B3BB69-23CF-44E3-9099-C40C66FF867C}">
                  <a14:compatExt spid="_x0000_s7191"/>
                </a:ext>
                <a:ext uri="{FF2B5EF4-FFF2-40B4-BE49-F238E27FC236}">
                  <a16:creationId xmlns:a16="http://schemas.microsoft.com/office/drawing/2014/main" id="{00000000-0008-0000-0100-00001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Acompte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33</xdr:row>
          <xdr:rowOff>352425</xdr:rowOff>
        </xdr:from>
        <xdr:to>
          <xdr:col>6</xdr:col>
          <xdr:colOff>1085850</xdr:colOff>
          <xdr:row>34</xdr:row>
          <xdr:rowOff>295275</xdr:rowOff>
        </xdr:to>
        <xdr:sp macro="" textlink="">
          <xdr:nvSpPr>
            <xdr:cNvPr id="7194" name="Button 26" hidden="1">
              <a:extLst>
                <a:ext uri="{63B3BB69-23CF-44E3-9099-C40C66FF867C}">
                  <a14:compatExt spid="_x0000_s7194"/>
                </a:ext>
                <a:ext uri="{FF2B5EF4-FFF2-40B4-BE49-F238E27FC236}">
                  <a16:creationId xmlns:a16="http://schemas.microsoft.com/office/drawing/2014/main" id="{00000000-0008-0000-0100-00001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Situation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35</xdr:row>
          <xdr:rowOff>409575</xdr:rowOff>
        </xdr:from>
        <xdr:to>
          <xdr:col>6</xdr:col>
          <xdr:colOff>1085850</xdr:colOff>
          <xdr:row>36</xdr:row>
          <xdr:rowOff>352425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  <a:ext uri="{FF2B5EF4-FFF2-40B4-BE49-F238E27FC236}">
                  <a16:creationId xmlns:a16="http://schemas.microsoft.com/office/drawing/2014/main" id="{00000000-0008-0000-0100-00001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Total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37</xdr:row>
          <xdr:rowOff>9525</xdr:rowOff>
        </xdr:from>
        <xdr:to>
          <xdr:col>6</xdr:col>
          <xdr:colOff>1085850</xdr:colOff>
          <xdr:row>37</xdr:row>
          <xdr:rowOff>381000</xdr:rowOff>
        </xdr:to>
        <xdr:sp macro="" textlink="">
          <xdr:nvSpPr>
            <xdr:cNvPr id="7197" name="Button 29" hidden="1">
              <a:extLst>
                <a:ext uri="{63B3BB69-23CF-44E3-9099-C40C66FF867C}">
                  <a14:compatExt spid="_x0000_s7197"/>
                </a:ext>
                <a:ext uri="{FF2B5EF4-FFF2-40B4-BE49-F238E27FC236}">
                  <a16:creationId xmlns:a16="http://schemas.microsoft.com/office/drawing/2014/main" id="{00000000-0008-0000-0100-00001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34</xdr:row>
          <xdr:rowOff>381000</xdr:rowOff>
        </xdr:from>
        <xdr:to>
          <xdr:col>6</xdr:col>
          <xdr:colOff>1085850</xdr:colOff>
          <xdr:row>35</xdr:row>
          <xdr:rowOff>323850</xdr:rowOff>
        </xdr:to>
        <xdr:sp macro="" textlink="">
          <xdr:nvSpPr>
            <xdr:cNvPr id="7199" name="Button 31" hidden="1">
              <a:extLst>
                <a:ext uri="{63B3BB69-23CF-44E3-9099-C40C66FF867C}">
                  <a14:compatExt spid="_x0000_s7199"/>
                </a:ext>
                <a:ext uri="{FF2B5EF4-FFF2-40B4-BE49-F238E27FC236}">
                  <a16:creationId xmlns:a16="http://schemas.microsoft.com/office/drawing/2014/main" id="{00000000-0008-0000-0100-00001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Facture Finale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9525</xdr:colOff>
      <xdr:row>36</xdr:row>
      <xdr:rowOff>14653</xdr:rowOff>
    </xdr:from>
    <xdr:to>
      <xdr:col>3</xdr:col>
      <xdr:colOff>752475</xdr:colOff>
      <xdr:row>37</xdr:row>
      <xdr:rowOff>9524</xdr:rowOff>
    </xdr:to>
    <xdr:sp macro="" textlink="">
      <xdr:nvSpPr>
        <xdr:cNvPr id="56" name="Rectangle : coins arrondis 55">
          <a:extLst>
            <a:ext uri="{FF2B5EF4-FFF2-40B4-BE49-F238E27FC236}">
              <a16:creationId xmlns:a16="http://schemas.microsoft.com/office/drawing/2014/main" id="{6C9FBBE0-8CEA-F09C-BFB0-23EC64408828}"/>
            </a:ext>
          </a:extLst>
        </xdr:cNvPr>
        <xdr:cNvSpPr/>
      </xdr:nvSpPr>
      <xdr:spPr>
        <a:xfrm>
          <a:off x="7281655" y="13921153"/>
          <a:ext cx="742950" cy="425567"/>
        </a:xfrm>
        <a:prstGeom prst="roundRect">
          <a:avLst/>
        </a:prstGeom>
        <a:noFill/>
        <a:ln w="190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CH" sz="1200" b="1" i="0">
            <a:solidFill>
              <a:srgbClr val="C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 fPrintsWithSheet="0"/>
  </xdr:twoCellAnchor>
  <xdr:twoCellAnchor>
    <xdr:from>
      <xdr:col>3</xdr:col>
      <xdr:colOff>15386</xdr:colOff>
      <xdr:row>26</xdr:row>
      <xdr:rowOff>430823</xdr:rowOff>
    </xdr:from>
    <xdr:to>
      <xdr:col>3</xdr:col>
      <xdr:colOff>758336</xdr:colOff>
      <xdr:row>27</xdr:row>
      <xdr:rowOff>425693</xdr:rowOff>
    </xdr:to>
    <xdr:sp macro="" textlink="">
      <xdr:nvSpPr>
        <xdr:cNvPr id="57" name="Rectangle : coins arrondis 56">
          <a:extLst>
            <a:ext uri="{FF2B5EF4-FFF2-40B4-BE49-F238E27FC236}">
              <a16:creationId xmlns:a16="http://schemas.microsoft.com/office/drawing/2014/main" id="{80A01347-2C0F-4142-B275-56494BAF9822}"/>
            </a:ext>
          </a:extLst>
        </xdr:cNvPr>
        <xdr:cNvSpPr/>
      </xdr:nvSpPr>
      <xdr:spPr>
        <a:xfrm>
          <a:off x="7291021" y="10036419"/>
          <a:ext cx="742950" cy="427159"/>
        </a:xfrm>
        <a:prstGeom prst="roundRect">
          <a:avLst/>
        </a:prstGeom>
        <a:noFill/>
        <a:ln w="19050"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CH" sz="1200" b="1" i="0">
            <a:solidFill>
              <a:srgbClr val="C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 fPrintsWithSheet="0"/>
  </xdr:twoCellAnchor>
  <xdr:twoCellAnchor>
    <xdr:from>
      <xdr:col>3</xdr:col>
      <xdr:colOff>13920</xdr:colOff>
      <xdr:row>22</xdr:row>
      <xdr:rowOff>4396</xdr:rowOff>
    </xdr:from>
    <xdr:to>
      <xdr:col>3</xdr:col>
      <xdr:colOff>756870</xdr:colOff>
      <xdr:row>22</xdr:row>
      <xdr:rowOff>431555</xdr:rowOff>
    </xdr:to>
    <xdr:sp macro="" textlink="">
      <xdr:nvSpPr>
        <xdr:cNvPr id="59" name="Rectangle : coins arrondis 58">
          <a:extLst>
            <a:ext uri="{FF2B5EF4-FFF2-40B4-BE49-F238E27FC236}">
              <a16:creationId xmlns:a16="http://schemas.microsoft.com/office/drawing/2014/main" id="{132E4F9C-A0C1-4E6A-A410-44A3E374F310}"/>
            </a:ext>
          </a:extLst>
        </xdr:cNvPr>
        <xdr:cNvSpPr/>
      </xdr:nvSpPr>
      <xdr:spPr>
        <a:xfrm>
          <a:off x="7289555" y="7880838"/>
          <a:ext cx="742950" cy="427159"/>
        </a:xfrm>
        <a:prstGeom prst="roundRect">
          <a:avLst/>
        </a:prstGeom>
        <a:noFill/>
        <a:ln w="19050"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CH" sz="1200" b="1" i="0">
            <a:solidFill>
              <a:srgbClr val="C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 fPrintsWithSheet="0"/>
  </xdr:twoCellAnchor>
  <xdr:twoCellAnchor>
    <xdr:from>
      <xdr:col>3</xdr:col>
      <xdr:colOff>13411</xdr:colOff>
      <xdr:row>20</xdr:row>
      <xdr:rowOff>63</xdr:rowOff>
    </xdr:from>
    <xdr:to>
      <xdr:col>3</xdr:col>
      <xdr:colOff>756361</xdr:colOff>
      <xdr:row>20</xdr:row>
      <xdr:rowOff>422763</xdr:rowOff>
    </xdr:to>
    <xdr:sp macro="" textlink="">
      <xdr:nvSpPr>
        <xdr:cNvPr id="62" name="Rectangle : coins arrondis 61">
          <a:extLst>
            <a:ext uri="{FF2B5EF4-FFF2-40B4-BE49-F238E27FC236}">
              <a16:creationId xmlns:a16="http://schemas.microsoft.com/office/drawing/2014/main" id="{4A498ECE-EA20-430E-8848-DC06AE81A715}"/>
            </a:ext>
          </a:extLst>
        </xdr:cNvPr>
        <xdr:cNvSpPr/>
      </xdr:nvSpPr>
      <xdr:spPr>
        <a:xfrm>
          <a:off x="7285541" y="7015433"/>
          <a:ext cx="742950" cy="422700"/>
        </a:xfrm>
        <a:prstGeom prst="roundRect">
          <a:avLst/>
        </a:prstGeom>
        <a:noFill/>
        <a:ln w="19050"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CH" sz="1200" b="1" i="0">
            <a:solidFill>
              <a:srgbClr val="C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20</xdr:row>
          <xdr:rowOff>38100</xdr:rowOff>
        </xdr:from>
        <xdr:to>
          <xdr:col>6</xdr:col>
          <xdr:colOff>1085850</xdr:colOff>
          <xdr:row>20</xdr:row>
          <xdr:rowOff>409575</xdr:rowOff>
        </xdr:to>
        <xdr:sp macro="" textlink="">
          <xdr:nvSpPr>
            <xdr:cNvPr id="7202" name="Button 34" hidden="1">
              <a:extLst>
                <a:ext uri="{63B3BB69-23CF-44E3-9099-C40C66FF867C}">
                  <a14:compatExt spid="_x0000_s7202"/>
                </a:ext>
                <a:ext uri="{FF2B5EF4-FFF2-40B4-BE49-F238E27FC236}">
                  <a16:creationId xmlns:a16="http://schemas.microsoft.com/office/drawing/2014/main" id="{00000000-0008-0000-0100-00002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Remise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22</xdr:row>
          <xdr:rowOff>28575</xdr:rowOff>
        </xdr:from>
        <xdr:to>
          <xdr:col>6</xdr:col>
          <xdr:colOff>1095375</xdr:colOff>
          <xdr:row>22</xdr:row>
          <xdr:rowOff>400050</xdr:rowOff>
        </xdr:to>
        <xdr:sp macro="" textlink="">
          <xdr:nvSpPr>
            <xdr:cNvPr id="7204" name="Button 36" hidden="1">
              <a:extLst>
                <a:ext uri="{63B3BB69-23CF-44E3-9099-C40C66FF867C}">
                  <a14:compatExt spid="_x0000_s7204"/>
                </a:ext>
                <a:ext uri="{FF2B5EF4-FFF2-40B4-BE49-F238E27FC236}">
                  <a16:creationId xmlns:a16="http://schemas.microsoft.com/office/drawing/2014/main" id="{00000000-0008-0000-0100-00002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Prorata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24</xdr:row>
          <xdr:rowOff>19050</xdr:rowOff>
        </xdr:from>
        <xdr:to>
          <xdr:col>6</xdr:col>
          <xdr:colOff>1104900</xdr:colOff>
          <xdr:row>24</xdr:row>
          <xdr:rowOff>400050</xdr:rowOff>
        </xdr:to>
        <xdr:sp macro="" textlink="">
          <xdr:nvSpPr>
            <xdr:cNvPr id="7205" name="Button 37" hidden="1">
              <a:extLst>
                <a:ext uri="{63B3BB69-23CF-44E3-9099-C40C66FF867C}">
                  <a14:compatExt spid="_x0000_s7205"/>
                </a:ext>
                <a:ext uri="{FF2B5EF4-FFF2-40B4-BE49-F238E27FC236}">
                  <a16:creationId xmlns:a16="http://schemas.microsoft.com/office/drawing/2014/main" id="{00000000-0008-0000-0100-00002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Arrêté HT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26</xdr:row>
          <xdr:rowOff>28575</xdr:rowOff>
        </xdr:from>
        <xdr:to>
          <xdr:col>6</xdr:col>
          <xdr:colOff>1104900</xdr:colOff>
          <xdr:row>26</xdr:row>
          <xdr:rowOff>409575</xdr:rowOff>
        </xdr:to>
        <xdr:sp macro="" textlink="">
          <xdr:nvSpPr>
            <xdr:cNvPr id="7206" name="Button 38" hidden="1">
              <a:extLst>
                <a:ext uri="{63B3BB69-23CF-44E3-9099-C40C66FF867C}">
                  <a14:compatExt spid="_x0000_s7206"/>
                </a:ext>
                <a:ext uri="{FF2B5EF4-FFF2-40B4-BE49-F238E27FC236}">
                  <a16:creationId xmlns:a16="http://schemas.microsoft.com/office/drawing/2014/main" id="{00000000-0008-0000-0100-00002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Plus-Value HT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762858</xdr:colOff>
      <xdr:row>23</xdr:row>
      <xdr:rowOff>426491</xdr:rowOff>
    </xdr:from>
    <xdr:to>
      <xdr:col>5</xdr:col>
      <xdr:colOff>8282</xdr:colOff>
      <xdr:row>24</xdr:row>
      <xdr:rowOff>422955</xdr:rowOff>
    </xdr:to>
    <xdr:sp macro="" textlink="">
      <xdr:nvSpPr>
        <xdr:cNvPr id="7175" name="Rectangle : coins arrondis 7174">
          <a:extLst>
            <a:ext uri="{FF2B5EF4-FFF2-40B4-BE49-F238E27FC236}">
              <a16:creationId xmlns:a16="http://schemas.microsoft.com/office/drawing/2014/main" id="{E2C3B1BC-FAAE-43BB-ACFF-8F817F45DA2C}"/>
            </a:ext>
          </a:extLst>
        </xdr:cNvPr>
        <xdr:cNvSpPr/>
      </xdr:nvSpPr>
      <xdr:spPr>
        <a:xfrm>
          <a:off x="8034988" y="8733948"/>
          <a:ext cx="1241533" cy="427159"/>
        </a:xfrm>
        <a:prstGeom prst="roundRect">
          <a:avLst/>
        </a:prstGeom>
        <a:noFill/>
        <a:ln w="19050"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CH" sz="1200" b="1" i="0">
            <a:solidFill>
              <a:srgbClr val="C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 fPrintsWithSheet="0"/>
  </xdr:twoCellAnchor>
  <xdr:twoCellAnchor>
    <xdr:from>
      <xdr:col>3</xdr:col>
      <xdr:colOff>766168</xdr:colOff>
      <xdr:row>26</xdr:row>
      <xdr:rowOff>7396</xdr:rowOff>
    </xdr:from>
    <xdr:to>
      <xdr:col>5</xdr:col>
      <xdr:colOff>11592</xdr:colOff>
      <xdr:row>27</xdr:row>
      <xdr:rowOff>3859</xdr:rowOff>
    </xdr:to>
    <xdr:sp macro="" textlink="">
      <xdr:nvSpPr>
        <xdr:cNvPr id="7180" name="Rectangle : coins arrondis 7179">
          <a:extLst>
            <a:ext uri="{FF2B5EF4-FFF2-40B4-BE49-F238E27FC236}">
              <a16:creationId xmlns:a16="http://schemas.microsoft.com/office/drawing/2014/main" id="{7CD58443-0CA9-4468-91A0-8A456069B47F}"/>
            </a:ext>
          </a:extLst>
        </xdr:cNvPr>
        <xdr:cNvSpPr/>
      </xdr:nvSpPr>
      <xdr:spPr>
        <a:xfrm>
          <a:off x="8038298" y="9606939"/>
          <a:ext cx="1241533" cy="427159"/>
        </a:xfrm>
        <a:prstGeom prst="roundRect">
          <a:avLst/>
        </a:prstGeom>
        <a:noFill/>
        <a:ln w="19050"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CH" sz="1200" b="1" i="0">
            <a:solidFill>
              <a:srgbClr val="C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 fPrintsWithSheet="0"/>
  </xdr:twoCellAnchor>
  <xdr:twoCellAnchor>
    <xdr:from>
      <xdr:col>6</xdr:col>
      <xdr:colOff>8723</xdr:colOff>
      <xdr:row>27</xdr:row>
      <xdr:rowOff>91463</xdr:rowOff>
    </xdr:from>
    <xdr:to>
      <xdr:col>7</xdr:col>
      <xdr:colOff>9525</xdr:colOff>
      <xdr:row>32</xdr:row>
      <xdr:rowOff>200025</xdr:rowOff>
    </xdr:to>
    <xdr:sp macro="" textlink="">
      <xdr:nvSpPr>
        <xdr:cNvPr id="7200" name="Rectangle : coins arrondis 7199">
          <a:extLst>
            <a:ext uri="{FF2B5EF4-FFF2-40B4-BE49-F238E27FC236}">
              <a16:creationId xmlns:a16="http://schemas.microsoft.com/office/drawing/2014/main" id="{7C9A0AA8-18CC-46E3-86F4-05D60F236779}"/>
            </a:ext>
          </a:extLst>
        </xdr:cNvPr>
        <xdr:cNvSpPr/>
      </xdr:nvSpPr>
      <xdr:spPr>
        <a:xfrm>
          <a:off x="10514798" y="10130813"/>
          <a:ext cx="1143802" cy="2251687"/>
        </a:xfrm>
        <a:prstGeom prst="roundRect">
          <a:avLst/>
        </a:prstGeom>
        <a:noFill/>
        <a:ln w="19050"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CH" sz="1200" b="1" i="0">
            <a:solidFill>
              <a:srgbClr val="C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50</xdr:row>
          <xdr:rowOff>247650</xdr:rowOff>
        </xdr:from>
        <xdr:to>
          <xdr:col>10</xdr:col>
          <xdr:colOff>200025</xdr:colOff>
          <xdr:row>52</xdr:row>
          <xdr:rowOff>209550</xdr:rowOff>
        </xdr:to>
        <xdr:sp macro="" textlink="">
          <xdr:nvSpPr>
            <xdr:cNvPr id="7216" name="Button 48" hidden="1">
              <a:extLst>
                <a:ext uri="{63B3BB69-23CF-44E3-9099-C40C66FF867C}">
                  <a14:compatExt spid="_x0000_s7216"/>
                </a:ext>
                <a:ext uri="{FF2B5EF4-FFF2-40B4-BE49-F238E27FC236}">
                  <a16:creationId xmlns:a16="http://schemas.microsoft.com/office/drawing/2014/main" id="{00000000-0008-0000-0100-00003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48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85725</xdr:colOff>
          <xdr:row>53</xdr:row>
          <xdr:rowOff>228600</xdr:rowOff>
        </xdr:from>
        <xdr:to>
          <xdr:col>10</xdr:col>
          <xdr:colOff>76200</xdr:colOff>
          <xdr:row>55</xdr:row>
          <xdr:rowOff>190500</xdr:rowOff>
        </xdr:to>
        <xdr:sp macro="" textlink="">
          <xdr:nvSpPr>
            <xdr:cNvPr id="7217" name="Button 49" hidden="1">
              <a:extLst>
                <a:ext uri="{63B3BB69-23CF-44E3-9099-C40C66FF867C}">
                  <a14:compatExt spid="_x0000_s7217"/>
                </a:ext>
                <a:ext uri="{FF2B5EF4-FFF2-40B4-BE49-F238E27FC236}">
                  <a16:creationId xmlns:a16="http://schemas.microsoft.com/office/drawing/2014/main" id="{00000000-0008-0000-0100-00003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METHYSTE\K-roCIM\Users\Michel\OneDrive\Documents\excel\QR%20code\qrcode-python\QRCode_Python_encode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y"/>
      <sheetName val="donnees"/>
    </sheetNames>
    <sheetDataSet>
      <sheetData sheetId="0" refreshError="1"/>
      <sheetData sheetId="1">
        <row r="38">
          <cell r="C38" t="str">
            <v xml:space="preserve">SPC
0200
1
CH6430768250123521001
S
Fribourg Rando
Route des Roches
39
1785
Cressier
CH
CHF
S
HÃ©lÃ¨ne TschÃ¤ppÃ¼tt-KrÃ¶ner
Chemin de CÃ´rÃ§iÃ¨res-Ã -CrÃªt 22
1111
LÃ©chelles-sur-GlÃ¢ne
CH
QRR
908000000000020210100500009
EPD
</v>
          </cell>
        </row>
      </sheetData>
    </sheetDataSet>
  </externalBook>
</externalLink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DXFComplements" extRef="DXFComplementsMapperExtRef">
    <a k="MappedFeaturePropertyBags">
      <bagId>2</bagId>
    </a>
  </bag>
</FeaturePropertyBag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7631C7D-419A-4CBC-A1BE-357B52B369ED}" name="TableauADRESSES_FACTURATION43" displayName="TableauADRESSES_FACTURATION43" ref="AS3:BB24" totalsRowShown="0" headerRowDxfId="37" dataDxfId="36" tableBorderDxfId="35">
  <autoFilter ref="AS3:BB24" xr:uid="{27631C7D-419A-4CBC-A1BE-357B52B369ED}"/>
  <sortState xmlns:xlrd2="http://schemas.microsoft.com/office/spreadsheetml/2017/richdata2" ref="AS4:BB19">
    <sortCondition ref="AS1:AS20"/>
  </sortState>
  <tableColumns count="10">
    <tableColumn id="1" xr3:uid="{B829575B-5A28-496B-A949-0FAC60047555}" name="colonne" dataDxfId="34"/>
    <tableColumn id="8" xr3:uid="{CD47BAB0-5B04-4F71-9708-5BC93531B8E4}" name="Régie2" dataDxfId="33"/>
    <tableColumn id="6" xr3:uid="{E9AB7D31-B882-4E28-9CFB-FCAFB7ED6224}" name="Colonne1" dataDxfId="32"/>
    <tableColumn id="2" xr3:uid="{33BD0EDE-BA82-4B8F-834C-C13555FF8CCE}" name="Nom" dataDxfId="31"/>
    <tableColumn id="7" xr3:uid="{D1AD91CF-3AA8-45C7-9631-2D56800EF97E}" name="Colonne2" dataDxfId="30"/>
    <tableColumn id="3" xr3:uid="{D70AAE9C-EB54-4C39-93B1-AB96EBAC4B8F}" name="Adresse" dataDxfId="29"/>
    <tableColumn id="9" xr3:uid="{118BA375-BBD8-417D-A8D3-71DC7CD8FECC}" name="Colonne3" dataDxfId="28"/>
    <tableColumn id="4" xr3:uid="{E19B0756-0061-4718-ABD9-EC8A85A53233}" name="NPA" dataDxfId="27"/>
    <tableColumn id="10" xr3:uid="{B2F3DD01-5F05-44C8-90FA-F3726C3E3538}" name="Colonne4" dataDxfId="26"/>
    <tableColumn id="5" xr3:uid="{E8E22385-B3FB-4D75-A770-7E19AB890496}" name="Ville" dataDxfId="25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B538C65-A8F9-4801-9F8F-2876720B53DE}" name="Tableau3" displayName="Tableau3" ref="BI3:BK13" totalsRowShown="0" headerRowDxfId="24">
  <autoFilter ref="BI3:BK13" xr:uid="{EB538C65-A8F9-4801-9F8F-2876720B53DE}"/>
  <tableColumns count="3">
    <tableColumn id="1" xr3:uid="{81C6920A-9464-4079-8425-9A23BE6D60D3}" name="Colonne1" dataDxfId="23"/>
    <tableColumn id="2" xr3:uid="{2B04F7CF-F54C-4D65-8EBC-3ACEA6E41AF7}" name="Style" dataDxfId="22"/>
    <tableColumn id="3" xr3:uid="{A4FE1D56-D2F2-4FC0-913D-9AD0D61A0A94}" name="Colonne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257C75A-34EE-442A-BCF9-42CBACA541DC}" name="Tableau7" displayName="Tableau7" ref="B49:H77" headerRowCount="0" headerRowDxfId="21" dataDxfId="20">
  <tableColumns count="7">
    <tableColumn id="1" xr3:uid="{4ED60A31-83A9-43F6-9208-D9D1C0F0C9D2}" name="Colonne1" totalsRowLabel="Total" headerRowDxfId="19" dataDxfId="18" totalsRowDxfId="17"/>
    <tableColumn id="2" xr3:uid="{A5A01863-EAC4-4793-BE50-641EC8CAD7C2}" name="Colonne2" headerRowDxfId="16" dataDxfId="15" totalsRowDxfId="14"/>
    <tableColumn id="3" xr3:uid="{197F21C7-5957-4235-A775-6F6FFB74B7B5}" name="Colonne3" headerRowDxfId="13" dataDxfId="12" totalsRowDxfId="11"/>
    <tableColumn id="4" xr3:uid="{D6BA691D-BA56-4507-8949-4ECAB46A35E2}" name="Colonne4" headerRowDxfId="10" dataDxfId="9" totalsRowDxfId="8"/>
    <tableColumn id="5" xr3:uid="{675D77C0-8707-4793-B094-AB431FF52C4E}" name="Colonne5" totalsRowFunction="sum" headerRowDxfId="7" dataDxfId="6">
      <calculatedColumnFormula array="1">IF( Tableau7[[#This Row],[Colonne3]] &lt;&gt; "sous-total", IF(Tableau7[[#This Row],[Colonne2]] &gt; 0, SUM(Tableau7[[#This Row],[Colonne2]] * Tableau7[[#This Row],[Colonne4]]), ""), _xlfn.LET( _xlpm._idST, _xlfn.SCAN(1, $D$47:$D48, _xlfn.LAMBDA(_xlpm.a,_xlpm.v, _xlpm.a + 1 * (_xlpm.v = "sous-total"))), SUM(_xlfn._xlws.FILTER($C$47:$C48 * $E$47:$E48, _xlpm._idST = MAX(_xlpm._idST), 0)) ) )</calculatedColumnFormula>
    </tableColumn>
    <tableColumn id="6" xr3:uid="{3F3CE710-36B8-424F-962C-0C180BD0E473}" name="Colonne6" headerRowDxfId="5" dataDxfId="4" totalsRowDxfId="3"/>
    <tableColumn id="7" xr3:uid="{23E0DAAB-858A-43C9-BD7C-A76799EF23E5}" name="Colonne7" headerRowDxfId="2" dataDxfId="1" totalsRowDxfId="0">
      <calculatedColumnFormula array="1">IF( Tableau7[[#This Row],[Colonne3]] &lt;&gt; "sous-total", IF(Tableau7[[#This Row],[Colonne2]] &gt; 0, SUM(Tableau7[[#This Row],[Colonne2]] * Tableau7[[#This Row],[Colonne4]]), ""), _xlfn.LET( _xlpm._idST, _xlfn.SCAN(1, $D37:$D$47, _xlfn.LAMBDA(_xlpm.a,_xlpm.v, _xlpm.a + 1 * (_xlpm.v = "sous-total"))), SUM(_xlfn._xlws.FILTER($C37:$C$47 * $E37:$E$47, _xlpm._idST = MAX(_xlpm._idST), 0)) ) )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bg1"/>
        </a:solidFill>
        <a:ln>
          <a:noFill/>
        </a:ln>
      </a:spPr>
      <a:bodyPr vertOverflow="clip" horzOverflow="clip" rtlCol="0" anchor="ctr"/>
      <a:lstStyle>
        <a:defPPr algn="ctr">
          <a:defRPr sz="1200" b="1" i="0">
            <a:solidFill>
              <a:srgbClr val="C00000"/>
            </a:solidFill>
            <a:latin typeface="Arial" panose="020B0604020202020204" pitchFamily="34" charset="0"/>
            <a:cs typeface="Arial" panose="020B0604020202020204" pitchFamily="34" charset="0"/>
          </a:defRPr>
        </a:defPPr>
      </a:lstStyle>
      <a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ontrol" Target="../activeX/activeX5.xml"/><Relationship Id="rId18" Type="http://schemas.openxmlformats.org/officeDocument/2006/relationships/image" Target="../media/image7.emf"/><Relationship Id="rId26" Type="http://schemas.openxmlformats.org/officeDocument/2006/relationships/ctrlProp" Target="../ctrlProps/ctrlProp4.xml"/><Relationship Id="rId39" Type="http://schemas.openxmlformats.org/officeDocument/2006/relationships/table" Target="../tables/table3.xml"/><Relationship Id="rId21" Type="http://schemas.openxmlformats.org/officeDocument/2006/relationships/control" Target="../activeX/activeX9.xml"/><Relationship Id="rId34" Type="http://schemas.openxmlformats.org/officeDocument/2006/relationships/ctrlProp" Target="../ctrlProps/ctrlProp12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17" Type="http://schemas.openxmlformats.org/officeDocument/2006/relationships/control" Target="../activeX/activeX7.xml"/><Relationship Id="rId25" Type="http://schemas.openxmlformats.org/officeDocument/2006/relationships/ctrlProp" Target="../ctrlProps/ctrlProp3.xml"/><Relationship Id="rId33" Type="http://schemas.openxmlformats.org/officeDocument/2006/relationships/ctrlProp" Target="../ctrlProps/ctrlProp11.xml"/><Relationship Id="rId38" Type="http://schemas.openxmlformats.org/officeDocument/2006/relationships/table" Target="../tables/table2.xml"/><Relationship Id="rId2" Type="http://schemas.openxmlformats.org/officeDocument/2006/relationships/drawing" Target="../drawings/drawing1.xml"/><Relationship Id="rId16" Type="http://schemas.openxmlformats.org/officeDocument/2006/relationships/image" Target="../media/image6.emf"/><Relationship Id="rId20" Type="http://schemas.openxmlformats.org/officeDocument/2006/relationships/image" Target="../media/image8.emf"/><Relationship Id="rId29" Type="http://schemas.openxmlformats.org/officeDocument/2006/relationships/ctrlProp" Target="../ctrlProps/ctrlProp7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24" Type="http://schemas.openxmlformats.org/officeDocument/2006/relationships/ctrlProp" Target="../ctrlProps/ctrlProp2.xml"/><Relationship Id="rId32" Type="http://schemas.openxmlformats.org/officeDocument/2006/relationships/ctrlProp" Target="../ctrlProps/ctrlProp10.xml"/><Relationship Id="rId37" Type="http://schemas.openxmlformats.org/officeDocument/2006/relationships/table" Target="../tables/table1.xml"/><Relationship Id="rId5" Type="http://schemas.openxmlformats.org/officeDocument/2006/relationships/control" Target="../activeX/activeX1.xml"/><Relationship Id="rId15" Type="http://schemas.openxmlformats.org/officeDocument/2006/relationships/control" Target="../activeX/activeX6.xml"/><Relationship Id="rId23" Type="http://schemas.openxmlformats.org/officeDocument/2006/relationships/ctrlProp" Target="../ctrlProps/ctrlProp1.xml"/><Relationship Id="rId28" Type="http://schemas.openxmlformats.org/officeDocument/2006/relationships/ctrlProp" Target="../ctrlProps/ctrlProp6.xml"/><Relationship Id="rId36" Type="http://schemas.openxmlformats.org/officeDocument/2006/relationships/ctrlProp" Target="../ctrlProps/ctrlProp14.xml"/><Relationship Id="rId10" Type="http://schemas.openxmlformats.org/officeDocument/2006/relationships/image" Target="../media/image3.emf"/><Relationship Id="rId19" Type="http://schemas.openxmlformats.org/officeDocument/2006/relationships/control" Target="../activeX/activeX8.xml"/><Relationship Id="rId31" Type="http://schemas.openxmlformats.org/officeDocument/2006/relationships/ctrlProp" Target="../ctrlProps/ctrlProp9.xml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Relationship Id="rId22" Type="http://schemas.openxmlformats.org/officeDocument/2006/relationships/image" Target="../media/image9.emf"/><Relationship Id="rId27" Type="http://schemas.openxmlformats.org/officeDocument/2006/relationships/ctrlProp" Target="../ctrlProps/ctrlProp5.xml"/><Relationship Id="rId30" Type="http://schemas.openxmlformats.org/officeDocument/2006/relationships/ctrlProp" Target="../ctrlProps/ctrlProp8.xml"/><Relationship Id="rId35" Type="http://schemas.openxmlformats.org/officeDocument/2006/relationships/ctrlProp" Target="../ctrlProps/ctrlProp13.xml"/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743CA6-B348-464E-8F20-181B0FCB43C2}">
  <sheetPr codeName="Feuil1">
    <pageSetUpPr fitToPage="1"/>
  </sheetPr>
  <dimension ref="B1:BS114"/>
  <sheetViews>
    <sheetView tabSelected="1" view="pageBreakPreview" topLeftCell="A29" zoomScaleNormal="100" zoomScaleSheetLayoutView="100" workbookViewId="0">
      <selection activeCell="AP11" sqref="AP11"/>
    </sheetView>
  </sheetViews>
  <sheetFormatPr baseColWidth="10" defaultRowHeight="20.25" x14ac:dyDescent="0.3"/>
  <cols>
    <col min="1" max="1" width="3.85546875" style="9" customWidth="1"/>
    <col min="2" max="2" width="92.5703125" style="29" customWidth="1"/>
    <col min="3" max="3" width="12.7109375" style="29" customWidth="1"/>
    <col min="4" max="4" width="11.5703125" style="29" customWidth="1"/>
    <col min="5" max="6" width="18.42578125" style="52" customWidth="1"/>
    <col min="7" max="7" width="17.140625" style="9" customWidth="1"/>
    <col min="8" max="8" width="15.5703125" style="9" customWidth="1"/>
    <col min="9" max="9" width="15.7109375" style="9" customWidth="1"/>
    <col min="10" max="10" width="15.5703125" style="9" customWidth="1"/>
    <col min="11" max="44" width="11.42578125" style="9"/>
    <col min="45" max="45" width="4.5703125" style="32" customWidth="1"/>
    <col min="46" max="46" width="38.28515625" style="9" customWidth="1"/>
    <col min="47" max="47" width="4.5703125" style="32" customWidth="1"/>
    <col min="48" max="48" width="46.42578125" style="9" customWidth="1"/>
    <col min="49" max="49" width="4.5703125" style="32" customWidth="1"/>
    <col min="50" max="50" width="40.85546875" style="9" customWidth="1"/>
    <col min="51" max="51" width="4.5703125" style="32" customWidth="1"/>
    <col min="52" max="52" width="11.42578125" style="9"/>
    <col min="53" max="53" width="4.5703125" style="32" customWidth="1"/>
    <col min="54" max="54" width="18.140625" style="9" customWidth="1"/>
    <col min="55" max="16384" width="11.42578125" style="9"/>
  </cols>
  <sheetData>
    <row r="1" spans="2:71" ht="136.5" customHeight="1" x14ac:dyDescent="0.25">
      <c r="B1" s="15" t="str">
        <f>Adresse&amp;", "&amp;CP&amp;" "&amp;Ville</f>
        <v xml:space="preserve">,  </v>
      </c>
      <c r="C1" s="15"/>
      <c r="D1" s="15"/>
      <c r="E1" s="51"/>
      <c r="F1" s="51"/>
    </row>
    <row r="2" spans="2:71" ht="48.75" customHeight="1" x14ac:dyDescent="0.25">
      <c r="B2" s="30"/>
      <c r="C2" s="30"/>
      <c r="D2" s="30"/>
      <c r="E2" s="53"/>
      <c r="F2" s="53"/>
      <c r="AS2" s="32" t="s">
        <v>3</v>
      </c>
      <c r="BD2" s="9" t="s">
        <v>26</v>
      </c>
      <c r="BJ2" s="9" t="s">
        <v>29</v>
      </c>
    </row>
    <row r="3" spans="2:71" ht="21" customHeight="1" x14ac:dyDescent="0.25">
      <c r="B3" s="27"/>
      <c r="C3" s="27"/>
      <c r="D3" s="27"/>
      <c r="E3" s="54"/>
      <c r="F3" s="54"/>
      <c r="J3" s="139"/>
      <c r="K3" s="139"/>
      <c r="L3" s="139"/>
      <c r="M3" s="139"/>
      <c r="N3" s="139"/>
      <c r="O3" s="139"/>
      <c r="P3" s="139"/>
      <c r="Q3" s="139"/>
      <c r="R3" s="139"/>
      <c r="S3" s="139"/>
      <c r="T3" s="139"/>
      <c r="U3" s="139"/>
      <c r="AS3" s="33" t="s">
        <v>17</v>
      </c>
      <c r="AT3" s="34" t="s">
        <v>16</v>
      </c>
      <c r="AU3" s="33" t="s">
        <v>13</v>
      </c>
      <c r="AV3" s="34" t="s">
        <v>4</v>
      </c>
      <c r="AW3" s="33" t="s">
        <v>14</v>
      </c>
      <c r="AX3" s="34" t="s">
        <v>3</v>
      </c>
      <c r="AY3" s="33" t="s">
        <v>15</v>
      </c>
      <c r="AZ3" s="34" t="s">
        <v>2</v>
      </c>
      <c r="BA3" s="33" t="s">
        <v>18</v>
      </c>
      <c r="BB3" s="34" t="s">
        <v>1</v>
      </c>
      <c r="BD3" s="39">
        <v>21</v>
      </c>
      <c r="BE3" s="40"/>
      <c r="BF3" s="40"/>
      <c r="BG3" s="41"/>
      <c r="BI3" s="9" t="s">
        <v>13</v>
      </c>
      <c r="BJ3" s="9" t="s">
        <v>24</v>
      </c>
      <c r="BK3" s="9" t="s">
        <v>14</v>
      </c>
    </row>
    <row r="4" spans="2:71" ht="21" customHeight="1" x14ac:dyDescent="0.3">
      <c r="B4" s="103"/>
      <c r="C4" s="138" t="s">
        <v>51</v>
      </c>
      <c r="D4" s="138"/>
      <c r="E4" s="97" t="s">
        <v>10</v>
      </c>
      <c r="F4" s="98"/>
      <c r="I4" s="140"/>
      <c r="J4" s="140"/>
      <c r="K4" s="140"/>
      <c r="L4" s="140"/>
      <c r="M4" s="140"/>
      <c r="N4" s="140"/>
      <c r="O4" s="140"/>
      <c r="P4" s="10"/>
      <c r="Q4" s="126"/>
      <c r="R4" s="126"/>
      <c r="S4" s="128"/>
      <c r="T4" s="128"/>
      <c r="U4" s="10"/>
      <c r="AS4" s="33">
        <v>1</v>
      </c>
      <c r="AT4" s="35"/>
      <c r="AU4" s="33"/>
      <c r="AV4" s="35"/>
      <c r="AW4" s="33"/>
      <c r="AX4" s="35"/>
      <c r="AY4" s="33"/>
      <c r="AZ4" s="36"/>
      <c r="BA4" s="33"/>
      <c r="BB4" s="35"/>
      <c r="BD4" s="42" t="s">
        <v>4</v>
      </c>
      <c r="BE4" s="34" t="e">
        <f>VLOOKUP(Select,TableauADRESSES_FACTURATION43[[Colonne1]:[Nom]],2)</f>
        <v>#N/A</v>
      </c>
      <c r="BF4" s="34"/>
      <c r="BG4" s="43"/>
      <c r="BI4" s="9">
        <v>1</v>
      </c>
      <c r="BJ4" s="9" t="s">
        <v>25</v>
      </c>
      <c r="BK4" s="63"/>
      <c r="BM4" s="67">
        <v>1</v>
      </c>
      <c r="BN4" s="141" t="str">
        <f>"Validité du devis :" &amp; CHAR(10)
&amp;"3 mois après la date d'émission." &amp; CHAR(10)
&amp;CHAR(10)
&amp;"Paiements :" &amp; CHAR(10)
&amp;"40% à la commande" &amp; CHAR(10)
&amp;"50% à l'achèvement de 80% des travaux" &amp; CHAR(10)
&amp;"10% à la réception des travaux selon normes SIA art. 158 al. 2" &amp; CHAR(10)
&amp;"Échéance 14 jours après la date de la facture, net." &amp; CHAR(10)
&amp;CHAR(10)
&amp;"Pour acceptation, merci d'envoyer un mail avec la mention :" &amp; CHAR(10)
&amp;"J'accepte votre devis numéro " &amp; E4 &amp; CHAR(10)
&amp;"Ou nous retourner ce devis daté et signé." &amp; CHAR(10)
&amp;CHAR(10)
&amp;CHAR(10)
&amp;"Date :                                                        Signature :"</f>
        <v>Validité du devis :
3 mois après la date d'émission.
Paiements :
40% à la commande
50% à l'achèvement de 80% des travaux
10% à la réception des travaux selon normes SIA art. 158 al. 2
Échéance 14 jours après la date de la facture, net.
Pour acceptation, merci d'envoyer un mail avec la mention :
J'accepte votre devis numéro 2642-001
Ou nous retourner ce devis daté et signé.
Date :                                                        Signature :</v>
      </c>
      <c r="BO4" s="141"/>
      <c r="BP4" s="141"/>
      <c r="BQ4" s="141"/>
      <c r="BR4" s="141"/>
      <c r="BS4" s="142"/>
    </row>
    <row r="5" spans="2:71" ht="21" customHeight="1" x14ac:dyDescent="0.3">
      <c r="B5" s="103"/>
      <c r="C5" s="138"/>
      <c r="D5" s="138"/>
      <c r="E5" s="97"/>
      <c r="F5" s="99"/>
      <c r="J5" s="11"/>
      <c r="K5" s="10"/>
      <c r="L5" s="129"/>
      <c r="M5" s="129"/>
      <c r="N5" s="129"/>
      <c r="O5" s="129"/>
      <c r="P5" s="10"/>
      <c r="Q5" s="125"/>
      <c r="R5" s="125"/>
      <c r="S5" s="128"/>
      <c r="T5" s="128"/>
      <c r="U5" s="14"/>
      <c r="AS5" s="33">
        <v>2</v>
      </c>
      <c r="AT5" s="35"/>
      <c r="AU5" s="33"/>
      <c r="AV5" s="35"/>
      <c r="AW5" s="33"/>
      <c r="AX5" s="35"/>
      <c r="AY5" s="33"/>
      <c r="AZ5" s="36"/>
      <c r="BA5" s="33"/>
      <c r="BB5" s="35"/>
      <c r="BD5" s="42" t="s">
        <v>3</v>
      </c>
      <c r="BE5" s="34" t="e">
        <f>VLOOKUP(Select,TableauADRESSES_FACTURATION43[[Colonne2]:[Adresse]],2)</f>
        <v>#N/A</v>
      </c>
      <c r="BF5" s="34"/>
      <c r="BG5" s="43"/>
      <c r="BI5" s="9">
        <v>2</v>
      </c>
      <c r="BJ5" s="9" t="s">
        <v>5</v>
      </c>
      <c r="BM5" s="68">
        <v>2</v>
      </c>
      <c r="BN5" s="143" t="s">
        <v>28</v>
      </c>
      <c r="BO5" s="143"/>
      <c r="BP5" s="143"/>
      <c r="BQ5" s="143"/>
      <c r="BR5" s="143"/>
      <c r="BS5" s="144"/>
    </row>
    <row r="6" spans="2:71" ht="21" customHeight="1" thickBot="1" x14ac:dyDescent="0.35">
      <c r="B6" s="103"/>
      <c r="C6" s="138" t="s">
        <v>6</v>
      </c>
      <c r="D6" s="138"/>
      <c r="E6" s="100">
        <v>46036</v>
      </c>
      <c r="F6" s="101"/>
      <c r="J6" s="132"/>
      <c r="K6" s="132"/>
      <c r="L6" s="132"/>
      <c r="M6" s="132"/>
      <c r="N6" s="132"/>
      <c r="O6" s="132"/>
      <c r="P6" s="132"/>
      <c r="Q6" s="132"/>
      <c r="R6" s="20"/>
      <c r="S6" s="21" t="str">
        <f t="shared" ref="S6:S7" si="0">IF(COUNTIF(R6,"Fourniture"),1,IF(COUNTIF(R6,"Bloc"),1,""))</f>
        <v/>
      </c>
      <c r="T6" s="22" t="str">
        <f t="shared" ref="T6:T7" si="1">IF(COUNTIF(R6,"heure"),95,"")</f>
        <v/>
      </c>
      <c r="U6" s="22" t="str">
        <f t="shared" ref="U6:U7" si="2">IF(OR(S6="",T6=""),"",S6*T6)</f>
        <v/>
      </c>
      <c r="AS6" s="33">
        <v>3</v>
      </c>
      <c r="AT6" s="35"/>
      <c r="AU6" s="33"/>
      <c r="AV6" s="35"/>
      <c r="AW6" s="33"/>
      <c r="AX6" s="35"/>
      <c r="AY6" s="33"/>
      <c r="AZ6" s="36"/>
      <c r="BA6" s="33"/>
      <c r="BB6" s="35"/>
      <c r="BD6" s="42" t="s">
        <v>12</v>
      </c>
      <c r="BE6" s="35" t="e">
        <f>VLOOKUP(Select,TableauADRESSES_FACTURATION43[[Colonne3]:[NPA]],2)</f>
        <v>#N/A</v>
      </c>
      <c r="BF6" s="34"/>
      <c r="BG6" s="43"/>
      <c r="BI6" s="9">
        <v>3</v>
      </c>
      <c r="BJ6" s="9" t="s">
        <v>42</v>
      </c>
      <c r="BM6" s="68">
        <v>3</v>
      </c>
      <c r="BN6" s="145" t="str">
        <f>"Validité du devis :" &amp; CHAR(10)
&amp;"3 mois après la date d'émission." &amp; CHAR(10)
&amp;CHAR(10)
&amp;"Paiements :" &amp; CHAR(10)
&amp;"40% à la commande" &amp; CHAR(10)
&amp;"10% à 50% selon avancement des travaux" &amp; CHAR(10)
&amp;"10% à la réception des travaux selon normes SIA art. 158 al. 2" &amp; CHAR(10)
&amp;"Échéance 14 jours après la date de la facture, net." &amp; CHAR(10)
&amp;CHAR(10)
&amp;"Pour acceptation, merci d'envoyer un mail avec la mention :" &amp; CHAR(10)
&amp;"J'accepte votre devis numéro " &amp; E4 &amp; CHAR(10)
&amp;"Ou nous retourner ce devis daté et signé." &amp; CHAR(10)
&amp;CHAR(10)
&amp;CHAR(10)
&amp;"Date :                                                        Signature :"</f>
        <v>Validité du devis :
3 mois après la date d'émission.
Paiements :
40% à la commande
10% à 50% selon avancement des travaux
10% à la réception des travaux selon normes SIA art. 158 al. 2
Échéance 14 jours après la date de la facture, net.
Pour acceptation, merci d'envoyer un mail avec la mention :
J'accepte votre devis numéro 2642-001
Ou nous retourner ce devis daté et signé.
Date :                                                        Signature :</v>
      </c>
      <c r="BO6" s="145"/>
      <c r="BP6" s="145"/>
      <c r="BQ6" s="145"/>
      <c r="BR6" s="145"/>
      <c r="BS6" s="146"/>
    </row>
    <row r="7" spans="2:71" ht="21" customHeight="1" x14ac:dyDescent="0.3">
      <c r="B7" s="103"/>
      <c r="C7" s="138" t="s">
        <v>11</v>
      </c>
      <c r="D7" s="138"/>
      <c r="E7" s="97" t="s">
        <v>8</v>
      </c>
      <c r="F7" s="83"/>
      <c r="J7" s="124"/>
      <c r="K7" s="124"/>
      <c r="L7" s="124"/>
      <c r="M7" s="124"/>
      <c r="N7" s="124"/>
      <c r="O7" s="124"/>
      <c r="P7" s="124"/>
      <c r="Q7" s="124"/>
      <c r="R7" s="17"/>
      <c r="S7" s="18" t="str">
        <f t="shared" si="0"/>
        <v/>
      </c>
      <c r="T7" s="16" t="str">
        <f t="shared" si="1"/>
        <v/>
      </c>
      <c r="U7" s="16" t="str">
        <f t="shared" si="2"/>
        <v/>
      </c>
      <c r="AS7" s="33">
        <v>4</v>
      </c>
      <c r="AT7" s="35"/>
      <c r="AU7" s="33"/>
      <c r="AV7" s="35"/>
      <c r="AW7" s="33"/>
      <c r="AX7" s="35"/>
      <c r="AY7" s="33"/>
      <c r="AZ7" s="36"/>
      <c r="BA7" s="33"/>
      <c r="BB7" s="35"/>
      <c r="BD7" s="42" t="s">
        <v>1</v>
      </c>
      <c r="BE7" s="34" t="e">
        <f>VLOOKUP(Select,TableauADRESSES_FACTURATION43[[Colonne4]:[Ville]],2)</f>
        <v>#N/A</v>
      </c>
      <c r="BF7" s="34"/>
      <c r="BG7" s="43"/>
      <c r="BI7" s="9">
        <v>4</v>
      </c>
      <c r="BJ7" s="65" t="s">
        <v>30</v>
      </c>
      <c r="BM7" s="68">
        <v>4</v>
      </c>
      <c r="BN7" s="129"/>
      <c r="BO7" s="129"/>
      <c r="BP7" s="129"/>
      <c r="BQ7" s="129"/>
      <c r="BR7" s="129"/>
      <c r="BS7" s="147"/>
    </row>
    <row r="8" spans="2:71" ht="21" customHeight="1" x14ac:dyDescent="0.3">
      <c r="B8" s="103"/>
      <c r="C8" s="138" t="s">
        <v>7</v>
      </c>
      <c r="D8" s="138"/>
      <c r="E8" s="101" t="s">
        <v>9</v>
      </c>
      <c r="F8" s="83"/>
      <c r="J8" s="11"/>
      <c r="K8" s="10"/>
      <c r="L8" s="129"/>
      <c r="M8" s="129"/>
      <c r="N8" s="129"/>
      <c r="O8" s="129"/>
      <c r="P8" s="13"/>
      <c r="Q8" s="125"/>
      <c r="R8" s="125"/>
      <c r="S8" s="127"/>
      <c r="T8" s="127"/>
      <c r="U8" s="127"/>
      <c r="AS8" s="33">
        <v>5</v>
      </c>
      <c r="AT8" s="35"/>
      <c r="AU8" s="33"/>
      <c r="AV8" s="35"/>
      <c r="AW8" s="33"/>
      <c r="AX8" s="35"/>
      <c r="AY8" s="33"/>
      <c r="AZ8" s="36"/>
      <c r="BA8" s="33"/>
      <c r="BB8" s="35"/>
      <c r="BD8" s="44"/>
      <c r="BE8" s="45"/>
      <c r="BF8" s="45"/>
      <c r="BG8" s="46"/>
      <c r="BI8" s="9">
        <v>5</v>
      </c>
      <c r="BJ8" s="9" t="s">
        <v>32</v>
      </c>
      <c r="BM8" s="68">
        <v>5</v>
      </c>
      <c r="BN8" s="145" t="s">
        <v>43</v>
      </c>
      <c r="BO8" s="129"/>
      <c r="BP8" s="129"/>
      <c r="BQ8" s="129"/>
      <c r="BR8" s="129"/>
      <c r="BS8" s="147"/>
    </row>
    <row r="9" spans="2:71" ht="30.75" customHeight="1" x14ac:dyDescent="0.3">
      <c r="B9" s="10"/>
      <c r="C9" s="10"/>
      <c r="D9" s="10"/>
      <c r="E9" s="48"/>
      <c r="F9" s="48"/>
      <c r="J9" s="130"/>
      <c r="K9" s="130"/>
      <c r="L9" s="130"/>
      <c r="M9" s="130"/>
      <c r="N9" s="130"/>
      <c r="O9" s="130"/>
      <c r="P9" s="130"/>
      <c r="Q9" s="130"/>
      <c r="R9" s="130"/>
      <c r="S9" s="130"/>
      <c r="T9" s="130"/>
      <c r="U9" s="130"/>
      <c r="AS9" s="33">
        <v>6</v>
      </c>
      <c r="AT9" s="35"/>
      <c r="AU9" s="33"/>
      <c r="AV9" s="35"/>
      <c r="AW9" s="33"/>
      <c r="AX9" s="35"/>
      <c r="AY9" s="33"/>
      <c r="AZ9" s="36"/>
      <c r="BA9" s="33"/>
      <c r="BB9" s="35"/>
      <c r="BD9" s="9" t="s">
        <v>27</v>
      </c>
      <c r="BI9" s="9">
        <v>6</v>
      </c>
      <c r="BJ9" s="9" t="s">
        <v>31</v>
      </c>
      <c r="BM9" s="68">
        <v>6</v>
      </c>
      <c r="BN9" s="148" t="s">
        <v>44</v>
      </c>
      <c r="BO9" s="130"/>
      <c r="BP9" s="130"/>
      <c r="BQ9" s="130"/>
      <c r="BR9" s="130"/>
      <c r="BS9" s="149"/>
    </row>
    <row r="10" spans="2:71" ht="21" customHeight="1" x14ac:dyDescent="0.45">
      <c r="B10" s="10"/>
      <c r="C10" s="10"/>
      <c r="D10" s="10"/>
      <c r="E10" s="48"/>
      <c r="F10" s="48"/>
      <c r="H10" s="31"/>
      <c r="J10" s="130"/>
      <c r="K10" s="130"/>
      <c r="L10" s="130"/>
      <c r="M10" s="130"/>
      <c r="N10" s="130"/>
      <c r="O10" s="130"/>
      <c r="P10" s="130"/>
      <c r="Q10" s="130"/>
      <c r="R10" s="130"/>
      <c r="S10" s="130"/>
      <c r="T10" s="130"/>
      <c r="U10" s="130"/>
      <c r="AS10" s="33">
        <v>7</v>
      </c>
      <c r="AT10" s="35"/>
      <c r="AU10" s="33"/>
      <c r="AV10" s="35"/>
      <c r="AW10" s="33"/>
      <c r="AX10" s="35"/>
      <c r="AY10" s="33"/>
      <c r="AZ10" s="36"/>
      <c r="BA10" s="33"/>
      <c r="BB10" s="35"/>
      <c r="BD10" s="32">
        <v>1</v>
      </c>
      <c r="BI10" s="9">
        <v>7</v>
      </c>
      <c r="BJ10" s="65" t="s">
        <v>30</v>
      </c>
      <c r="BM10" s="68">
        <v>7</v>
      </c>
      <c r="BN10" s="148"/>
      <c r="BO10" s="130"/>
      <c r="BP10" s="130"/>
      <c r="BQ10" s="130"/>
      <c r="BR10" s="130"/>
      <c r="BS10" s="149"/>
    </row>
    <row r="11" spans="2:71" ht="21" customHeight="1" x14ac:dyDescent="0.3">
      <c r="B11" s="103">
        <v>55</v>
      </c>
      <c r="C11" s="94"/>
      <c r="D11" s="94"/>
      <c r="E11" s="95"/>
      <c r="F11" s="95"/>
      <c r="J11" s="12"/>
      <c r="K11" s="26"/>
      <c r="L11" s="131"/>
      <c r="M11" s="131"/>
      <c r="N11" s="131"/>
      <c r="O11" s="131"/>
      <c r="P11" s="131"/>
      <c r="Q11" s="131"/>
      <c r="R11" s="131"/>
      <c r="S11" s="131"/>
      <c r="T11" s="131"/>
      <c r="U11" s="131"/>
      <c r="AS11" s="33">
        <v>8</v>
      </c>
      <c r="AT11" s="35"/>
      <c r="AU11" s="33"/>
      <c r="AV11" s="35"/>
      <c r="AW11" s="33"/>
      <c r="AX11" s="35"/>
      <c r="AY11" s="33"/>
      <c r="AZ11" s="36"/>
      <c r="BA11" s="33"/>
      <c r="BB11" s="35"/>
      <c r="BD11" s="9" t="str">
        <f>VLOOKUP(BD10,BM4:BN13,2)</f>
        <v>Validité du devis :
3 mois après la date d'émission.
Paiements :
40% à la commande
50% à l'achèvement de 80% des travaux
10% à la réception des travaux selon normes SIA art. 158 al. 2
Échéance 14 jours après la date de la facture, net.
Pour acceptation, merci d'envoyer un mail avec la mention :
J'accepte votre devis numéro 2642-001
Ou nous retourner ce devis daté et signé.
Date :                                                        Signature :</v>
      </c>
      <c r="BI11" s="9">
        <v>8</v>
      </c>
      <c r="BJ11" s="9" t="s">
        <v>41</v>
      </c>
      <c r="BM11" s="66">
        <v>8</v>
      </c>
      <c r="BN11" s="148" t="s">
        <v>45</v>
      </c>
      <c r="BO11" s="130"/>
      <c r="BP11" s="130"/>
      <c r="BQ11" s="130"/>
      <c r="BR11" s="130"/>
      <c r="BS11" s="149"/>
    </row>
    <row r="12" spans="2:71" ht="21" customHeight="1" x14ac:dyDescent="0.3">
      <c r="B12" s="103"/>
      <c r="D12" s="94"/>
      <c r="E12" s="95"/>
      <c r="F12" s="95"/>
      <c r="J12" s="12"/>
      <c r="K12" s="26"/>
      <c r="L12" s="131"/>
      <c r="M12" s="131"/>
      <c r="N12" s="131"/>
      <c r="O12" s="131"/>
      <c r="P12" s="131"/>
      <c r="Q12" s="131"/>
      <c r="R12" s="131"/>
      <c r="S12" s="131"/>
      <c r="T12" s="131"/>
      <c r="U12" s="131"/>
      <c r="AS12" s="33">
        <v>9</v>
      </c>
      <c r="AT12" s="35"/>
      <c r="AU12" s="33"/>
      <c r="AV12" s="35"/>
      <c r="AW12" s="33"/>
      <c r="AX12" s="35"/>
      <c r="AY12" s="33"/>
      <c r="AZ12" s="36"/>
      <c r="BA12" s="33"/>
      <c r="BB12" s="35"/>
      <c r="BD12" s="72">
        <f>E26+E28+E27</f>
        <v>13327.9</v>
      </c>
      <c r="BE12" s="74" t="s">
        <v>36</v>
      </c>
      <c r="BI12" s="9">
        <v>9</v>
      </c>
      <c r="BJ12" s="9" t="s">
        <v>40</v>
      </c>
      <c r="BM12" s="66">
        <v>9</v>
      </c>
      <c r="BN12" s="148" t="s">
        <v>46</v>
      </c>
      <c r="BO12" s="130"/>
      <c r="BP12" s="130"/>
      <c r="BQ12" s="130"/>
      <c r="BR12" s="130"/>
      <c r="BS12" s="149"/>
    </row>
    <row r="13" spans="2:71" ht="21" customHeight="1" x14ac:dyDescent="0.3">
      <c r="B13" s="103"/>
      <c r="C13" s="94"/>
      <c r="D13" s="94"/>
      <c r="E13" s="95"/>
      <c r="F13" s="95"/>
      <c r="J13" s="12"/>
      <c r="K13" s="26"/>
      <c r="L13" s="131"/>
      <c r="M13" s="131"/>
      <c r="N13" s="131"/>
      <c r="O13" s="131"/>
      <c r="P13" s="131"/>
      <c r="Q13" s="131"/>
      <c r="R13" s="131"/>
      <c r="S13" s="131"/>
      <c r="T13" s="131"/>
      <c r="U13" s="131"/>
      <c r="AS13" s="33">
        <v>10</v>
      </c>
      <c r="AT13" s="35"/>
      <c r="AU13" s="33"/>
      <c r="AV13" s="35"/>
      <c r="AW13" s="33"/>
      <c r="AX13" s="35"/>
      <c r="AY13" s="33"/>
      <c r="AZ13" s="36"/>
      <c r="BA13" s="33"/>
      <c r="BB13" s="35"/>
      <c r="BD13" s="73">
        <f>SUMIF(Tableau7[Colonne3], "&lt;&gt;sous-total", Tableau7[Colonne5])</f>
        <v>13495</v>
      </c>
      <c r="BE13" s="74" t="s">
        <v>35</v>
      </c>
      <c r="BI13" s="9">
        <v>10</v>
      </c>
      <c r="BJ13" s="9" t="s">
        <v>39</v>
      </c>
      <c r="BM13" s="69">
        <v>10</v>
      </c>
      <c r="BN13" s="150" t="s">
        <v>45</v>
      </c>
      <c r="BO13" s="150"/>
      <c r="BP13" s="150"/>
      <c r="BQ13" s="150"/>
      <c r="BR13" s="150"/>
      <c r="BS13" s="151"/>
    </row>
    <row r="14" spans="2:71" ht="21" customHeight="1" x14ac:dyDescent="0.3">
      <c r="B14" s="103"/>
      <c r="C14" s="96"/>
      <c r="D14" s="96"/>
      <c r="E14" s="95"/>
      <c r="F14" s="95"/>
      <c r="J14" s="12"/>
      <c r="K14" s="26"/>
      <c r="L14" s="133"/>
      <c r="M14" s="133"/>
      <c r="N14" s="133"/>
      <c r="O14" s="133"/>
      <c r="P14" s="133"/>
      <c r="Q14" s="133"/>
      <c r="R14" s="133"/>
      <c r="S14" s="133"/>
      <c r="T14" s="133"/>
      <c r="U14" s="133"/>
      <c r="AS14" s="33">
        <v>11</v>
      </c>
      <c r="AT14" s="35"/>
      <c r="AU14" s="33"/>
      <c r="AV14" s="35"/>
      <c r="AW14" s="33"/>
      <c r="AX14" s="35"/>
      <c r="AY14" s="33"/>
      <c r="AZ14" s="36"/>
      <c r="BA14" s="33"/>
      <c r="BB14" s="35"/>
      <c r="BD14" s="77" t="str">
        <f>IF(G29&gt;0,(ROUND((SUM(G29/(G31+1)))/0.05,0)*0.05),"")</f>
        <v/>
      </c>
      <c r="BE14" s="9" t="s">
        <v>47</v>
      </c>
    </row>
    <row r="15" spans="2:71" ht="21" customHeight="1" x14ac:dyDescent="0.25">
      <c r="B15" s="103"/>
      <c r="C15" s="96"/>
      <c r="D15" s="96"/>
      <c r="E15" s="95"/>
      <c r="F15" s="95"/>
      <c r="J15" s="12"/>
      <c r="K15" s="19"/>
      <c r="L15" s="135"/>
      <c r="M15" s="135"/>
      <c r="N15" s="135"/>
      <c r="O15" s="135"/>
      <c r="P15" s="135"/>
      <c r="Q15" s="135"/>
      <c r="R15" s="135"/>
      <c r="S15" s="135"/>
      <c r="T15" s="135"/>
      <c r="U15" s="135"/>
      <c r="AS15" s="33">
        <v>12</v>
      </c>
      <c r="AT15" s="35"/>
      <c r="AU15" s="33"/>
      <c r="AV15" s="35"/>
      <c r="AW15" s="33"/>
      <c r="AX15" s="35"/>
      <c r="AY15" s="33"/>
      <c r="AZ15" s="36"/>
      <c r="BA15" s="33"/>
      <c r="BB15" s="35"/>
    </row>
    <row r="16" spans="2:71" ht="9.75" customHeight="1" x14ac:dyDescent="0.3">
      <c r="C16" s="28"/>
      <c r="D16" s="28"/>
      <c r="E16" s="56"/>
      <c r="F16" s="56"/>
      <c r="J16" s="136"/>
      <c r="K16" s="137"/>
      <c r="L16" s="137"/>
      <c r="M16" s="137"/>
      <c r="N16" s="137"/>
      <c r="O16" s="137"/>
      <c r="P16" s="137"/>
      <c r="Q16" s="137"/>
      <c r="R16" s="137"/>
      <c r="S16" s="137"/>
      <c r="T16" s="137"/>
      <c r="U16" s="137"/>
      <c r="AS16" s="33">
        <v>13</v>
      </c>
      <c r="AT16" s="35"/>
      <c r="AU16" s="33"/>
      <c r="AV16" s="35"/>
      <c r="AW16" s="33"/>
      <c r="AX16" s="35"/>
      <c r="AY16" s="33"/>
      <c r="AZ16" s="36"/>
      <c r="BA16" s="33"/>
      <c r="BB16" s="35"/>
    </row>
    <row r="17" spans="2:54" ht="9.75" customHeight="1" x14ac:dyDescent="0.3">
      <c r="B17" s="19"/>
      <c r="J17"/>
      <c r="K17" s="7"/>
      <c r="L17" s="7"/>
      <c r="M17" s="7"/>
      <c r="N17" s="7"/>
      <c r="O17" s="7"/>
      <c r="P17" s="7"/>
      <c r="Q17" s="2"/>
      <c r="R17" s="2"/>
      <c r="S17" s="2"/>
      <c r="T17" s="2"/>
      <c r="U17" s="2"/>
      <c r="V17" s="2"/>
      <c r="W17" s="2"/>
      <c r="X17" s="2"/>
      <c r="Y17" s="3"/>
      <c r="Z17" s="7"/>
      <c r="AA17" s="7"/>
      <c r="AB17" s="7"/>
      <c r="AC17" s="7"/>
      <c r="AD17" s="7"/>
      <c r="AE17" s="7"/>
      <c r="AS17" s="33">
        <v>14</v>
      </c>
      <c r="AT17" s="35"/>
      <c r="AU17" s="33"/>
      <c r="AV17" s="35"/>
      <c r="AW17" s="33"/>
      <c r="AX17" s="35"/>
      <c r="AY17" s="33"/>
      <c r="AZ17" s="36"/>
      <c r="BA17" s="33"/>
      <c r="BB17" s="35"/>
    </row>
    <row r="18" spans="2:54" ht="9.75" customHeight="1" x14ac:dyDescent="0.3">
      <c r="B18" s="60"/>
      <c r="J18"/>
      <c r="K18" s="7"/>
      <c r="L18" s="7"/>
      <c r="M18" s="7"/>
      <c r="N18" s="7"/>
      <c r="O18" s="7"/>
      <c r="P18" s="7"/>
      <c r="Q18" s="2"/>
      <c r="R18" s="2"/>
      <c r="S18" s="2"/>
      <c r="T18" s="2"/>
      <c r="U18" s="2"/>
      <c r="V18" s="2"/>
      <c r="W18" s="2"/>
      <c r="X18" s="2"/>
      <c r="Y18" s="3"/>
      <c r="Z18" s="3"/>
      <c r="AA18" s="3"/>
      <c r="AB18" s="3"/>
      <c r="AC18" s="3"/>
      <c r="AD18" s="3"/>
      <c r="AE18" s="3"/>
      <c r="AS18" s="33">
        <v>15</v>
      </c>
      <c r="AT18" s="35"/>
      <c r="AU18" s="33"/>
      <c r="AV18" s="35"/>
      <c r="AW18" s="33"/>
      <c r="AX18" s="35"/>
      <c r="AY18" s="33"/>
      <c r="AZ18" s="36"/>
      <c r="BA18" s="33"/>
      <c r="BB18" s="35"/>
    </row>
    <row r="19" spans="2:54" ht="9.75" customHeight="1" x14ac:dyDescent="0.3">
      <c r="B19" s="47"/>
      <c r="J19"/>
      <c r="K19" s="7"/>
      <c r="L19" s="7"/>
      <c r="M19" s="7"/>
      <c r="N19" s="7"/>
      <c r="O19" s="7"/>
      <c r="P19" s="7"/>
      <c r="Q19" s="2"/>
      <c r="R19" s="2"/>
      <c r="S19" s="2"/>
      <c r="T19" s="2"/>
      <c r="U19" s="2"/>
      <c r="V19" s="2"/>
      <c r="W19" s="2"/>
      <c r="X19" s="2"/>
      <c r="Y19" s="3"/>
      <c r="Z19" s="3"/>
      <c r="AA19" s="3"/>
      <c r="AB19" s="3"/>
      <c r="AC19" s="3"/>
      <c r="AD19" s="3"/>
      <c r="AE19" s="3"/>
      <c r="AS19" s="33">
        <v>16</v>
      </c>
      <c r="AT19" s="35"/>
      <c r="AU19" s="33"/>
      <c r="AV19" s="35"/>
      <c r="AW19" s="33"/>
      <c r="AX19" s="35"/>
      <c r="AY19" s="33"/>
      <c r="AZ19" s="36"/>
      <c r="BA19" s="33"/>
      <c r="BB19" s="35"/>
    </row>
    <row r="20" spans="2:54" ht="47.25" customHeight="1" x14ac:dyDescent="0.25">
      <c r="B20" s="64"/>
      <c r="C20" s="58"/>
      <c r="D20" s="62"/>
      <c r="E20" s="102">
        <f>BD13</f>
        <v>13495</v>
      </c>
      <c r="F20" s="61"/>
      <c r="J20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3"/>
      <c r="Z20" s="3"/>
      <c r="AA20" s="3"/>
      <c r="AB20" s="3"/>
      <c r="AC20" s="3"/>
      <c r="AD20" s="3"/>
      <c r="AE20" s="3"/>
      <c r="AS20" s="33">
        <v>17</v>
      </c>
      <c r="AT20" s="35"/>
      <c r="AU20" s="33"/>
      <c r="AV20" s="35"/>
      <c r="AW20" s="33"/>
      <c r="AX20" s="35"/>
      <c r="AY20" s="33"/>
      <c r="AZ20" s="36"/>
      <c r="BA20" s="33"/>
      <c r="BB20" s="35"/>
    </row>
    <row r="21" spans="2:54" ht="33.75" customHeight="1" x14ac:dyDescent="0.25">
      <c r="B21" s="64"/>
      <c r="C21" s="80" t="s">
        <v>20</v>
      </c>
      <c r="D21" s="81">
        <v>0.05</v>
      </c>
      <c r="E21" s="82">
        <f>IF(COUNTIF(C21,"Remise"),-(ROUND((BD13+BD13*D21-BD13)/0.05,0)*0.05),"")</f>
        <v>-674.75</v>
      </c>
      <c r="F21" s="83" t="str">
        <f>IF(COUNTIF(C21,"Remise"),"CHF","")</f>
        <v>CHF</v>
      </c>
      <c r="J21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3"/>
      <c r="Z21" s="3"/>
      <c r="AA21" s="3"/>
      <c r="AB21" s="3"/>
      <c r="AC21" s="3"/>
      <c r="AD21" s="3"/>
      <c r="AE21" s="3"/>
      <c r="AS21" s="33">
        <v>18</v>
      </c>
      <c r="AT21" s="35"/>
      <c r="AU21" s="33"/>
      <c r="AV21" s="35"/>
      <c r="AW21" s="33"/>
      <c r="AX21" s="35"/>
      <c r="AY21" s="33"/>
      <c r="AZ21" s="36"/>
      <c r="BA21" s="33"/>
      <c r="BB21" s="35"/>
    </row>
    <row r="22" spans="2:54" ht="33.75" customHeight="1" x14ac:dyDescent="0.3">
      <c r="C22" s="80" t="str">
        <f>IF(COUNTIF(C21,"Remise"),"Sous-Total","")</f>
        <v>Sous-Total</v>
      </c>
      <c r="D22" s="80"/>
      <c r="E22" s="82">
        <f>IF(COUNTIF(C21,"Remise"),(ROUND((SUM(E20:E21))/0.05,0)*0.05),"")</f>
        <v>12820.25</v>
      </c>
      <c r="F22" s="83" t="str">
        <f>IF(COUNTIF(C21,"Remise"),"CHF","")</f>
        <v>CHF</v>
      </c>
      <c r="G22" s="49"/>
      <c r="J2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3"/>
      <c r="Z22" s="5"/>
      <c r="AA22" s="3"/>
      <c r="AB22" s="3"/>
      <c r="AC22" s="3"/>
      <c r="AD22" s="3"/>
      <c r="AE22" s="3"/>
      <c r="AS22" s="33">
        <v>19</v>
      </c>
      <c r="AT22" s="35"/>
      <c r="AU22" s="33"/>
      <c r="AV22" s="35"/>
      <c r="AW22" s="33"/>
      <c r="AX22" s="35"/>
      <c r="AY22" s="33"/>
      <c r="AZ22" s="36"/>
      <c r="BA22" s="33"/>
      <c r="BB22" s="35"/>
    </row>
    <row r="23" spans="2:54" ht="33.75" customHeight="1" x14ac:dyDescent="0.25">
      <c r="B23" s="57"/>
      <c r="C23" s="80" t="s">
        <v>21</v>
      </c>
      <c r="D23" s="84">
        <v>0.05</v>
      </c>
      <c r="E23" s="85">
        <f>IF(C23="","",IF(C21="",-(ROUND((BD13+BD13*D23-BD13)/0.05,0)*0.05),IF(C23="Prorata",-(ROUND((E22+E22*D23-E22)/0.05,0)*0.05))))</f>
        <v>-641</v>
      </c>
      <c r="F23" s="83" t="str">
        <f>IF(COUNTIF(C23,"Prorata"),"CHF","")</f>
        <v>CHF</v>
      </c>
      <c r="J23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3"/>
      <c r="Z23" s="2"/>
      <c r="AA23" s="24"/>
      <c r="AB23" s="24"/>
      <c r="AC23" s="24"/>
      <c r="AD23" s="24"/>
      <c r="AE23" s="24"/>
      <c r="AS23" s="33">
        <v>20</v>
      </c>
      <c r="AT23" s="35"/>
      <c r="AU23" s="33"/>
      <c r="AV23" s="35"/>
      <c r="AW23" s="33"/>
      <c r="AX23" s="35"/>
      <c r="AY23" s="33"/>
      <c r="AZ23" s="36"/>
      <c r="BA23" s="33"/>
      <c r="BB23" s="35"/>
    </row>
    <row r="24" spans="2:54" ht="33.75" customHeight="1" x14ac:dyDescent="0.25">
      <c r="B24" s="57"/>
      <c r="C24" s="80" t="str">
        <f>IF(COUNTIF(C23,"Prorata"),"Sous-Total","")</f>
        <v>Sous-Total</v>
      </c>
      <c r="D24" s="80"/>
      <c r="E24" s="82">
        <f>IF(C23="","",IF(C21="",(ROUND((SUM(BD13,E23))/0.05,0)*0.05),(ROUND((SUM(E22:E23))/0.05,0)*0.05)))</f>
        <v>12179.25</v>
      </c>
      <c r="F24" s="83" t="str">
        <f>IF(COUNTIF(C23,"Prorata"),"CHF","")</f>
        <v>CHF</v>
      </c>
      <c r="G24" s="49"/>
      <c r="I24" s="76"/>
      <c r="J24" s="75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3"/>
      <c r="Z24" s="24"/>
      <c r="AA24" s="24"/>
      <c r="AB24" s="23"/>
      <c r="AC24" s="23"/>
      <c r="AD24" s="23"/>
      <c r="AE24" s="23"/>
      <c r="AS24" s="37"/>
      <c r="AT24" s="35"/>
      <c r="AU24" s="37"/>
      <c r="AV24" s="35"/>
      <c r="AW24" s="37"/>
      <c r="AX24" s="35"/>
      <c r="AY24" s="37"/>
      <c r="AZ24" s="36"/>
      <c r="BA24" s="38"/>
      <c r="BB24" s="35"/>
    </row>
    <row r="25" spans="2:54" ht="33.75" customHeight="1" x14ac:dyDescent="0.25">
      <c r="B25" s="57"/>
      <c r="C25" s="80" t="s">
        <v>19</v>
      </c>
      <c r="D25" s="86"/>
      <c r="E25" s="87"/>
      <c r="F25" s="83" t="str">
        <f>IF(COUNTIF(C25,"Arrêté HT"),"CHF","")</f>
        <v>CHF</v>
      </c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3"/>
      <c r="Z25" s="25"/>
      <c r="AA25" s="25"/>
      <c r="AB25" s="25"/>
      <c r="AC25" s="25"/>
      <c r="AD25" s="25"/>
      <c r="AE25" s="25"/>
    </row>
    <row r="26" spans="2:54" ht="33.75" customHeight="1" x14ac:dyDescent="0.25">
      <c r="B26" s="57"/>
      <c r="C26" s="88" t="str">
        <f xml:space="preserve"> IF( AND( C21="", C23="" ), "Total HT", "Total HT NET" )</f>
        <v>Total HT NET</v>
      </c>
      <c r="D26" s="88"/>
      <c r="E26" s="87" cm="1">
        <f t="array" ref="E26">INDEX($E$20:$E$25,MAX((ISNUMBER($E$20:$E$25)*($E$20:$E$25&lt;&gt;0))*(ROW($E$20:$E$25)-19)))</f>
        <v>12179.25</v>
      </c>
      <c r="F26" s="89" t="s">
        <v>0</v>
      </c>
      <c r="J26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3"/>
      <c r="Z26" s="3"/>
      <c r="AA26" s="3"/>
      <c r="AB26" s="3"/>
      <c r="AC26" s="3"/>
      <c r="AD26" s="3"/>
      <c r="AE26" s="3"/>
    </row>
    <row r="27" spans="2:54" ht="33.75" customHeight="1" x14ac:dyDescent="0.35">
      <c r="B27" s="57"/>
      <c r="C27" s="80" t="s">
        <v>37</v>
      </c>
      <c r="D27" s="78"/>
      <c r="E27" s="85">
        <f>SUMIF(Tableau7[Colonne3], "&lt;&gt;sous-total", Tableau7[Colonne7])</f>
        <v>150</v>
      </c>
      <c r="F27" s="83" t="str">
        <f>IF(COUNTIF(C27,"Plus-Value HT"),"CHF","")</f>
        <v>CHF</v>
      </c>
      <c r="J27"/>
      <c r="K27" s="6"/>
      <c r="L27" s="6"/>
      <c r="M27" s="6"/>
      <c r="N27" s="6"/>
      <c r="O27" s="2"/>
      <c r="P27" s="2"/>
      <c r="Q27" s="2"/>
      <c r="R27" s="2"/>
      <c r="S27" s="5"/>
      <c r="T27" s="5"/>
      <c r="U27" s="5"/>
      <c r="V27" s="5"/>
      <c r="W27" s="2"/>
      <c r="X27" s="2"/>
      <c r="Y27" s="3"/>
      <c r="Z27" s="3"/>
      <c r="AA27" s="3"/>
      <c r="AB27" s="3"/>
      <c r="AC27" s="3"/>
      <c r="AD27" s="3"/>
      <c r="AE27" s="3"/>
    </row>
    <row r="28" spans="2:54" ht="33.75" customHeight="1" thickBot="1" x14ac:dyDescent="0.35">
      <c r="B28" s="57"/>
      <c r="C28" s="80" t="s">
        <v>38</v>
      </c>
      <c r="D28" s="90">
        <v>8.1000000000000003E-2</v>
      </c>
      <c r="E28" s="91">
        <f>ROUND(D28*(E26+E27)/0.05,0)*0.05</f>
        <v>998.65000000000009</v>
      </c>
      <c r="F28" s="83" t="s">
        <v>0</v>
      </c>
      <c r="G28" s="106" t="s">
        <v>23</v>
      </c>
      <c r="J28"/>
      <c r="K28" s="2"/>
      <c r="L28" s="2"/>
      <c r="M28" s="4"/>
      <c r="N28" s="4"/>
      <c r="O28" s="4"/>
      <c r="P28" s="4"/>
      <c r="Q28" s="4"/>
      <c r="R28" s="2"/>
      <c r="S28" s="2"/>
      <c r="T28" s="2"/>
      <c r="U28" s="4"/>
      <c r="V28" s="4"/>
      <c r="W28" s="4"/>
      <c r="X28" s="4"/>
      <c r="Y28" s="4"/>
      <c r="Z28" s="1"/>
      <c r="AA28" s="3"/>
      <c r="AB28" s="3"/>
      <c r="AC28" s="3"/>
      <c r="AD28" s="3"/>
      <c r="AE28" s="3"/>
    </row>
    <row r="29" spans="2:54" ht="33.75" customHeight="1" thickBot="1" x14ac:dyDescent="0.35">
      <c r="B29" s="57"/>
      <c r="G29" s="116">
        <v>0</v>
      </c>
      <c r="J29"/>
      <c r="K29" s="6"/>
      <c r="L29" s="6"/>
      <c r="M29" s="6"/>
      <c r="N29" s="6"/>
      <c r="O29" s="2"/>
      <c r="P29" s="2"/>
      <c r="Q29" s="2"/>
      <c r="R29" s="2"/>
      <c r="S29" s="5"/>
      <c r="T29" s="5"/>
      <c r="U29" s="5"/>
      <c r="V29" s="5"/>
      <c r="W29" s="2"/>
      <c r="X29" s="2"/>
      <c r="Y29" s="3"/>
      <c r="Z29" s="3"/>
      <c r="AA29" s="3"/>
      <c r="AB29" s="3"/>
      <c r="AC29" s="3"/>
      <c r="AD29" s="3"/>
      <c r="AE29" s="3"/>
    </row>
    <row r="30" spans="2:54" ht="33.75" customHeight="1" thickBot="1" x14ac:dyDescent="0.35">
      <c r="B30" s="47"/>
      <c r="C30" s="58"/>
      <c r="D30" s="58"/>
      <c r="E30" s="59"/>
      <c r="F30" s="61"/>
      <c r="G30" s="105" t="s">
        <v>22</v>
      </c>
      <c r="J30"/>
      <c r="K30" s="2"/>
      <c r="L30" s="2"/>
      <c r="M30" s="4"/>
      <c r="N30" s="2"/>
      <c r="O30" s="3"/>
      <c r="P30" s="2"/>
      <c r="Q30" s="2"/>
      <c r="R30" s="2"/>
      <c r="S30" s="2"/>
      <c r="T30" s="2"/>
      <c r="U30" s="4"/>
      <c r="V30" s="2"/>
      <c r="W30"/>
      <c r="X30"/>
      <c r="Y30"/>
      <c r="Z30"/>
      <c r="AA30" s="3"/>
      <c r="AB30" s="3"/>
      <c r="AC30" s="3"/>
      <c r="AD30" s="3"/>
      <c r="AE30" s="3"/>
    </row>
    <row r="31" spans="2:54" ht="33.75" customHeight="1" thickBot="1" x14ac:dyDescent="0.35">
      <c r="B31" s="47"/>
      <c r="C31" s="70"/>
      <c r="G31" s="107">
        <v>8.1000000000000003E-2</v>
      </c>
      <c r="J31"/>
      <c r="K31" s="2"/>
      <c r="L31" s="2"/>
      <c r="M31" s="4"/>
      <c r="N31" s="2"/>
      <c r="O31" s="3"/>
      <c r="P31" s="2"/>
      <c r="Q31" s="2"/>
      <c r="R31" s="2"/>
      <c r="S31" s="2"/>
      <c r="T31" s="2"/>
      <c r="U31" s="4"/>
      <c r="V31" s="2"/>
      <c r="W31" s="2"/>
      <c r="X31" s="2"/>
      <c r="Y31" s="3"/>
      <c r="Z31" s="3"/>
      <c r="AA31" s="3"/>
      <c r="AB31" s="3"/>
      <c r="AC31" s="3"/>
      <c r="AD31" s="3"/>
      <c r="AE31" s="3"/>
    </row>
    <row r="32" spans="2:54" ht="33.75" customHeight="1" x14ac:dyDescent="0.3">
      <c r="B32" s="47"/>
      <c r="G32" s="76"/>
      <c r="J32"/>
      <c r="K32" s="2"/>
      <c r="L32" s="2"/>
      <c r="M32" s="4"/>
      <c r="N32" s="2"/>
      <c r="O32" s="3"/>
      <c r="P32" s="2"/>
      <c r="Q32" s="2"/>
      <c r="R32" s="2"/>
      <c r="S32" s="2"/>
      <c r="T32" s="2"/>
      <c r="U32" s="4"/>
      <c r="V32" s="2"/>
      <c r="W32" s="2"/>
      <c r="X32" s="2"/>
      <c r="Y32" s="3"/>
      <c r="Z32" s="3"/>
      <c r="AA32" s="3"/>
      <c r="AB32" s="3"/>
      <c r="AC32" s="3"/>
      <c r="AD32" s="3"/>
      <c r="AE32" s="3"/>
    </row>
    <row r="33" spans="2:31" ht="33.75" customHeight="1" x14ac:dyDescent="0.3"/>
    <row r="34" spans="2:31" ht="33.75" customHeight="1" x14ac:dyDescent="0.3">
      <c r="B34" s="47"/>
      <c r="C34" s="71"/>
      <c r="H34" s="134"/>
      <c r="I34" s="134"/>
    </row>
    <row r="35" spans="2:31" ht="33.75" customHeight="1" x14ac:dyDescent="0.3">
      <c r="B35" s="47"/>
      <c r="C35" s="80" t="s">
        <v>33</v>
      </c>
      <c r="D35" s="92"/>
      <c r="E35" s="93">
        <f>IF(C35="","",G48)</f>
        <v>0</v>
      </c>
      <c r="F35" s="83" t="str">
        <f>IF(COUNTIF(C35,"Acompte Reçu"),"CHF","")</f>
        <v>CHF</v>
      </c>
      <c r="H35" s="109"/>
      <c r="I35" s="109"/>
    </row>
    <row r="36" spans="2:31" ht="33.75" customHeight="1" x14ac:dyDescent="0.3">
      <c r="B36" s="47"/>
      <c r="C36" s="80" t="str">
        <f>IF(COUNTIF(C35,"Acompte Reçu"),"Solde Restant","")</f>
        <v>Solde Restant</v>
      </c>
      <c r="D36" s="92"/>
      <c r="E36" s="93">
        <f>IF(E35="","",BD12-E35)</f>
        <v>13327.9</v>
      </c>
      <c r="F36" s="83" t="str">
        <f>IF(COUNTIF(C36,"Solde Restant"),"CHF","")</f>
        <v>CHF</v>
      </c>
      <c r="G36" s="15"/>
      <c r="H36" s="110"/>
      <c r="I36" s="108"/>
    </row>
    <row r="37" spans="2:31" ht="33.75" customHeight="1" x14ac:dyDescent="0.3">
      <c r="C37" s="80" t="s">
        <v>50</v>
      </c>
      <c r="D37" s="81"/>
      <c r="E37" s="93">
        <f>IF(C37="","",IF(C37="Facture Finale",E36,IF(C37="Total Facture",BD12,(ROUND((BD12+BD12*D37-BD12)/0.05,0)*0.05))))</f>
        <v>0</v>
      </c>
      <c r="F37" s="83" t="str">
        <f>IF(C37="Acompte","CHF",IF(C37="Situation","CHF",IF(C37="Facture Finale","CHF",IF(C37="Total Facture","CHF",""))))</f>
        <v>CHF</v>
      </c>
      <c r="G37" s="15"/>
      <c r="H37" s="110"/>
      <c r="I37" s="108"/>
    </row>
    <row r="38" spans="2:31" ht="33.75" customHeight="1" x14ac:dyDescent="0.3">
      <c r="C38" s="50"/>
      <c r="D38" s="15"/>
      <c r="E38" s="51"/>
      <c r="F38" s="55"/>
      <c r="G38" s="15"/>
      <c r="H38" s="110"/>
      <c r="I38" s="108"/>
    </row>
    <row r="39" spans="2:31" ht="33" customHeight="1" x14ac:dyDescent="0.3">
      <c r="B39" s="47"/>
      <c r="C39" s="50"/>
      <c r="D39" s="15"/>
      <c r="E39" s="51"/>
      <c r="F39" s="55"/>
      <c r="G39" s="111" t="s">
        <v>48</v>
      </c>
      <c r="H39" s="120" t="s">
        <v>34</v>
      </c>
      <c r="I39" s="108"/>
    </row>
    <row r="40" spans="2:31" x14ac:dyDescent="0.3">
      <c r="G40" s="112"/>
      <c r="H40" s="117"/>
      <c r="I40" s="108"/>
    </row>
    <row r="41" spans="2:31" x14ac:dyDescent="0.3">
      <c r="G41" s="112"/>
      <c r="H41" s="117"/>
      <c r="I41" s="108"/>
    </row>
    <row r="42" spans="2:31" x14ac:dyDescent="0.3">
      <c r="G42" s="112"/>
      <c r="H42" s="117"/>
      <c r="I42" s="108"/>
    </row>
    <row r="43" spans="2:31" x14ac:dyDescent="0.3">
      <c r="G43" s="112"/>
      <c r="H43" s="117"/>
      <c r="I43" s="108"/>
      <c r="J43"/>
      <c r="K43" s="2"/>
      <c r="L43" s="2"/>
      <c r="M43" s="4"/>
      <c r="N43" s="2"/>
      <c r="O43" s="3"/>
      <c r="P43" s="2"/>
      <c r="Q43" s="8"/>
      <c r="R43" s="2"/>
      <c r="S43" s="2"/>
      <c r="T43" s="2"/>
      <c r="U43" s="4"/>
      <c r="V43" s="2"/>
      <c r="W43" s="2"/>
      <c r="X43" s="2"/>
      <c r="Y43" s="3"/>
      <c r="Z43" s="3"/>
      <c r="AA43" s="3"/>
      <c r="AB43" s="3"/>
      <c r="AC43" s="3"/>
      <c r="AD43" s="3"/>
      <c r="AE43" s="3"/>
    </row>
    <row r="44" spans="2:31" x14ac:dyDescent="0.3">
      <c r="G44" s="112"/>
      <c r="H44" s="117"/>
      <c r="I44" s="108"/>
    </row>
    <row r="45" spans="2:31" x14ac:dyDescent="0.3">
      <c r="G45" s="113"/>
      <c r="H45" s="118"/>
      <c r="I45" s="51"/>
    </row>
    <row r="46" spans="2:31" x14ac:dyDescent="0.3">
      <c r="G46" s="114"/>
      <c r="H46" s="113"/>
      <c r="I46" s="108"/>
    </row>
    <row r="47" spans="2:31" ht="21" thickBot="1" x14ac:dyDescent="0.35">
      <c r="C47" s="52"/>
      <c r="G47" s="115"/>
      <c r="H47" s="119"/>
    </row>
    <row r="48" spans="2:31" ht="21" thickBot="1" x14ac:dyDescent="0.35">
      <c r="G48" s="104">
        <f>SUM(G40:G47)</f>
        <v>0</v>
      </c>
    </row>
    <row r="49" spans="2:8" ht="23.25" x14ac:dyDescent="0.35">
      <c r="B49" s="78"/>
      <c r="C49" s="78"/>
      <c r="D49" s="121"/>
      <c r="E49" s="79"/>
      <c r="F49" s="122" t="str" cm="1">
        <f t="array" ref="F49">IF( Tableau7[[#This Row],[Colonne3]] &lt;&gt; "sous-total", IF(Tableau7[[#This Row],[Colonne2]] &gt; 0, SUM(Tableau7[[#This Row],[Colonne2]] * Tableau7[[#This Row],[Colonne4]]), ""), _xlfn.LET( _xlpm._idST, _xlfn.SCAN(1, $D$47:$D48, _xlfn.LAMBDA(_xlpm.a,_xlpm.v, _xlpm.a + 1 * (_xlpm.v = "sous-total"))), SUM(_xlfn._xlws.FILTER($C$47:$C48 * $E$47:$E48, _xlpm._idST = MAX(_xlpm._idST), 0)) ) )</f>
        <v/>
      </c>
      <c r="G49" s="123" t="b">
        <v>0</v>
      </c>
      <c r="H49" s="122" t="str" cm="1">
        <f t="array" ref="H49">IF(Tableau7[[#This Row],[Colonne6]]=FALSE,"",IF( Tableau7[[#This Row],[Colonne3]] &lt;&gt; "sous-total", IF(Tableau7[[#This Row],[Colonne2]] &gt; 0, SUM(Tableau7[[#This Row],[Colonne2]] * Tableau7[[#This Row],[Colonne4]]), ""), _xlfn.LET( _xlpm._idST, _xlfn.SCAN(1, $D$47:$D48, _xlfn.LAMBDA(_xlpm.a,_xlpm.v, _xlpm.a + 1 * (_xlpm.v = "sous-total"))), SUM(_xlfn._xlws.FILTER($C$47:$C48 * $E$47:$E48, _xlpm._idST = MAX(_xlpm._idST), 0)) ) ))</f>
        <v/>
      </c>
    </row>
    <row r="50" spans="2:8" ht="23.25" x14ac:dyDescent="0.35">
      <c r="B50" s="78"/>
      <c r="C50" s="78">
        <v>1</v>
      </c>
      <c r="D50" s="121"/>
      <c r="E50" s="79">
        <v>10000</v>
      </c>
      <c r="F50" s="122" cm="1">
        <f t="array" ref="F50">IF( Tableau7[[#This Row],[Colonne3]] &lt;&gt; "sous-total", IF(Tableau7[[#This Row],[Colonne2]] &gt; 0, SUM(Tableau7[[#This Row],[Colonne2]] * Tableau7[[#This Row],[Colonne4]]), ""), _xlfn.LET( _xlpm._idST, _xlfn.SCAN(1, $D$47:$D49, _xlfn.LAMBDA(_xlpm.a,_xlpm.v, _xlpm.a + 1 * (_xlpm.v = "sous-total"))), SUM(_xlfn._xlws.FILTER($C$47:$C49 * $E$47:$E49, _xlpm._idST = MAX(_xlpm._idST), 0)) ) )</f>
        <v>10000</v>
      </c>
      <c r="G50" s="123" t="b">
        <v>0</v>
      </c>
      <c r="H50" s="122" t="str" cm="1">
        <f t="array" ref="H50">IF(Tableau7[[#This Row],[Colonne6]]=FALSE,"",IF( Tableau7[[#This Row],[Colonne3]] &lt;&gt; "sous-total", IF(Tableau7[[#This Row],[Colonne2]] &gt; 0, SUM(Tableau7[[#This Row],[Colonne2]] * Tableau7[[#This Row],[Colonne4]]), ""), _xlfn.LET( _xlpm._idST, _xlfn.SCAN(1, $D$47:$D49, _xlfn.LAMBDA(_xlpm.a,_xlpm.v, _xlpm.a + 1 * (_xlpm.v = "sous-total"))), SUM(_xlfn._xlws.FILTER($C$47:$C49 * $E$47:$E49, _xlpm._idST = MAX(_xlpm._idST), 0)) ) ))</f>
        <v/>
      </c>
    </row>
    <row r="51" spans="2:8" ht="23.25" x14ac:dyDescent="0.35">
      <c r="B51" s="78"/>
      <c r="C51" s="78"/>
      <c r="D51" s="121" t="s">
        <v>49</v>
      </c>
      <c r="E51" s="79"/>
      <c r="F51" s="122" cm="1">
        <f t="array" ref="F51">IF( Tableau7[[#This Row],[Colonne3]] &lt;&gt; "sous-total", IF(Tableau7[[#This Row],[Colonne2]] &gt; 0, SUM(Tableau7[[#This Row],[Colonne2]] * Tableau7[[#This Row],[Colonne4]]), ""), _xlfn.LET( _xlpm._idST, _xlfn.SCAN(1, $D$47:$D50, _xlfn.LAMBDA(_xlpm.a,_xlpm.v, _xlpm.a + 1 * (_xlpm.v = "sous-total"))), SUM(_xlfn._xlws.FILTER($C$47:$C50 * $E$47:$E50, _xlpm._idST = MAX(_xlpm._idST), 0)) ) )</f>
        <v>10000</v>
      </c>
      <c r="G51" s="123" t="b">
        <v>1</v>
      </c>
      <c r="H51" s="122" cm="1">
        <f t="array" ref="H51">IF(Tableau7[[#This Row],[Colonne6]]=FALSE,"",IF( Tableau7[[#This Row],[Colonne3]] &lt;&gt; "sous-total", IF(Tableau7[[#This Row],[Colonne2]] &gt; 0, SUM(Tableau7[[#This Row],[Colonne2]] * Tableau7[[#This Row],[Colonne4]]), ""), _xlfn.LET( _xlpm._idST, _xlfn.SCAN(1, $D$47:$D50, _xlfn.LAMBDA(_xlpm.a,_xlpm.v, _xlpm.a + 1 * (_xlpm.v = "sous-total"))), SUM(_xlfn._xlws.FILTER($C$47:$C50 * $E$47:$E50, _xlpm._idST = MAX(_xlpm._idST), 0)) ) ))</f>
        <v>10000</v>
      </c>
    </row>
    <row r="52" spans="2:8" ht="23.25" x14ac:dyDescent="0.35">
      <c r="B52" s="78"/>
      <c r="C52" s="78"/>
      <c r="D52" s="121"/>
      <c r="E52" s="79"/>
      <c r="F52" s="122" t="str" cm="1">
        <f t="array" ref="F52">IF( Tableau7[[#This Row],[Colonne3]] &lt;&gt; "sous-total", IF(Tableau7[[#This Row],[Colonne2]] &gt; 0, SUM(Tableau7[[#This Row],[Colonne2]] * Tableau7[[#This Row],[Colonne4]]), ""), _xlfn.LET( _xlpm._idST, _xlfn.SCAN(1, $D$47:$D51, _xlfn.LAMBDA(_xlpm.a,_xlpm.v, _xlpm.a + 1 * (_xlpm.v = "sous-total"))), SUM(_xlfn._xlws.FILTER($C$47:$C51 * $E$47:$E51, _xlpm._idST = MAX(_xlpm._idST), 0)) ) )</f>
        <v/>
      </c>
      <c r="G52" s="123" t="b">
        <v>0</v>
      </c>
      <c r="H52" s="122" t="str" cm="1">
        <f t="array" ref="H52">IF(Tableau7[[#This Row],[Colonne6]]=FALSE,"",IF( Tableau7[[#This Row],[Colonne3]] &lt;&gt; "sous-total", IF(Tableau7[[#This Row],[Colonne2]] &gt; 0, SUM(Tableau7[[#This Row],[Colonne2]] * Tableau7[[#This Row],[Colonne4]]), ""), _xlfn.LET( _xlpm._idST, _xlfn.SCAN(1, $D$47:$D51, _xlfn.LAMBDA(_xlpm.a,_xlpm.v, _xlpm.a + 1 * (_xlpm.v = "sous-total"))), SUM(_xlfn._xlws.FILTER($C$47:$C51 * $E$47:$E51, _xlpm._idST = MAX(_xlpm._idST), 0)) ) ))</f>
        <v/>
      </c>
    </row>
    <row r="53" spans="2:8" ht="23.25" x14ac:dyDescent="0.35">
      <c r="B53" s="78"/>
      <c r="C53" s="78">
        <v>1</v>
      </c>
      <c r="D53" s="121"/>
      <c r="E53" s="79">
        <v>150</v>
      </c>
      <c r="F53" s="122" cm="1">
        <f t="array" ref="F53">IF( Tableau7[[#This Row],[Colonne3]] &lt;&gt; "sous-total", IF(Tableau7[[#This Row],[Colonne2]] &gt; 0, SUM(Tableau7[[#This Row],[Colonne2]] * Tableau7[[#This Row],[Colonne4]]), ""), _xlfn.LET( _xlpm._idST, _xlfn.SCAN(1, $D$47:$D52, _xlfn.LAMBDA(_xlpm.a,_xlpm.v, _xlpm.a + 1 * (_xlpm.v = "sous-total"))), SUM(_xlfn._xlws.FILTER($C$47:$C52 * $E$47:$E52, _xlpm._idST = MAX(_xlpm._idST), 0)) ) )</f>
        <v>150</v>
      </c>
      <c r="G53" s="123" t="b">
        <v>1</v>
      </c>
      <c r="H53" s="122" cm="1">
        <f t="array" ref="H53">IF(Tableau7[[#This Row],[Colonne6]]=FALSE,"",IF( Tableau7[[#This Row],[Colonne3]] &lt;&gt; "sous-total", IF(Tableau7[[#This Row],[Colonne2]] &gt; 0, SUM(Tableau7[[#This Row],[Colonne2]] * Tableau7[[#This Row],[Colonne4]]), ""), _xlfn.LET( _xlpm._idST, _xlfn.SCAN(1, $D$47:$D52, _xlfn.LAMBDA(_xlpm.a,_xlpm.v, _xlpm.a + 1 * (_xlpm.v = "sous-total"))), SUM(_xlfn._xlws.FILTER($C$47:$C52 * $E$47:$E52, _xlpm._idST = MAX(_xlpm._idST), 0)) ) ))</f>
        <v>150</v>
      </c>
    </row>
    <row r="54" spans="2:8" ht="23.25" x14ac:dyDescent="0.35">
      <c r="B54" s="78"/>
      <c r="C54" s="78">
        <v>1</v>
      </c>
      <c r="D54" s="121"/>
      <c r="E54" s="79">
        <v>200</v>
      </c>
      <c r="F54" s="122" cm="1">
        <f t="array" ref="F54">IF( Tableau7[[#This Row],[Colonne3]] &lt;&gt; "sous-total", IF(Tableau7[[#This Row],[Colonne2]] &gt; 0, SUM(Tableau7[[#This Row],[Colonne2]] * Tableau7[[#This Row],[Colonne4]]), ""), _xlfn.LET( _xlpm._idST, _xlfn.SCAN(1, $D$47:$D53, _xlfn.LAMBDA(_xlpm.a,_xlpm.v, _xlpm.a + 1 * (_xlpm.v = "sous-total"))), SUM(_xlfn._xlws.FILTER($C$47:$C53 * $E$47:$E53, _xlpm._idST = MAX(_xlpm._idST), 0)) ) )</f>
        <v>200</v>
      </c>
      <c r="G54" s="123" t="b">
        <v>0</v>
      </c>
      <c r="H54" s="122" t="str" cm="1">
        <f t="array" ref="H54">IF(Tableau7[[#This Row],[Colonne6]]=FALSE,"",IF( Tableau7[[#This Row],[Colonne3]] &lt;&gt; "sous-total", IF(Tableau7[[#This Row],[Colonne2]] &gt; 0, SUM(Tableau7[[#This Row],[Colonne2]] * Tableau7[[#This Row],[Colonne4]]), ""), _xlfn.LET( _xlpm._idST, _xlfn.SCAN(1, $D$47:$D53, _xlfn.LAMBDA(_xlpm.a,_xlpm.v, _xlpm.a + 1 * (_xlpm.v = "sous-total"))), SUM(_xlfn._xlws.FILTER($C$47:$C53 * $E$47:$E53, _xlpm._idST = MAX(_xlpm._idST), 0)) ) ))</f>
        <v/>
      </c>
    </row>
    <row r="55" spans="2:8" ht="23.25" x14ac:dyDescent="0.35">
      <c r="B55" s="78"/>
      <c r="C55" s="78">
        <v>1</v>
      </c>
      <c r="D55" s="121"/>
      <c r="E55" s="79">
        <v>300</v>
      </c>
      <c r="F55" s="122" cm="1">
        <f t="array" ref="F55">IF( Tableau7[[#This Row],[Colonne3]] &lt;&gt; "sous-total", IF(Tableau7[[#This Row],[Colonne2]] &gt; 0, SUM(Tableau7[[#This Row],[Colonne2]] * Tableau7[[#This Row],[Colonne4]]), ""), _xlfn.LET( _xlpm._idST, _xlfn.SCAN(1, $D$47:$D54, _xlfn.LAMBDA(_xlpm.a,_xlpm.v, _xlpm.a + 1 * (_xlpm.v = "sous-total"))), SUM(_xlfn._xlws.FILTER($C$47:$C54 * $E$47:$E54, _xlpm._idST = MAX(_xlpm._idST), 0)) ) )</f>
        <v>300</v>
      </c>
      <c r="G55" s="123" t="b">
        <v>0</v>
      </c>
      <c r="H55" s="122" t="str" cm="1">
        <f t="array" ref="H55">IF(Tableau7[[#This Row],[Colonne6]]=FALSE,"",IF( Tableau7[[#This Row],[Colonne3]] &lt;&gt; "sous-total", IF(Tableau7[[#This Row],[Colonne2]] &gt; 0, SUM(Tableau7[[#This Row],[Colonne2]] * Tableau7[[#This Row],[Colonne4]]), ""), _xlfn.LET( _xlpm._idST, _xlfn.SCAN(1, $D$47:$D54, _xlfn.LAMBDA(_xlpm.a,_xlpm.v, _xlpm.a + 1 * (_xlpm.v = "sous-total"))), SUM(_xlfn._xlws.FILTER($C$47:$C54 * $E$47:$E54, _xlpm._idST = MAX(_xlpm._idST), 0)) ) ))</f>
        <v/>
      </c>
    </row>
    <row r="56" spans="2:8" ht="23.25" x14ac:dyDescent="0.35">
      <c r="B56" s="78"/>
      <c r="C56" s="78">
        <v>1</v>
      </c>
      <c r="D56" s="121"/>
      <c r="E56" s="79">
        <v>500</v>
      </c>
      <c r="F56" s="122" cm="1">
        <f t="array" ref="F56">IF( Tableau7[[#This Row],[Colonne3]] &lt;&gt; "sous-total", IF(Tableau7[[#This Row],[Colonne2]] &gt; 0, SUM(Tableau7[[#This Row],[Colonne2]] * Tableau7[[#This Row],[Colonne4]]), ""), _xlfn.LET( _xlpm._idST, _xlfn.SCAN(1, $D$47:$D55, _xlfn.LAMBDA(_xlpm.a,_xlpm.v, _xlpm.a + 1 * (_xlpm.v = "sous-total"))), SUM(_xlfn._xlws.FILTER($C$47:$C55 * $E$47:$E55, _xlpm._idST = MAX(_xlpm._idST), 0)) ) )</f>
        <v>500</v>
      </c>
      <c r="G56" s="123" t="b">
        <v>0</v>
      </c>
      <c r="H56" s="122" t="str" cm="1">
        <f t="array" ref="H56">IF(Tableau7[[#This Row],[Colonne6]]=FALSE,"",IF( Tableau7[[#This Row],[Colonne3]] &lt;&gt; "sous-total", IF(Tableau7[[#This Row],[Colonne2]] &gt; 0, SUM(Tableau7[[#This Row],[Colonne2]] * Tableau7[[#This Row],[Colonne4]]), ""), _xlfn.LET( _xlpm._idST, _xlfn.SCAN(1, $D$47:$D55, _xlfn.LAMBDA(_xlpm.a,_xlpm.v, _xlpm.a + 1 * (_xlpm.v = "sous-total"))), SUM(_xlfn._xlws.FILTER($C$47:$C55 * $E$47:$E55, _xlpm._idST = MAX(_xlpm._idST), 0)) ) ))</f>
        <v/>
      </c>
    </row>
    <row r="57" spans="2:8" ht="23.25" x14ac:dyDescent="0.35">
      <c r="B57" s="78"/>
      <c r="C57" s="78"/>
      <c r="D57" s="121"/>
      <c r="E57" s="79"/>
      <c r="F57" s="122" t="str" cm="1">
        <f t="array" ref="F57">IF( Tableau7[[#This Row],[Colonne3]] &lt;&gt; "sous-total", IF(Tableau7[[#This Row],[Colonne2]] &gt; 0, SUM(Tableau7[[#This Row],[Colonne2]] * Tableau7[[#This Row],[Colonne4]]), ""), _xlfn.LET( _xlpm._idST, _xlfn.SCAN(1, $D$47:$D56, _xlfn.LAMBDA(_xlpm.a,_xlpm.v, _xlpm.a + 1 * (_xlpm.v = "sous-total"))), SUM(_xlfn._xlws.FILTER($C$47:$C56 * $E$47:$E56, _xlpm._idST = MAX(_xlpm._idST), 0)) ) )</f>
        <v/>
      </c>
      <c r="G57" s="123" t="b">
        <v>0</v>
      </c>
      <c r="H57" s="122" t="str" cm="1">
        <f t="array" ref="H57">IF(Tableau7[[#This Row],[Colonne6]]=FALSE,"",IF( Tableau7[[#This Row],[Colonne3]] &lt;&gt; "sous-total", IF(Tableau7[[#This Row],[Colonne2]] &gt; 0, SUM(Tableau7[[#This Row],[Colonne2]] * Tableau7[[#This Row],[Colonne4]]), ""), _xlfn.LET( _xlpm._idST, _xlfn.SCAN(1, $D$47:$D56, _xlfn.LAMBDA(_xlpm.a,_xlpm.v, _xlpm.a + 1 * (_xlpm.v = "sous-total"))), SUM(_xlfn._xlws.FILTER($C$47:$C56 * $E$47:$E56, _xlpm._idST = MAX(_xlpm._idST), 0)) ) ))</f>
        <v/>
      </c>
    </row>
    <row r="58" spans="2:8" ht="23.25" x14ac:dyDescent="0.35">
      <c r="B58" s="78"/>
      <c r="C58" s="78"/>
      <c r="D58" s="121"/>
      <c r="E58" s="79"/>
      <c r="F58" s="122" t="str" cm="1">
        <f t="array" ref="F58">IF( Tableau7[[#This Row],[Colonne3]] &lt;&gt; "sous-total", IF(Tableau7[[#This Row],[Colonne2]] &gt; 0, SUM(Tableau7[[#This Row],[Colonne2]] * Tableau7[[#This Row],[Colonne4]]), ""), _xlfn.LET( _xlpm._idST, _xlfn.SCAN(1, $D$47:$D57, _xlfn.LAMBDA(_xlpm.a,_xlpm.v, _xlpm.a + 1 * (_xlpm.v = "sous-total"))), SUM(_xlfn._xlws.FILTER($C$47:$C57 * $E$47:$E57, _xlpm._idST = MAX(_xlpm._idST), 0)) ) )</f>
        <v/>
      </c>
      <c r="G58" s="123" t="b">
        <v>0</v>
      </c>
      <c r="H58" s="122" t="str" cm="1">
        <f t="array" ref="H58">IF(Tableau7[[#This Row],[Colonne6]]=FALSE,"",IF( Tableau7[[#This Row],[Colonne3]] &lt;&gt; "sous-total", IF(Tableau7[[#This Row],[Colonne2]] &gt; 0, SUM(Tableau7[[#This Row],[Colonne2]] * Tableau7[[#This Row],[Colonne4]]), ""), _xlfn.LET( _xlpm._idST, _xlfn.SCAN(1, $D$47:$D57, _xlfn.LAMBDA(_xlpm.a,_xlpm.v, _xlpm.a + 1 * (_xlpm.v = "sous-total"))), SUM(_xlfn._xlws.FILTER($C$47:$C57 * $E$47:$E57, _xlpm._idST = MAX(_xlpm._idST), 0)) ) ))</f>
        <v/>
      </c>
    </row>
    <row r="59" spans="2:8" ht="23.25" x14ac:dyDescent="0.35">
      <c r="B59" s="78"/>
      <c r="C59" s="78"/>
      <c r="D59" s="121"/>
      <c r="E59" s="79"/>
      <c r="F59" s="122" t="str" cm="1">
        <f t="array" ref="F59">IF( Tableau7[[#This Row],[Colonne3]] &lt;&gt; "sous-total", IF(Tableau7[[#This Row],[Colonne2]] &gt; 0, SUM(Tableau7[[#This Row],[Colonne2]] * Tableau7[[#This Row],[Colonne4]]), ""), _xlfn.LET( _xlpm._idST, _xlfn.SCAN(1, $D$47:$D58, _xlfn.LAMBDA(_xlpm.a,_xlpm.v, _xlpm.a + 1 * (_xlpm.v = "sous-total"))), SUM(_xlfn._xlws.FILTER($C$47:$C58 * $E$47:$E58, _xlpm._idST = MAX(_xlpm._idST), 0)) ) )</f>
        <v/>
      </c>
      <c r="G59" s="123" t="b">
        <v>0</v>
      </c>
      <c r="H59" s="122" t="str" cm="1">
        <f t="array" ref="H59">IF(Tableau7[[#This Row],[Colonne6]]=FALSE,"",IF( Tableau7[[#This Row],[Colonne3]] &lt;&gt; "sous-total", IF(Tableau7[[#This Row],[Colonne2]] &gt; 0, SUM(Tableau7[[#This Row],[Colonne2]] * Tableau7[[#This Row],[Colonne4]]), ""), _xlfn.LET( _xlpm._idST, _xlfn.SCAN(1, $D$47:$D58, _xlfn.LAMBDA(_xlpm.a,_xlpm.v, _xlpm.a + 1 * (_xlpm.v = "sous-total"))), SUM(_xlfn._xlws.FILTER($C$47:$C58 * $E$47:$E58, _xlpm._idST = MAX(_xlpm._idST), 0)) ) ))</f>
        <v/>
      </c>
    </row>
    <row r="60" spans="2:8" ht="23.25" x14ac:dyDescent="0.35">
      <c r="B60" s="78"/>
      <c r="C60" s="78">
        <v>1</v>
      </c>
      <c r="D60" s="121"/>
      <c r="E60" s="79">
        <v>200</v>
      </c>
      <c r="F60" s="122" cm="1">
        <f t="array" ref="F60">IF( Tableau7[[#This Row],[Colonne3]] &lt;&gt; "sous-total", IF(Tableau7[[#This Row],[Colonne2]] &gt; 0, SUM(Tableau7[[#This Row],[Colonne2]] * Tableau7[[#This Row],[Colonne4]]), ""), _xlfn.LET( _xlpm._idST, _xlfn.SCAN(1, $D$47:$D59, _xlfn.LAMBDA(_xlpm.a,_xlpm.v, _xlpm.a + 1 * (_xlpm.v = "sous-total"))), SUM(_xlfn._xlws.FILTER($C$47:$C59 * $E$47:$E59, _xlpm._idST = MAX(_xlpm._idST), 0)) ) )</f>
        <v>200</v>
      </c>
      <c r="G60" s="123" t="b">
        <v>0</v>
      </c>
      <c r="H60" s="122" t="str" cm="1">
        <f t="array" ref="H60">IF(Tableau7[[#This Row],[Colonne6]]=FALSE,"",IF( Tableau7[[#This Row],[Colonne3]] &lt;&gt; "sous-total", IF(Tableau7[[#This Row],[Colonne2]] &gt; 0, SUM(Tableau7[[#This Row],[Colonne2]] * Tableau7[[#This Row],[Colonne4]]), ""), _xlfn.LET( _xlpm._idST, _xlfn.SCAN(1, $D$47:$D59, _xlfn.LAMBDA(_xlpm.a,_xlpm.v, _xlpm.a + 1 * (_xlpm.v = "sous-total"))), SUM(_xlfn._xlws.FILTER($C$47:$C59 * $E$47:$E59, _xlpm._idST = MAX(_xlpm._idST), 0)) ) ))</f>
        <v/>
      </c>
    </row>
    <row r="61" spans="2:8" ht="23.25" x14ac:dyDescent="0.35">
      <c r="B61" s="78"/>
      <c r="C61" s="78">
        <v>1</v>
      </c>
      <c r="D61" s="121"/>
      <c r="E61" s="79">
        <v>25</v>
      </c>
      <c r="F61" s="122" cm="1">
        <f t="array" ref="F61">IF( Tableau7[[#This Row],[Colonne3]] &lt;&gt; "sous-total", IF(Tableau7[[#This Row],[Colonne2]] &gt; 0, SUM(Tableau7[[#This Row],[Colonne2]] * Tableau7[[#This Row],[Colonne4]]), ""), _xlfn.LET( _xlpm._idST, _xlfn.SCAN(1, $D$47:$D60, _xlfn.LAMBDA(_xlpm.a,_xlpm.v, _xlpm.a + 1 * (_xlpm.v = "sous-total"))), SUM(_xlfn._xlws.FILTER($C$47:$C60 * $E$47:$E60, _xlpm._idST = MAX(_xlpm._idST), 0)) ) )</f>
        <v>25</v>
      </c>
      <c r="G61" s="123" t="b">
        <v>0</v>
      </c>
      <c r="H61" s="122" t="str" cm="1">
        <f t="array" ref="H61">IF(Tableau7[[#This Row],[Colonne6]]=FALSE,"",IF( Tableau7[[#This Row],[Colonne3]] &lt;&gt; "sous-total", IF(Tableau7[[#This Row],[Colonne2]] &gt; 0, SUM(Tableau7[[#This Row],[Colonne2]] * Tableau7[[#This Row],[Colonne4]]), ""), _xlfn.LET( _xlpm._idST, _xlfn.SCAN(1, $D$47:$D60, _xlfn.LAMBDA(_xlpm.a,_xlpm.v, _xlpm.a + 1 * (_xlpm.v = "sous-total"))), SUM(_xlfn._xlws.FILTER($C$47:$C60 * $E$47:$E60, _xlpm._idST = MAX(_xlpm._idST), 0)) ) ))</f>
        <v/>
      </c>
    </row>
    <row r="62" spans="2:8" ht="23.25" x14ac:dyDescent="0.35">
      <c r="B62" s="78"/>
      <c r="C62" s="78">
        <v>1</v>
      </c>
      <c r="D62" s="121"/>
      <c r="E62" s="79">
        <v>566</v>
      </c>
      <c r="F62" s="122" cm="1">
        <f t="array" ref="F62">IF( Tableau7[[#This Row],[Colonne3]] &lt;&gt; "sous-total", IF(Tableau7[[#This Row],[Colonne2]] &gt; 0, SUM(Tableau7[[#This Row],[Colonne2]] * Tableau7[[#This Row],[Colonne4]]), ""), _xlfn.LET( _xlpm._idST, _xlfn.SCAN(1, $D$47:$D61, _xlfn.LAMBDA(_xlpm.a,_xlpm.v, _xlpm.a + 1 * (_xlpm.v = "sous-total"))), SUM(_xlfn._xlws.FILTER($C$47:$C61 * $E$47:$E61, _xlpm._idST = MAX(_xlpm._idST), 0)) ) )</f>
        <v>566</v>
      </c>
      <c r="G62" s="123" t="b">
        <v>0</v>
      </c>
      <c r="H62" s="122" t="str" cm="1">
        <f t="array" ref="H62">IF(Tableau7[[#This Row],[Colonne6]]=FALSE,"",IF( Tableau7[[#This Row],[Colonne3]] &lt;&gt; "sous-total", IF(Tableau7[[#This Row],[Colonne2]] &gt; 0, SUM(Tableau7[[#This Row],[Colonne2]] * Tableau7[[#This Row],[Colonne4]]), ""), _xlfn.LET( _xlpm._idST, _xlfn.SCAN(1, $D$47:$D61, _xlfn.LAMBDA(_xlpm.a,_xlpm.v, _xlpm.a + 1 * (_xlpm.v = "sous-total"))), SUM(_xlfn._xlws.FILTER($C$47:$C61 * $E$47:$E61, _xlpm._idST = MAX(_xlpm._idST), 0)) ) ))</f>
        <v/>
      </c>
    </row>
    <row r="63" spans="2:8" ht="23.25" x14ac:dyDescent="0.35">
      <c r="B63" s="78"/>
      <c r="C63" s="78"/>
      <c r="D63" s="121"/>
      <c r="E63" s="79"/>
      <c r="F63" s="122" t="str" cm="1">
        <f t="array" ref="F63">IF( Tableau7[[#This Row],[Colonne3]] &lt;&gt; "sous-total", IF(Tableau7[[#This Row],[Colonne2]] &gt; 0, SUM(Tableau7[[#This Row],[Colonne2]] * Tableau7[[#This Row],[Colonne4]]), ""), _xlfn.LET( _xlpm._idST, _xlfn.SCAN(1, $D$47:$D62, _xlfn.LAMBDA(_xlpm.a,_xlpm.v, _xlpm.a + 1 * (_xlpm.v = "sous-total"))), SUM(_xlfn._xlws.FILTER($C$47:$C62 * $E$47:$E62, _xlpm._idST = MAX(_xlpm._idST), 0)) ) )</f>
        <v/>
      </c>
      <c r="G63" s="123" t="b">
        <v>0</v>
      </c>
      <c r="H63" s="122" t="str" cm="1">
        <f t="array" ref="H63">IF(Tableau7[[#This Row],[Colonne6]]=FALSE,"",IF( Tableau7[[#This Row],[Colonne3]] &lt;&gt; "sous-total", IF(Tableau7[[#This Row],[Colonne2]] &gt; 0, SUM(Tableau7[[#This Row],[Colonne2]] * Tableau7[[#This Row],[Colonne4]]), ""), _xlfn.LET( _xlpm._idST, _xlfn.SCAN(1, $D$47:$D62, _xlfn.LAMBDA(_xlpm.a,_xlpm.v, _xlpm.a + 1 * (_xlpm.v = "sous-total"))), SUM(_xlfn._xlws.FILTER($C$47:$C62 * $E$47:$E62, _xlpm._idST = MAX(_xlpm._idST), 0)) ) ))</f>
        <v/>
      </c>
    </row>
    <row r="64" spans="2:8" ht="23.25" x14ac:dyDescent="0.35">
      <c r="B64" s="78"/>
      <c r="C64" s="78"/>
      <c r="D64" s="121"/>
      <c r="E64" s="79"/>
      <c r="F64" s="122" t="str" cm="1">
        <f t="array" ref="F64">IF( Tableau7[[#This Row],[Colonne3]] &lt;&gt; "sous-total", IF(Tableau7[[#This Row],[Colonne2]] &gt; 0, SUM(Tableau7[[#This Row],[Colonne2]] * Tableau7[[#This Row],[Colonne4]]), ""), _xlfn.LET( _xlpm._idST, _xlfn.SCAN(1, $D$47:$D63, _xlfn.LAMBDA(_xlpm.a,_xlpm.v, _xlpm.a + 1 * (_xlpm.v = "sous-total"))), SUM(_xlfn._xlws.FILTER($C$47:$C63 * $E$47:$E63, _xlpm._idST = MAX(_xlpm._idST), 0)) ) )</f>
        <v/>
      </c>
      <c r="G64" s="123" t="b">
        <v>0</v>
      </c>
      <c r="H64" s="122" t="str" cm="1">
        <f t="array" ref="H64">IF(Tableau7[[#This Row],[Colonne6]]=FALSE,"",IF( Tableau7[[#This Row],[Colonne3]] &lt;&gt; "sous-total", IF(Tableau7[[#This Row],[Colonne2]] &gt; 0, SUM(Tableau7[[#This Row],[Colonne2]] * Tableau7[[#This Row],[Colonne4]]), ""), _xlfn.LET( _xlpm._idST, _xlfn.SCAN(1, $D$47:$D63, _xlfn.LAMBDA(_xlpm.a,_xlpm.v, _xlpm.a + 1 * (_xlpm.v = "sous-total"))), SUM(_xlfn._xlws.FILTER($C$47:$C63 * $E$47:$E63, _xlpm._idST = MAX(_xlpm._idST), 0)) ) ))</f>
        <v/>
      </c>
    </row>
    <row r="65" spans="2:8" ht="23.25" x14ac:dyDescent="0.35">
      <c r="B65" s="78"/>
      <c r="C65" s="78"/>
      <c r="D65" s="121"/>
      <c r="E65" s="79"/>
      <c r="F65" s="122" t="str" cm="1">
        <f t="array" ref="F65">IF( Tableau7[[#This Row],[Colonne3]] &lt;&gt; "sous-total", IF(Tableau7[[#This Row],[Colonne2]] &gt; 0, SUM(Tableau7[[#This Row],[Colonne2]] * Tableau7[[#This Row],[Colonne4]]), ""), _xlfn.LET( _xlpm._idST, _xlfn.SCAN(1, $D$47:$D64, _xlfn.LAMBDA(_xlpm.a,_xlpm.v, _xlpm.a + 1 * (_xlpm.v = "sous-total"))), SUM(_xlfn._xlws.FILTER($C$47:$C64 * $E$47:$E64, _xlpm._idST = MAX(_xlpm._idST), 0)) ) )</f>
        <v/>
      </c>
      <c r="G65" s="123" t="b">
        <v>0</v>
      </c>
      <c r="H65" s="122" t="str" cm="1">
        <f t="array" ref="H65">IF(Tableau7[[#This Row],[Colonne6]]=FALSE,"",IF( Tableau7[[#This Row],[Colonne3]] &lt;&gt; "sous-total", IF(Tableau7[[#This Row],[Colonne2]] &gt; 0, SUM(Tableau7[[#This Row],[Colonne2]] * Tableau7[[#This Row],[Colonne4]]), ""), _xlfn.LET( _xlpm._idST, _xlfn.SCAN(1, $D$47:$D64, _xlfn.LAMBDA(_xlpm.a,_xlpm.v, _xlpm.a + 1 * (_xlpm.v = "sous-total"))), SUM(_xlfn._xlws.FILTER($C$47:$C64 * $E$47:$E64, _xlpm._idST = MAX(_xlpm._idST), 0)) ) ))</f>
        <v/>
      </c>
    </row>
    <row r="66" spans="2:8" ht="23.25" x14ac:dyDescent="0.35">
      <c r="B66" s="78"/>
      <c r="C66" s="78">
        <v>1</v>
      </c>
      <c r="D66" s="121"/>
      <c r="E66" s="79">
        <v>641</v>
      </c>
      <c r="F66" s="122" cm="1">
        <f t="array" ref="F66">IF( Tableau7[[#This Row],[Colonne3]] &lt;&gt; "sous-total", IF(Tableau7[[#This Row],[Colonne2]] &gt; 0, SUM(Tableau7[[#This Row],[Colonne2]] * Tableau7[[#This Row],[Colonne4]]), ""), _xlfn.LET( _xlpm._idST, _xlfn.SCAN(1, $D$47:$D65, _xlfn.LAMBDA(_xlpm.a,_xlpm.v, _xlpm.a + 1 * (_xlpm.v = "sous-total"))), SUM(_xlfn._xlws.FILTER($C$47:$C65 * $E$47:$E65, _xlpm._idST = MAX(_xlpm._idST), 0)) ) )</f>
        <v>641</v>
      </c>
      <c r="G66" s="123" t="b">
        <v>0</v>
      </c>
      <c r="H66" s="122" t="str" cm="1">
        <f t="array" ref="H66">IF(Tableau7[[#This Row],[Colonne6]]=FALSE,"",IF( Tableau7[[#This Row],[Colonne3]] &lt;&gt; "sous-total", IF(Tableau7[[#This Row],[Colonne2]] &gt; 0, SUM(Tableau7[[#This Row],[Colonne2]] * Tableau7[[#This Row],[Colonne4]]), ""), _xlfn.LET( _xlpm._idST, _xlfn.SCAN(1, $D$47:$D65, _xlfn.LAMBDA(_xlpm.a,_xlpm.v, _xlpm.a + 1 * (_xlpm.v = "sous-total"))), SUM(_xlfn._xlws.FILTER($C$47:$C65 * $E$47:$E65, _xlpm._idST = MAX(_xlpm._idST), 0)) ) ))</f>
        <v/>
      </c>
    </row>
    <row r="67" spans="2:8" ht="23.25" x14ac:dyDescent="0.35">
      <c r="B67" s="78"/>
      <c r="C67" s="78">
        <v>1</v>
      </c>
      <c r="D67" s="121"/>
      <c r="E67" s="79">
        <v>68</v>
      </c>
      <c r="F67" s="122" cm="1">
        <f t="array" ref="F67">IF( Tableau7[[#This Row],[Colonne3]] &lt;&gt; "sous-total", IF(Tableau7[[#This Row],[Colonne2]] &gt; 0, SUM(Tableau7[[#This Row],[Colonne2]] * Tableau7[[#This Row],[Colonne4]]), ""), _xlfn.LET( _xlpm._idST, _xlfn.SCAN(1, $D$47:$D66, _xlfn.LAMBDA(_xlpm.a,_xlpm.v, _xlpm.a + 1 * (_xlpm.v = "sous-total"))), SUM(_xlfn._xlws.FILTER($C$47:$C66 * $E$47:$E66, _xlpm._idST = MAX(_xlpm._idST), 0)) ) )</f>
        <v>68</v>
      </c>
      <c r="G67" s="123" t="b">
        <v>0</v>
      </c>
      <c r="H67" s="122" t="str" cm="1">
        <f t="array" ref="H67">IF(Tableau7[[#This Row],[Colonne6]]=FALSE,"",IF( Tableau7[[#This Row],[Colonne3]] &lt;&gt; "sous-total", IF(Tableau7[[#This Row],[Colonne2]] &gt; 0, SUM(Tableau7[[#This Row],[Colonne2]] * Tableau7[[#This Row],[Colonne4]]), ""), _xlfn.LET( _xlpm._idST, _xlfn.SCAN(1, $D$47:$D66, _xlfn.LAMBDA(_xlpm.a,_xlpm.v, _xlpm.a + 1 * (_xlpm.v = "sous-total"))), SUM(_xlfn._xlws.FILTER($C$47:$C66 * $E$47:$E66, _xlpm._idST = MAX(_xlpm._idST), 0)) ) ))</f>
        <v/>
      </c>
    </row>
    <row r="68" spans="2:8" ht="23.25" x14ac:dyDescent="0.35">
      <c r="B68" s="78"/>
      <c r="C68" s="78">
        <v>1</v>
      </c>
      <c r="D68" s="121"/>
      <c r="E68" s="79">
        <v>845</v>
      </c>
      <c r="F68" s="122" cm="1">
        <f t="array" ref="F68">IF( Tableau7[[#This Row],[Colonne3]] &lt;&gt; "sous-total", IF(Tableau7[[#This Row],[Colonne2]] &gt; 0, SUM(Tableau7[[#This Row],[Colonne2]] * Tableau7[[#This Row],[Colonne4]]), ""), _xlfn.LET( _xlpm._idST, _xlfn.SCAN(1, $D$47:$D67, _xlfn.LAMBDA(_xlpm.a,_xlpm.v, _xlpm.a + 1 * (_xlpm.v = "sous-total"))), SUM(_xlfn._xlws.FILTER($C$47:$C67 * $E$47:$E67, _xlpm._idST = MAX(_xlpm._idST), 0)) ) )</f>
        <v>845</v>
      </c>
      <c r="G68" s="123" t="b">
        <v>0</v>
      </c>
      <c r="H68" s="122" t="str" cm="1">
        <f t="array" ref="H68">IF(Tableau7[[#This Row],[Colonne6]]=FALSE,"",IF( Tableau7[[#This Row],[Colonne3]] &lt;&gt; "sous-total", IF(Tableau7[[#This Row],[Colonne2]] &gt; 0, SUM(Tableau7[[#This Row],[Colonne2]] * Tableau7[[#This Row],[Colonne4]]), ""), _xlfn.LET( _xlpm._idST, _xlfn.SCAN(1, $D$47:$D67, _xlfn.LAMBDA(_xlpm.a,_xlpm.v, _xlpm.a + 1 * (_xlpm.v = "sous-total"))), SUM(_xlfn._xlws.FILTER($C$47:$C67 * $E$47:$E67, _xlpm._idST = MAX(_xlpm._idST), 0)) ) ))</f>
        <v/>
      </c>
    </row>
    <row r="69" spans="2:8" ht="23.25" x14ac:dyDescent="0.35">
      <c r="B69" s="78"/>
      <c r="C69" s="78"/>
      <c r="D69" s="121"/>
      <c r="E69" s="79"/>
      <c r="F69" s="122" t="str" cm="1">
        <f t="array" ref="F69">IF( Tableau7[[#This Row],[Colonne3]] &lt;&gt; "sous-total", IF(Tableau7[[#This Row],[Colonne2]] &gt; 0, SUM(Tableau7[[#This Row],[Colonne2]] * Tableau7[[#This Row],[Colonne4]]), ""), _xlfn.LET( _xlpm._idST, _xlfn.SCAN(1, $D$47:$D68, _xlfn.LAMBDA(_xlpm.a,_xlpm.v, _xlpm.a + 1 * (_xlpm.v = "sous-total"))), SUM(_xlfn._xlws.FILTER($C$47:$C68 * $E$47:$E68, _xlpm._idST = MAX(_xlpm._idST), 0)) ) )</f>
        <v/>
      </c>
      <c r="G69" s="123" t="b">
        <v>0</v>
      </c>
      <c r="H69" s="122" t="str" cm="1">
        <f t="array" ref="H69">IF(Tableau7[[#This Row],[Colonne6]]=FALSE,"",IF( Tableau7[[#This Row],[Colonne3]] &lt;&gt; "sous-total", IF(Tableau7[[#This Row],[Colonne2]] &gt; 0, SUM(Tableau7[[#This Row],[Colonne2]] * Tableau7[[#This Row],[Colonne4]]), ""), _xlfn.LET( _xlpm._idST, _xlfn.SCAN(1, $D$47:$D68, _xlfn.LAMBDA(_xlpm.a,_xlpm.v, _xlpm.a + 1 * (_xlpm.v = "sous-total"))), SUM(_xlfn._xlws.FILTER($C$47:$C68 * $E$47:$E68, _xlpm._idST = MAX(_xlpm._idST), 0)) ) ))</f>
        <v/>
      </c>
    </row>
    <row r="70" spans="2:8" ht="23.25" x14ac:dyDescent="0.35">
      <c r="B70" s="78"/>
      <c r="C70" s="78"/>
      <c r="D70" s="121"/>
      <c r="E70" s="79"/>
      <c r="F70" s="122" t="str" cm="1">
        <f t="array" ref="F70">IF( Tableau7[[#This Row],[Colonne3]] &lt;&gt; "sous-total", IF(Tableau7[[#This Row],[Colonne2]] &gt; 0, SUM(Tableau7[[#This Row],[Colonne2]] * Tableau7[[#This Row],[Colonne4]]), ""), _xlfn.LET( _xlpm._idST, _xlfn.SCAN(1, $D$47:$D69, _xlfn.LAMBDA(_xlpm.a,_xlpm.v, _xlpm.a + 1 * (_xlpm.v = "sous-total"))), SUM(_xlfn._xlws.FILTER($C$47:$C69 * $E$47:$E69, _xlpm._idST = MAX(_xlpm._idST), 0)) ) )</f>
        <v/>
      </c>
      <c r="G70" s="123" t="b">
        <v>0</v>
      </c>
      <c r="H70" s="122" t="str" cm="1">
        <f t="array" ref="H70">IF(Tableau7[[#This Row],[Colonne6]]=FALSE,"",IF( Tableau7[[#This Row],[Colonne3]] &lt;&gt; "sous-total", IF(Tableau7[[#This Row],[Colonne2]] &gt; 0, SUM(Tableau7[[#This Row],[Colonne2]] * Tableau7[[#This Row],[Colonne4]]), ""), _xlfn.LET( _xlpm._idST, _xlfn.SCAN(1, $D$47:$D69, _xlfn.LAMBDA(_xlpm.a,_xlpm.v, _xlpm.a + 1 * (_xlpm.v = "sous-total"))), SUM(_xlfn._xlws.FILTER($C$47:$C69 * $E$47:$E69, _xlpm._idST = MAX(_xlpm._idST), 0)) ) ))</f>
        <v/>
      </c>
    </row>
    <row r="71" spans="2:8" ht="23.25" x14ac:dyDescent="0.35">
      <c r="B71" s="78"/>
      <c r="C71" s="78"/>
      <c r="D71" s="121"/>
      <c r="E71" s="79"/>
      <c r="F71" s="122" t="str" cm="1">
        <f t="array" ref="F71">IF( Tableau7[[#This Row],[Colonne3]] &lt;&gt; "sous-total", IF(Tableau7[[#This Row],[Colonne2]] &gt; 0, SUM(Tableau7[[#This Row],[Colonne2]] * Tableau7[[#This Row],[Colonne4]]), ""), _xlfn.LET( _xlpm._idST, _xlfn.SCAN(1, $D$47:$D70, _xlfn.LAMBDA(_xlpm.a,_xlpm.v, _xlpm.a + 1 * (_xlpm.v = "sous-total"))), SUM(_xlfn._xlws.FILTER($C$47:$C70 * $E$47:$E70, _xlpm._idST = MAX(_xlpm._idST), 0)) ) )</f>
        <v/>
      </c>
      <c r="G71" s="123" t="b">
        <v>0</v>
      </c>
      <c r="H71" s="122" t="str" cm="1">
        <f t="array" ref="H71">IF(Tableau7[[#This Row],[Colonne6]]=FALSE,"",IF( Tableau7[[#This Row],[Colonne3]] &lt;&gt; "sous-total", IF(Tableau7[[#This Row],[Colonne2]] &gt; 0, SUM(Tableau7[[#This Row],[Colonne2]] * Tableau7[[#This Row],[Colonne4]]), ""), _xlfn.LET( _xlpm._idST, _xlfn.SCAN(1, $D$47:$D70, _xlfn.LAMBDA(_xlpm.a,_xlpm.v, _xlpm.a + 1 * (_xlpm.v = "sous-total"))), SUM(_xlfn._xlws.FILTER($C$47:$C70 * $E$47:$E70, _xlpm._idST = MAX(_xlpm._idST), 0)) ) ))</f>
        <v/>
      </c>
    </row>
    <row r="72" spans="2:8" ht="23.25" x14ac:dyDescent="0.35">
      <c r="B72" s="78"/>
      <c r="C72" s="78"/>
      <c r="D72" s="121"/>
      <c r="E72" s="79"/>
      <c r="F72" s="122" t="str" cm="1">
        <f t="array" ref="F72">IF( Tableau7[[#This Row],[Colonne3]] &lt;&gt; "sous-total", IF(Tableau7[[#This Row],[Colonne2]] &gt; 0, SUM(Tableau7[[#This Row],[Colonne2]] * Tableau7[[#This Row],[Colonne4]]), ""), _xlfn.LET( _xlpm._idST, _xlfn.SCAN(1, $D$47:$D71, _xlfn.LAMBDA(_xlpm.a,_xlpm.v, _xlpm.a + 1 * (_xlpm.v = "sous-total"))), SUM(_xlfn._xlws.FILTER($C$47:$C71 * $E$47:$E71, _xlpm._idST = MAX(_xlpm._idST), 0)) ) )</f>
        <v/>
      </c>
      <c r="G72" s="123" t="b">
        <v>0</v>
      </c>
      <c r="H72" s="122" t="str" cm="1">
        <f t="array" ref="H72">IF(Tableau7[[#This Row],[Colonne6]]=FALSE,"",IF( Tableau7[[#This Row],[Colonne3]] &lt;&gt; "sous-total", IF(Tableau7[[#This Row],[Colonne2]] &gt; 0, SUM(Tableau7[[#This Row],[Colonne2]] * Tableau7[[#This Row],[Colonne4]]), ""), _xlfn.LET( _xlpm._idST, _xlfn.SCAN(1, $D$47:$D71, _xlfn.LAMBDA(_xlpm.a,_xlpm.v, _xlpm.a + 1 * (_xlpm.v = "sous-total"))), SUM(_xlfn._xlws.FILTER($C$47:$C71 * $E$47:$E71, _xlpm._idST = MAX(_xlpm._idST), 0)) ) ))</f>
        <v/>
      </c>
    </row>
    <row r="73" spans="2:8" ht="23.25" x14ac:dyDescent="0.35">
      <c r="B73" s="78"/>
      <c r="C73" s="78"/>
      <c r="D73" s="121"/>
      <c r="E73" s="79"/>
      <c r="F73" s="122" t="str" cm="1">
        <f t="array" ref="F73">IF( Tableau7[[#This Row],[Colonne3]] &lt;&gt; "sous-total", IF(Tableau7[[#This Row],[Colonne2]] &gt; 0, SUM(Tableau7[[#This Row],[Colonne2]] * Tableau7[[#This Row],[Colonne4]]), ""), _xlfn.LET( _xlpm._idST, _xlfn.SCAN(1, $D$47:$D72, _xlfn.LAMBDA(_xlpm.a,_xlpm.v, _xlpm.a + 1 * (_xlpm.v = "sous-total"))), SUM(_xlfn._xlws.FILTER($C$47:$C72 * $E$47:$E72, _xlpm._idST = MAX(_xlpm._idST), 0)) ) )</f>
        <v/>
      </c>
      <c r="G73" s="123" t="b">
        <v>0</v>
      </c>
      <c r="H73" s="122" t="str" cm="1">
        <f t="array" ref="H73">IF(Tableau7[[#This Row],[Colonne6]]=FALSE,"",IF( Tableau7[[#This Row],[Colonne3]] &lt;&gt; "sous-total", IF(Tableau7[[#This Row],[Colonne2]] &gt; 0, SUM(Tableau7[[#This Row],[Colonne2]] * Tableau7[[#This Row],[Colonne4]]), ""), _xlfn.LET( _xlpm._idST, _xlfn.SCAN(1, $D$47:$D72, _xlfn.LAMBDA(_xlpm.a,_xlpm.v, _xlpm.a + 1 * (_xlpm.v = "sous-total"))), SUM(_xlfn._xlws.FILTER($C$47:$C72 * $E$47:$E72, _xlpm._idST = MAX(_xlpm._idST), 0)) ) ))</f>
        <v/>
      </c>
    </row>
    <row r="74" spans="2:8" ht="23.25" x14ac:dyDescent="0.35">
      <c r="B74" s="78"/>
      <c r="C74" s="78"/>
      <c r="D74" s="121"/>
      <c r="E74" s="79"/>
      <c r="F74" s="122" t="str" cm="1">
        <f t="array" ref="F74">IF( Tableau7[[#This Row],[Colonne3]] &lt;&gt; "sous-total", IF(Tableau7[[#This Row],[Colonne2]] &gt; 0, SUM(Tableau7[[#This Row],[Colonne2]] * Tableau7[[#This Row],[Colonne4]]), ""), _xlfn.LET( _xlpm._idST, _xlfn.SCAN(1, $D$47:$D73, _xlfn.LAMBDA(_xlpm.a,_xlpm.v, _xlpm.a + 1 * (_xlpm.v = "sous-total"))), SUM(_xlfn._xlws.FILTER($C$47:$C73 * $E$47:$E73, _xlpm._idST = MAX(_xlpm._idST), 0)) ) )</f>
        <v/>
      </c>
      <c r="G74" s="123" t="b">
        <v>0</v>
      </c>
      <c r="H74" s="122" t="str" cm="1">
        <f t="array" ref="H74">IF(Tableau7[[#This Row],[Colonne6]]=FALSE,"",IF( Tableau7[[#This Row],[Colonne3]] &lt;&gt; "sous-total", IF(Tableau7[[#This Row],[Colonne2]] &gt; 0, SUM(Tableau7[[#This Row],[Colonne2]] * Tableau7[[#This Row],[Colonne4]]), ""), _xlfn.LET( _xlpm._idST, _xlfn.SCAN(1, $D$47:$D73, _xlfn.LAMBDA(_xlpm.a,_xlpm.v, _xlpm.a + 1 * (_xlpm.v = "sous-total"))), SUM(_xlfn._xlws.FILTER($C$47:$C73 * $E$47:$E73, _xlpm._idST = MAX(_xlpm._idST), 0)) ) ))</f>
        <v/>
      </c>
    </row>
    <row r="75" spans="2:8" ht="23.25" x14ac:dyDescent="0.35">
      <c r="B75" s="78"/>
      <c r="C75" s="78"/>
      <c r="D75" s="121"/>
      <c r="E75" s="79"/>
      <c r="F75" s="122" t="str" cm="1">
        <f t="array" ref="F75">IF( Tableau7[[#This Row],[Colonne3]] &lt;&gt; "sous-total", IF(Tableau7[[#This Row],[Colonne2]] &gt; 0, SUM(Tableau7[[#This Row],[Colonne2]] * Tableau7[[#This Row],[Colonne4]]), ""), _xlfn.LET( _xlpm._idST, _xlfn.SCAN(1, $D$47:$D74, _xlfn.LAMBDA(_xlpm.a,_xlpm.v, _xlpm.a + 1 * (_xlpm.v = "sous-total"))), SUM(_xlfn._xlws.FILTER($C$47:$C74 * $E$47:$E74, _xlpm._idST = MAX(_xlpm._idST), 0)) ) )</f>
        <v/>
      </c>
      <c r="G75" s="123" t="b">
        <v>0</v>
      </c>
      <c r="H75" s="122" t="str" cm="1">
        <f t="array" ref="H75">IF(Tableau7[[#This Row],[Colonne6]]=FALSE,"",IF( Tableau7[[#This Row],[Colonne3]] &lt;&gt; "sous-total", IF(Tableau7[[#This Row],[Colonne2]] &gt; 0, SUM(Tableau7[[#This Row],[Colonne2]] * Tableau7[[#This Row],[Colonne4]]), ""), _xlfn.LET( _xlpm._idST, _xlfn.SCAN(1, $D$47:$D74, _xlfn.LAMBDA(_xlpm.a,_xlpm.v, _xlpm.a + 1 * (_xlpm.v = "sous-total"))), SUM(_xlfn._xlws.FILTER($C$47:$C74 * $E$47:$E74, _xlpm._idST = MAX(_xlpm._idST), 0)) ) ))</f>
        <v/>
      </c>
    </row>
    <row r="76" spans="2:8" ht="23.25" x14ac:dyDescent="0.35">
      <c r="B76" s="78"/>
      <c r="C76" s="78"/>
      <c r="D76" s="121"/>
      <c r="E76" s="79"/>
      <c r="F76" s="122" t="str" cm="1">
        <f t="array" ref="F76">IF( Tableau7[[#This Row],[Colonne3]] &lt;&gt; "sous-total", IF(Tableau7[[#This Row],[Colonne2]] &gt; 0, SUM(Tableau7[[#This Row],[Colonne2]] * Tableau7[[#This Row],[Colonne4]]), ""), _xlfn.LET( _xlpm._idST, _xlfn.SCAN(1, $D$47:$D75, _xlfn.LAMBDA(_xlpm.a,_xlpm.v, _xlpm.a + 1 * (_xlpm.v = "sous-total"))), SUM(_xlfn._xlws.FILTER($C$47:$C75 * $E$47:$E75, _xlpm._idST = MAX(_xlpm._idST), 0)) ) )</f>
        <v/>
      </c>
      <c r="G76" s="123" t="b">
        <v>0</v>
      </c>
      <c r="H76" s="122" t="str" cm="1">
        <f t="array" ref="H76">IF(Tableau7[[#This Row],[Colonne6]]=FALSE,"",IF( Tableau7[[#This Row],[Colonne3]] &lt;&gt; "sous-total", IF(Tableau7[[#This Row],[Colonne2]] &gt; 0, SUM(Tableau7[[#This Row],[Colonne2]] * Tableau7[[#This Row],[Colonne4]]), ""), _xlfn.LET( _xlpm._idST, _xlfn.SCAN(1, $D$47:$D75, _xlfn.LAMBDA(_xlpm.a,_xlpm.v, _xlpm.a + 1 * (_xlpm.v = "sous-total"))), SUM(_xlfn._xlws.FILTER($C$47:$C75 * $E$47:$E75, _xlpm._idST = MAX(_xlpm._idST), 0)) ) ))</f>
        <v/>
      </c>
    </row>
    <row r="77" spans="2:8" ht="23.25" x14ac:dyDescent="0.35">
      <c r="B77" s="78"/>
      <c r="C77" s="78"/>
      <c r="D77" s="121"/>
      <c r="E77" s="79"/>
      <c r="F77" s="122" t="str" cm="1">
        <f t="array" ref="F77">IF( Tableau7[[#This Row],[Colonne3]] &lt;&gt; "sous-total", IF(Tableau7[[#This Row],[Colonne2]] &gt; 0, SUM(Tableau7[[#This Row],[Colonne2]] * Tableau7[[#This Row],[Colonne4]]), ""), _xlfn.LET( _xlpm._idST, _xlfn.SCAN(1, $D$47:$D76, _xlfn.LAMBDA(_xlpm.a,_xlpm.v, _xlpm.a + 1 * (_xlpm.v = "sous-total"))), SUM(_xlfn._xlws.FILTER($C$47:$C76 * $E$47:$E76, _xlpm._idST = MAX(_xlpm._idST), 0)) ) )</f>
        <v/>
      </c>
      <c r="G77" s="123" t="b">
        <v>0</v>
      </c>
      <c r="H77" s="122" t="str" cm="1">
        <f t="array" ref="H77">IF(Tableau7[[#This Row],[Colonne6]]=FALSE,"",IF( Tableau7[[#This Row],[Colonne3]] &lt;&gt; "sous-total", IF(Tableau7[[#This Row],[Colonne2]] &gt; 0, SUM(Tableau7[[#This Row],[Colonne2]] * Tableau7[[#This Row],[Colonne4]]), ""), _xlfn.LET( _xlpm._idST, _xlfn.SCAN(1, $D$47:$D76, _xlfn.LAMBDA(_xlpm.a,_xlpm.v, _xlpm.a + 1 * (_xlpm.v = "sous-total"))), SUM(_xlfn._xlws.FILTER($C$47:$C76 * $E$47:$E76, _xlpm._idST = MAX(_xlpm._idST), 0)) ) ))</f>
        <v/>
      </c>
    </row>
    <row r="78" spans="2:8" ht="23.25" x14ac:dyDescent="0.35">
      <c r="B78" s="78"/>
      <c r="C78" s="78"/>
      <c r="D78" s="78"/>
      <c r="E78" s="79"/>
      <c r="F78" s="79"/>
    </row>
    <row r="79" spans="2:8" ht="23.25" x14ac:dyDescent="0.35">
      <c r="B79" s="78"/>
      <c r="C79" s="78"/>
      <c r="D79" s="78"/>
      <c r="E79" s="79"/>
      <c r="F79" s="79"/>
    </row>
    <row r="80" spans="2:8" ht="23.25" x14ac:dyDescent="0.35">
      <c r="B80" s="78"/>
      <c r="C80" s="78"/>
      <c r="D80" s="78"/>
      <c r="E80" s="79"/>
      <c r="F80" s="79"/>
    </row>
    <row r="81" spans="2:6" ht="23.25" x14ac:dyDescent="0.35">
      <c r="B81" s="78"/>
      <c r="C81" s="78"/>
      <c r="D81" s="78"/>
      <c r="E81" s="79"/>
      <c r="F81" s="79"/>
    </row>
    <row r="82" spans="2:6" ht="23.25" x14ac:dyDescent="0.35">
      <c r="B82" s="78"/>
      <c r="C82" s="78"/>
      <c r="D82" s="78"/>
      <c r="E82" s="79"/>
      <c r="F82" s="79"/>
    </row>
    <row r="83" spans="2:6" ht="23.25" x14ac:dyDescent="0.35">
      <c r="B83" s="78"/>
      <c r="C83" s="78"/>
      <c r="D83" s="78"/>
      <c r="E83" s="79"/>
      <c r="F83" s="79"/>
    </row>
    <row r="84" spans="2:6" ht="23.25" x14ac:dyDescent="0.35">
      <c r="B84" s="78"/>
      <c r="C84" s="78"/>
      <c r="D84" s="78"/>
      <c r="E84" s="79"/>
      <c r="F84" s="79"/>
    </row>
    <row r="85" spans="2:6" ht="23.25" x14ac:dyDescent="0.35">
      <c r="B85" s="78"/>
      <c r="C85" s="78"/>
      <c r="D85" s="78"/>
      <c r="E85" s="79"/>
      <c r="F85" s="79"/>
    </row>
    <row r="86" spans="2:6" ht="23.25" x14ac:dyDescent="0.35">
      <c r="B86" s="78"/>
      <c r="C86" s="78"/>
      <c r="D86" s="78"/>
      <c r="E86" s="79"/>
      <c r="F86" s="79"/>
    </row>
    <row r="87" spans="2:6" ht="23.25" x14ac:dyDescent="0.35">
      <c r="B87" s="78"/>
      <c r="C87" s="78"/>
      <c r="D87" s="78"/>
      <c r="E87" s="79"/>
      <c r="F87" s="79"/>
    </row>
    <row r="88" spans="2:6" ht="23.25" x14ac:dyDescent="0.35">
      <c r="B88" s="78"/>
      <c r="C88" s="78"/>
      <c r="D88" s="78"/>
      <c r="E88" s="79"/>
      <c r="F88" s="79"/>
    </row>
    <row r="89" spans="2:6" ht="23.25" x14ac:dyDescent="0.35">
      <c r="B89" s="78"/>
      <c r="C89" s="78"/>
      <c r="D89" s="78"/>
      <c r="E89" s="79"/>
      <c r="F89" s="79"/>
    </row>
    <row r="90" spans="2:6" ht="23.25" x14ac:dyDescent="0.35">
      <c r="B90" s="78"/>
      <c r="C90" s="78"/>
      <c r="D90" s="78"/>
      <c r="E90" s="79"/>
      <c r="F90" s="79"/>
    </row>
    <row r="91" spans="2:6" ht="23.25" x14ac:dyDescent="0.35">
      <c r="B91" s="78"/>
      <c r="C91" s="78"/>
      <c r="D91" s="78"/>
      <c r="E91" s="79"/>
      <c r="F91" s="79"/>
    </row>
    <row r="92" spans="2:6" ht="23.25" x14ac:dyDescent="0.35">
      <c r="B92" s="78"/>
      <c r="C92" s="78"/>
      <c r="D92" s="78"/>
      <c r="E92" s="79"/>
      <c r="F92" s="79"/>
    </row>
    <row r="93" spans="2:6" ht="23.25" x14ac:dyDescent="0.35">
      <c r="B93" s="78"/>
      <c r="C93" s="78"/>
      <c r="D93" s="78"/>
      <c r="E93" s="79"/>
      <c r="F93" s="79"/>
    </row>
    <row r="94" spans="2:6" ht="23.25" x14ac:dyDescent="0.35">
      <c r="B94" s="78"/>
      <c r="C94" s="78"/>
      <c r="D94" s="78"/>
      <c r="E94" s="79"/>
      <c r="F94" s="79"/>
    </row>
    <row r="95" spans="2:6" ht="23.25" x14ac:dyDescent="0.35">
      <c r="B95" s="78"/>
      <c r="C95" s="78"/>
      <c r="D95" s="78"/>
      <c r="E95" s="79"/>
      <c r="F95" s="79"/>
    </row>
    <row r="96" spans="2:6" ht="23.25" x14ac:dyDescent="0.35">
      <c r="B96" s="78"/>
      <c r="C96" s="78"/>
      <c r="D96" s="78"/>
      <c r="E96" s="79"/>
      <c r="F96" s="79"/>
    </row>
    <row r="97" spans="2:6" ht="23.25" x14ac:dyDescent="0.35">
      <c r="B97" s="78"/>
      <c r="C97" s="78"/>
      <c r="D97" s="78"/>
      <c r="E97" s="79"/>
      <c r="F97" s="79"/>
    </row>
    <row r="98" spans="2:6" ht="23.25" x14ac:dyDescent="0.35">
      <c r="B98" s="78"/>
      <c r="C98" s="78"/>
      <c r="D98" s="78"/>
      <c r="E98" s="79"/>
      <c r="F98" s="79"/>
    </row>
    <row r="99" spans="2:6" ht="23.25" x14ac:dyDescent="0.35">
      <c r="B99" s="78"/>
      <c r="C99" s="78"/>
      <c r="D99" s="78"/>
      <c r="E99" s="79"/>
      <c r="F99" s="79"/>
    </row>
    <row r="100" spans="2:6" ht="23.25" x14ac:dyDescent="0.35">
      <c r="B100" s="78"/>
      <c r="C100" s="78"/>
      <c r="D100" s="78"/>
      <c r="E100" s="79"/>
      <c r="F100" s="79"/>
    </row>
    <row r="101" spans="2:6" ht="23.25" x14ac:dyDescent="0.35">
      <c r="B101" s="78"/>
      <c r="C101" s="78"/>
      <c r="D101" s="78"/>
      <c r="E101" s="79"/>
      <c r="F101" s="79"/>
    </row>
    <row r="102" spans="2:6" ht="23.25" x14ac:dyDescent="0.35">
      <c r="B102" s="78"/>
      <c r="C102" s="78"/>
      <c r="D102" s="78"/>
      <c r="E102" s="79"/>
      <c r="F102" s="79"/>
    </row>
    <row r="103" spans="2:6" ht="23.25" x14ac:dyDescent="0.35">
      <c r="B103" s="78"/>
      <c r="C103" s="78"/>
      <c r="D103" s="78"/>
      <c r="E103" s="79"/>
      <c r="F103" s="79"/>
    </row>
    <row r="104" spans="2:6" ht="23.25" x14ac:dyDescent="0.35">
      <c r="B104" s="78"/>
      <c r="C104" s="78"/>
      <c r="D104" s="78"/>
      <c r="E104" s="79"/>
      <c r="F104" s="79"/>
    </row>
    <row r="105" spans="2:6" ht="23.25" x14ac:dyDescent="0.35">
      <c r="B105" s="78"/>
      <c r="C105" s="78"/>
      <c r="D105" s="78"/>
      <c r="E105" s="79"/>
      <c r="F105" s="79"/>
    </row>
    <row r="106" spans="2:6" ht="23.25" x14ac:dyDescent="0.35">
      <c r="B106" s="78"/>
      <c r="C106" s="78"/>
      <c r="D106" s="78"/>
      <c r="E106" s="79"/>
      <c r="F106" s="79"/>
    </row>
    <row r="107" spans="2:6" ht="23.25" x14ac:dyDescent="0.35">
      <c r="B107" s="78"/>
      <c r="C107" s="78"/>
      <c r="D107" s="78"/>
      <c r="E107" s="79"/>
      <c r="F107" s="79"/>
    </row>
    <row r="108" spans="2:6" ht="23.25" x14ac:dyDescent="0.35">
      <c r="B108" s="78"/>
      <c r="C108" s="78"/>
      <c r="D108" s="78"/>
      <c r="E108" s="79"/>
      <c r="F108" s="79"/>
    </row>
    <row r="109" spans="2:6" ht="23.25" x14ac:dyDescent="0.35">
      <c r="B109" s="78"/>
      <c r="C109" s="78"/>
      <c r="D109" s="78"/>
      <c r="E109" s="79"/>
      <c r="F109" s="79"/>
    </row>
    <row r="110" spans="2:6" ht="23.25" x14ac:dyDescent="0.35">
      <c r="B110" s="78"/>
      <c r="C110" s="78"/>
      <c r="D110" s="78"/>
      <c r="E110" s="79"/>
      <c r="F110" s="79"/>
    </row>
    <row r="111" spans="2:6" ht="23.25" x14ac:dyDescent="0.35">
      <c r="B111" s="78"/>
      <c r="C111" s="78"/>
      <c r="D111" s="78"/>
      <c r="E111" s="79"/>
      <c r="F111" s="79"/>
    </row>
    <row r="112" spans="2:6" ht="23.25" x14ac:dyDescent="0.35">
      <c r="B112" s="78"/>
      <c r="C112" s="78"/>
      <c r="D112" s="78"/>
      <c r="E112" s="79"/>
      <c r="F112" s="79"/>
    </row>
    <row r="113" spans="2:6" ht="23.25" x14ac:dyDescent="0.35">
      <c r="B113" s="78"/>
      <c r="C113" s="78"/>
      <c r="D113" s="78"/>
      <c r="E113" s="79"/>
      <c r="F113" s="79"/>
    </row>
    <row r="114" spans="2:6" ht="23.25" x14ac:dyDescent="0.35">
      <c r="B114" s="78"/>
      <c r="C114" s="78"/>
      <c r="D114" s="78"/>
      <c r="E114" s="79"/>
      <c r="F114" s="79"/>
    </row>
  </sheetData>
  <mergeCells count="36">
    <mergeCell ref="BN9:BS9"/>
    <mergeCell ref="BN10:BS10"/>
    <mergeCell ref="BN11:BS11"/>
    <mergeCell ref="BN12:BS12"/>
    <mergeCell ref="BN13:BS13"/>
    <mergeCell ref="BN4:BS4"/>
    <mergeCell ref="BN5:BS5"/>
    <mergeCell ref="BN6:BS6"/>
    <mergeCell ref="BN7:BS7"/>
    <mergeCell ref="BN8:BS8"/>
    <mergeCell ref="J3:U3"/>
    <mergeCell ref="C4:D4"/>
    <mergeCell ref="Q4:R4"/>
    <mergeCell ref="S4:T4"/>
    <mergeCell ref="I4:O4"/>
    <mergeCell ref="C5:D5"/>
    <mergeCell ref="L5:O5"/>
    <mergeCell ref="Q5:R5"/>
    <mergeCell ref="S5:T5"/>
    <mergeCell ref="C6:D6"/>
    <mergeCell ref="J6:Q6"/>
    <mergeCell ref="L11:U11"/>
    <mergeCell ref="H34:I34"/>
    <mergeCell ref="L15:U15"/>
    <mergeCell ref="J16:U16"/>
    <mergeCell ref="C7:D7"/>
    <mergeCell ref="C8:D8"/>
    <mergeCell ref="L8:O8"/>
    <mergeCell ref="Q8:R8"/>
    <mergeCell ref="S8:U8"/>
    <mergeCell ref="J7:Q7"/>
    <mergeCell ref="L12:U12"/>
    <mergeCell ref="L13:U13"/>
    <mergeCell ref="L14:U14"/>
    <mergeCell ref="J9:U9"/>
    <mergeCell ref="J10:U10"/>
  </mergeCells>
  <phoneticPr fontId="31" type="noConversion"/>
  <conditionalFormatting sqref="B17 K17:K19 Z17">
    <cfRule type="expression" dxfId="50" priority="39">
      <formula>"ET((MOD(LIGNE();2));$S$24=VRAI)"</formula>
    </cfRule>
  </conditionalFormatting>
  <conditionalFormatting sqref="B2:B3">
    <cfRule type="expression" dxfId="49" priority="33">
      <formula>"ET((MOD(LIGNE();2));$S$24=VRAI)"</formula>
    </cfRule>
  </conditionalFormatting>
  <conditionalFormatting sqref="J11:J16">
    <cfRule type="expression" dxfId="48" priority="32">
      <formula>"ET((MOD(LIGNE();2));$S$24=VRAI)"</formula>
    </cfRule>
  </conditionalFormatting>
  <conditionalFormatting sqref="L11:L14">
    <cfRule type="expression" dxfId="47" priority="31">
      <formula>"ET((MOD(LIGNE();2));$S$24=VRAI)"</formula>
    </cfRule>
  </conditionalFormatting>
  <conditionalFormatting sqref="J3">
    <cfRule type="expression" dxfId="46" priority="30">
      <formula>"ET((MOD(LIGNE();2));$S$24=VRAI)"</formula>
    </cfRule>
  </conditionalFormatting>
  <conditionalFormatting sqref="B11:B15">
    <cfRule type="expression" dxfId="45" priority="20">
      <formula>"ET((MOD(LIGNE();2));$S$24=VRAI)"</formula>
    </cfRule>
  </conditionalFormatting>
  <conditionalFormatting sqref="J6:J7">
    <cfRule type="expression" dxfId="44" priority="19">
      <formula>"ET((MOD(LIGNE();2));$S$24=VRAI)"</formula>
    </cfRule>
  </conditionalFormatting>
  <conditionalFormatting sqref="R6:R7">
    <cfRule type="cellIs" dxfId="43" priority="18" operator="equal">
      <formula>"remise 5%"</formula>
    </cfRule>
  </conditionalFormatting>
  <conditionalFormatting sqref="S6:S7">
    <cfRule type="expression" dxfId="42" priority="17">
      <formula>R6="remise 5%"</formula>
    </cfRule>
  </conditionalFormatting>
  <conditionalFormatting sqref="T6:T7">
    <cfRule type="expression" dxfId="41" priority="16">
      <formula>P6="remise 5%"</formula>
    </cfRule>
  </conditionalFormatting>
  <conditionalFormatting sqref="T6:T7">
    <cfRule type="expression" dxfId="40" priority="15">
      <formula>R6="remise 5%"</formula>
    </cfRule>
  </conditionalFormatting>
  <conditionalFormatting sqref="U6:U7">
    <cfRule type="expression" dxfId="39" priority="14">
      <formula>R6="remise 5%"</formula>
    </cfRule>
  </conditionalFormatting>
  <conditionalFormatting sqref="D49:F77 H49:H77">
    <cfRule type="expression" dxfId="38" priority="1">
      <formula>$D49="Sous-Total"</formula>
    </cfRule>
  </conditionalFormatting>
  <dataValidations count="22">
    <dataValidation type="custom" showInputMessage="1" showErrorMessage="1" errorTitle="Meuh !!!" error="Tu peux changer le nom que sur la première page, elle la copie automatiquement sur les autres._x000a__x000a_Signé La Vache." sqref="Z23:AE23" xr:uid="{CC68B211-1E64-492A-98A7-6D68A410ADCE}">
      <formula1>#REF!&lt;&gt;""</formula1>
    </dataValidation>
    <dataValidation type="custom" showInputMessage="1" showErrorMessage="1" sqref="M28:Q28 U28:Y28 Z17:AE17 K17:P19" xr:uid="{9C3E8CDF-E76A-48AF-A91F-A061EBD9E57A}">
      <formula1>#REF!&lt;&gt;""</formula1>
    </dataValidation>
    <dataValidation type="custom" showInputMessage="1" showErrorMessage="1" errorTitle="Meuh !!!" error="Tu dois faire erreur tu ne peux pas modifier le prix sur cette colonne mais sur celle de gauche plutôt non ?_x000a__x000a_Digné La Vache._x000a__x000a_" sqref="U6:U7" xr:uid="{C3829227-CF38-4ECF-BA66-F9955681EF64}">
      <formula1>#REF!&lt;&gt;""</formula1>
    </dataValidation>
    <dataValidation type="list" allowBlank="1" showInputMessage="1" showErrorMessage="1" sqref="R6:R7" xr:uid="{D8D338CA-047A-485C-B6B5-435D8756D4FB}">
      <formula1>"M2,ML,Bloc,Heure,Fourniture"</formula1>
    </dataValidation>
    <dataValidation showInputMessage="1" showErrorMessage="1" errorTitle="Meuh !!!" error="Tu peux changer le nom que sur la première page, elle la copie automatiquement sur les autres._x000a__x000a_Signé La Vache." sqref="S4:T4 E4:F4" xr:uid="{54F3F422-02EA-4DF2-B6E8-3D044EF3FB55}"/>
    <dataValidation type="custom" showInputMessage="1" showErrorMessage="1" errorTitle="Meuh !!!" error="Merci de cliquer sur le bouton Commencer Devis ou Commencer Facture._x000a__x000a_Signé la Vache" sqref="P4" xr:uid="{831D3558-6DCE-46B9-BE81-6A044D96E826}">
      <formula1>V1&lt;&gt;""</formula1>
    </dataValidation>
    <dataValidation type="custom" showInputMessage="1" showErrorMessage="1" errorTitle="Meuh !!!" error="Merci de cliquer sur le bouton Commencer Devis ou Commencer Facture._x000a__x000a_Signé la Vache" sqref="P13:U13" xr:uid="{8CA01589-86ED-4F43-9FEA-471CDE7CFF95}">
      <formula1>V1&lt;&gt;""</formula1>
    </dataValidation>
    <dataValidation type="custom" showInputMessage="1" showErrorMessage="1" errorTitle="Meuh !!!" error="Merci de cliquer sur le bouton Commencer Devis ou Commencer Facture._x000a__x000a_Signé la Vache" sqref="P12:U12" xr:uid="{87A451E1-48D3-416F-87E6-1421627E189C}">
      <formula1>V1&lt;&gt;""</formula1>
    </dataValidation>
    <dataValidation type="custom" showInputMessage="1" showErrorMessage="1" errorTitle="Meuh !!!" error="Merci de cliquer sur le bouton Commencer Devis ou Commencer Facture._x000a__x000a_Signé la Vache" sqref="P11:U11" xr:uid="{97202335-BF61-496C-8AFE-3BE7C318C296}">
      <formula1>V1&lt;&gt;""</formula1>
    </dataValidation>
    <dataValidation showInputMessage="1" showErrorMessage="1" sqref="U5 B15 J15:U15 E5:E7 S5" xr:uid="{F0A9EA79-055E-4C69-974D-D606803AC207}"/>
    <dataValidation type="custom" showInputMessage="1" showErrorMessage="1" errorTitle="Meuh !!!" error="Pas besoin de changer les numéros de pages, elle se fond automatiquement._x000a__x000a_Signé La Vache." sqref="S8:U8" xr:uid="{CDEF2968-204D-453C-90EC-E91ED51E2AB4}">
      <formula1>#REF!&lt;&gt;""</formula1>
    </dataValidation>
    <dataValidation type="custom" showInputMessage="1" showErrorMessage="1" errorTitle="Meuh !!!" error="Merci de cliquer sur le bouton Commencer Devis ou Commencer Facture._x000a__x000a_Signé la Vache" sqref="L5:O5" xr:uid="{9A1EE5D9-1070-46A9-AFDA-B67AC6DBF338}">
      <formula1>Q4&lt;&gt;""</formula1>
    </dataValidation>
    <dataValidation type="custom" showInputMessage="1" showErrorMessage="1" errorTitle="Meuh !!!" error="Merci de cliquer sur le bouton Commencer Devis ou Commencer Facture._x000a__x000a_Signé la Vache" sqref="L13:O13" xr:uid="{96BF7230-8D05-4E64-B4F5-78C541A32120}">
      <formula1>Q4&lt;&gt;""</formula1>
    </dataValidation>
    <dataValidation type="custom" showInputMessage="1" showErrorMessage="1" errorTitle="Meuh !!!" error="Merci de cliquer sur le bouton Commencer Devis ou Commencer Facture._x000a__x000a_Signé la Vache" sqref="L12:O12" xr:uid="{33BF7F97-AE4B-4CFA-9D44-BFBF8FCEF32D}">
      <formula1>Q4&lt;&gt;""</formula1>
    </dataValidation>
    <dataValidation type="custom" showInputMessage="1" showErrorMessage="1" errorTitle="Meuh !!!" error="Merci de cliquer sur le bouton Commencer Devis ou Commencer Facture._x000a__x000a_Signé la Vache" sqref="L11:O11" xr:uid="{6E53E07E-E510-4DD9-9269-AB00C3874B2F}">
      <formula1>Q4&lt;&gt;""</formula1>
    </dataValidation>
    <dataValidation type="list" allowBlank="1" showInputMessage="1" showErrorMessage="1" sqref="C21" xr:uid="{70BE349A-1031-45BA-B71D-878DEE7F7257}">
      <formula1>"Remise"</formula1>
    </dataValidation>
    <dataValidation type="list" allowBlank="1" showInputMessage="1" showErrorMessage="1" sqref="C23" xr:uid="{07552D31-BFB7-4A36-83D3-E8824FE7EED1}">
      <formula1>"Prorata"</formula1>
    </dataValidation>
    <dataValidation type="list" allowBlank="1" showInputMessage="1" showErrorMessage="1" sqref="C25" xr:uid="{638F0360-DB14-4690-8999-0A2BD572373A}">
      <formula1>"Arrêté HT"</formula1>
    </dataValidation>
    <dataValidation type="list" allowBlank="1" showInputMessage="1" showErrorMessage="1" sqref="C35" xr:uid="{F3414561-30DC-4C01-BBD3-9A083D219098}">
      <formula1>"Acompte Reçu"</formula1>
    </dataValidation>
    <dataValidation type="list" allowBlank="1" showInputMessage="1" showErrorMessage="1" sqref="C37" xr:uid="{55359A90-DF99-4424-8896-4C6665A2FCC8}">
      <formula1>"Acompte,Situation,Total Facture,Facture Finale"</formula1>
    </dataValidation>
    <dataValidation type="list" allowBlank="1" showInputMessage="1" showErrorMessage="1" sqref="C27" xr:uid="{8AEEF427-C378-4421-8FAA-0D9EF4AC5602}">
      <formula1>"Plus-Value HT"</formula1>
    </dataValidation>
    <dataValidation type="list" allowBlank="1" showInputMessage="1" showErrorMessage="1" sqref="D49:D77" xr:uid="{6133B97B-929D-44A6-9297-2E0A8D986AEC}">
      <formula1>"Bloc,Forfait,m²,m³,ml,Heure,Sous-Total"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6" fitToHeight="0" orientation="portrait" r:id="rId1"/>
  <headerFooter differentFirst="1">
    <oddFooter>&amp;R&amp;"Times New Roman,Normal"&amp;14Page &amp;P / &amp;N</oddFooter>
    <firstHeader>&amp;L
&amp;G</firstHeader>
    <firstFooter>&amp;R&amp;"Times New Roman,Normal"&amp;14Page &amp;P / &amp;N</firstFooter>
  </headerFooter>
  <rowBreaks count="1" manualBreakCount="1">
    <brk id="46" min="1" max="5" man="1"/>
  </rowBreaks>
  <ignoredErrors>
    <ignoredError sqref="E8" numberStoredAsText="1"/>
  </ignoredErrors>
  <drawing r:id="rId2"/>
  <legacyDrawing r:id="rId3"/>
  <legacyDrawingHF r:id="rId4"/>
  <controls>
    <mc:AlternateContent xmlns:mc="http://schemas.openxmlformats.org/markup-compatibility/2006">
      <mc:Choice Requires="x14">
        <control shapeId="7173" r:id="rId5" name="ToggleButton5">
          <controlPr defaultSize="0" print="0" autoFill="0" autoLine="0" r:id="rId6">
            <anchor moveWithCells="1">
              <from>
                <xdr:col>1</xdr:col>
                <xdr:colOff>5010150</xdr:colOff>
                <xdr:row>8</xdr:row>
                <xdr:rowOff>209550</xdr:rowOff>
              </from>
              <to>
                <xdr:col>2</xdr:col>
                <xdr:colOff>0</xdr:colOff>
                <xdr:row>9</xdr:row>
                <xdr:rowOff>85725</xdr:rowOff>
              </to>
            </anchor>
          </controlPr>
        </control>
      </mc:Choice>
      <mc:Fallback>
        <control shapeId="7173" r:id="rId5" name="ToggleButton5"/>
      </mc:Fallback>
    </mc:AlternateContent>
    <mc:AlternateContent xmlns:mc="http://schemas.openxmlformats.org/markup-compatibility/2006">
      <mc:Choice Requires="x14">
        <control shapeId="7169" r:id="rId7" name="ToggleButton1">
          <controlPr defaultSize="0" print="0" autoFill="0" autoLine="0" r:id="rId8">
            <anchor moveWithCells="1">
              <from>
                <xdr:col>1</xdr:col>
                <xdr:colOff>1352550</xdr:colOff>
                <xdr:row>1</xdr:row>
                <xdr:rowOff>438150</xdr:rowOff>
              </from>
              <to>
                <xdr:col>1</xdr:col>
                <xdr:colOff>2476500</xdr:colOff>
                <xdr:row>2</xdr:row>
                <xdr:rowOff>85725</xdr:rowOff>
              </to>
            </anchor>
          </controlPr>
        </control>
      </mc:Choice>
      <mc:Fallback>
        <control shapeId="7169" r:id="rId7" name="ToggleButton1"/>
      </mc:Fallback>
    </mc:AlternateContent>
    <mc:AlternateContent xmlns:mc="http://schemas.openxmlformats.org/markup-compatibility/2006">
      <mc:Choice Requires="x14">
        <control shapeId="7170" r:id="rId9" name="ToggleButton2">
          <controlPr defaultSize="0" print="0" autoFill="0" autoLine="0" r:id="rId10">
            <anchor moveWithCells="1">
              <from>
                <xdr:col>1</xdr:col>
                <xdr:colOff>1333500</xdr:colOff>
                <xdr:row>8</xdr:row>
                <xdr:rowOff>219075</xdr:rowOff>
              </from>
              <to>
                <xdr:col>1</xdr:col>
                <xdr:colOff>2486025</xdr:colOff>
                <xdr:row>9</xdr:row>
                <xdr:rowOff>95250</xdr:rowOff>
              </to>
            </anchor>
          </controlPr>
        </control>
      </mc:Choice>
      <mc:Fallback>
        <control shapeId="7170" r:id="rId9" name="ToggleButton2"/>
      </mc:Fallback>
    </mc:AlternateContent>
    <mc:AlternateContent xmlns:mc="http://schemas.openxmlformats.org/markup-compatibility/2006">
      <mc:Choice Requires="x14">
        <control shapeId="7171" r:id="rId11" name="ToggleButton3">
          <controlPr defaultSize="0" print="0" autoFill="0" autoLine="0" r:id="rId12">
            <anchor moveWithCells="1">
              <from>
                <xdr:col>1</xdr:col>
                <xdr:colOff>2543175</xdr:colOff>
                <xdr:row>8</xdr:row>
                <xdr:rowOff>219075</xdr:rowOff>
              </from>
              <to>
                <xdr:col>1</xdr:col>
                <xdr:colOff>3705225</xdr:colOff>
                <xdr:row>9</xdr:row>
                <xdr:rowOff>95250</xdr:rowOff>
              </to>
            </anchor>
          </controlPr>
        </control>
      </mc:Choice>
      <mc:Fallback>
        <control shapeId="7171" r:id="rId11" name="ToggleButton3"/>
      </mc:Fallback>
    </mc:AlternateContent>
    <mc:AlternateContent xmlns:mc="http://schemas.openxmlformats.org/markup-compatibility/2006">
      <mc:Choice Requires="x14">
        <control shapeId="7172" r:id="rId13" name="ToggleButton4">
          <controlPr defaultSize="0" print="0" autoFill="0" autoLine="0" r:id="rId14">
            <anchor moveWithCells="1">
              <from>
                <xdr:col>1</xdr:col>
                <xdr:colOff>3762375</xdr:colOff>
                <xdr:row>8</xdr:row>
                <xdr:rowOff>209550</xdr:rowOff>
              </from>
              <to>
                <xdr:col>1</xdr:col>
                <xdr:colOff>4943475</xdr:colOff>
                <xdr:row>9</xdr:row>
                <xdr:rowOff>85725</xdr:rowOff>
              </to>
            </anchor>
          </controlPr>
        </control>
      </mc:Choice>
      <mc:Fallback>
        <control shapeId="7172" r:id="rId13" name="ToggleButton4"/>
      </mc:Fallback>
    </mc:AlternateContent>
    <mc:AlternateContent xmlns:mc="http://schemas.openxmlformats.org/markup-compatibility/2006">
      <mc:Choice Requires="x14">
        <control shapeId="7176" r:id="rId15" name="ToggleButton6">
          <controlPr defaultSize="0" print="0" autoFill="0" autoLine="0" r:id="rId16">
            <anchor moveWithCells="1">
              <from>
                <xdr:col>1</xdr:col>
                <xdr:colOff>5029200</xdr:colOff>
                <xdr:row>1</xdr:row>
                <xdr:rowOff>438150</xdr:rowOff>
              </from>
              <to>
                <xdr:col>2</xdr:col>
                <xdr:colOff>0</xdr:colOff>
                <xdr:row>2</xdr:row>
                <xdr:rowOff>95250</xdr:rowOff>
              </to>
            </anchor>
          </controlPr>
        </control>
      </mc:Choice>
      <mc:Fallback>
        <control shapeId="7176" r:id="rId15" name="ToggleButton6"/>
      </mc:Fallback>
    </mc:AlternateContent>
    <mc:AlternateContent xmlns:mc="http://schemas.openxmlformats.org/markup-compatibility/2006">
      <mc:Choice Requires="x14">
        <control shapeId="7177" r:id="rId17" name="ToggleButton7">
          <controlPr defaultSize="0" print="0" autoFill="0" autoLine="0" autoPict="0" r:id="rId18">
            <anchor moveWithCells="1">
              <from>
                <xdr:col>5</xdr:col>
                <xdr:colOff>180975</xdr:colOff>
                <xdr:row>5</xdr:row>
                <xdr:rowOff>9525</xdr:rowOff>
              </from>
              <to>
                <xdr:col>5</xdr:col>
                <xdr:colOff>876300</xdr:colOff>
                <xdr:row>6</xdr:row>
                <xdr:rowOff>9525</xdr:rowOff>
              </to>
            </anchor>
          </controlPr>
        </control>
      </mc:Choice>
      <mc:Fallback>
        <control shapeId="7177" r:id="rId17" name="ToggleButton7"/>
      </mc:Fallback>
    </mc:AlternateContent>
    <mc:AlternateContent xmlns:mc="http://schemas.openxmlformats.org/markup-compatibility/2006">
      <mc:Choice Requires="x14">
        <control shapeId="7178" r:id="rId19" name="ToggleButton8">
          <controlPr defaultSize="0" print="0" autoFill="0" autoLine="0" autoPict="0" r:id="rId20">
            <anchor moveWithCells="1">
              <from>
                <xdr:col>4</xdr:col>
                <xdr:colOff>19050</xdr:colOff>
                <xdr:row>1</xdr:row>
                <xdr:rowOff>409575</xdr:rowOff>
              </from>
              <to>
                <xdr:col>4</xdr:col>
                <xdr:colOff>876300</xdr:colOff>
                <xdr:row>2</xdr:row>
                <xdr:rowOff>66675</xdr:rowOff>
              </to>
            </anchor>
          </controlPr>
        </control>
      </mc:Choice>
      <mc:Fallback>
        <control shapeId="7178" r:id="rId19" name="ToggleButton8"/>
      </mc:Fallback>
    </mc:AlternateContent>
    <mc:AlternateContent xmlns:mc="http://schemas.openxmlformats.org/markup-compatibility/2006">
      <mc:Choice Requires="x14">
        <control shapeId="7179" r:id="rId21" name="ToggleButton9">
          <controlPr defaultSize="0" print="0" autoFill="0" autoLine="0" r:id="rId22">
            <anchor moveWithCells="1">
              <from>
                <xdr:col>5</xdr:col>
                <xdr:colOff>57150</xdr:colOff>
                <xdr:row>1</xdr:row>
                <xdr:rowOff>409575</xdr:rowOff>
              </from>
              <to>
                <xdr:col>5</xdr:col>
                <xdr:colOff>895350</xdr:colOff>
                <xdr:row>2</xdr:row>
                <xdr:rowOff>57150</xdr:rowOff>
              </to>
            </anchor>
          </controlPr>
        </control>
      </mc:Choice>
      <mc:Fallback>
        <control shapeId="7179" r:id="rId21" name="ToggleButton9"/>
      </mc:Fallback>
    </mc:AlternateContent>
    <mc:AlternateContent xmlns:mc="http://schemas.openxmlformats.org/markup-compatibility/2006">
      <mc:Choice Requires="x14">
        <control shapeId="7174" r:id="rId23" name="Drop Down 6">
          <controlPr defaultSize="0" print="0" autoLine="0" autoPict="0" altText="">
            <anchor moveWithCells="1">
              <from>
                <xdr:col>1</xdr:col>
                <xdr:colOff>2543175</xdr:colOff>
                <xdr:row>1</xdr:row>
                <xdr:rowOff>447675</xdr:rowOff>
              </from>
              <to>
                <xdr:col>1</xdr:col>
                <xdr:colOff>4953000</xdr:colOff>
                <xdr:row>2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81" r:id="rId24" name="Drop Down 13">
          <controlPr defaultSize="0" print="0" autoLine="0" autoPict="0">
            <anchor moveWithCells="1">
              <from>
                <xdr:col>1</xdr:col>
                <xdr:colOff>2238375</xdr:colOff>
                <xdr:row>20</xdr:row>
                <xdr:rowOff>114300</xdr:rowOff>
              </from>
              <to>
                <xdr:col>1</xdr:col>
                <xdr:colOff>4267200</xdr:colOff>
                <xdr:row>20</xdr:row>
                <xdr:rowOff>371475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86" r:id="rId25" name="Button 18">
          <controlPr defaultSize="0" print="0" autoFill="0" autoPict="0" macro="[0]!Arrêté_en_HT">
            <anchor moveWithCells="1" sizeWithCells="1">
              <from>
                <xdr:col>6</xdr:col>
                <xdr:colOff>76200</xdr:colOff>
                <xdr:row>31</xdr:row>
                <xdr:rowOff>95250</xdr:rowOff>
              </from>
              <to>
                <xdr:col>6</xdr:col>
                <xdr:colOff>1076325</xdr:colOff>
                <xdr:row>32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91" r:id="rId26" name="Button 23">
          <controlPr defaultSize="0" print="0" autoFill="0" autoPict="0" macro="[0]!Afficher_Acompte">
            <anchor moveWithCells="1" sizeWithCells="1">
              <from>
                <xdr:col>6</xdr:col>
                <xdr:colOff>76200</xdr:colOff>
                <xdr:row>32</xdr:row>
                <xdr:rowOff>323850</xdr:rowOff>
              </from>
              <to>
                <xdr:col>6</xdr:col>
                <xdr:colOff>1076325</xdr:colOff>
                <xdr:row>33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94" r:id="rId27" name="Button 26">
          <controlPr defaultSize="0" print="0" autoFill="0" autoPict="0" macro="[0]!Afficher_Situation">
            <anchor moveWithCells="1" sizeWithCells="1">
              <from>
                <xdr:col>6</xdr:col>
                <xdr:colOff>85725</xdr:colOff>
                <xdr:row>33</xdr:row>
                <xdr:rowOff>352425</xdr:rowOff>
              </from>
              <to>
                <xdr:col>6</xdr:col>
                <xdr:colOff>1085850</xdr:colOff>
                <xdr:row>34</xdr:row>
                <xdr:rowOff>295275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96" r:id="rId28" name="Button 28">
          <controlPr defaultSize="0" print="0" autoFill="0" autoPict="0" macro="[0]!Afficher_Total_Facture">
            <anchor moveWithCells="1" sizeWithCells="1">
              <from>
                <xdr:col>6</xdr:col>
                <xdr:colOff>85725</xdr:colOff>
                <xdr:row>35</xdr:row>
                <xdr:rowOff>409575</xdr:rowOff>
              </from>
              <to>
                <xdr:col>6</xdr:col>
                <xdr:colOff>1085850</xdr:colOff>
                <xdr:row>36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97" r:id="rId29" name="Button 29">
          <controlPr defaultSize="0" print="0" autoFill="0" autoPict="0" macro="[0]!Masquer_Facture">
            <anchor moveWithCells="1" sizeWithCells="1">
              <from>
                <xdr:col>6</xdr:col>
                <xdr:colOff>85725</xdr:colOff>
                <xdr:row>37</xdr:row>
                <xdr:rowOff>9525</xdr:rowOff>
              </from>
              <to>
                <xdr:col>6</xdr:col>
                <xdr:colOff>1085850</xdr:colOff>
                <xdr:row>37</xdr:row>
                <xdr:rowOff>381000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99" r:id="rId30" name="Button 31">
          <controlPr defaultSize="0" print="0" autoFill="0" autoPict="0" macro="[0]!Afficher_Facture_Finale">
            <anchor moveWithCells="1" sizeWithCells="1">
              <from>
                <xdr:col>6</xdr:col>
                <xdr:colOff>85725</xdr:colOff>
                <xdr:row>34</xdr:row>
                <xdr:rowOff>381000</xdr:rowOff>
              </from>
              <to>
                <xdr:col>6</xdr:col>
                <xdr:colOff>1085850</xdr:colOff>
                <xdr:row>35</xdr:row>
                <xdr:rowOff>323850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202" r:id="rId31" name="Button 34">
          <controlPr defaultSize="0" print="0" autoFill="0" autoPict="0" macro="[0]!Remise">
            <anchor moveWithCells="1" sizeWithCells="1">
              <from>
                <xdr:col>6</xdr:col>
                <xdr:colOff>85725</xdr:colOff>
                <xdr:row>20</xdr:row>
                <xdr:rowOff>38100</xdr:rowOff>
              </from>
              <to>
                <xdr:col>6</xdr:col>
                <xdr:colOff>1085850</xdr:colOff>
                <xdr:row>20</xdr:row>
                <xdr:rowOff>409575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204" r:id="rId32" name="Button 36">
          <controlPr defaultSize="0" print="0" autoFill="0" autoPict="0" macro="[0]!Prorata">
            <anchor moveWithCells="1" sizeWithCells="1">
              <from>
                <xdr:col>6</xdr:col>
                <xdr:colOff>95250</xdr:colOff>
                <xdr:row>22</xdr:row>
                <xdr:rowOff>28575</xdr:rowOff>
              </from>
              <to>
                <xdr:col>6</xdr:col>
                <xdr:colOff>1095375</xdr:colOff>
                <xdr:row>22</xdr:row>
                <xdr:rowOff>400050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205" r:id="rId33" name="Button 37">
          <controlPr defaultSize="0" print="0" autoFill="0" autoPict="0" macro="[0]!Arrêté_HT">
            <anchor moveWithCells="1" sizeWithCells="1">
              <from>
                <xdr:col>6</xdr:col>
                <xdr:colOff>104775</xdr:colOff>
                <xdr:row>24</xdr:row>
                <xdr:rowOff>19050</xdr:rowOff>
              </from>
              <to>
                <xdr:col>6</xdr:col>
                <xdr:colOff>1104900</xdr:colOff>
                <xdr:row>24</xdr:row>
                <xdr:rowOff>400050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206" r:id="rId34" name="Button 38">
          <controlPr defaultSize="0" print="0" autoFill="0" autoPict="0" macro="[0]!Plus_value">
            <anchor moveWithCells="1" sizeWithCells="1">
              <from>
                <xdr:col>6</xdr:col>
                <xdr:colOff>104775</xdr:colOff>
                <xdr:row>26</xdr:row>
                <xdr:rowOff>28575</xdr:rowOff>
              </from>
              <to>
                <xdr:col>6</xdr:col>
                <xdr:colOff>1104900</xdr:colOff>
                <xdr:row>26</xdr:row>
                <xdr:rowOff>409575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216" r:id="rId35" name="Button 48">
          <controlPr defaultSize="0" print="0" autoFill="0" autoPict="0" macro="[0]!Provisoire">
            <anchor moveWithCells="1" sizeWithCells="1">
              <from>
                <xdr:col>9</xdr:col>
                <xdr:colOff>209550</xdr:colOff>
                <xdr:row>50</xdr:row>
                <xdr:rowOff>247650</xdr:rowOff>
              </from>
              <to>
                <xdr:col>10</xdr:col>
                <xdr:colOff>200025</xdr:colOff>
                <xdr:row>52</xdr:row>
                <xdr:rowOff>209550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217" r:id="rId36" name="Button 49">
          <controlPr defaultSize="0" print="0" autoFill="0" autoPict="0" macro="[0]!Provisoire2">
            <anchor moveWithCells="1" sizeWithCells="1">
              <from>
                <xdr:col>9</xdr:col>
                <xdr:colOff>85725</xdr:colOff>
                <xdr:row>53</xdr:row>
                <xdr:rowOff>228600</xdr:rowOff>
              </from>
              <to>
                <xdr:col>10</xdr:col>
                <xdr:colOff>76200</xdr:colOff>
                <xdr:row>55</xdr:row>
                <xdr:rowOff>190500</xdr:rowOff>
              </to>
            </anchor>
          </controlPr>
        </control>
      </mc:Choice>
    </mc:AlternateContent>
  </controls>
  <tableParts count="3">
    <tablePart r:id="rId37"/>
    <tablePart r:id="rId38"/>
    <tablePart r:id="rId3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17</vt:i4>
      </vt:variant>
    </vt:vector>
  </HeadingPairs>
  <TitlesOfParts>
    <vt:vector size="18" baseType="lpstr">
      <vt:lpstr>Feuil1 (2)</vt:lpstr>
      <vt:lpstr>Adresse</vt:lpstr>
      <vt:lpstr>Adresse0</vt:lpstr>
      <vt:lpstr>Condition</vt:lpstr>
      <vt:lpstr>ConditionF</vt:lpstr>
      <vt:lpstr>CP</vt:lpstr>
      <vt:lpstr>CP0</vt:lpstr>
      <vt:lpstr>Heure</vt:lpstr>
      <vt:lpstr>'Feuil1 (2)'!Impression_des_titres</vt:lpstr>
      <vt:lpstr>Lieu3</vt:lpstr>
      <vt:lpstr>Nom</vt:lpstr>
      <vt:lpstr>Nom0</vt:lpstr>
      <vt:lpstr>Select</vt:lpstr>
      <vt:lpstr>Sujet</vt:lpstr>
      <vt:lpstr>Variante</vt:lpstr>
      <vt:lpstr>Ville</vt:lpstr>
      <vt:lpstr>Ville0</vt:lpstr>
      <vt:lpstr>'Feuil1 (2)'!Zone_d_impression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Fabio Bastos</dc:creator>
  <cp:lastModifiedBy>Fabio Bastos</cp:lastModifiedBy>
  <cp:lastPrinted>2026-01-30T01:46:51Z</cp:lastPrinted>
  <dcterms:created xsi:type="dcterms:W3CDTF">2019-08-19T10:54:37Z</dcterms:created>
  <dcterms:modified xsi:type="dcterms:W3CDTF">2026-01-30T03:03:07Z</dcterms:modified>
</cp:coreProperties>
</file>