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05" windowWidth="23475" windowHeight="9750"/>
  </bookViews>
  <sheets>
    <sheet name="Feuil1" sheetId="1" r:id="rId1"/>
  </sheets>
  <externalReferences>
    <externalReference r:id="rId2"/>
  </externalReferences>
  <definedNames>
    <definedName name="IMPRESSION">'[1]Equip. &amp; Gamme'!$A$10:$A$15</definedName>
  </definedNames>
  <calcPr calcId="144525"/>
</workbook>
</file>

<file path=xl/calcChain.xml><?xml version="1.0" encoding="utf-8"?>
<calcChain xmlns="http://schemas.openxmlformats.org/spreadsheetml/2006/main">
  <c r="I17" i="1" l="1"/>
  <c r="C17" i="1"/>
  <c r="D17" i="1" s="1"/>
  <c r="B17" i="1"/>
  <c r="I16" i="1"/>
  <c r="K16" i="1" s="1"/>
  <c r="L16" i="1" s="1"/>
  <c r="M16" i="1" s="1"/>
  <c r="N16" i="1" s="1"/>
  <c r="O16" i="1" s="1"/>
  <c r="C16" i="1"/>
  <c r="J16" i="1" s="1"/>
  <c r="B16" i="1"/>
  <c r="I15" i="1"/>
  <c r="C15" i="1"/>
  <c r="D15" i="1" s="1"/>
  <c r="B15" i="1"/>
  <c r="I14" i="1"/>
  <c r="K14" i="1" s="1"/>
  <c r="L14" i="1" s="1"/>
  <c r="M14" i="1" s="1"/>
  <c r="N14" i="1" s="1"/>
  <c r="O14" i="1" s="1"/>
  <c r="C14" i="1"/>
  <c r="J14" i="1" s="1"/>
  <c r="B14" i="1"/>
  <c r="I13" i="1"/>
  <c r="C13" i="1"/>
  <c r="D13" i="1" s="1"/>
  <c r="B13" i="1"/>
  <c r="I12" i="1"/>
  <c r="K12" i="1" s="1"/>
  <c r="L12" i="1" s="1"/>
  <c r="M12" i="1" s="1"/>
  <c r="N12" i="1" s="1"/>
  <c r="O12" i="1" s="1"/>
  <c r="C12" i="1"/>
  <c r="J12" i="1" s="1"/>
  <c r="B12" i="1"/>
  <c r="I11" i="1"/>
  <c r="C11" i="1"/>
  <c r="D11" i="1" s="1"/>
  <c r="B11" i="1"/>
  <c r="I10" i="1"/>
  <c r="K10" i="1" s="1"/>
  <c r="L10" i="1" s="1"/>
  <c r="M10" i="1" s="1"/>
  <c r="N10" i="1" s="1"/>
  <c r="O10" i="1" s="1"/>
  <c r="C10" i="1"/>
  <c r="J10" i="1" s="1"/>
  <c r="B10" i="1"/>
  <c r="I9" i="1"/>
  <c r="D9" i="1"/>
  <c r="C9" i="1"/>
  <c r="J9" i="1" s="1"/>
  <c r="B9" i="1"/>
  <c r="I8" i="1"/>
  <c r="C8" i="1"/>
  <c r="J8" i="1" s="1"/>
  <c r="B8" i="1"/>
  <c r="I7" i="1"/>
  <c r="D7" i="1"/>
  <c r="C7" i="1"/>
  <c r="J7" i="1" s="1"/>
  <c r="B7" i="1"/>
  <c r="I6" i="1"/>
  <c r="K6" i="1" s="1"/>
  <c r="L6" i="1" s="1"/>
  <c r="M6" i="1" s="1"/>
  <c r="N6" i="1" s="1"/>
  <c r="O6" i="1" s="1"/>
  <c r="C6" i="1"/>
  <c r="J6" i="1" s="1"/>
  <c r="B6" i="1"/>
  <c r="K7" i="1" l="1"/>
  <c r="L7" i="1" s="1"/>
  <c r="M7" i="1" s="1"/>
  <c r="N7" i="1" s="1"/>
  <c r="O7" i="1" s="1"/>
  <c r="K8" i="1"/>
  <c r="L8" i="1" s="1"/>
  <c r="M8" i="1" s="1"/>
  <c r="N8" i="1" s="1"/>
  <c r="O8" i="1" s="1"/>
  <c r="K9" i="1"/>
  <c r="L9" i="1" s="1"/>
  <c r="M9" i="1" s="1"/>
  <c r="N9" i="1" s="1"/>
  <c r="O9" i="1" s="1"/>
  <c r="D6" i="1"/>
  <c r="E7" i="1"/>
  <c r="D8" i="1"/>
  <c r="E9" i="1"/>
  <c r="D10" i="1"/>
  <c r="E11" i="1"/>
  <c r="J11" i="1"/>
  <c r="K11" i="1" s="1"/>
  <c r="L11" i="1" s="1"/>
  <c r="M11" i="1" s="1"/>
  <c r="N11" i="1" s="1"/>
  <c r="O11" i="1" s="1"/>
  <c r="D12" i="1"/>
  <c r="E13" i="1"/>
  <c r="J13" i="1"/>
  <c r="K13" i="1" s="1"/>
  <c r="L13" i="1" s="1"/>
  <c r="M13" i="1" s="1"/>
  <c r="N13" i="1" s="1"/>
  <c r="O13" i="1" s="1"/>
  <c r="D14" i="1"/>
  <c r="E15" i="1"/>
  <c r="J15" i="1"/>
  <c r="K15" i="1" s="1"/>
  <c r="L15" i="1" s="1"/>
  <c r="M15" i="1" s="1"/>
  <c r="N15" i="1" s="1"/>
  <c r="O15" i="1" s="1"/>
  <c r="D16" i="1"/>
  <c r="E17" i="1"/>
  <c r="J17" i="1"/>
  <c r="K17" i="1" s="1"/>
  <c r="L17" i="1" s="1"/>
  <c r="M17" i="1" s="1"/>
  <c r="N17" i="1" s="1"/>
  <c r="O17" i="1" s="1"/>
  <c r="E6" i="1"/>
  <c r="E8" i="1"/>
  <c r="E10" i="1"/>
  <c r="E12" i="1"/>
  <c r="E14" i="1"/>
  <c r="E16" i="1"/>
</calcChain>
</file>

<file path=xl/sharedStrings.xml><?xml version="1.0" encoding="utf-8"?>
<sst xmlns="http://schemas.openxmlformats.org/spreadsheetml/2006/main" count="42" uniqueCount="34">
  <si>
    <t>CMDE CLIENT</t>
  </si>
  <si>
    <t>QTE COMDEE</t>
  </si>
  <si>
    <t>CODE PF</t>
  </si>
  <si>
    <t>DESCRIPTION</t>
  </si>
  <si>
    <t>DESCRIPTION 2</t>
  </si>
  <si>
    <t>DATE DE LANC</t>
  </si>
  <si>
    <t>HEURE LANC</t>
  </si>
  <si>
    <t>Equipement</t>
  </si>
  <si>
    <t>Tps Exec Moyen</t>
  </si>
  <si>
    <t>Qte  / MEO</t>
  </si>
  <si>
    <t>NB Heure Exec</t>
  </si>
  <si>
    <t>Heure Fin</t>
  </si>
  <si>
    <t>Nb Jour Exec</t>
  </si>
  <si>
    <t>Échéance</t>
  </si>
  <si>
    <t>N° Semaine</t>
  </si>
  <si>
    <t>CC112834.1</t>
  </si>
  <si>
    <t>FLEXO COMEXI 06 C 1500</t>
  </si>
  <si>
    <t>HELIO CERUTTI 08 C</t>
  </si>
  <si>
    <t>CC112967.3</t>
  </si>
  <si>
    <t xml:space="preserve">FLEXO COMEXI 08 C FI </t>
  </si>
  <si>
    <t>CC112967.1</t>
  </si>
  <si>
    <t>HELIO CERUTTI 10 C</t>
  </si>
  <si>
    <t>CC113906.1</t>
  </si>
  <si>
    <t>CC113906.2</t>
  </si>
  <si>
    <t>CC113906.3</t>
  </si>
  <si>
    <t>CC114162.1</t>
  </si>
  <si>
    <t>FLEXO COMEXI 08 C FB</t>
  </si>
  <si>
    <t>CC114162.3</t>
  </si>
  <si>
    <t xml:space="preserve">FLEXO COMEXI 08 C FL </t>
  </si>
  <si>
    <t>CC114162.2</t>
  </si>
  <si>
    <t>CC114225.1</t>
  </si>
  <si>
    <t>Date Début</t>
  </si>
  <si>
    <t>Date Fin</t>
  </si>
  <si>
    <t>DATE LIMITES DE LANCEMENT: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</si>
</sst>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0.000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0"/>
      <color rgb="FF0033CC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CC000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0" xfId="0" applyNumberFormat="1"/>
    <xf numFmtId="0" fontId="2" fillId="3" borderId="0" xfId="0" applyFont="1" applyFill="1" applyBorder="1" applyAlignment="1">
      <alignment horizontal="left" vertical="center"/>
    </xf>
    <xf numFmtId="0" fontId="2" fillId="3" borderId="0" xfId="0" applyNumberFormat="1" applyFont="1" applyFill="1" applyBorder="1" applyAlignment="1">
      <alignment horizontal="left" vertical="center"/>
    </xf>
    <xf numFmtId="164" fontId="2" fillId="3" borderId="0" xfId="0" applyNumberFormat="1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3" fillId="0" borderId="0" xfId="0" applyNumberFormat="1" applyFont="1" applyAlignment="1">
      <alignment horizontal="center"/>
    </xf>
    <xf numFmtId="4" fontId="3" fillId="4" borderId="0" xfId="0" applyNumberFormat="1" applyFont="1" applyFill="1" applyBorder="1" applyAlignment="1">
      <alignment horizontal="right"/>
    </xf>
    <xf numFmtId="0" fontId="3" fillId="4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/>
    <xf numFmtId="14" fontId="5" fillId="4" borderId="0" xfId="0" applyNumberFormat="1" applyFont="1" applyFill="1" applyBorder="1" applyAlignment="1">
      <alignment horizontal="center"/>
    </xf>
    <xf numFmtId="20" fontId="5" fillId="4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left"/>
    </xf>
    <xf numFmtId="165" fontId="5" fillId="0" borderId="0" xfId="0" applyNumberFormat="1" applyFont="1" applyFill="1" applyBorder="1" applyAlignment="1">
      <alignment horizontal="center"/>
    </xf>
    <xf numFmtId="20" fontId="6" fillId="0" borderId="0" xfId="0" applyNumberFormat="1" applyFont="1" applyAlignment="1">
      <alignment horizontal="center"/>
    </xf>
    <xf numFmtId="20" fontId="4" fillId="0" borderId="0" xfId="0" applyNumberFormat="1" applyFont="1" applyFill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14" fontId="5" fillId="4" borderId="0" xfId="0" applyNumberFormat="1" applyFont="1" applyFill="1" applyAlignment="1">
      <alignment horizontal="center"/>
    </xf>
    <xf numFmtId="0" fontId="5" fillId="4" borderId="0" xfId="0" applyNumberFormat="1" applyFont="1" applyFill="1" applyAlignment="1">
      <alignment horizontal="center"/>
    </xf>
    <xf numFmtId="0" fontId="3" fillId="0" borderId="0" xfId="0" applyNumberFormat="1" applyFont="1" applyFill="1" applyAlignment="1">
      <alignment horizontal="center"/>
    </xf>
    <xf numFmtId="4" fontId="3" fillId="4" borderId="0" xfId="0" applyNumberFormat="1" applyFont="1" applyFill="1" applyAlignment="1">
      <alignment horizontal="right"/>
    </xf>
    <xf numFmtId="0" fontId="3" fillId="4" borderId="0" xfId="0" applyNumberFormat="1" applyFont="1" applyFill="1" applyAlignment="1">
      <alignment horizontal="center"/>
    </xf>
    <xf numFmtId="0" fontId="4" fillId="0" borderId="0" xfId="0" applyNumberFormat="1" applyFont="1" applyFill="1" applyAlignment="1"/>
    <xf numFmtId="0" fontId="4" fillId="0" borderId="0" xfId="0" applyNumberFormat="1" applyFont="1" applyFill="1" applyAlignment="1">
      <alignment horizontal="left"/>
    </xf>
    <xf numFmtId="165" fontId="5" fillId="0" borderId="0" xfId="0" applyNumberFormat="1" applyFont="1" applyFill="1" applyAlignment="1">
      <alignment horizontal="center"/>
    </xf>
    <xf numFmtId="20" fontId="5" fillId="4" borderId="0" xfId="0" applyNumberFormat="1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C0000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C0000"/>
        <name val="Calibri"/>
        <scheme val="minor"/>
      </font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33CC"/>
        <name val="Calibri"/>
        <scheme val="minor"/>
      </font>
      <numFmt numFmtId="4" formatCode="#,##0.00"/>
      <fill>
        <patternFill patternType="solid">
          <fgColor indexed="64"/>
          <bgColor theme="0" tint="-0.249977111117893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C0000"/>
        <name val="Calibri"/>
        <scheme val="minor"/>
      </font>
      <numFmt numFmtId="165" formatCode="0.0000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C0000"/>
        <name val="Calibri"/>
        <scheme val="minor"/>
      </font>
      <numFmt numFmtId="25" formatCode="hh:mm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C0000"/>
        <name val="Calibri"/>
        <scheme val="minor"/>
      </font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33CC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33CC"/>
        <name val="Calibri"/>
        <scheme val="minor"/>
      </font>
      <numFmt numFmtId="4" formatCode="#,##0.00"/>
      <fill>
        <patternFill patternType="solid">
          <fgColor indexed="64"/>
          <bgColor theme="0" tint="-0.249977111117893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33CC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00"/>
        <name val="Calibri"/>
        <scheme val="minor"/>
      </font>
      <fill>
        <patternFill patternType="solid">
          <fgColor indexed="64"/>
          <bgColor theme="1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/Les%20command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mdes"/>
      <sheetName val="QTE BASE FORMULES"/>
      <sheetName val="Liste des P.F."/>
      <sheetName val="Nomeclature des P.F."/>
      <sheetName val="Equip. &amp; Gamme"/>
    </sheetNames>
    <sheetDataSet>
      <sheetData sheetId="0"/>
      <sheetData sheetId="1"/>
      <sheetData sheetId="2"/>
      <sheetData sheetId="3"/>
      <sheetData sheetId="4">
        <row r="10">
          <cell r="A10" t="str">
            <v>HELIO CERUTTI 10 C</v>
          </cell>
        </row>
        <row r="11">
          <cell r="A11" t="str">
            <v>HELIO CERUTTI 08 C</v>
          </cell>
        </row>
        <row r="12">
          <cell r="A12" t="str">
            <v xml:space="preserve">FLEXO COMEXI 08 C FI </v>
          </cell>
        </row>
        <row r="13">
          <cell r="A13" t="str">
            <v>FLEXO COMEXI 08 C FB</v>
          </cell>
        </row>
        <row r="14">
          <cell r="A14" t="str">
            <v xml:space="preserve">FLEXO COMEXI 08 C FL </v>
          </cell>
        </row>
        <row r="15">
          <cell r="A15" t="str">
            <v>FLEXO COMEXI 06 C 1500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_Impression" displayName="Tab_Impression" ref="A5:O17" totalsRowShown="0" headerRowDxfId="16" dataDxfId="15">
  <autoFilter ref="A5:O17"/>
  <tableColumns count="15">
    <tableColumn id="3" name="CMDE CLIENT" dataDxfId="14"/>
    <tableColumn id="4" name="QTE COMDEE" dataDxfId="13">
      <calculatedColumnFormula>VLOOKUP(A6,[1]!Tab_Cmdes_Clts[#Data],14,)</calculatedColumnFormula>
    </tableColumn>
    <tableColumn id="1" name="CODE PF" dataDxfId="12">
      <calculatedColumnFormula>VLOOKUP(A6,[1]!Tab_Cmdes_Clts[#Data],8,)</calculatedColumnFormula>
    </tableColumn>
    <tableColumn id="2" name="DESCRIPTION" dataDxfId="11">
      <calculatedColumnFormula>VLOOKUP(C6,[1]!Tab_Liste_art[#Data],2,)</calculatedColumnFormula>
    </tableColumn>
    <tableColumn id="13" name="DESCRIPTION 2" dataDxfId="10">
      <calculatedColumnFormula>VLOOKUP(C6,[1]!Tab_Liste_art[#Data],3,)</calculatedColumnFormula>
    </tableColumn>
    <tableColumn id="5" name="DATE DE LANC" dataDxfId="9"/>
    <tableColumn id="7" name="HEURE LANC" dataDxfId="8"/>
    <tableColumn id="6" name="Equipement" dataDxfId="7"/>
    <tableColumn id="8" name="Tps Exec Moyen" dataDxfId="6">
      <calculatedColumnFormula>VLOOKUP(Tab_Impression[[#This Row],[Equipement]],[1]!Tab_equip_tps[#Data],6,)</calculatedColumnFormula>
    </tableColumn>
    <tableColumn id="15" name="Qte  / MEO" dataDxfId="5">
      <calculatedColumnFormula>VLOOKUP(Tab_Impression[[#This Row],[CODE PF]],[1]!Nomenclature[#Data],23,FALSE)*Tab_Impression[[#This Row],[QTE COMDEE]]</calculatedColumnFormula>
    </tableColumn>
    <tableColumn id="16" name="NB Heure Exec" dataDxfId="4">
      <calculatedColumnFormula>Tab_Impression[[#This Row],[Tps Exec Moyen]]*Tab_Impression[[#This Row],[Qte  / MEO]]/60</calculatedColumnFormula>
    </tableColumn>
    <tableColumn id="18" name="Heure Fin" dataDxfId="3">
      <calculatedColumnFormula>Tab_Impression[[#This Row],[NB Heure Exec]]+Tab_Impression[[#This Row],[HEURE LANC]]</calculatedColumnFormula>
    </tableColumn>
    <tableColumn id="17" name="Nb Jour Exec" dataDxfId="2">
      <calculatedColumnFormula>Tab_Impression[[#This Row],[Heure Fin]]/24</calculatedColumnFormula>
    </tableColumn>
    <tableColumn id="19" name="Échéance" dataDxfId="1">
      <calculatedColumnFormula>Tab_Impression[[#This Row],[Nb Jour Exec]]+Tab_Impression[[#This Row],[DATE DE LANC]]</calculatedColumnFormula>
    </tableColumn>
    <tableColumn id="20" name="N° Semaine" dataDxfId="0">
      <calculatedColumnFormula>WEEKNUM(Tab_Impression[[#This Row],[Échéance]])</calculatedColumnFormula>
    </tableColumn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A5" sqref="A5"/>
    </sheetView>
  </sheetViews>
  <sheetFormatPr baseColWidth="10" defaultRowHeight="15" x14ac:dyDescent="0.25"/>
  <cols>
    <col min="1" max="1" width="13.5703125" bestFit="1" customWidth="1"/>
    <col min="4" max="4" width="23.42578125" bestFit="1" customWidth="1"/>
    <col min="5" max="5" width="23.140625" bestFit="1" customWidth="1"/>
    <col min="6" max="6" width="14.42578125" bestFit="1" customWidth="1"/>
    <col min="7" max="7" width="13" bestFit="1" customWidth="1"/>
    <col min="8" max="8" width="20.85546875" bestFit="1" customWidth="1"/>
    <col min="9" max="9" width="15.5703125" bestFit="1" customWidth="1"/>
    <col min="10" max="10" width="12.140625" bestFit="1" customWidth="1"/>
    <col min="11" max="11" width="14.7109375" bestFit="1" customWidth="1"/>
    <col min="13" max="13" width="13.140625" bestFit="1" customWidth="1"/>
    <col min="15" max="15" width="12.28515625" bestFit="1" customWidth="1"/>
  </cols>
  <sheetData>
    <row r="1" spans="1:15" x14ac:dyDescent="0.25">
      <c r="A1" s="28" t="s">
        <v>33</v>
      </c>
      <c r="B1" s="28"/>
      <c r="C1" s="28"/>
      <c r="D1" s="29"/>
    </row>
    <row r="2" spans="1:15" x14ac:dyDescent="0.25">
      <c r="B2" s="30" t="s">
        <v>31</v>
      </c>
      <c r="C2" s="1">
        <v>40756</v>
      </c>
      <c r="D2" s="29"/>
    </row>
    <row r="3" spans="1:15" x14ac:dyDescent="0.25">
      <c r="B3" s="30" t="s">
        <v>32</v>
      </c>
      <c r="C3" s="1">
        <v>40848</v>
      </c>
    </row>
    <row r="5" spans="1:15" x14ac:dyDescent="0.25">
      <c r="A5" s="2" t="s">
        <v>0</v>
      </c>
      <c r="B5" s="3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3" t="s">
        <v>9</v>
      </c>
      <c r="K5" s="2" t="s">
        <v>10</v>
      </c>
      <c r="L5" s="4" t="s">
        <v>11</v>
      </c>
      <c r="M5" s="2" t="s">
        <v>12</v>
      </c>
      <c r="N5" s="5" t="s">
        <v>13</v>
      </c>
      <c r="O5" s="5" t="s">
        <v>14</v>
      </c>
    </row>
    <row r="6" spans="1:15" x14ac:dyDescent="0.25">
      <c r="A6" s="6" t="s">
        <v>15</v>
      </c>
      <c r="B6" s="7">
        <f>VLOOKUP(A6,[1]!Tab_Cmdes_Clts[#Data],14,)</f>
        <v>2000</v>
      </c>
      <c r="C6" s="8" t="str">
        <f>VLOOKUP(A6,[1]!Tab_Cmdes_Clts[#Data],8,)</f>
        <v>PF000972</v>
      </c>
      <c r="D6" s="9" t="str">
        <f>VLOOKUP(C6,[1]!Tab_Liste_art[#Data],2,)</f>
        <v>FILM OPP/OPP META DANY</v>
      </c>
      <c r="E6" s="9" t="str">
        <f>VLOOKUP(C6,[1]!Tab_Liste_art[#Data],3,)</f>
        <v>AMALGAME</v>
      </c>
      <c r="F6" s="10">
        <v>40849</v>
      </c>
      <c r="G6" s="11">
        <v>0.33333333333333331</v>
      </c>
      <c r="H6" s="12" t="s">
        <v>16</v>
      </c>
      <c r="I6" s="13">
        <f>VLOOKUP(Tab_Impression[[#This Row],[Equipement]],[1]!Tab_equip_tps[#Data],6,)</f>
        <v>1.1764705882352941E-2</v>
      </c>
      <c r="J6" s="7">
        <f>VLOOKUP(Tab_Impression[[#This Row],[CODE PF]],[1]!Nomenclature[#Data],23,FALSE)*Tab_Impression[[#This Row],[QTE COMDEE]]</f>
        <v>58609.993386000002</v>
      </c>
      <c r="K6" s="14">
        <f>Tab_Impression[[#This Row],[Tps Exec Moyen]]*Tab_Impression[[#This Row],[Qte  / MEO]]/60</f>
        <v>11.492155565882353</v>
      </c>
      <c r="L6" s="15">
        <f>Tab_Impression[[#This Row],[NB Heure Exec]]+Tab_Impression[[#This Row],[HEURE LANC]]</f>
        <v>11.825488899215687</v>
      </c>
      <c r="M6" s="16">
        <f>Tab_Impression[[#This Row],[Heure Fin]]/24</f>
        <v>0.49272870413398695</v>
      </c>
      <c r="N6" s="17">
        <f>Tab_Impression[[#This Row],[Nb Jour Exec]]+Tab_Impression[[#This Row],[DATE DE LANC]]</f>
        <v>40849.492728704136</v>
      </c>
      <c r="O6" s="18">
        <f>WEEKNUM(Tab_Impression[[#This Row],[Échéance]])</f>
        <v>45</v>
      </c>
    </row>
    <row r="7" spans="1:15" x14ac:dyDescent="0.25">
      <c r="A7" s="19" t="s">
        <v>15</v>
      </c>
      <c r="B7" s="20">
        <f>VLOOKUP(A7,[1]!Tab_Cmdes_Clts[#Data],14,)</f>
        <v>2000</v>
      </c>
      <c r="C7" s="8" t="str">
        <f>VLOOKUP(A7,[1]!Tab_Cmdes_Clts[#Data],8,)</f>
        <v>PF000972</v>
      </c>
      <c r="D7" s="9" t="str">
        <f>VLOOKUP(C7,[1]!Tab_Liste_art[#Data],2,)</f>
        <v>FILM OPP/OPP META DANY</v>
      </c>
      <c r="E7" s="9" t="str">
        <f>VLOOKUP(C7,[1]!Tab_Liste_art[#Data],3,)</f>
        <v>AMALGAME</v>
      </c>
      <c r="F7" s="10">
        <v>40850</v>
      </c>
      <c r="G7" s="11">
        <v>0.375</v>
      </c>
      <c r="H7" s="12" t="s">
        <v>17</v>
      </c>
      <c r="I7" s="13">
        <f>VLOOKUP(Tab_Impression[[#This Row],[Equipement]],[1]!Tab_equip_tps[#Data],6,)</f>
        <v>6.6666666666666671E-3</v>
      </c>
      <c r="J7" s="7">
        <f>VLOOKUP(Tab_Impression[[#This Row],[CODE PF]],[1]!Nomenclature[#Data],23,FALSE)*Tab_Impression[[#This Row],[QTE COMDEE]]</f>
        <v>58609.993386000002</v>
      </c>
      <c r="K7" s="14">
        <f>Tab_Impression[[#This Row],[Tps Exec Moyen]]*Tab_Impression[[#This Row],[Qte  / MEO]]/60</f>
        <v>6.5122214873333339</v>
      </c>
      <c r="L7" s="15">
        <f>Tab_Impression[[#This Row],[NB Heure Exec]]+Tab_Impression[[#This Row],[HEURE LANC]]</f>
        <v>6.8872214873333339</v>
      </c>
      <c r="M7" s="16">
        <f>Tab_Impression[[#This Row],[Heure Fin]]/24</f>
        <v>0.28696756197222223</v>
      </c>
      <c r="N7" s="17">
        <f>Tab_Impression[[#This Row],[Nb Jour Exec]]+Tab_Impression[[#This Row],[DATE DE LANC]]</f>
        <v>40850.286967561973</v>
      </c>
      <c r="O7" s="18">
        <f>WEEKNUM(Tab_Impression[[#This Row],[Échéance]])</f>
        <v>45</v>
      </c>
    </row>
    <row r="8" spans="1:15" x14ac:dyDescent="0.25">
      <c r="A8" s="19" t="s">
        <v>18</v>
      </c>
      <c r="B8" s="20">
        <f>VLOOKUP(A8,[1]!Tab_Cmdes_Clts[#Data],14,)</f>
        <v>3500</v>
      </c>
      <c r="C8" s="8" t="str">
        <f>VLOOKUP(A8,[1]!Tab_Cmdes_Clts[#Data],8,)</f>
        <v>PF003400</v>
      </c>
      <c r="D8" s="9" t="str">
        <f>VLOOKUP(C8,[1]!Tab_Liste_art[#Data],2,)</f>
        <v>FILM OPP/OPP MET NEW</v>
      </c>
      <c r="E8" s="9" t="str">
        <f>VLOOKUP(C8,[1]!Tab_Liste_art[#Data],3,)</f>
        <v>CORNITO ORANGE</v>
      </c>
      <c r="F8" s="10">
        <v>40851</v>
      </c>
      <c r="G8" s="11">
        <v>0.41666666666666702</v>
      </c>
      <c r="H8" s="12" t="s">
        <v>19</v>
      </c>
      <c r="I8" s="13">
        <f>VLOOKUP(Tab_Impression[[#This Row],[Equipement]],[1]!Tab_equip_tps[#Data],6,)</f>
        <v>0.01</v>
      </c>
      <c r="J8" s="7">
        <f>VLOOKUP(Tab_Impression[[#This Row],[CODE PF]],[1]!Nomenclature[#Data],23,FALSE)*Tab_Impression[[#This Row],[QTE COMDEE]]</f>
        <v>71333.510307500008</v>
      </c>
      <c r="K8" s="14">
        <f>Tab_Impression[[#This Row],[Tps Exec Moyen]]*Tab_Impression[[#This Row],[Qte  / MEO]]/60</f>
        <v>11.888918384583336</v>
      </c>
      <c r="L8" s="15">
        <f>Tab_Impression[[#This Row],[NB Heure Exec]]+Tab_Impression[[#This Row],[HEURE LANC]]</f>
        <v>12.305585051250004</v>
      </c>
      <c r="M8" s="16">
        <f>Tab_Impression[[#This Row],[Heure Fin]]/24</f>
        <v>0.51273271046875013</v>
      </c>
      <c r="N8" s="17">
        <f>Tab_Impression[[#This Row],[Nb Jour Exec]]+Tab_Impression[[#This Row],[DATE DE LANC]]</f>
        <v>40851.512732710471</v>
      </c>
      <c r="O8" s="18">
        <f>WEEKNUM(Tab_Impression[[#This Row],[Échéance]])</f>
        <v>45</v>
      </c>
    </row>
    <row r="9" spans="1:15" x14ac:dyDescent="0.25">
      <c r="A9" s="19" t="s">
        <v>20</v>
      </c>
      <c r="B9" s="20">
        <f>VLOOKUP(A9,[1]!Tab_Cmdes_Clts[#Data],14,)</f>
        <v>10000</v>
      </c>
      <c r="C9" s="8" t="str">
        <f>VLOOKUP(A9,[1]!Tab_Cmdes_Clts[#Data],8,)</f>
        <v>PF003402</v>
      </c>
      <c r="D9" s="9" t="str">
        <f>VLOOKUP(C9,[1]!Tab_Liste_art[#Data],2,)</f>
        <v>FILM OPP/OPP MET NEW</v>
      </c>
      <c r="E9" s="9" t="str">
        <f>VLOOKUP(C9,[1]!Tab_Liste_art[#Data],3,)</f>
        <v>CHIPSOU AMALGAME</v>
      </c>
      <c r="F9" s="10">
        <v>40852</v>
      </c>
      <c r="G9" s="11">
        <v>0.45833333333333298</v>
      </c>
      <c r="H9" s="12" t="s">
        <v>21</v>
      </c>
      <c r="I9" s="13">
        <f>VLOOKUP(Tab_Impression[[#This Row],[Equipement]],[1]!Tab_equip_tps[#Data],6,)</f>
        <v>6.6666666666666671E-3</v>
      </c>
      <c r="J9" s="7">
        <f>VLOOKUP(Tab_Impression[[#This Row],[CODE PF]],[1]!Nomenclature[#Data],23,FALSE)*Tab_Impression[[#This Row],[QTE COMDEE]]</f>
        <v>210120.58092000001</v>
      </c>
      <c r="K9" s="14">
        <f>Tab_Impression[[#This Row],[Tps Exec Moyen]]*Tab_Impression[[#This Row],[Qte  / MEO]]/60</f>
        <v>23.346731213333335</v>
      </c>
      <c r="L9" s="15">
        <f>Tab_Impression[[#This Row],[NB Heure Exec]]+Tab_Impression[[#This Row],[HEURE LANC]]</f>
        <v>23.805064546666667</v>
      </c>
      <c r="M9" s="16">
        <f>Tab_Impression[[#This Row],[Heure Fin]]/24</f>
        <v>0.99187768944444443</v>
      </c>
      <c r="N9" s="17">
        <f>Tab_Impression[[#This Row],[Nb Jour Exec]]+Tab_Impression[[#This Row],[DATE DE LANC]]</f>
        <v>40852.991877689441</v>
      </c>
      <c r="O9" s="18">
        <f>WEEKNUM(Tab_Impression[[#This Row],[Échéance]])</f>
        <v>45</v>
      </c>
    </row>
    <row r="10" spans="1:15" x14ac:dyDescent="0.25">
      <c r="A10" s="19" t="s">
        <v>22</v>
      </c>
      <c r="B10" s="20">
        <f>VLOOKUP(A10,[1]!Tab_Cmdes_Clts[#Data],14,)</f>
        <v>400</v>
      </c>
      <c r="C10" s="21" t="str">
        <f>VLOOKUP(A10,[1]!Tab_Cmdes_Clts[#Data],8,)</f>
        <v>PF000005</v>
      </c>
      <c r="D10" s="22" t="str">
        <f>VLOOKUP(C10,[1]!Tab_Liste_art[#Data],2,)</f>
        <v>FILM AGRICOLE STABILISE</v>
      </c>
      <c r="E10" s="22" t="str">
        <f>VLOOKUP(C10,[1]!Tab_Liste_art[#Data],3,)</f>
        <v>JAUNE 2200x2/180</v>
      </c>
      <c r="F10" s="10">
        <v>40853</v>
      </c>
      <c r="G10" s="11">
        <v>0.5</v>
      </c>
      <c r="H10" s="12" t="s">
        <v>21</v>
      </c>
      <c r="I10" s="13">
        <f>VLOOKUP(Tab_Impression[[#This Row],[Equipement]],[1]!Tab_equip_tps[#Data],6,)</f>
        <v>6.6666666666666671E-3</v>
      </c>
      <c r="J10" s="7">
        <f>VLOOKUP(Tab_Impression[[#This Row],[CODE PF]],[1]!Nomenclature[#Data],23,FALSE)*Tab_Impression[[#This Row],[QTE COMDEE]]</f>
        <v>0</v>
      </c>
      <c r="K10" s="14">
        <f>Tab_Impression[[#This Row],[Tps Exec Moyen]]*Tab_Impression[[#This Row],[Qte  / MEO]]/60</f>
        <v>0</v>
      </c>
      <c r="L10" s="15">
        <f>Tab_Impression[[#This Row],[NB Heure Exec]]+Tab_Impression[[#This Row],[HEURE LANC]]</f>
        <v>0.5</v>
      </c>
      <c r="M10" s="16">
        <f>Tab_Impression[[#This Row],[Heure Fin]]/24</f>
        <v>2.0833333333333332E-2</v>
      </c>
      <c r="N10" s="17">
        <f>Tab_Impression[[#This Row],[Nb Jour Exec]]+Tab_Impression[[#This Row],[DATE DE LANC]]</f>
        <v>40853.020833333336</v>
      </c>
      <c r="O10" s="18">
        <f>WEEKNUM(Tab_Impression[[#This Row],[Échéance]])</f>
        <v>46</v>
      </c>
    </row>
    <row r="11" spans="1:15" x14ac:dyDescent="0.25">
      <c r="A11" s="19" t="s">
        <v>23</v>
      </c>
      <c r="B11" s="20">
        <f>VLOOKUP(A11,[1]!Tab_Cmdes_Clts[#Data],14,)</f>
        <v>400</v>
      </c>
      <c r="C11" s="21" t="str">
        <f>VLOOKUP(A11,[1]!Tab_Cmdes_Clts[#Data],8,)</f>
        <v>PF000006</v>
      </c>
      <c r="D11" s="22" t="str">
        <f>VLOOKUP(C11,[1]!Tab_Liste_art[#Data],2,)</f>
        <v>FILM AGRICOLE</v>
      </c>
      <c r="E11" s="22" t="str">
        <f>VLOOKUP(C11,[1]!Tab_Liste_art[#Data],3,)</f>
        <v>TRANSPARENT L 2200x2/100</v>
      </c>
      <c r="F11" s="10">
        <v>40854</v>
      </c>
      <c r="G11" s="11">
        <v>0.54166666666666696</v>
      </c>
      <c r="H11" s="12" t="s">
        <v>21</v>
      </c>
      <c r="I11" s="13">
        <f>VLOOKUP(Tab_Impression[[#This Row],[Equipement]],[1]!Tab_equip_tps[#Data],6,)</f>
        <v>6.6666666666666671E-3</v>
      </c>
      <c r="J11" s="20">
        <f>VLOOKUP(Tab_Impression[[#This Row],[CODE PF]],[1]!Nomenclature[#Data],23,FALSE)*Tab_Impression[[#This Row],[QTE COMDEE]]</f>
        <v>0</v>
      </c>
      <c r="K11" s="14">
        <f>Tab_Impression[[#This Row],[Tps Exec Moyen]]*Tab_Impression[[#This Row],[Qte  / MEO]]/60</f>
        <v>0</v>
      </c>
      <c r="L11" s="15">
        <f>Tab_Impression[[#This Row],[NB Heure Exec]]+Tab_Impression[[#This Row],[HEURE LANC]]</f>
        <v>0.54166666666666696</v>
      </c>
      <c r="M11" s="16">
        <f>Tab_Impression[[#This Row],[Heure Fin]]/24</f>
        <v>2.2569444444444458E-2</v>
      </c>
      <c r="N11" s="17">
        <f>Tab_Impression[[#This Row],[Nb Jour Exec]]+Tab_Impression[[#This Row],[DATE DE LANC]]</f>
        <v>40854.022569444445</v>
      </c>
      <c r="O11" s="18">
        <f>WEEKNUM(Tab_Impression[[#This Row],[Échéance]])</f>
        <v>46</v>
      </c>
    </row>
    <row r="12" spans="1:15" x14ac:dyDescent="0.25">
      <c r="A12" s="19" t="s">
        <v>24</v>
      </c>
      <c r="B12" s="20">
        <f>VLOOKUP(A12,[1]!Tab_Cmdes_Clts[#Data],14,)</f>
        <v>400</v>
      </c>
      <c r="C12" s="21" t="str">
        <f>VLOOKUP(A12,[1]!Tab_Cmdes_Clts[#Data],8,)</f>
        <v>PF000002</v>
      </c>
      <c r="D12" s="22" t="str">
        <f>VLOOKUP(C12,[1]!Tab_Liste_art[#Data],2,)</f>
        <v>FILM AGRICOLE JAUNE</v>
      </c>
      <c r="E12" s="22" t="str">
        <f>VLOOKUP(C12,[1]!Tab_Liste_art[#Data],3,)</f>
        <v>2200x2/90</v>
      </c>
      <c r="F12" s="10">
        <v>40855</v>
      </c>
      <c r="G12" s="11">
        <v>0.58333333333333304</v>
      </c>
      <c r="H12" s="12" t="s">
        <v>17</v>
      </c>
      <c r="I12" s="13">
        <f>VLOOKUP(Tab_Impression[[#This Row],[Equipement]],[1]!Tab_equip_tps[#Data],6,)</f>
        <v>6.6666666666666671E-3</v>
      </c>
      <c r="J12" s="20">
        <f>VLOOKUP(Tab_Impression[[#This Row],[CODE PF]],[1]!Nomenclature[#Data],23,FALSE)*Tab_Impression[[#This Row],[QTE COMDEE]]</f>
        <v>0</v>
      </c>
      <c r="K12" s="14">
        <f>Tab_Impression[[#This Row],[Tps Exec Moyen]]*Tab_Impression[[#This Row],[Qte  / MEO]]/60</f>
        <v>0</v>
      </c>
      <c r="L12" s="15">
        <f>Tab_Impression[[#This Row],[NB Heure Exec]]+Tab_Impression[[#This Row],[HEURE LANC]]</f>
        <v>0.58333333333333304</v>
      </c>
      <c r="M12" s="16">
        <f>Tab_Impression[[#This Row],[Heure Fin]]/24</f>
        <v>2.4305555555555542E-2</v>
      </c>
      <c r="N12" s="17">
        <f>Tab_Impression[[#This Row],[Nb Jour Exec]]+Tab_Impression[[#This Row],[DATE DE LANC]]</f>
        <v>40855.024305555555</v>
      </c>
      <c r="O12" s="18">
        <f>WEEKNUM(Tab_Impression[[#This Row],[Échéance]])</f>
        <v>46</v>
      </c>
    </row>
    <row r="13" spans="1:15" x14ac:dyDescent="0.25">
      <c r="A13" s="19" t="s">
        <v>25</v>
      </c>
      <c r="B13" s="20">
        <f>VLOOKUP(A13,[1]!Tab_Cmdes_Clts[#Data],14,)</f>
        <v>10000</v>
      </c>
      <c r="C13" s="21" t="str">
        <f>VLOOKUP(A13,[1]!Tab_Cmdes_Clts[#Data],8,)</f>
        <v>PF000594</v>
      </c>
      <c r="D13" s="22" t="str">
        <f>VLOOKUP(C13,[1]!Tab_Liste_art[#Data],2,)</f>
        <v>FILM OPP/CAST COUSCOUS</v>
      </c>
      <c r="E13" s="22" t="str">
        <f>VLOOKUP(C13,[1]!Tab_Liste_art[#Data],3,)</f>
        <v>M SIM BLEU 1KG 350/60</v>
      </c>
      <c r="F13" s="10">
        <v>40856</v>
      </c>
      <c r="G13" s="11">
        <v>0.625</v>
      </c>
      <c r="H13" s="23" t="s">
        <v>26</v>
      </c>
      <c r="I13" s="24">
        <f>VLOOKUP(Tab_Impression[[#This Row],[Equipement]],[1]!Tab_equip_tps[#Data],6,)</f>
        <v>0.01</v>
      </c>
      <c r="J13" s="20">
        <f>VLOOKUP(Tab_Impression[[#This Row],[CODE PF]],[1]!Nomenclature[#Data],23,FALSE)*Tab_Impression[[#This Row],[QTE COMDEE]]</f>
        <v>158394.70397999999</v>
      </c>
      <c r="K13" s="14">
        <f>Tab_Impression[[#This Row],[Tps Exec Moyen]]*Tab_Impression[[#This Row],[Qte  / MEO]]/60</f>
        <v>26.399117329999999</v>
      </c>
      <c r="L13" s="15">
        <f>Tab_Impression[[#This Row],[NB Heure Exec]]+Tab_Impression[[#This Row],[HEURE LANC]]</f>
        <v>27.024117329999999</v>
      </c>
      <c r="M13" s="16">
        <f>Tab_Impression[[#This Row],[Heure Fin]]/24</f>
        <v>1.12600488875</v>
      </c>
      <c r="N13" s="17">
        <f>Tab_Impression[[#This Row],[Nb Jour Exec]]+Tab_Impression[[#This Row],[DATE DE LANC]]</f>
        <v>40857.126004888749</v>
      </c>
      <c r="O13" s="18">
        <f>WEEKNUM(Tab_Impression[[#This Row],[Échéance]])</f>
        <v>46</v>
      </c>
    </row>
    <row r="14" spans="1:15" x14ac:dyDescent="0.25">
      <c r="A14" s="19" t="s">
        <v>27</v>
      </c>
      <c r="B14" s="20">
        <f>VLOOKUP(A14,[1]!Tab_Cmdes_Clts[#Data],14,)</f>
        <v>10000</v>
      </c>
      <c r="C14" s="21" t="str">
        <f>VLOOKUP(A14,[1]!Tab_Cmdes_Clts[#Data],8,)</f>
        <v>PF000665</v>
      </c>
      <c r="D14" s="22" t="str">
        <f>VLOOKUP(C14,[1]!Tab_Liste_art[#Data],2,)</f>
        <v>FILM OPP/CAST PETIT</v>
      </c>
      <c r="E14" s="22" t="str">
        <f>VLOOKUP(C14,[1]!Tab_Liste_art[#Data],3,)</f>
        <v>COUDE 04 SIM BLEU 280/55</v>
      </c>
      <c r="F14" s="10">
        <v>40857</v>
      </c>
      <c r="G14" s="11">
        <v>0.66666666666666696</v>
      </c>
      <c r="H14" s="23" t="s">
        <v>28</v>
      </c>
      <c r="I14" s="24">
        <f>VLOOKUP(Tab_Impression[[#This Row],[Equipement]],[1]!Tab_equip_tps[#Data],6,)</f>
        <v>1.0526315789473684E-2</v>
      </c>
      <c r="J14" s="20">
        <f>VLOOKUP(Tab_Impression[[#This Row],[CODE PF]],[1]!Nomenclature[#Data],23,FALSE)*Tab_Impression[[#This Row],[QTE COMDEE]]</f>
        <v>159668.84487999999</v>
      </c>
      <c r="K14" s="14">
        <f>Tab_Impression[[#This Row],[Tps Exec Moyen]]*Tab_Impression[[#This Row],[Qte  / MEO]]/60</f>
        <v>28.012078049122806</v>
      </c>
      <c r="L14" s="15">
        <f>Tab_Impression[[#This Row],[NB Heure Exec]]+Tab_Impression[[#This Row],[HEURE LANC]]</f>
        <v>28.678744715789474</v>
      </c>
      <c r="M14" s="16">
        <f>Tab_Impression[[#This Row],[Heure Fin]]/24</f>
        <v>1.194947696491228</v>
      </c>
      <c r="N14" s="17">
        <f>Tab_Impression[[#This Row],[Nb Jour Exec]]+Tab_Impression[[#This Row],[DATE DE LANC]]</f>
        <v>40858.194947696495</v>
      </c>
      <c r="O14" s="18">
        <f>WEEKNUM(Tab_Impression[[#This Row],[Échéance]])</f>
        <v>46</v>
      </c>
    </row>
    <row r="15" spans="1:15" x14ac:dyDescent="0.25">
      <c r="A15" s="19" t="s">
        <v>29</v>
      </c>
      <c r="B15" s="20">
        <f>VLOOKUP(A15,[1]!Tab_Cmdes_Clts[#Data],14,)</f>
        <v>10000</v>
      </c>
      <c r="C15" s="21" t="str">
        <f>VLOOKUP(A15,[1]!Tab_Cmdes_Clts[#Data],8,)</f>
        <v>PF000637</v>
      </c>
      <c r="D15" s="22" t="str">
        <f>VLOOKUP(C15,[1]!Tab_Liste_art[#Data],2,)</f>
        <v>FILM OPP/CAST M COUDE 06</v>
      </c>
      <c r="E15" s="22" t="str">
        <f>VLOOKUP(C15,[1]!Tab_Liste_art[#Data],3,)</f>
        <v>SIM BLEU 350/55</v>
      </c>
      <c r="F15" s="10">
        <v>40858</v>
      </c>
      <c r="G15" s="11">
        <v>0.70833333333333304</v>
      </c>
      <c r="H15" s="23" t="s">
        <v>16</v>
      </c>
      <c r="I15" s="24">
        <f>VLOOKUP(Tab_Impression[[#This Row],[Equipement]],[1]!Tab_equip_tps[#Data],6,)</f>
        <v>1.1764705882352941E-2</v>
      </c>
      <c r="J15" s="20">
        <f>VLOOKUP(Tab_Impression[[#This Row],[CODE PF]],[1]!Nomenclature[#Data],23,FALSE)*Tab_Impression[[#This Row],[QTE COMDEE]]</f>
        <v>170313.27894000005</v>
      </c>
      <c r="K15" s="14">
        <f>Tab_Impression[[#This Row],[Tps Exec Moyen]]*Tab_Impression[[#This Row],[Qte  / MEO]]/60</f>
        <v>33.394760576470595</v>
      </c>
      <c r="L15" s="15">
        <f>Tab_Impression[[#This Row],[NB Heure Exec]]+Tab_Impression[[#This Row],[HEURE LANC]]</f>
        <v>34.103093909803931</v>
      </c>
      <c r="M15" s="16">
        <f>Tab_Impression[[#This Row],[Heure Fin]]/24</f>
        <v>1.4209622462418305</v>
      </c>
      <c r="N15" s="17">
        <f>Tab_Impression[[#This Row],[Nb Jour Exec]]+Tab_Impression[[#This Row],[DATE DE LANC]]</f>
        <v>40859.420962246244</v>
      </c>
      <c r="O15" s="18">
        <f>WEEKNUM(Tab_Impression[[#This Row],[Échéance]])</f>
        <v>46</v>
      </c>
    </row>
    <row r="16" spans="1:15" x14ac:dyDescent="0.25">
      <c r="A16" s="19" t="s">
        <v>25</v>
      </c>
      <c r="B16" s="20">
        <f>VLOOKUP(A16,[1]!Tab_Cmdes_Clts[#Data],14,)</f>
        <v>10000</v>
      </c>
      <c r="C16" s="21" t="str">
        <f>VLOOKUP(A16,[1]!Tab_Cmdes_Clts[#Data],8,)</f>
        <v>PF000594</v>
      </c>
      <c r="D16" s="22" t="str">
        <f>VLOOKUP(C16,[1]!Tab_Liste_art[#Data],2,)</f>
        <v>FILM OPP/CAST COUSCOUS</v>
      </c>
      <c r="E16" s="22" t="str">
        <f>VLOOKUP(C16,[1]!Tab_Liste_art[#Data],3,)</f>
        <v>M SIM BLEU 1KG 350/60</v>
      </c>
      <c r="F16" s="10">
        <v>40859</v>
      </c>
      <c r="G16" s="11">
        <v>0.75</v>
      </c>
      <c r="H16" s="23" t="s">
        <v>16</v>
      </c>
      <c r="I16" s="24">
        <f>VLOOKUP(Tab_Impression[[#This Row],[Equipement]],[1]!Tab_equip_tps[#Data],6,)</f>
        <v>1.1764705882352941E-2</v>
      </c>
      <c r="J16" s="20">
        <f>VLOOKUP(Tab_Impression[[#This Row],[CODE PF]],[1]!Nomenclature[#Data],23,FALSE)*Tab_Impression[[#This Row],[QTE COMDEE]]</f>
        <v>158394.70397999999</v>
      </c>
      <c r="K16" s="14">
        <f>Tab_Impression[[#This Row],[Tps Exec Moyen]]*Tab_Impression[[#This Row],[Qte  / MEO]]/60</f>
        <v>31.057785094117644</v>
      </c>
      <c r="L16" s="15">
        <f>Tab_Impression[[#This Row],[NB Heure Exec]]+Tab_Impression[[#This Row],[HEURE LANC]]</f>
        <v>31.807785094117644</v>
      </c>
      <c r="M16" s="16">
        <f>Tab_Impression[[#This Row],[Heure Fin]]/24</f>
        <v>1.3253243789215685</v>
      </c>
      <c r="N16" s="17">
        <f>Tab_Impression[[#This Row],[Nb Jour Exec]]+Tab_Impression[[#This Row],[DATE DE LANC]]</f>
        <v>40860.325324378922</v>
      </c>
      <c r="O16" s="18">
        <f>WEEKNUM(Tab_Impression[[#This Row],[Échéance]])</f>
        <v>47</v>
      </c>
    </row>
    <row r="17" spans="1:15" x14ac:dyDescent="0.25">
      <c r="A17" s="19" t="s">
        <v>30</v>
      </c>
      <c r="B17" s="20">
        <f>VLOOKUP(A17,[1]!Tab_Cmdes_Clts[#Data],14,)</f>
        <v>5000</v>
      </c>
      <c r="C17" s="21" t="str">
        <f>VLOOKUP(A17,[1]!Tab_Cmdes_Clts[#Data],8,)</f>
        <v>PF000549</v>
      </c>
      <c r="D17" s="22" t="str">
        <f>VLOOKUP(C17,[1]!Tab_Liste_art[#Data],2,)</f>
        <v>FILM OPP/OPP META YOGA</v>
      </c>
      <c r="E17" s="22" t="str">
        <f>VLOOKUP(C17,[1]!Tab_Liste_art[#Data],3,)</f>
        <v>CHOCOLAT 230/40</v>
      </c>
      <c r="F17" s="17">
        <v>40877</v>
      </c>
      <c r="G17" s="25">
        <v>0.33333333333333331</v>
      </c>
      <c r="H17" s="23" t="s">
        <v>19</v>
      </c>
      <c r="I17" s="24">
        <f>VLOOKUP(Tab_Impression[[#This Row],[Equipement]],[1]!Tab_equip_tps[#Data],6,)</f>
        <v>0.01</v>
      </c>
      <c r="J17" s="20">
        <f>VLOOKUP(Tab_Impression[[#This Row],[CODE PF]],[1]!Nomenclature[#Data],23,FALSE)*Tab_Impression[[#This Row],[QTE COMDEE]]</f>
        <v>172113.83842000001</v>
      </c>
      <c r="K17" s="15">
        <f>Tab_Impression[[#This Row],[Tps Exec Moyen]]*Tab_Impression[[#This Row],[Qte  / MEO]]/60</f>
        <v>28.685639736666669</v>
      </c>
      <c r="L17" s="26">
        <f>Tab_Impression[[#This Row],[NB Heure Exec]]+Tab_Impression[[#This Row],[HEURE LANC]]</f>
        <v>29.018973070000001</v>
      </c>
      <c r="M17" s="27">
        <f>Tab_Impression[[#This Row],[Heure Fin]]/24</f>
        <v>1.2091238779166666</v>
      </c>
      <c r="N17" s="17">
        <f>Tab_Impression[[#This Row],[Nb Jour Exec]]+Tab_Impression[[#This Row],[DATE DE LANC]]</f>
        <v>40878.209123877918</v>
      </c>
      <c r="O17" s="18">
        <f>WEEKNUM(Tab_Impression[[#This Row],[Échéance]])</f>
        <v>49</v>
      </c>
    </row>
  </sheetData>
  <mergeCells count="1">
    <mergeCell ref="A1:C1"/>
  </mergeCells>
  <dataValidations count="1">
    <dataValidation type="list" allowBlank="1" showInputMessage="1" showErrorMessage="1" sqref="H6:H17">
      <formula1>IMPRESSION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2011-11-02T09:06:23Z</dcterms:created>
  <dcterms:modified xsi:type="dcterms:W3CDTF">2011-11-02T09:28:26Z</dcterms:modified>
</cp:coreProperties>
</file>